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updateLinks="always"/>
  <xr:revisionPtr revIDLastSave="0" documentId="13_ncr:1_{586D3A96-53EE-4067-AAE1-18E0466A9ED9}" xr6:coauthVersionLast="47" xr6:coauthVersionMax="47" xr10:uidLastSave="{00000000-0000-0000-0000-000000000000}"/>
  <bookViews>
    <workbookView xWindow="540" yWindow="-16320" windowWidth="29040" windowHeight="15720" activeTab="1"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HVAC Deemed Table" sheetId="6" r:id="rId6"/>
    <sheet name="Income Eligible Deemed Table" sheetId="7" r:id="rId7"/>
    <sheet name="PAYS Deemed Table" sheetId="22" r:id="rId8"/>
    <sheet name="Demand Response Deemed Table" sheetId="11" r:id="rId9"/>
    <sheet name=" Measure INDEX PY25" sheetId="15" r:id="rId10"/>
    <sheet name="Avoided Cost Benefits" sheetId="13" r:id="rId11"/>
    <sheet name="CP FACTORS" sheetId="12" r:id="rId12"/>
    <sheet name="End-Use Shapes Factors  2025+" sheetId="23" r:id="rId13"/>
  </sheets>
  <definedNames>
    <definedName name="_xlnm._FilterDatabase" localSheetId="9" hidden="1">' Measure INDEX PY25'!$A$8:$BN$357</definedName>
    <definedName name="_xlnm._FilterDatabase" localSheetId="10" hidden="1">'Avoided Cost Benefits'!$A$3:$G$865</definedName>
    <definedName name="_xlnm._FilterDatabase" localSheetId="2" hidden="1">'BUS Deemed Savings Table'!$A$1:$A$4724</definedName>
    <definedName name="_xlnm._FilterDatabase" localSheetId="11" hidden="1">'CP FACTORS'!$A$1:$A$38</definedName>
    <definedName name="_xlnm._FilterDatabase" localSheetId="3" hidden="1">'Efficient Products Deemed Table'!$A$1:$A$5130</definedName>
    <definedName name="_xlnm._FilterDatabase" localSheetId="4" hidden="1">'Energy Effic. Kits Deemed Table'!$A$1:$A$4817</definedName>
    <definedName name="_xlnm._FilterDatabase" localSheetId="6" hidden="1">'Income Eligible Deemed Table'!$A$5:$A$4671</definedName>
    <definedName name="_ftn1" localSheetId="2">'BUS Deemed Savings Table'!$H$509</definedName>
    <definedName name="_ftn1" localSheetId="3">'Efficient Products Deemed Table'!#REF!</definedName>
    <definedName name="_ftn10" localSheetId="2">'BUS Deemed Savings Table'!$H$520</definedName>
    <definedName name="_ftn11" localSheetId="2">'BUS Deemed Savings Table'!$H$521</definedName>
    <definedName name="_ftn12" localSheetId="2">'BUS Deemed Savings Table'!$H$522</definedName>
    <definedName name="_ftn2" localSheetId="2">'BUS Deemed Savings Table'!$H$510</definedName>
    <definedName name="_ftn2" localSheetId="3">'Efficient Products Deemed Table'!#REF!</definedName>
    <definedName name="_ftn3" localSheetId="2">'BUS Deemed Savings Table'!$H$511</definedName>
    <definedName name="_ftn4" localSheetId="2">'BUS Deemed Savings Table'!$H$512</definedName>
    <definedName name="_ftn5" localSheetId="2">'BUS Deemed Savings Table'!$H$513</definedName>
    <definedName name="_ftn6" localSheetId="2">'BUS Deemed Savings Table'!$H$514</definedName>
    <definedName name="_ftn7" localSheetId="2">'BUS Deemed Savings Table'!$H$515</definedName>
    <definedName name="_ftn8" localSheetId="2">'BUS Deemed Savings Table'!$H$516</definedName>
    <definedName name="_ftn9" localSheetId="2">'BUS Deemed Savings Table'!$H$517</definedName>
    <definedName name="_ftnref1" localSheetId="2">'BUS Deemed Savings Table'!$H$305</definedName>
    <definedName name="_ftnref1" localSheetId="3">'Efficient Products Deemed Table'!#REF!</definedName>
    <definedName name="_ftnref10" localSheetId="2">'BUS Deemed Savings Table'!#REF!</definedName>
    <definedName name="_ftnref11" localSheetId="2">'BUS Deemed Savings Table'!#REF!</definedName>
    <definedName name="_ftnref12" localSheetId="2">'BUS Deemed Savings Table'!#REF!</definedName>
    <definedName name="_ftnref2" localSheetId="3">'Efficient Products Deemed Table'!#REF!</definedName>
    <definedName name="_ftnref3" localSheetId="2">'BUS Deemed Savings Table'!$J$311</definedName>
    <definedName name="_ftnref4" localSheetId="2">'BUS Deemed Savings Table'!$H$322</definedName>
    <definedName name="_ftnref5" localSheetId="2">'BUS Deemed Savings Table'!$H$339</definedName>
    <definedName name="_ftnref6" localSheetId="2">'BUS Deemed Savings Table'!#REF!</definedName>
    <definedName name="_ftnref7" localSheetId="2">'BUS Deemed Savings Table'!$I$413</definedName>
    <definedName name="_ftnref8" localSheetId="2">'BUS Deemed Savings Table'!#REF!</definedName>
    <definedName name="_ftnref9" localSheetId="2">'BUS Deemed Savings Table'!$H$446</definedName>
    <definedName name="_Key1" hidden="1">#REF!</definedName>
    <definedName name="_key2" hidden="1">#REF!</definedName>
    <definedName name="_Order1" hidden="1">255</definedName>
    <definedName name="_Sort" hidden="1">#REF!</definedName>
    <definedName name="_Toc477945843" localSheetId="2">'BUS Deemed Savings Table'!$H$286</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7">#REF!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PY25'!$B$1:$BO$346</definedName>
    <definedName name="_xlnm.Print_Area" localSheetId="2">'BUS Deemed Savings Table'!$A$1:$R$518</definedName>
    <definedName name="_xlnm.Print_Area" localSheetId="1">'Deemed Savings Tbl Revision Log'!$B$1:$H$17</definedName>
    <definedName name="_xlnm.Print_Area" localSheetId="8">'Demand Response Deemed Table'!$A$1:$R$34</definedName>
    <definedName name="_xlnm.Print_Area" localSheetId="3">'Efficient Products Deemed Table'!$A$1:$R$128</definedName>
    <definedName name="_xlnm.Print_Area" localSheetId="4">'Energy Effic. Kits Deemed Table'!$A$1:$O$49</definedName>
    <definedName name="_xlnm.Print_Area" localSheetId="5">'HVAC Deemed Table'!$A$1:$R$2310</definedName>
    <definedName name="_xlnm.Print_Area" localSheetId="6">'Income Eligible Deemed Table'!$A$1:$S$997</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5">'HVAC Deemed Table'!$1:$1</definedName>
    <definedName name="_xlnm.Print_Titles" localSheetId="6">'Income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Table'!$F$342</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5" i="22" l="1"/>
  <c r="W37" i="22"/>
  <c r="X37" i="22"/>
  <c r="Y37" i="22"/>
  <c r="Z37" i="22"/>
  <c r="AA37" i="22"/>
  <c r="AB37" i="22"/>
  <c r="AC37" i="22"/>
  <c r="AD37" i="22"/>
  <c r="AE37" i="22"/>
  <c r="AF37" i="22"/>
  <c r="DG37" i="22"/>
  <c r="DH37" i="22"/>
  <c r="DI37" i="22"/>
  <c r="DJ37" i="22"/>
  <c r="B38" i="22"/>
  <c r="F38" i="22"/>
  <c r="AG38" i="22" s="1"/>
  <c r="H38" i="22"/>
  <c r="I38" i="22" s="1"/>
  <c r="J38" i="22"/>
  <c r="DH38" i="22" s="1"/>
  <c r="DI38" i="22" s="1"/>
  <c r="DG38" i="22" s="1"/>
  <c r="K38" i="22"/>
  <c r="DJ38" i="22" s="1"/>
  <c r="V38" i="22"/>
  <c r="W44" i="22"/>
  <c r="X44" i="22"/>
  <c r="Y44" i="22"/>
  <c r="Z44" i="22"/>
  <c r="AA44" i="22"/>
  <c r="AB44" i="22"/>
  <c r="AC44" i="22"/>
  <c r="AD44" i="22"/>
  <c r="AE44" i="22"/>
  <c r="AF44" i="22"/>
  <c r="AF46" i="22"/>
  <c r="AF47" i="22"/>
  <c r="AF48" i="22"/>
  <c r="V49" i="22"/>
  <c r="AF49" i="22"/>
  <c r="AF50" i="22"/>
  <c r="K7" i="22"/>
  <c r="I7" i="22"/>
  <c r="DM24" i="2"/>
  <c r="DM22" i="2"/>
  <c r="DM20" i="2"/>
  <c r="DM18" i="2"/>
  <c r="DP313" i="2"/>
  <c r="DM313" i="2"/>
  <c r="AI250" i="15"/>
  <c r="AE250" i="15"/>
  <c r="AE249" i="15"/>
  <c r="AE248" i="15"/>
  <c r="AB250" i="15"/>
  <c r="AA250" i="15"/>
  <c r="X250" i="15"/>
  <c r="O250" i="15"/>
  <c r="I250" i="15"/>
  <c r="H250" i="15"/>
  <c r="C250" i="15"/>
  <c r="B250" i="15"/>
  <c r="G250" i="15"/>
  <c r="AD250" i="15"/>
  <c r="AC250" i="15"/>
  <c r="Z250" i="15"/>
  <c r="W250" i="15" s="1"/>
  <c r="V250" i="15" s="1"/>
  <c r="U250" i="15" s="1"/>
  <c r="AX250" i="15"/>
  <c r="A250" i="15"/>
  <c r="AZ250" i="15" s="1"/>
  <c r="DJ38" i="11" l="1"/>
  <c r="DG38" i="11" s="1"/>
  <c r="V38" i="11"/>
  <c r="B38" i="11"/>
  <c r="AF37" i="11"/>
  <c r="AE37" i="11"/>
  <c r="AD37" i="11"/>
  <c r="AC37" i="11"/>
  <c r="AB37" i="11"/>
  <c r="AA37" i="11"/>
  <c r="Z37" i="11"/>
  <c r="Y37" i="11"/>
  <c r="X37" i="11"/>
  <c r="W37" i="11"/>
  <c r="V35" i="11"/>
  <c r="K343" i="2"/>
  <c r="K342" i="2"/>
  <c r="BG342" i="2"/>
  <c r="DM293" i="2"/>
  <c r="DK293" i="2" s="1"/>
  <c r="F923" i="7"/>
  <c r="AI198" i="15" l="1"/>
  <c r="H198" i="15"/>
  <c r="G198" i="15"/>
  <c r="AX198" i="15" s="1"/>
  <c r="D198" i="15"/>
  <c r="C198" i="15"/>
  <c r="B198" i="15"/>
  <c r="A198" i="15" s="1"/>
  <c r="AZ198" i="15" s="1"/>
  <c r="AD198" i="15"/>
  <c r="P198" i="15"/>
  <c r="J198" i="15"/>
  <c r="B139" i="15"/>
  <c r="A139" i="15" s="1"/>
  <c r="AZ139" i="15" s="1"/>
  <c r="G139" i="15"/>
  <c r="AX139" i="15" s="1"/>
  <c r="AI139" i="15"/>
  <c r="AD139" i="15"/>
  <c r="P139" i="15"/>
  <c r="J139" i="15"/>
  <c r="H139" i="15"/>
  <c r="C139" i="15"/>
  <c r="K10" i="7"/>
  <c r="AB139" i="15" s="1"/>
  <c r="K9" i="7"/>
  <c r="AB138" i="15" s="1"/>
  <c r="K8" i="7"/>
  <c r="DJ8" i="7" s="1"/>
  <c r="K7" i="7"/>
  <c r="DJ7" i="7" s="1"/>
  <c r="J10" i="7"/>
  <c r="X139" i="15" s="1"/>
  <c r="Z139" i="15" s="1"/>
  <c r="W139" i="15" s="1"/>
  <c r="V139" i="15" s="1"/>
  <c r="H10" i="7"/>
  <c r="B10" i="7"/>
  <c r="G23" i="7"/>
  <c r="F10" i="7" s="1"/>
  <c r="AG21" i="7"/>
  <c r="G22" i="7"/>
  <c r="F9" i="7" s="1"/>
  <c r="AG24" i="7"/>
  <c r="AG25" i="7"/>
  <c r="AG26" i="7"/>
  <c r="AG27" i="7"/>
  <c r="AG28" i="7"/>
  <c r="AG20" i="7"/>
  <c r="AG632" i="7"/>
  <c r="G629" i="7"/>
  <c r="F610" i="7" s="1"/>
  <c r="L198" i="15" s="1"/>
  <c r="G628" i="7"/>
  <c r="F608" i="7" s="1"/>
  <c r="L197" i="15" s="1"/>
  <c r="J628" i="7"/>
  <c r="G621" i="7"/>
  <c r="F609" i="7" s="1"/>
  <c r="K198" i="15" s="1"/>
  <c r="G620" i="7"/>
  <c r="J620" i="7" s="1"/>
  <c r="H613" i="7"/>
  <c r="H148" i="15"/>
  <c r="H147" i="15"/>
  <c r="H146" i="15"/>
  <c r="H145" i="15"/>
  <c r="H144" i="15"/>
  <c r="H143" i="15"/>
  <c r="H142" i="15"/>
  <c r="H141" i="15"/>
  <c r="AI243" i="15"/>
  <c r="X243" i="15"/>
  <c r="O243" i="15"/>
  <c r="W243" i="15" s="1"/>
  <c r="V243" i="15" s="1"/>
  <c r="U243" i="15" s="1"/>
  <c r="I243" i="15"/>
  <c r="H243" i="15"/>
  <c r="G243" i="15"/>
  <c r="AX243" i="15" s="1"/>
  <c r="C243" i="15"/>
  <c r="B243" i="15"/>
  <c r="A243" i="15" s="1"/>
  <c r="AZ243" i="15" s="1"/>
  <c r="N96" i="15"/>
  <c r="BC4" i="15"/>
  <c r="BC71" i="15" s="1"/>
  <c r="BH71" i="15" s="1"/>
  <c r="BD96" i="15"/>
  <c r="BI96" i="15" s="1"/>
  <c r="F774" i="6"/>
  <c r="M96" i="15"/>
  <c r="J96" i="15" s="1"/>
  <c r="L96" i="15"/>
  <c r="BB96" i="15" s="1"/>
  <c r="F772" i="6"/>
  <c r="K96" i="15"/>
  <c r="I96" i="15" s="1"/>
  <c r="N79" i="15"/>
  <c r="BD79" i="15" s="1"/>
  <c r="BD81" i="15" s="1"/>
  <c r="BI81" i="15" s="1"/>
  <c r="F723" i="6"/>
  <c r="M79" i="15"/>
  <c r="BC79" i="15" s="1"/>
  <c r="F726" i="6"/>
  <c r="L80" i="15"/>
  <c r="BB80" i="15"/>
  <c r="BG80" i="15" s="1"/>
  <c r="F728" i="6"/>
  <c r="L81" i="15"/>
  <c r="BB81" i="15"/>
  <c r="BG81" i="15" s="1"/>
  <c r="F721" i="6"/>
  <c r="K79" i="15"/>
  <c r="F727" i="6"/>
  <c r="K81" i="15"/>
  <c r="BA79" i="15"/>
  <c r="BA81" i="15" s="1"/>
  <c r="L79" i="15"/>
  <c r="BB79" i="15"/>
  <c r="BG79" i="15" s="1"/>
  <c r="F780" i="6"/>
  <c r="N97" i="15"/>
  <c r="J97" i="15" s="1"/>
  <c r="F702" i="6"/>
  <c r="L71" i="15"/>
  <c r="BB71" i="15" s="1"/>
  <c r="BG71" i="15" s="1"/>
  <c r="F779" i="6"/>
  <c r="M97" i="15"/>
  <c r="F701" i="6"/>
  <c r="K71" i="15"/>
  <c r="F778" i="6"/>
  <c r="L97" i="15"/>
  <c r="F777" i="6"/>
  <c r="K97" i="15"/>
  <c r="BA71" i="15" s="1"/>
  <c r="BF71" i="15" s="1"/>
  <c r="F682" i="6"/>
  <c r="L63" i="15"/>
  <c r="BB63" i="15" s="1"/>
  <c r="F692" i="6"/>
  <c r="L67" i="15"/>
  <c r="BD63" i="15" s="1"/>
  <c r="BD67" i="15" s="1"/>
  <c r="BD68" i="15" s="1"/>
  <c r="BI68" i="15" s="1"/>
  <c r="K1303" i="6"/>
  <c r="F683" i="6"/>
  <c r="M63" i="15"/>
  <c r="J63" i="15" s="1"/>
  <c r="F691" i="6"/>
  <c r="K67" i="15"/>
  <c r="BC63" i="15" s="1"/>
  <c r="BC67" i="15" s="1"/>
  <c r="BC68" i="15" s="1"/>
  <c r="F684" i="6"/>
  <c r="N63" i="15"/>
  <c r="K1302" i="6"/>
  <c r="F681" i="6"/>
  <c r="K63" i="15"/>
  <c r="J2271" i="6"/>
  <c r="DH2271" i="6"/>
  <c r="F2271" i="6"/>
  <c r="DI2271" i="6"/>
  <c r="AH134" i="15"/>
  <c r="J2270" i="6"/>
  <c r="DH2270" i="6"/>
  <c r="F2270" i="6"/>
  <c r="DI2270" i="6"/>
  <c r="AG134" i="15"/>
  <c r="J2259" i="6"/>
  <c r="DH2259" i="6"/>
  <c r="F2259" i="6"/>
  <c r="DI2259" i="6"/>
  <c r="AH130" i="15"/>
  <c r="AD130" i="15" s="1"/>
  <c r="J2258" i="6"/>
  <c r="DH2258" i="6"/>
  <c r="F2258" i="6"/>
  <c r="DI2258" i="6"/>
  <c r="AG130" i="15"/>
  <c r="J2247" i="6"/>
  <c r="DH2247" i="6"/>
  <c r="F2247" i="6"/>
  <c r="DI2247" i="6"/>
  <c r="AH126" i="15"/>
  <c r="J2246" i="6"/>
  <c r="DH2246" i="6"/>
  <c r="F2246" i="6"/>
  <c r="DI2246" i="6"/>
  <c r="AG126" i="15"/>
  <c r="F696" i="6"/>
  <c r="L69" i="15"/>
  <c r="BB69" i="15" s="1"/>
  <c r="BB65" i="15" s="1"/>
  <c r="BG65" i="15" s="1"/>
  <c r="F688" i="6"/>
  <c r="L65" i="15"/>
  <c r="I65" i="15" s="1"/>
  <c r="BD70" i="15"/>
  <c r="F699" i="6"/>
  <c r="K70" i="15"/>
  <c r="F697" i="6"/>
  <c r="M69" i="15"/>
  <c r="F698" i="6"/>
  <c r="N69" i="15"/>
  <c r="BD69" i="15"/>
  <c r="BD65" i="15" s="1"/>
  <c r="F695" i="6"/>
  <c r="K69" i="15"/>
  <c r="BA69" i="15" s="1"/>
  <c r="BA65" i="15" s="1"/>
  <c r="F687" i="6"/>
  <c r="K65" i="15"/>
  <c r="F664" i="6"/>
  <c r="L58" i="15"/>
  <c r="F668" i="6"/>
  <c r="L59" i="15"/>
  <c r="BB58" i="15"/>
  <c r="F665" i="6"/>
  <c r="M58" i="15"/>
  <c r="J58" i="15" s="1"/>
  <c r="F667" i="6"/>
  <c r="K59" i="15"/>
  <c r="BA58" i="15" s="1"/>
  <c r="F666" i="6"/>
  <c r="N58" i="15"/>
  <c r="BD58" i="15" s="1"/>
  <c r="BD59" i="15" s="1"/>
  <c r="BI59" i="15" s="1"/>
  <c r="F663" i="6"/>
  <c r="K58" i="15"/>
  <c r="H2271" i="6"/>
  <c r="I2271" i="6"/>
  <c r="T134" i="15"/>
  <c r="H2270" i="6"/>
  <c r="I2270" i="6"/>
  <c r="S134" i="15"/>
  <c r="H2259" i="6"/>
  <c r="I2259" i="6"/>
  <c r="T130" i="15"/>
  <c r="H2258" i="6"/>
  <c r="I2258" i="6"/>
  <c r="S130" i="15"/>
  <c r="H2247" i="6"/>
  <c r="I2247" i="6"/>
  <c r="T126" i="15"/>
  <c r="P126" i="15" s="1"/>
  <c r="H2246" i="6"/>
  <c r="I2246" i="6"/>
  <c r="S126" i="15"/>
  <c r="F2235" i="6"/>
  <c r="H2235" i="6"/>
  <c r="I2235" i="6"/>
  <c r="T122" i="15"/>
  <c r="F2234" i="6"/>
  <c r="H2234" i="6"/>
  <c r="I2234" i="6"/>
  <c r="S122" i="15"/>
  <c r="F2233" i="6"/>
  <c r="H2233" i="6"/>
  <c r="I2233" i="6"/>
  <c r="R122" i="15"/>
  <c r="J2235" i="6"/>
  <c r="DH2235" i="6"/>
  <c r="DI2235" i="6"/>
  <c r="AH122" i="15"/>
  <c r="J2234" i="6"/>
  <c r="DH2234" i="6"/>
  <c r="DI2234" i="6"/>
  <c r="AG122" i="15"/>
  <c r="J2245" i="6"/>
  <c r="DH2245" i="6"/>
  <c r="F2245" i="6"/>
  <c r="DI2245" i="6"/>
  <c r="AF126" i="15"/>
  <c r="F826" i="6"/>
  <c r="N109" i="15"/>
  <c r="BD109" i="15"/>
  <c r="F825" i="6"/>
  <c r="M109" i="15"/>
  <c r="BC109" i="15" s="1"/>
  <c r="BH109" i="15" s="1"/>
  <c r="F824" i="6"/>
  <c r="L109" i="15"/>
  <c r="BB109" i="15" s="1"/>
  <c r="F823" i="6"/>
  <c r="K109" i="15"/>
  <c r="BA109" i="15"/>
  <c r="BF109" i="15" s="1"/>
  <c r="J775" i="6"/>
  <c r="DH775" i="6"/>
  <c r="DI775" i="6"/>
  <c r="AH96" i="15"/>
  <c r="AD96" i="15" s="1"/>
  <c r="J774" i="6"/>
  <c r="DH774" i="6"/>
  <c r="DI774" i="6"/>
  <c r="AG96" i="15"/>
  <c r="Y96" i="15"/>
  <c r="H775" i="6"/>
  <c r="I775" i="6"/>
  <c r="T96" i="15"/>
  <c r="H774" i="6"/>
  <c r="I774" i="6"/>
  <c r="S96" i="15"/>
  <c r="P96" i="15" s="1"/>
  <c r="F96" i="15"/>
  <c r="E96" i="15"/>
  <c r="J773" i="6"/>
  <c r="DH773" i="6"/>
  <c r="DI773" i="6"/>
  <c r="AF96" i="15"/>
  <c r="H773" i="6"/>
  <c r="I773" i="6"/>
  <c r="R96" i="15"/>
  <c r="O96" i="15" s="1"/>
  <c r="D96" i="15"/>
  <c r="L935" i="6"/>
  <c r="L772" i="6"/>
  <c r="AJ96" i="15"/>
  <c r="J772" i="6"/>
  <c r="DH772" i="6"/>
  <c r="DI772" i="6"/>
  <c r="AE96" i="15"/>
  <c r="J2007" i="6"/>
  <c r="J2008" i="6"/>
  <c r="J2009" i="6"/>
  <c r="J2010" i="6"/>
  <c r="J873" i="6"/>
  <c r="L873" i="6"/>
  <c r="J1697" i="6"/>
  <c r="M2007" i="6"/>
  <c r="L2007" i="6"/>
  <c r="S891" i="6"/>
  <c r="K2007" i="6"/>
  <c r="J2011" i="6"/>
  <c r="J874" i="6"/>
  <c r="J875" i="6"/>
  <c r="L875" i="6"/>
  <c r="J1698" i="6"/>
  <c r="J1699" i="6"/>
  <c r="M2011" i="6"/>
  <c r="L2011" i="6"/>
  <c r="F651" i="6"/>
  <c r="F653" i="6"/>
  <c r="F2200" i="6"/>
  <c r="M2200" i="6"/>
  <c r="F647" i="6"/>
  <c r="F648" i="6"/>
  <c r="F649" i="6"/>
  <c r="F650" i="6"/>
  <c r="F655" i="6"/>
  <c r="F656" i="6"/>
  <c r="F657" i="6"/>
  <c r="F658" i="6"/>
  <c r="F659" i="6"/>
  <c r="F660" i="6"/>
  <c r="F661" i="6"/>
  <c r="F669" i="6"/>
  <c r="F670" i="6"/>
  <c r="K1297" i="6"/>
  <c r="F671" i="6"/>
  <c r="F672" i="6"/>
  <c r="K1298" i="6"/>
  <c r="F673" i="6"/>
  <c r="K1299" i="6"/>
  <c r="F675" i="6"/>
  <c r="K1300" i="6"/>
  <c r="F677" i="6"/>
  <c r="K1301" i="6"/>
  <c r="F679" i="6"/>
  <c r="F685" i="6"/>
  <c r="F686" i="6"/>
  <c r="F689" i="6"/>
  <c r="F693" i="6"/>
  <c r="F694" i="6"/>
  <c r="F700" i="6"/>
  <c r="K1313" i="6"/>
  <c r="F703" i="6"/>
  <c r="F705" i="6"/>
  <c r="F706" i="6"/>
  <c r="F707" i="6"/>
  <c r="F709" i="6"/>
  <c r="F710" i="6"/>
  <c r="F711" i="6"/>
  <c r="F713" i="6"/>
  <c r="F714" i="6"/>
  <c r="K1319" i="6"/>
  <c r="F715" i="6"/>
  <c r="F716" i="6"/>
  <c r="K1320" i="6"/>
  <c r="F717" i="6"/>
  <c r="K1321" i="6"/>
  <c r="F719" i="6"/>
  <c r="F725" i="6"/>
  <c r="F729" i="6"/>
  <c r="F731" i="6"/>
  <c r="F732" i="6"/>
  <c r="K1328" i="6"/>
  <c r="F733" i="6"/>
  <c r="F734" i="6"/>
  <c r="K1329" i="6"/>
  <c r="F735" i="6"/>
  <c r="K1330" i="6"/>
  <c r="F737" i="6"/>
  <c r="F739" i="6"/>
  <c r="F740" i="6"/>
  <c r="F741" i="6"/>
  <c r="F742" i="6"/>
  <c r="F743" i="6"/>
  <c r="F744" i="6"/>
  <c r="F745" i="6"/>
  <c r="F747" i="6"/>
  <c r="F748" i="6"/>
  <c r="F749" i="6"/>
  <c r="F750" i="6"/>
  <c r="F751" i="6"/>
  <c r="F752" i="6"/>
  <c r="F753" i="6"/>
  <c r="F754" i="6"/>
  <c r="F755" i="6"/>
  <c r="F756" i="6"/>
  <c r="F757" i="6"/>
  <c r="F758" i="6"/>
  <c r="F759" i="6"/>
  <c r="F760" i="6"/>
  <c r="F761" i="6"/>
  <c r="F762" i="6"/>
  <c r="F763" i="6"/>
  <c r="F764" i="6"/>
  <c r="F765" i="6"/>
  <c r="F766" i="6"/>
  <c r="K1345" i="6"/>
  <c r="F767" i="6"/>
  <c r="F768" i="6"/>
  <c r="K1346" i="6"/>
  <c r="F769" i="6"/>
  <c r="K1347" i="6"/>
  <c r="F771" i="6"/>
  <c r="F781" i="6"/>
  <c r="F782" i="6"/>
  <c r="F783" i="6"/>
  <c r="F784" i="6"/>
  <c r="F785" i="6"/>
  <c r="F786" i="6"/>
  <c r="K1355" i="6"/>
  <c r="F787" i="6"/>
  <c r="F788" i="6"/>
  <c r="K1356" i="6"/>
  <c r="F789" i="6"/>
  <c r="K1357" i="6"/>
  <c r="F791" i="6"/>
  <c r="F793" i="6"/>
  <c r="F794" i="6"/>
  <c r="F795" i="6"/>
  <c r="F796" i="6"/>
  <c r="F797" i="6"/>
  <c r="F798" i="6"/>
  <c r="F799" i="6"/>
  <c r="F800" i="6"/>
  <c r="F801" i="6"/>
  <c r="F802" i="6"/>
  <c r="K1363" i="6"/>
  <c r="F803" i="6"/>
  <c r="F804" i="6"/>
  <c r="K1364" i="6"/>
  <c r="F805" i="6"/>
  <c r="K1365" i="6"/>
  <c r="F807" i="6"/>
  <c r="F809" i="6"/>
  <c r="F810" i="6"/>
  <c r="F811" i="6"/>
  <c r="F812" i="6"/>
  <c r="F813" i="6"/>
  <c r="F814" i="6"/>
  <c r="F815" i="6"/>
  <c r="F816" i="6"/>
  <c r="F817" i="6"/>
  <c r="F818" i="6"/>
  <c r="F819" i="6"/>
  <c r="F820" i="6"/>
  <c r="F821" i="6"/>
  <c r="F822" i="6"/>
  <c r="F827" i="6"/>
  <c r="F828" i="6"/>
  <c r="F829" i="6"/>
  <c r="F830" i="6"/>
  <c r="F831" i="6"/>
  <c r="F832" i="6"/>
  <c r="F833" i="6"/>
  <c r="F834" i="6"/>
  <c r="F835" i="6"/>
  <c r="F836" i="6"/>
  <c r="F837" i="6"/>
  <c r="F838" i="6"/>
  <c r="F839" i="6"/>
  <c r="F840" i="6"/>
  <c r="F841" i="6"/>
  <c r="F842" i="6"/>
  <c r="F843" i="6"/>
  <c r="F844" i="6"/>
  <c r="F845" i="6"/>
  <c r="F846" i="6"/>
  <c r="F847" i="6"/>
  <c r="F848" i="6"/>
  <c r="F849" i="6"/>
  <c r="F850" i="6"/>
  <c r="F851" i="6"/>
  <c r="F852" i="6"/>
  <c r="K2200" i="6"/>
  <c r="K2011" i="6"/>
  <c r="J2012" i="6"/>
  <c r="J2013" i="6"/>
  <c r="J2014" i="6"/>
  <c r="J2015" i="6"/>
  <c r="J876" i="6"/>
  <c r="J877" i="6"/>
  <c r="L877" i="6"/>
  <c r="J1700" i="6"/>
  <c r="J1701" i="6"/>
  <c r="M2015" i="6"/>
  <c r="L2015" i="6"/>
  <c r="K2015" i="6"/>
  <c r="J2016" i="6"/>
  <c r="J2017" i="6"/>
  <c r="J2018" i="6"/>
  <c r="J2019" i="6"/>
  <c r="J878" i="6"/>
  <c r="J879" i="6"/>
  <c r="L879" i="6"/>
  <c r="J1702" i="6"/>
  <c r="J1703" i="6"/>
  <c r="M2019" i="6"/>
  <c r="L2019" i="6"/>
  <c r="K2019" i="6"/>
  <c r="J2020" i="6"/>
  <c r="J2021" i="6"/>
  <c r="J880" i="6"/>
  <c r="L880" i="6"/>
  <c r="J1704" i="6"/>
  <c r="M2021" i="6"/>
  <c r="L2021" i="6"/>
  <c r="F2201" i="6"/>
  <c r="M2201" i="6"/>
  <c r="K2201" i="6"/>
  <c r="K2021" i="6"/>
  <c r="J2022" i="6"/>
  <c r="J2023" i="6"/>
  <c r="J881" i="6"/>
  <c r="L881" i="6"/>
  <c r="J1705" i="6"/>
  <c r="M2023" i="6"/>
  <c r="L2023" i="6"/>
  <c r="K2023" i="6"/>
  <c r="J2024" i="6"/>
  <c r="J2025" i="6"/>
  <c r="J882" i="6"/>
  <c r="J883" i="6"/>
  <c r="L883" i="6"/>
  <c r="J1706" i="6"/>
  <c r="J1707" i="6"/>
  <c r="M2025" i="6"/>
  <c r="L2025" i="6"/>
  <c r="K2025" i="6"/>
  <c r="J2026" i="6"/>
  <c r="J884" i="6"/>
  <c r="L884" i="6"/>
  <c r="J1708" i="6"/>
  <c r="M2026" i="6"/>
  <c r="L2026" i="6"/>
  <c r="K2026" i="6"/>
  <c r="J2027" i="6"/>
  <c r="J2028" i="6"/>
  <c r="J2029" i="6"/>
  <c r="J2030" i="6"/>
  <c r="J885" i="6"/>
  <c r="J886" i="6"/>
  <c r="L886" i="6"/>
  <c r="J1709" i="6"/>
  <c r="J1710" i="6"/>
  <c r="M2030" i="6"/>
  <c r="L2030" i="6"/>
  <c r="F2202" i="6"/>
  <c r="M2202" i="6"/>
  <c r="K2202" i="6"/>
  <c r="K2030" i="6"/>
  <c r="J2031" i="6"/>
  <c r="J2032" i="6"/>
  <c r="J2033" i="6"/>
  <c r="J887" i="6"/>
  <c r="L888" i="6"/>
  <c r="J1711" i="6"/>
  <c r="M2034" i="6"/>
  <c r="L2034" i="6"/>
  <c r="K2203" i="6"/>
  <c r="K2034" i="6"/>
  <c r="J2036" i="6"/>
  <c r="J890" i="6"/>
  <c r="L890" i="6"/>
  <c r="J1714" i="6"/>
  <c r="M2036" i="6"/>
  <c r="L2036" i="6"/>
  <c r="K2036" i="6"/>
  <c r="J2037" i="6"/>
  <c r="J2038" i="6"/>
  <c r="J2039" i="6"/>
  <c r="J2040" i="6"/>
  <c r="J891" i="6"/>
  <c r="J892" i="6"/>
  <c r="L892" i="6"/>
  <c r="J1715" i="6"/>
  <c r="J1716" i="6"/>
  <c r="M2040" i="6"/>
  <c r="L2040" i="6"/>
  <c r="K2040" i="6"/>
  <c r="J2041" i="6"/>
  <c r="L893" i="6"/>
  <c r="M2042" i="6"/>
  <c r="L2042" i="6"/>
  <c r="K2042" i="6"/>
  <c r="J2043" i="6"/>
  <c r="J894" i="6"/>
  <c r="L894" i="6"/>
  <c r="J1718" i="6"/>
  <c r="M2043" i="6"/>
  <c r="L2043" i="6"/>
  <c r="F2204" i="6"/>
  <c r="M2204" i="6"/>
  <c r="K2204" i="6"/>
  <c r="K2043" i="6"/>
  <c r="J2044" i="6"/>
  <c r="J2045" i="6"/>
  <c r="J895" i="6"/>
  <c r="L895" i="6"/>
  <c r="J1719" i="6"/>
  <c r="M2045" i="6"/>
  <c r="L2045" i="6"/>
  <c r="K2045" i="6"/>
  <c r="J2046" i="6"/>
  <c r="L896" i="6"/>
  <c r="M2047" i="6"/>
  <c r="L2047" i="6"/>
  <c r="K2047" i="6"/>
  <c r="J2048" i="6"/>
  <c r="J897" i="6"/>
  <c r="L897" i="6"/>
  <c r="J1721" i="6"/>
  <c r="M2048" i="6"/>
  <c r="L2048" i="6"/>
  <c r="K2048" i="6"/>
  <c r="J2049" i="6"/>
  <c r="J2050" i="6"/>
  <c r="J2051" i="6"/>
  <c r="J2052" i="6"/>
  <c r="J898" i="6"/>
  <c r="J899" i="6"/>
  <c r="L899" i="6"/>
  <c r="J1722" i="6"/>
  <c r="J1723" i="6"/>
  <c r="M2052" i="6"/>
  <c r="L2052" i="6"/>
  <c r="K2052" i="6"/>
  <c r="J2053" i="6"/>
  <c r="L900" i="6"/>
  <c r="M2054" i="6"/>
  <c r="L2054" i="6"/>
  <c r="K2054" i="6"/>
  <c r="J2055" i="6"/>
  <c r="J901" i="6"/>
  <c r="L901" i="6"/>
  <c r="J1725" i="6"/>
  <c r="M2055" i="6"/>
  <c r="L2055" i="6"/>
  <c r="F2205" i="6"/>
  <c r="M2205" i="6"/>
  <c r="K2205" i="6"/>
  <c r="K2055" i="6"/>
  <c r="J2056" i="6"/>
  <c r="J2057" i="6"/>
  <c r="J902" i="6"/>
  <c r="L902" i="6"/>
  <c r="J1726" i="6"/>
  <c r="M2057" i="6"/>
  <c r="L2057" i="6"/>
  <c r="K2057" i="6"/>
  <c r="J2058" i="6"/>
  <c r="J2059" i="6"/>
  <c r="J903" i="6"/>
  <c r="L903" i="6"/>
  <c r="J1727" i="6"/>
  <c r="M2059" i="6"/>
  <c r="L2059" i="6"/>
  <c r="F2206" i="6"/>
  <c r="M2206" i="6"/>
  <c r="K2206" i="6"/>
  <c r="K2059" i="6"/>
  <c r="J2060" i="6"/>
  <c r="J2061" i="6"/>
  <c r="J904" i="6"/>
  <c r="L904" i="6"/>
  <c r="J1728" i="6"/>
  <c r="M2061" i="6"/>
  <c r="L2061" i="6"/>
  <c r="K2061" i="6"/>
  <c r="J2062" i="6"/>
  <c r="J2063" i="6"/>
  <c r="J905" i="6"/>
  <c r="L905" i="6"/>
  <c r="J1729" i="6"/>
  <c r="M2063" i="6"/>
  <c r="L2063" i="6"/>
  <c r="F2207" i="6"/>
  <c r="M2207" i="6"/>
  <c r="K2207" i="6"/>
  <c r="K2063" i="6"/>
  <c r="J2064" i="6"/>
  <c r="J2065" i="6"/>
  <c r="J906" i="6"/>
  <c r="L906" i="6"/>
  <c r="J1730" i="6"/>
  <c r="M2065" i="6"/>
  <c r="L2065" i="6"/>
  <c r="K2065" i="6"/>
  <c r="J2066" i="6"/>
  <c r="J2067" i="6"/>
  <c r="J2068" i="6"/>
  <c r="J2069" i="6"/>
  <c r="J907" i="6"/>
  <c r="J908" i="6"/>
  <c r="L908" i="6"/>
  <c r="J1731" i="6"/>
  <c r="J1732" i="6"/>
  <c r="M2069" i="6"/>
  <c r="L2069" i="6"/>
  <c r="F2208" i="6"/>
  <c r="M2208" i="6"/>
  <c r="K2208" i="6"/>
  <c r="K2069" i="6"/>
  <c r="J2070" i="6"/>
  <c r="J2071" i="6"/>
  <c r="J2072" i="6"/>
  <c r="J909" i="6"/>
  <c r="L910" i="6"/>
  <c r="J1733" i="6"/>
  <c r="M2073" i="6"/>
  <c r="L2073" i="6"/>
  <c r="K2216" i="6"/>
  <c r="K2073" i="6"/>
  <c r="J2075" i="6"/>
  <c r="J912" i="6"/>
  <c r="L912" i="6"/>
  <c r="J1736" i="6"/>
  <c r="M2075" i="6"/>
  <c r="L2075" i="6"/>
  <c r="K2075" i="6"/>
  <c r="J2076" i="6"/>
  <c r="J913" i="6"/>
  <c r="J914" i="6"/>
  <c r="J915" i="6"/>
  <c r="J916" i="6"/>
  <c r="L874" i="6"/>
  <c r="L876" i="6"/>
  <c r="L878" i="6"/>
  <c r="L882" i="6"/>
  <c r="L885" i="6"/>
  <c r="L887" i="6"/>
  <c r="L889" i="6"/>
  <c r="L891" i="6"/>
  <c r="L898" i="6"/>
  <c r="L907" i="6"/>
  <c r="L909" i="6"/>
  <c r="L911" i="6"/>
  <c r="L913" i="6"/>
  <c r="L914" i="6"/>
  <c r="L915" i="6"/>
  <c r="L916" i="6"/>
  <c r="J917" i="6"/>
  <c r="L917" i="6"/>
  <c r="J918" i="6"/>
  <c r="L918" i="6"/>
  <c r="J919" i="6"/>
  <c r="L919" i="6"/>
  <c r="J920" i="6"/>
  <c r="L920" i="6"/>
  <c r="J921" i="6"/>
  <c r="L921" i="6"/>
  <c r="J922" i="6"/>
  <c r="L922" i="6"/>
  <c r="J923" i="6"/>
  <c r="L923" i="6"/>
  <c r="J924" i="6"/>
  <c r="L924" i="6"/>
  <c r="J925" i="6"/>
  <c r="L925" i="6"/>
  <c r="J926" i="6"/>
  <c r="L926" i="6"/>
  <c r="J927" i="6"/>
  <c r="L927" i="6"/>
  <c r="J928" i="6"/>
  <c r="L928" i="6"/>
  <c r="J929" i="6"/>
  <c r="L929" i="6"/>
  <c r="J930" i="6"/>
  <c r="L930" i="6"/>
  <c r="J931" i="6"/>
  <c r="L931" i="6"/>
  <c r="J932" i="6"/>
  <c r="L932" i="6"/>
  <c r="J933" i="6"/>
  <c r="L933" i="6"/>
  <c r="J934" i="6"/>
  <c r="L934" i="6"/>
  <c r="L936" i="6"/>
  <c r="J937" i="6"/>
  <c r="L937" i="6"/>
  <c r="J938" i="6"/>
  <c r="L938" i="6"/>
  <c r="J939" i="6"/>
  <c r="L939" i="6"/>
  <c r="J940" i="6"/>
  <c r="L940" i="6"/>
  <c r="J941" i="6"/>
  <c r="L941" i="6"/>
  <c r="J942" i="6"/>
  <c r="L942" i="6"/>
  <c r="J943" i="6"/>
  <c r="L943" i="6"/>
  <c r="J944" i="6"/>
  <c r="L944" i="6"/>
  <c r="J945" i="6"/>
  <c r="L945" i="6"/>
  <c r="J946" i="6"/>
  <c r="L946" i="6"/>
  <c r="J947" i="6"/>
  <c r="L947" i="6"/>
  <c r="J948" i="6"/>
  <c r="L948" i="6"/>
  <c r="J949" i="6"/>
  <c r="L949" i="6"/>
  <c r="J950" i="6"/>
  <c r="L950" i="6"/>
  <c r="J951" i="6"/>
  <c r="L951" i="6"/>
  <c r="J952" i="6"/>
  <c r="L952" i="6"/>
  <c r="J953" i="6"/>
  <c r="L953" i="6"/>
  <c r="J954" i="6"/>
  <c r="L954" i="6"/>
  <c r="J955" i="6"/>
  <c r="L955" i="6"/>
  <c r="J956" i="6"/>
  <c r="L956" i="6"/>
  <c r="J957" i="6"/>
  <c r="L957" i="6"/>
  <c r="J958" i="6"/>
  <c r="L958" i="6"/>
  <c r="J959" i="6"/>
  <c r="L959" i="6"/>
  <c r="J960" i="6"/>
  <c r="L960" i="6"/>
  <c r="J961" i="6"/>
  <c r="L961" i="6"/>
  <c r="J962" i="6"/>
  <c r="L962" i="6"/>
  <c r="J963" i="6"/>
  <c r="L963" i="6"/>
  <c r="J964" i="6"/>
  <c r="L964" i="6"/>
  <c r="J965" i="6"/>
  <c r="L965" i="6"/>
  <c r="J966" i="6"/>
  <c r="L966" i="6"/>
  <c r="J967" i="6"/>
  <c r="L967" i="6"/>
  <c r="J968" i="6"/>
  <c r="L968" i="6"/>
  <c r="J969" i="6"/>
  <c r="L969" i="6"/>
  <c r="J970" i="6"/>
  <c r="L970" i="6"/>
  <c r="J971" i="6"/>
  <c r="L971" i="6"/>
  <c r="J972" i="6"/>
  <c r="L972" i="6"/>
  <c r="J973" i="6"/>
  <c r="L973" i="6"/>
  <c r="J974" i="6"/>
  <c r="L974" i="6"/>
  <c r="L975" i="6"/>
  <c r="M2077" i="6"/>
  <c r="L2077" i="6"/>
  <c r="K2077" i="6"/>
  <c r="J2078" i="6"/>
  <c r="J1738" i="6"/>
  <c r="M2078" i="6"/>
  <c r="L2078" i="6"/>
  <c r="F2210" i="6"/>
  <c r="M2210" i="6"/>
  <c r="K2210" i="6"/>
  <c r="K2078" i="6"/>
  <c r="J2079" i="6"/>
  <c r="J2080" i="6"/>
  <c r="J1739" i="6"/>
  <c r="M2080" i="6"/>
  <c r="L2080" i="6"/>
  <c r="K2080" i="6"/>
  <c r="J2081" i="6"/>
  <c r="J2082" i="6"/>
  <c r="J2083" i="6"/>
  <c r="J2084" i="6"/>
  <c r="J1740" i="6"/>
  <c r="J1741" i="6"/>
  <c r="M2084" i="6"/>
  <c r="L2084" i="6"/>
  <c r="F2211" i="6"/>
  <c r="M2211" i="6"/>
  <c r="K2211" i="6"/>
  <c r="K2084" i="6"/>
  <c r="J2085" i="6"/>
  <c r="J2086" i="6"/>
  <c r="J2087" i="6"/>
  <c r="J2088" i="6"/>
  <c r="J1742" i="6"/>
  <c r="J1743" i="6"/>
  <c r="M2088" i="6"/>
  <c r="L2088" i="6"/>
  <c r="K2088" i="6"/>
  <c r="J2089" i="6"/>
  <c r="J2090" i="6"/>
  <c r="J2091" i="6"/>
  <c r="J2092" i="6"/>
  <c r="J1744" i="6"/>
  <c r="J1745" i="6"/>
  <c r="M2092" i="6"/>
  <c r="L2092" i="6"/>
  <c r="K2092" i="6"/>
  <c r="J2093" i="6"/>
  <c r="J2094" i="6"/>
  <c r="J1746" i="6"/>
  <c r="M2094" i="6"/>
  <c r="L2094" i="6"/>
  <c r="F2212" i="6"/>
  <c r="M2212" i="6"/>
  <c r="K2212" i="6"/>
  <c r="K2094" i="6"/>
  <c r="J2095" i="6"/>
  <c r="J2096" i="6"/>
  <c r="J1747" i="6"/>
  <c r="M2096" i="6"/>
  <c r="L2096" i="6"/>
  <c r="K2096" i="6"/>
  <c r="J2097" i="6"/>
  <c r="J2098" i="6"/>
  <c r="J2099" i="6"/>
  <c r="J2100" i="6"/>
  <c r="J1748" i="6"/>
  <c r="J1749" i="6"/>
  <c r="M2100" i="6"/>
  <c r="L2100" i="6"/>
  <c r="K2100" i="6"/>
  <c r="J2101" i="6"/>
  <c r="J2102" i="6"/>
  <c r="J1750" i="6"/>
  <c r="M2102" i="6"/>
  <c r="L2102" i="6"/>
  <c r="K2102" i="6"/>
  <c r="J2103" i="6"/>
  <c r="J2104" i="6"/>
  <c r="J2105" i="6"/>
  <c r="J2106" i="6"/>
  <c r="J1751" i="6"/>
  <c r="J1752" i="6"/>
  <c r="M2106" i="6"/>
  <c r="L2106" i="6"/>
  <c r="K2106" i="6"/>
  <c r="J2107" i="6"/>
  <c r="J2108" i="6"/>
  <c r="J1753" i="6"/>
  <c r="M2108" i="6"/>
  <c r="L2108" i="6"/>
  <c r="K2108" i="6"/>
  <c r="J2109" i="6"/>
  <c r="J2110" i="6"/>
  <c r="J2111" i="6"/>
  <c r="J2112" i="6"/>
  <c r="J1754" i="6"/>
  <c r="J1755" i="6"/>
  <c r="M2112" i="6"/>
  <c r="L2112" i="6"/>
  <c r="K2112" i="6"/>
  <c r="J2113" i="6"/>
  <c r="J2114" i="6"/>
  <c r="J1756" i="6"/>
  <c r="M2114" i="6"/>
  <c r="L2114" i="6"/>
  <c r="K2114" i="6"/>
  <c r="J2115" i="6"/>
  <c r="J2116" i="6"/>
  <c r="J2117" i="6"/>
  <c r="J2118" i="6"/>
  <c r="J1757" i="6"/>
  <c r="J1758" i="6"/>
  <c r="M2118" i="6"/>
  <c r="L2118" i="6"/>
  <c r="F2213" i="6"/>
  <c r="M2213" i="6"/>
  <c r="K2213" i="6"/>
  <c r="K2118" i="6"/>
  <c r="J2119" i="6"/>
  <c r="J2120" i="6"/>
  <c r="J2121" i="6"/>
  <c r="J1759" i="6"/>
  <c r="M2122" i="6"/>
  <c r="L2122" i="6"/>
  <c r="K2209" i="6"/>
  <c r="K2122" i="6"/>
  <c r="J2124" i="6"/>
  <c r="J1762" i="6"/>
  <c r="M2124" i="6"/>
  <c r="L2124" i="6"/>
  <c r="K2124" i="6"/>
  <c r="J2125" i="6"/>
  <c r="J2126" i="6"/>
  <c r="J2127" i="6"/>
  <c r="J2128" i="6"/>
  <c r="J1763" i="6"/>
  <c r="J1764" i="6"/>
  <c r="M2128" i="6"/>
  <c r="L2128" i="6"/>
  <c r="K2128" i="6"/>
  <c r="J2129" i="6"/>
  <c r="J2130" i="6"/>
  <c r="J2131" i="6"/>
  <c r="J2132" i="6"/>
  <c r="J1765" i="6"/>
  <c r="J1766" i="6"/>
  <c r="M2132" i="6"/>
  <c r="L2132" i="6"/>
  <c r="K2132" i="6"/>
  <c r="J2133" i="6"/>
  <c r="J2134" i="6"/>
  <c r="J2135" i="6"/>
  <c r="J2136" i="6"/>
  <c r="J1767" i="6"/>
  <c r="J1768" i="6"/>
  <c r="M2136" i="6"/>
  <c r="L2136" i="6"/>
  <c r="F2214" i="6"/>
  <c r="M2214" i="6"/>
  <c r="K2214" i="6"/>
  <c r="K2136" i="6"/>
  <c r="J2137" i="6"/>
  <c r="J2138" i="6"/>
  <c r="J2139" i="6"/>
  <c r="J2140" i="6"/>
  <c r="J1769" i="6"/>
  <c r="J1770" i="6"/>
  <c r="M2140" i="6"/>
  <c r="L2140" i="6"/>
  <c r="K2140" i="6"/>
  <c r="J2141" i="6"/>
  <c r="J2142" i="6"/>
  <c r="J2143" i="6"/>
  <c r="J2144" i="6"/>
  <c r="J1771" i="6"/>
  <c r="J1772" i="6"/>
  <c r="M2144" i="6"/>
  <c r="L2144" i="6"/>
  <c r="K2144" i="6"/>
  <c r="J2145" i="6"/>
  <c r="J2146" i="6"/>
  <c r="J2147" i="6"/>
  <c r="J2148" i="6"/>
  <c r="J1773" i="6"/>
  <c r="J1774" i="6"/>
  <c r="M2148" i="6"/>
  <c r="L2148" i="6"/>
  <c r="K2148" i="6"/>
  <c r="J2149" i="6"/>
  <c r="J2150" i="6"/>
  <c r="J2151" i="6"/>
  <c r="J2152" i="6"/>
  <c r="J1775" i="6"/>
  <c r="J1776" i="6"/>
  <c r="M2152" i="6"/>
  <c r="L2152" i="6"/>
  <c r="F2215" i="6"/>
  <c r="M2215" i="6"/>
  <c r="K2215" i="6"/>
  <c r="K2152" i="6"/>
  <c r="J2153" i="6"/>
  <c r="J2154" i="6"/>
  <c r="J2155" i="6"/>
  <c r="J2156" i="6"/>
  <c r="J1777" i="6"/>
  <c r="J1778" i="6"/>
  <c r="M2156" i="6"/>
  <c r="L2156" i="6"/>
  <c r="K2156" i="6"/>
  <c r="J2157" i="6"/>
  <c r="J2158" i="6"/>
  <c r="J2159" i="6"/>
  <c r="J2160" i="6"/>
  <c r="J1779" i="6"/>
  <c r="J1780" i="6"/>
  <c r="M2160" i="6"/>
  <c r="L2160" i="6"/>
  <c r="K2160" i="6"/>
  <c r="J2161" i="6"/>
  <c r="J2162" i="6"/>
  <c r="J2163" i="6"/>
  <c r="J2164" i="6"/>
  <c r="J1781" i="6"/>
  <c r="J1782" i="6"/>
  <c r="M2164" i="6"/>
  <c r="L2164" i="6"/>
  <c r="K2164" i="6"/>
  <c r="J2165" i="6"/>
  <c r="J2166" i="6"/>
  <c r="J2167" i="6"/>
  <c r="J2168" i="6"/>
  <c r="J1783" i="6"/>
  <c r="J1784" i="6"/>
  <c r="M2168" i="6"/>
  <c r="L2168" i="6"/>
  <c r="K2168" i="6"/>
  <c r="J2169" i="6"/>
  <c r="J2170" i="6"/>
  <c r="J1785" i="6"/>
  <c r="M2170" i="6"/>
  <c r="L2170" i="6"/>
  <c r="K2170" i="6"/>
  <c r="J2171" i="6"/>
  <c r="J2172" i="6"/>
  <c r="J2173" i="6"/>
  <c r="J2174" i="6"/>
  <c r="J1786" i="6"/>
  <c r="J1787" i="6"/>
  <c r="M2174" i="6"/>
  <c r="L2174" i="6"/>
  <c r="K2174" i="6"/>
  <c r="J2175" i="6"/>
  <c r="J2176" i="6"/>
  <c r="J2177" i="6"/>
  <c r="J2178" i="6"/>
  <c r="J1788" i="6"/>
  <c r="J1789" i="6"/>
  <c r="M2178" i="6"/>
  <c r="L2178" i="6"/>
  <c r="K2178" i="6"/>
  <c r="J2179" i="6"/>
  <c r="J2180" i="6"/>
  <c r="J2181" i="6"/>
  <c r="J2182" i="6"/>
  <c r="J1790" i="6"/>
  <c r="J1791" i="6"/>
  <c r="M2182" i="6"/>
  <c r="L2182" i="6"/>
  <c r="K2182" i="6"/>
  <c r="J2183" i="6"/>
  <c r="J2184" i="6"/>
  <c r="J1792" i="6"/>
  <c r="M2184" i="6"/>
  <c r="L2184" i="6"/>
  <c r="K2184" i="6"/>
  <c r="J2185" i="6"/>
  <c r="J2186" i="6"/>
  <c r="J1793" i="6"/>
  <c r="M2186" i="6"/>
  <c r="L2186" i="6"/>
  <c r="K2186" i="6"/>
  <c r="J2187" i="6"/>
  <c r="J2188" i="6"/>
  <c r="J2189" i="6"/>
  <c r="J2190" i="6"/>
  <c r="J1794" i="6"/>
  <c r="J1795" i="6"/>
  <c r="M2190" i="6"/>
  <c r="L2190" i="6"/>
  <c r="K2190" i="6"/>
  <c r="J2191" i="6"/>
  <c r="J2192" i="6"/>
  <c r="J1796" i="6"/>
  <c r="M2192" i="6"/>
  <c r="L2192" i="6"/>
  <c r="K2192" i="6"/>
  <c r="J2193" i="6"/>
  <c r="J2194" i="6"/>
  <c r="J1797" i="6"/>
  <c r="M2194" i="6"/>
  <c r="L2194" i="6"/>
  <c r="K2194" i="6"/>
  <c r="J2195" i="6"/>
  <c r="J2196" i="6"/>
  <c r="J1798" i="6"/>
  <c r="M2196" i="6"/>
  <c r="L2196" i="6"/>
  <c r="K2196" i="6"/>
  <c r="J2197" i="6"/>
  <c r="J2198" i="6"/>
  <c r="J1799" i="6"/>
  <c r="M2198" i="6"/>
  <c r="L2198" i="6"/>
  <c r="K2198" i="6"/>
  <c r="J2199" i="6"/>
  <c r="M2199" i="6"/>
  <c r="L2199" i="6"/>
  <c r="K2199" i="6"/>
  <c r="K772" i="6"/>
  <c r="AB96" i="15"/>
  <c r="DJ772" i="6"/>
  <c r="K773" i="6"/>
  <c r="DJ773" i="6"/>
  <c r="K774" i="6"/>
  <c r="DJ774" i="6"/>
  <c r="K775" i="6"/>
  <c r="DJ775" i="6"/>
  <c r="DG772" i="6"/>
  <c r="AA96" i="15"/>
  <c r="X96" i="15"/>
  <c r="Z96" i="15" s="1"/>
  <c r="H772" i="6"/>
  <c r="I772" i="6"/>
  <c r="Q96" i="15"/>
  <c r="H96" i="15"/>
  <c r="G96" i="15"/>
  <c r="C96" i="15"/>
  <c r="B96" i="15"/>
  <c r="A96" i="15" s="1"/>
  <c r="AZ96" i="15" s="1"/>
  <c r="M99" i="15"/>
  <c r="K73" i="15"/>
  <c r="BC73" i="15"/>
  <c r="BH73" i="15" s="1"/>
  <c r="N99" i="15"/>
  <c r="L73" i="15"/>
  <c r="BD73" i="15"/>
  <c r="K99" i="15"/>
  <c r="BA73" i="15"/>
  <c r="L99" i="15"/>
  <c r="BB73" i="15" s="1"/>
  <c r="BB99" i="15" s="1"/>
  <c r="BG99" i="15" s="1"/>
  <c r="AX96" i="15"/>
  <c r="AI19" i="15"/>
  <c r="AI20" i="15"/>
  <c r="AI21" i="15" s="1"/>
  <c r="AI22" i="15" s="1"/>
  <c r="AI23" i="15" s="1"/>
  <c r="AI24" i="15" s="1"/>
  <c r="AI25" i="15" s="1"/>
  <c r="AI26" i="15" s="1"/>
  <c r="AI27" i="15" s="1"/>
  <c r="AI28" i="15" s="1"/>
  <c r="AI29" i="15" s="1"/>
  <c r="AI30" i="15" s="1"/>
  <c r="AI31" i="15" s="1"/>
  <c r="AI32" i="15" s="1"/>
  <c r="AI33" i="15" s="1"/>
  <c r="AI34" i="15" s="1"/>
  <c r="AI35" i="15" s="1"/>
  <c r="AI36" i="15" s="1"/>
  <c r="AI37" i="15" s="1"/>
  <c r="AI38" i="15" s="1"/>
  <c r="AI39" i="15" s="1"/>
  <c r="AI40" i="15" s="1"/>
  <c r="AI41" i="15" s="1"/>
  <c r="AI42" i="15" s="1"/>
  <c r="AI43" i="15" s="1"/>
  <c r="AI44" i="15" s="1"/>
  <c r="AI45" i="15" s="1"/>
  <c r="AI46" i="15" s="1"/>
  <c r="AI47" i="15" s="1"/>
  <c r="AI48" i="15" s="1"/>
  <c r="AI49" i="15" s="1"/>
  <c r="AI50" i="15" s="1"/>
  <c r="AI51" i="15" s="1"/>
  <c r="AI52" i="15" s="1"/>
  <c r="AI53" i="15" s="1"/>
  <c r="AI54" i="15" s="1"/>
  <c r="AI55" i="15" s="1"/>
  <c r="AI56" i="15" s="1"/>
  <c r="AI57" i="15" s="1"/>
  <c r="AI58" i="15" s="1"/>
  <c r="AC96" i="15"/>
  <c r="G59" i="15"/>
  <c r="J668" i="6"/>
  <c r="DH668" i="6"/>
  <c r="DI668" i="6"/>
  <c r="AF59" i="15"/>
  <c r="H668" i="6"/>
  <c r="I668" i="6"/>
  <c r="R59" i="15"/>
  <c r="D59" i="15"/>
  <c r="L667" i="6"/>
  <c r="AJ59" i="15"/>
  <c r="J667" i="6"/>
  <c r="DH667" i="6"/>
  <c r="DI667" i="6"/>
  <c r="AE59" i="15"/>
  <c r="AC59" i="15" s="1"/>
  <c r="K667" i="6"/>
  <c r="AB59" i="15"/>
  <c r="DJ667" i="6"/>
  <c r="K668" i="6"/>
  <c r="DJ668" i="6"/>
  <c r="DG667" i="6"/>
  <c r="AA59" i="15"/>
  <c r="X59" i="15"/>
  <c r="Z59" i="15" s="1"/>
  <c r="H667" i="6"/>
  <c r="I667" i="6"/>
  <c r="Q59" i="15"/>
  <c r="H59" i="15"/>
  <c r="C59" i="15"/>
  <c r="B59" i="15"/>
  <c r="A59" i="15" s="1"/>
  <c r="AZ59" i="15" s="1"/>
  <c r="AX59" i="15"/>
  <c r="AD59" i="15"/>
  <c r="O59" i="15"/>
  <c r="P59" i="15"/>
  <c r="J59" i="15"/>
  <c r="I59" i="15"/>
  <c r="J728" i="6"/>
  <c r="DH728" i="6"/>
  <c r="DI728" i="6"/>
  <c r="AF81" i="15"/>
  <c r="H728" i="6"/>
  <c r="I728" i="6"/>
  <c r="R81" i="15"/>
  <c r="O81" i="15" s="1"/>
  <c r="D81" i="15"/>
  <c r="L727" i="6"/>
  <c r="AJ81" i="15"/>
  <c r="J727" i="6"/>
  <c r="DH727" i="6"/>
  <c r="DI727" i="6"/>
  <c r="AE81" i="15"/>
  <c r="K727" i="6"/>
  <c r="AB81" i="15"/>
  <c r="DJ727" i="6"/>
  <c r="K728" i="6"/>
  <c r="DJ728" i="6"/>
  <c r="DG727" i="6"/>
  <c r="AA81" i="15"/>
  <c r="X81" i="15"/>
  <c r="Z81" i="15" s="1"/>
  <c r="H727" i="6"/>
  <c r="I727" i="6"/>
  <c r="Q81" i="15"/>
  <c r="H81" i="15"/>
  <c r="G81" i="15"/>
  <c r="C81" i="15"/>
  <c r="B81" i="15"/>
  <c r="A81" i="15" s="1"/>
  <c r="AZ81" i="15" s="1"/>
  <c r="M78" i="15"/>
  <c r="K82" i="15"/>
  <c r="BC78" i="15"/>
  <c r="N78" i="15"/>
  <c r="L82" i="15"/>
  <c r="BB78" i="15" s="1"/>
  <c r="BB82" i="15" s="1"/>
  <c r="BD78" i="15"/>
  <c r="BI78" i="15" s="1"/>
  <c r="K78" i="15"/>
  <c r="BA78" i="15"/>
  <c r="L78" i="15"/>
  <c r="AX81" i="15"/>
  <c r="AD81" i="15"/>
  <c r="AC81" i="15"/>
  <c r="P81" i="15"/>
  <c r="J81" i="15"/>
  <c r="I81" i="15"/>
  <c r="J724" i="6"/>
  <c r="DH724" i="6"/>
  <c r="DI724" i="6"/>
  <c r="AH79" i="15"/>
  <c r="H724" i="6"/>
  <c r="I724" i="6"/>
  <c r="T79" i="15"/>
  <c r="F79" i="15"/>
  <c r="J723" i="6"/>
  <c r="DH723" i="6"/>
  <c r="DI723" i="6"/>
  <c r="AG79" i="15"/>
  <c r="Y79" i="15"/>
  <c r="H723" i="6"/>
  <c r="I723" i="6"/>
  <c r="S79" i="15"/>
  <c r="P79" i="15" s="1"/>
  <c r="E79" i="15"/>
  <c r="J722" i="6"/>
  <c r="DH722" i="6"/>
  <c r="DI722" i="6"/>
  <c r="AF79" i="15"/>
  <c r="H722" i="6"/>
  <c r="I722" i="6"/>
  <c r="R79" i="15"/>
  <c r="D79" i="15"/>
  <c r="L721" i="6"/>
  <c r="AJ79" i="15"/>
  <c r="J721" i="6"/>
  <c r="DH721" i="6"/>
  <c r="DI721" i="6"/>
  <c r="AE79" i="15"/>
  <c r="AC79" i="15" s="1"/>
  <c r="K721" i="6"/>
  <c r="AB79" i="15"/>
  <c r="DJ721" i="6"/>
  <c r="K722" i="6"/>
  <c r="DJ722" i="6"/>
  <c r="K723" i="6"/>
  <c r="DJ723" i="6"/>
  <c r="K724" i="6"/>
  <c r="DJ724" i="6"/>
  <c r="DG721" i="6"/>
  <c r="AA79" i="15"/>
  <c r="X79" i="15"/>
  <c r="H721" i="6"/>
  <c r="I721" i="6"/>
  <c r="Q79" i="15"/>
  <c r="O79" i="15" s="1"/>
  <c r="H79" i="15"/>
  <c r="G79" i="15"/>
  <c r="AX79" i="15" s="1"/>
  <c r="C79" i="15"/>
  <c r="B79" i="15"/>
  <c r="A79" i="15" s="1"/>
  <c r="AZ79" i="15" s="1"/>
  <c r="K83" i="15"/>
  <c r="L83" i="15"/>
  <c r="AD79" i="15"/>
  <c r="Z79" i="15"/>
  <c r="I79" i="15"/>
  <c r="J702" i="6"/>
  <c r="DH702" i="6"/>
  <c r="DI702" i="6"/>
  <c r="AF71" i="15"/>
  <c r="H702" i="6"/>
  <c r="I702" i="6"/>
  <c r="R71" i="15"/>
  <c r="O71" i="15" s="1"/>
  <c r="L701" i="6"/>
  <c r="AJ71" i="15"/>
  <c r="J701" i="6"/>
  <c r="DH701" i="6"/>
  <c r="DI701" i="6"/>
  <c r="AE71" i="15"/>
  <c r="K701" i="6"/>
  <c r="AB71" i="15"/>
  <c r="DJ701" i="6"/>
  <c r="K702" i="6"/>
  <c r="DJ702" i="6"/>
  <c r="DG701" i="6"/>
  <c r="AA71" i="15"/>
  <c r="X71" i="15"/>
  <c r="Z71" i="15" s="1"/>
  <c r="H701" i="6"/>
  <c r="I701" i="6"/>
  <c r="Q71" i="15"/>
  <c r="H71" i="15"/>
  <c r="G71" i="15"/>
  <c r="AX71" i="15" s="1"/>
  <c r="D71" i="15"/>
  <c r="C71" i="15"/>
  <c r="B71" i="15"/>
  <c r="A71" i="15" s="1"/>
  <c r="AZ71" i="15" s="1"/>
  <c r="M95" i="15"/>
  <c r="N95" i="15"/>
  <c r="K95" i="15"/>
  <c r="L95" i="15"/>
  <c r="AD71" i="15"/>
  <c r="AC71" i="15"/>
  <c r="P71" i="15"/>
  <c r="J71" i="15"/>
  <c r="I71" i="15"/>
  <c r="L693" i="6"/>
  <c r="AJ68" i="15"/>
  <c r="J694" i="6"/>
  <c r="DH694" i="6"/>
  <c r="DI694" i="6"/>
  <c r="AF68" i="15"/>
  <c r="J693" i="6"/>
  <c r="DH693" i="6"/>
  <c r="DI693" i="6"/>
  <c r="AE68" i="15"/>
  <c r="K693" i="6"/>
  <c r="AB68" i="15"/>
  <c r="DJ693" i="6"/>
  <c r="K694" i="6"/>
  <c r="DJ694" i="6"/>
  <c r="DG693" i="6"/>
  <c r="AA68" i="15"/>
  <c r="X68" i="15"/>
  <c r="H694" i="6"/>
  <c r="I694" i="6"/>
  <c r="R68" i="15"/>
  <c r="H693" i="6"/>
  <c r="I693" i="6"/>
  <c r="Q68" i="15"/>
  <c r="L68" i="15"/>
  <c r="I68" i="15" s="1"/>
  <c r="K68" i="15"/>
  <c r="H68" i="15"/>
  <c r="G68" i="15"/>
  <c r="AX68" i="15" s="1"/>
  <c r="D68" i="15"/>
  <c r="C68" i="15"/>
  <c r="B68" i="15"/>
  <c r="A68" i="15" s="1"/>
  <c r="AZ68" i="15" s="1"/>
  <c r="M60" i="15"/>
  <c r="BC60" i="15" s="1"/>
  <c r="BC64" i="15" s="1"/>
  <c r="BH64" i="15" s="1"/>
  <c r="K64" i="15"/>
  <c r="N60" i="15"/>
  <c r="BD60" i="15" s="1"/>
  <c r="BD64" i="15" s="1"/>
  <c r="L64" i="15"/>
  <c r="K60" i="15"/>
  <c r="BA60" i="15" s="1"/>
  <c r="BA64" i="15" s="1"/>
  <c r="L60" i="15"/>
  <c r="BB60" i="15" s="1"/>
  <c r="BB64" i="15" s="1"/>
  <c r="BG64" i="15" s="1"/>
  <c r="AD68" i="15"/>
  <c r="AC68" i="15"/>
  <c r="Z68" i="15"/>
  <c r="O68" i="15"/>
  <c r="P68" i="15"/>
  <c r="J68" i="15"/>
  <c r="M62" i="15"/>
  <c r="BC62" i="15"/>
  <c r="BH62" i="15" s="1"/>
  <c r="K62" i="15"/>
  <c r="BA62" i="15"/>
  <c r="BF62" i="15" s="1"/>
  <c r="L687" i="6"/>
  <c r="AJ65" i="15"/>
  <c r="J688" i="6"/>
  <c r="DH688" i="6"/>
  <c r="DI688" i="6"/>
  <c r="AF65" i="15"/>
  <c r="J687" i="6"/>
  <c r="DH687" i="6"/>
  <c r="DI687" i="6"/>
  <c r="AE65" i="15"/>
  <c r="K687" i="6"/>
  <c r="AB65" i="15"/>
  <c r="DJ687" i="6"/>
  <c r="K688" i="6"/>
  <c r="DJ688" i="6"/>
  <c r="DG687" i="6"/>
  <c r="AA65" i="15"/>
  <c r="X65" i="15"/>
  <c r="H688" i="6"/>
  <c r="I688" i="6"/>
  <c r="R65" i="15"/>
  <c r="H687" i="6"/>
  <c r="I687" i="6"/>
  <c r="Q65" i="15"/>
  <c r="H65" i="15"/>
  <c r="G65" i="15"/>
  <c r="AX65" i="15" s="1"/>
  <c r="D65" i="15"/>
  <c r="C65" i="15"/>
  <c r="B65" i="15"/>
  <c r="A65" i="15" s="1"/>
  <c r="AZ65" i="15" s="1"/>
  <c r="BI65" i="15"/>
  <c r="AD65" i="15"/>
  <c r="AC65" i="15"/>
  <c r="Z65" i="15"/>
  <c r="O65" i="15"/>
  <c r="P65" i="15"/>
  <c r="J65" i="15"/>
  <c r="N105" i="15"/>
  <c r="BD105" i="15" s="1"/>
  <c r="BI105" i="15" s="1"/>
  <c r="M105" i="15"/>
  <c r="BC105" i="15" s="1"/>
  <c r="L105" i="15"/>
  <c r="BB105" i="15" s="1"/>
  <c r="BG105" i="15" s="1"/>
  <c r="K105" i="15"/>
  <c r="BA105" i="15"/>
  <c r="BF105" i="15" s="1"/>
  <c r="N101" i="15"/>
  <c r="BD101" i="15" s="1"/>
  <c r="BI101" i="15" s="1"/>
  <c r="M101" i="15"/>
  <c r="BC101" i="15" s="1"/>
  <c r="L101" i="15"/>
  <c r="BB101" i="15" s="1"/>
  <c r="K101" i="15"/>
  <c r="BA101" i="15" s="1"/>
  <c r="BF101" i="15" s="1"/>
  <c r="BC97" i="15"/>
  <c r="BA97" i="15"/>
  <c r="BD44" i="15"/>
  <c r="J344" i="6"/>
  <c r="J389" i="6"/>
  <c r="F255" i="6"/>
  <c r="M44" i="15"/>
  <c r="BC44" i="15" s="1"/>
  <c r="BB44" i="15"/>
  <c r="BG44" i="15" s="1"/>
  <c r="J354" i="6"/>
  <c r="F254" i="6"/>
  <c r="K44" i="15"/>
  <c r="BA44" i="15" s="1"/>
  <c r="N55" i="15"/>
  <c r="BD55" i="15"/>
  <c r="M55" i="15"/>
  <c r="BC55" i="15"/>
  <c r="BH55" i="15" s="1"/>
  <c r="L55" i="15"/>
  <c r="BB55" i="15" s="1"/>
  <c r="K55" i="15"/>
  <c r="BA55" i="15"/>
  <c r="BF55" i="15" s="1"/>
  <c r="N62" i="15"/>
  <c r="J62" i="15" s="1"/>
  <c r="BD62" i="15"/>
  <c r="L62" i="15"/>
  <c r="L677" i="6"/>
  <c r="AJ62" i="15"/>
  <c r="J680" i="6"/>
  <c r="DH680" i="6"/>
  <c r="DI680" i="6"/>
  <c r="AH62" i="15"/>
  <c r="AD62" i="15" s="1"/>
  <c r="J679" i="6"/>
  <c r="DH679" i="6"/>
  <c r="DI679" i="6"/>
  <c r="AG62" i="15"/>
  <c r="J678" i="6"/>
  <c r="DH678" i="6"/>
  <c r="DI678" i="6"/>
  <c r="AF62" i="15"/>
  <c r="J677" i="6"/>
  <c r="DH677" i="6"/>
  <c r="DI677" i="6"/>
  <c r="AE62" i="15"/>
  <c r="AC62" i="15" s="1"/>
  <c r="K677" i="6"/>
  <c r="AB62" i="15"/>
  <c r="DJ677" i="6"/>
  <c r="K678" i="6"/>
  <c r="DJ678" i="6"/>
  <c r="K679" i="6"/>
  <c r="DJ679" i="6"/>
  <c r="K680" i="6"/>
  <c r="DJ680" i="6"/>
  <c r="DG677" i="6"/>
  <c r="AA62" i="15"/>
  <c r="Y62" i="15"/>
  <c r="X62" i="15"/>
  <c r="Z62" i="15" s="1"/>
  <c r="H680" i="6"/>
  <c r="I680" i="6"/>
  <c r="T62" i="15"/>
  <c r="H679" i="6"/>
  <c r="I679" i="6"/>
  <c r="S62" i="15"/>
  <c r="H678" i="6"/>
  <c r="I678" i="6"/>
  <c r="R62" i="15"/>
  <c r="H677" i="6"/>
  <c r="I677" i="6"/>
  <c r="Q62" i="15"/>
  <c r="H62" i="15"/>
  <c r="G62" i="15"/>
  <c r="F62" i="15"/>
  <c r="E62" i="15"/>
  <c r="D62" i="15"/>
  <c r="C62" i="15"/>
  <c r="B62" i="15"/>
  <c r="A62" i="15" s="1"/>
  <c r="AZ62" i="15" s="1"/>
  <c r="AX62" i="15"/>
  <c r="P62" i="15"/>
  <c r="J117" i="6"/>
  <c r="F15" i="6"/>
  <c r="M24" i="15"/>
  <c r="BC24" i="15"/>
  <c r="BL24" i="15" s="1"/>
  <c r="F14" i="6"/>
  <c r="K24" i="15"/>
  <c r="BA24" i="15" s="1"/>
  <c r="BK24" i="15" s="1"/>
  <c r="J666" i="6"/>
  <c r="DH666" i="6"/>
  <c r="DI666" i="6"/>
  <c r="AH58" i="15"/>
  <c r="J665" i="6"/>
  <c r="DH665" i="6"/>
  <c r="DI665" i="6"/>
  <c r="AG58" i="15"/>
  <c r="AD58" i="15" s="1"/>
  <c r="J664" i="6"/>
  <c r="DH664" i="6"/>
  <c r="DI664" i="6"/>
  <c r="AF58" i="15"/>
  <c r="L663" i="6"/>
  <c r="AJ58" i="15"/>
  <c r="J663" i="6"/>
  <c r="DH663" i="6"/>
  <c r="DI663" i="6"/>
  <c r="AE58" i="15"/>
  <c r="AC58" i="15" s="1"/>
  <c r="K663" i="6"/>
  <c r="AB58" i="15"/>
  <c r="DJ663" i="6"/>
  <c r="K664" i="6"/>
  <c r="DJ664" i="6"/>
  <c r="K665" i="6"/>
  <c r="DJ665" i="6"/>
  <c r="K666" i="6"/>
  <c r="DJ666" i="6"/>
  <c r="DG663" i="6"/>
  <c r="AA58" i="15"/>
  <c r="Y58" i="15"/>
  <c r="Z58" i="15" s="1"/>
  <c r="X58" i="15"/>
  <c r="H666" i="6"/>
  <c r="I666" i="6"/>
  <c r="T58" i="15"/>
  <c r="H665" i="6"/>
  <c r="I665" i="6"/>
  <c r="S58" i="15"/>
  <c r="H664" i="6"/>
  <c r="I664" i="6"/>
  <c r="R58" i="15"/>
  <c r="O58" i="15" s="1"/>
  <c r="H663" i="6"/>
  <c r="I663" i="6"/>
  <c r="Q58" i="15"/>
  <c r="H58" i="15"/>
  <c r="G58" i="15"/>
  <c r="F58" i="15"/>
  <c r="E58" i="15"/>
  <c r="D58" i="15"/>
  <c r="C58" i="15"/>
  <c r="B58" i="15"/>
  <c r="A58" i="15"/>
  <c r="AZ58" i="15" s="1"/>
  <c r="AX58" i="15"/>
  <c r="P58" i="15"/>
  <c r="I58" i="15"/>
  <c r="B57" i="15"/>
  <c r="A57" i="15"/>
  <c r="AZ57" i="15" s="1"/>
  <c r="L1293" i="6"/>
  <c r="L1294" i="6"/>
  <c r="L1295" i="6"/>
  <c r="L1308" i="6"/>
  <c r="L1305" i="6"/>
  <c r="L1300" i="6"/>
  <c r="L1301" i="6"/>
  <c r="L1312" i="6"/>
  <c r="L1348" i="6"/>
  <c r="L1349" i="6"/>
  <c r="L1325" i="6"/>
  <c r="L1322" i="6"/>
  <c r="L1323" i="6"/>
  <c r="J1819" i="6"/>
  <c r="J1820" i="6"/>
  <c r="J1822" i="6"/>
  <c r="J1821" i="6"/>
  <c r="J1818" i="6"/>
  <c r="J1817" i="6"/>
  <c r="J1604" i="6"/>
  <c r="J1603" i="6"/>
  <c r="J1602" i="6"/>
  <c r="J1501" i="6"/>
  <c r="J1500" i="6"/>
  <c r="J1499" i="6"/>
  <c r="J1398" i="6"/>
  <c r="J1397" i="6"/>
  <c r="J1396" i="6"/>
  <c r="J1295" i="6"/>
  <c r="J1294" i="6"/>
  <c r="J1293" i="6"/>
  <c r="J1192" i="6"/>
  <c r="J1191" i="6"/>
  <c r="J1190" i="6"/>
  <c r="J1089" i="6"/>
  <c r="J1088" i="6"/>
  <c r="J1087" i="6"/>
  <c r="J986" i="6"/>
  <c r="J985" i="6"/>
  <c r="J984" i="6"/>
  <c r="H517" i="2"/>
  <c r="H516" i="2"/>
  <c r="H515" i="2"/>
  <c r="H514" i="2"/>
  <c r="H513" i="2"/>
  <c r="H511" i="2"/>
  <c r="H510" i="2"/>
  <c r="H509" i="2"/>
  <c r="H508" i="2"/>
  <c r="H507" i="2"/>
  <c r="DL56" i="22"/>
  <c r="DN55" i="22"/>
  <c r="DM55" i="22"/>
  <c r="DL55" i="22"/>
  <c r="DK55" i="22"/>
  <c r="AG55" i="22"/>
  <c r="AF55" i="22"/>
  <c r="AE55" i="22"/>
  <c r="AD55" i="22"/>
  <c r="AC55" i="22"/>
  <c r="AA55" i="22"/>
  <c r="Z55" i="22"/>
  <c r="Y55" i="22"/>
  <c r="X55" i="22"/>
  <c r="W55" i="22"/>
  <c r="V53" i="22"/>
  <c r="AG27" i="11"/>
  <c r="AG29" i="11"/>
  <c r="AG28" i="11"/>
  <c r="AG8" i="11"/>
  <c r="AG9" i="11"/>
  <c r="AG10" i="11"/>
  <c r="AG7" i="11"/>
  <c r="F1002" i="7"/>
  <c r="AG1002" i="7" s="1"/>
  <c r="F1003" i="7"/>
  <c r="AG1003" i="7" s="1"/>
  <c r="F1004" i="7"/>
  <c r="AG1004" i="7" s="1"/>
  <c r="F1005" i="7"/>
  <c r="AG1005" i="7" s="1"/>
  <c r="F1006" i="7"/>
  <c r="AG1006" i="7" s="1"/>
  <c r="F1007" i="7"/>
  <c r="AG1007" i="7" s="1"/>
  <c r="F1008" i="7"/>
  <c r="AG1008" i="7" s="1"/>
  <c r="AG1009" i="7"/>
  <c r="AG1010" i="7"/>
  <c r="AG1011" i="7"/>
  <c r="AG1012" i="7"/>
  <c r="AG1013" i="7"/>
  <c r="AG1014" i="7"/>
  <c r="AG1015" i="7"/>
  <c r="AG1016" i="7"/>
  <c r="AG1017" i="7"/>
  <c r="AG1018" i="7"/>
  <c r="AG1019" i="7"/>
  <c r="AG1020" i="7"/>
  <c r="AG1021" i="7"/>
  <c r="AG1022" i="7"/>
  <c r="AG1023" i="7"/>
  <c r="AG1024" i="7"/>
  <c r="F1001" i="7"/>
  <c r="AG1001" i="7" s="1"/>
  <c r="AG6" i="7"/>
  <c r="AG1000" i="7" s="1"/>
  <c r="AS986" i="7"/>
  <c r="AS985" i="7"/>
  <c r="AS987" i="7"/>
  <c r="AS988" i="7"/>
  <c r="AS989" i="7"/>
  <c r="AS990" i="7"/>
  <c r="AS991" i="7"/>
  <c r="AS992" i="7"/>
  <c r="H993" i="7"/>
  <c r="AS993" i="7" s="1"/>
  <c r="H994" i="7"/>
  <c r="AS994" i="7" s="1"/>
  <c r="AS984" i="7"/>
  <c r="AG985" i="7"/>
  <c r="AG986" i="7"/>
  <c r="AG987" i="7"/>
  <c r="AG988" i="7"/>
  <c r="AG989" i="7"/>
  <c r="AG990" i="7"/>
  <c r="AG991" i="7"/>
  <c r="AG992" i="7"/>
  <c r="AG993" i="7"/>
  <c r="AG994" i="7"/>
  <c r="AG984" i="7"/>
  <c r="F977" i="7"/>
  <c r="AG977" i="7" s="1"/>
  <c r="F976" i="7"/>
  <c r="AG976" i="7" s="1"/>
  <c r="F953" i="7"/>
  <c r="F954" i="7"/>
  <c r="AF954" i="7" s="1"/>
  <c r="F924" i="7"/>
  <c r="I228" i="15" s="1"/>
  <c r="AG923" i="7"/>
  <c r="G906" i="7"/>
  <c r="AS906" i="7" s="1"/>
  <c r="G907" i="7"/>
  <c r="AS907" i="7" s="1"/>
  <c r="G908" i="7"/>
  <c r="AS908" i="7" s="1"/>
  <c r="G909" i="7"/>
  <c r="AS909" i="7" s="1"/>
  <c r="G910" i="7"/>
  <c r="AS910" i="7" s="1"/>
  <c r="G911" i="7"/>
  <c r="Q851" i="7" s="1"/>
  <c r="G912" i="7"/>
  <c r="AS912" i="7" s="1"/>
  <c r="G913" i="7"/>
  <c r="AS913" i="7" s="1"/>
  <c r="G914" i="7"/>
  <c r="Q854" i="7" s="1"/>
  <c r="AS915" i="7"/>
  <c r="F916" i="7"/>
  <c r="G916" i="7" s="1"/>
  <c r="G917" i="7"/>
  <c r="AS917" i="7" s="1"/>
  <c r="AG917" i="7"/>
  <c r="AG915" i="7"/>
  <c r="AG914" i="7"/>
  <c r="AG913" i="7"/>
  <c r="AG912" i="7"/>
  <c r="AG911" i="7"/>
  <c r="AG910" i="7"/>
  <c r="AG909" i="7"/>
  <c r="AG908" i="7"/>
  <c r="AG907" i="7"/>
  <c r="AG906" i="7"/>
  <c r="AG903" i="7"/>
  <c r="AG902" i="7"/>
  <c r="AG901" i="7"/>
  <c r="AG900" i="7"/>
  <c r="AG899" i="7"/>
  <c r="AG898" i="7"/>
  <c r="AG897" i="7"/>
  <c r="AG896" i="7"/>
  <c r="AG895" i="7"/>
  <c r="AG894" i="7"/>
  <c r="AG893" i="7"/>
  <c r="AG892" i="7"/>
  <c r="AG891" i="7"/>
  <c r="AG890" i="7"/>
  <c r="AG889" i="7"/>
  <c r="AG888" i="7"/>
  <c r="AG887" i="7"/>
  <c r="AG886" i="7"/>
  <c r="AG885" i="7"/>
  <c r="AG884" i="7"/>
  <c r="AG883" i="7"/>
  <c r="AG882" i="7"/>
  <c r="AG881" i="7"/>
  <c r="AG880" i="7"/>
  <c r="AG879" i="7"/>
  <c r="AG878" i="7"/>
  <c r="AG877" i="7"/>
  <c r="AG876" i="7"/>
  <c r="AG875" i="7"/>
  <c r="AG874" i="7"/>
  <c r="AG873" i="7"/>
  <c r="AG872" i="7"/>
  <c r="AG871" i="7"/>
  <c r="AG870" i="7"/>
  <c r="AG869" i="7"/>
  <c r="AG868" i="7"/>
  <c r="AG867" i="7"/>
  <c r="AG866" i="7"/>
  <c r="AG865" i="7"/>
  <c r="AG864" i="7"/>
  <c r="AG863" i="7"/>
  <c r="K857" i="7"/>
  <c r="L857" i="7"/>
  <c r="K856" i="7"/>
  <c r="L856" i="7"/>
  <c r="K855" i="7"/>
  <c r="L855" i="7"/>
  <c r="K854" i="7"/>
  <c r="L854" i="7"/>
  <c r="F854" i="7" s="1"/>
  <c r="AG854" i="7" s="1"/>
  <c r="K853" i="7"/>
  <c r="L853" i="7"/>
  <c r="F853" i="7" s="1"/>
  <c r="AG853" i="7" s="1"/>
  <c r="K852" i="7"/>
  <c r="L852" i="7"/>
  <c r="K851" i="7"/>
  <c r="L851" i="7"/>
  <c r="K850" i="7"/>
  <c r="L850" i="7"/>
  <c r="K849" i="7"/>
  <c r="L849" i="7"/>
  <c r="K848" i="7"/>
  <c r="F848" i="7" s="1"/>
  <c r="AG848" i="7" s="1"/>
  <c r="L848" i="7"/>
  <c r="K847" i="7"/>
  <c r="L847" i="7"/>
  <c r="K846" i="7"/>
  <c r="L846" i="7"/>
  <c r="AG791" i="7"/>
  <c r="F790" i="7"/>
  <c r="AG790" i="7" s="1"/>
  <c r="AG789" i="7"/>
  <c r="F788" i="7"/>
  <c r="AG788" i="7" s="1"/>
  <c r="F829" i="7"/>
  <c r="F787" i="7"/>
  <c r="AG787" i="7" s="1"/>
  <c r="F786" i="7"/>
  <c r="AG786" i="7" s="1"/>
  <c r="F828" i="7"/>
  <c r="F785" i="7"/>
  <c r="AG785" i="7" s="1"/>
  <c r="F784" i="7"/>
  <c r="AG784" i="7" s="1"/>
  <c r="F783" i="7"/>
  <c r="AG783" i="7" s="1"/>
  <c r="F782" i="7"/>
  <c r="AG782" i="7" s="1"/>
  <c r="F781" i="7"/>
  <c r="AG781" i="7" s="1"/>
  <c r="F780" i="7"/>
  <c r="AG780" i="7" s="1"/>
  <c r="F759" i="7"/>
  <c r="F761" i="7"/>
  <c r="AG761" i="7" s="1"/>
  <c r="AG754" i="7"/>
  <c r="AG755" i="7"/>
  <c r="AG756" i="7"/>
  <c r="AG757" i="7"/>
  <c r="AG758" i="7"/>
  <c r="AG760" i="7"/>
  <c r="AG762" i="7"/>
  <c r="AG763" i="7"/>
  <c r="AG764" i="7"/>
  <c r="AG765" i="7"/>
  <c r="AG766" i="7"/>
  <c r="AG767" i="7"/>
  <c r="AG768" i="7"/>
  <c r="AG769" i="7"/>
  <c r="AG770" i="7"/>
  <c r="AG771" i="7"/>
  <c r="AG772" i="7"/>
  <c r="AG773" i="7"/>
  <c r="AG774" i="7"/>
  <c r="AG775" i="7"/>
  <c r="I711" i="7"/>
  <c r="F711" i="7" s="1"/>
  <c r="AG711" i="7" s="1"/>
  <c r="I712" i="7"/>
  <c r="F712" i="7" s="1"/>
  <c r="I205" i="15" s="1"/>
  <c r="I713" i="7"/>
  <c r="F713" i="7" s="1"/>
  <c r="AG713" i="7" s="1"/>
  <c r="AG714" i="7"/>
  <c r="AG715" i="7"/>
  <c r="AG716" i="7"/>
  <c r="AG717" i="7"/>
  <c r="AG718" i="7"/>
  <c r="AG719" i="7"/>
  <c r="AG720" i="7"/>
  <c r="AG721" i="7"/>
  <c r="AG722" i="7"/>
  <c r="AG723" i="7"/>
  <c r="AG724" i="7"/>
  <c r="AG725" i="7"/>
  <c r="AG726" i="7"/>
  <c r="AG727" i="7"/>
  <c r="AG728" i="7"/>
  <c r="AG729" i="7"/>
  <c r="AG730" i="7"/>
  <c r="AG731" i="7"/>
  <c r="AG732" i="7"/>
  <c r="AG733" i="7"/>
  <c r="AG734" i="7"/>
  <c r="AG735" i="7"/>
  <c r="AG736" i="7"/>
  <c r="AG737" i="7"/>
  <c r="AG738" i="7"/>
  <c r="AG739" i="7"/>
  <c r="AG740" i="7"/>
  <c r="AG741" i="7"/>
  <c r="AG742" i="7"/>
  <c r="AG743" i="7"/>
  <c r="AG744" i="7"/>
  <c r="AG745" i="7"/>
  <c r="AG746" i="7"/>
  <c r="AG747" i="7"/>
  <c r="I710" i="7"/>
  <c r="F710" i="7" s="1"/>
  <c r="I676" i="7"/>
  <c r="F676" i="7" s="1"/>
  <c r="I675" i="7"/>
  <c r="F675" i="7" s="1"/>
  <c r="AG675" i="7" s="1"/>
  <c r="I640" i="7"/>
  <c r="F640" i="7" s="1"/>
  <c r="I639" i="7"/>
  <c r="F639" i="7" s="1"/>
  <c r="DJ845" i="7"/>
  <c r="DI845" i="7"/>
  <c r="DH845" i="7"/>
  <c r="DG845" i="7"/>
  <c r="DJ779" i="7"/>
  <c r="DI779" i="7"/>
  <c r="DH779" i="7"/>
  <c r="DG779" i="7"/>
  <c r="DJ751" i="7"/>
  <c r="DI751" i="7"/>
  <c r="DH751" i="7"/>
  <c r="DG751" i="7"/>
  <c r="DJ709" i="7"/>
  <c r="DI709" i="7"/>
  <c r="DH709" i="7"/>
  <c r="DG709" i="7"/>
  <c r="DJ674" i="7"/>
  <c r="DI674" i="7"/>
  <c r="DH674" i="7"/>
  <c r="DG674" i="7"/>
  <c r="DJ638" i="7"/>
  <c r="DI638" i="7"/>
  <c r="DH638" i="7"/>
  <c r="DG638" i="7"/>
  <c r="DJ606" i="7"/>
  <c r="DI606" i="7"/>
  <c r="DH606" i="7"/>
  <c r="DG606" i="7"/>
  <c r="DJ6" i="7"/>
  <c r="DI6" i="7"/>
  <c r="DH6" i="7"/>
  <c r="DG6" i="7"/>
  <c r="DJ2223" i="6"/>
  <c r="DI2223" i="6"/>
  <c r="DH2223" i="6"/>
  <c r="DG2223" i="6"/>
  <c r="DJ646" i="6"/>
  <c r="DI646" i="6"/>
  <c r="DH646" i="6"/>
  <c r="DG646" i="6"/>
  <c r="DJ512" i="6"/>
  <c r="DI512" i="6"/>
  <c r="DH512" i="6"/>
  <c r="DG512" i="6"/>
  <c r="DJ447" i="6"/>
  <c r="DI447" i="6"/>
  <c r="DH447" i="6"/>
  <c r="DG447" i="6"/>
  <c r="DJ230" i="6"/>
  <c r="DI230" i="6"/>
  <c r="DH230" i="6"/>
  <c r="DG230" i="6"/>
  <c r="DJ7" i="6"/>
  <c r="DI7" i="6"/>
  <c r="DH7" i="6"/>
  <c r="DG7" i="6"/>
  <c r="DJ6" i="22"/>
  <c r="DI6" i="22"/>
  <c r="DH6" i="22"/>
  <c r="DG6" i="22"/>
  <c r="DJ31" i="5"/>
  <c r="DI31" i="5"/>
  <c r="DH31" i="5"/>
  <c r="DG31" i="5"/>
  <c r="DJ6" i="5"/>
  <c r="DI6" i="5"/>
  <c r="DH6" i="5"/>
  <c r="DG6" i="5"/>
  <c r="AG2286" i="6"/>
  <c r="AG2287" i="6"/>
  <c r="AG2288" i="6"/>
  <c r="AG2289" i="6"/>
  <c r="AG2290" i="6"/>
  <c r="AG2291" i="6"/>
  <c r="AG2292" i="6"/>
  <c r="AG2293" i="6"/>
  <c r="AG2294" i="6"/>
  <c r="J2295" i="6"/>
  <c r="AG2295" i="6"/>
  <c r="AG2296" i="6"/>
  <c r="AG2297" i="6"/>
  <c r="AG2298" i="6"/>
  <c r="AG2299" i="6"/>
  <c r="AG2300" i="6"/>
  <c r="AG2301" i="6"/>
  <c r="AG2302" i="6"/>
  <c r="AG2303" i="6"/>
  <c r="AG2304" i="6"/>
  <c r="AG2305" i="6"/>
  <c r="AG2306" i="6"/>
  <c r="AG2307" i="6"/>
  <c r="K2295" i="6"/>
  <c r="J2308" i="6"/>
  <c r="AG2308" i="6"/>
  <c r="J2309" i="6"/>
  <c r="AG2309" i="6"/>
  <c r="J2285" i="6"/>
  <c r="AG2285" i="6"/>
  <c r="F2225" i="6"/>
  <c r="AG2225" i="6"/>
  <c r="F2226" i="6"/>
  <c r="AG2226" i="6"/>
  <c r="F2227" i="6"/>
  <c r="AG2227" i="6"/>
  <c r="F2228" i="6"/>
  <c r="AG2228" i="6"/>
  <c r="F2229" i="6"/>
  <c r="AG2229" i="6"/>
  <c r="F2230" i="6"/>
  <c r="AG2230" i="6"/>
  <c r="F2231" i="6"/>
  <c r="AG2231" i="6"/>
  <c r="F2232" i="6"/>
  <c r="AG2232" i="6"/>
  <c r="AG2233" i="6"/>
  <c r="AG2234" i="6"/>
  <c r="AG2235" i="6"/>
  <c r="F2236" i="6"/>
  <c r="AG2236" i="6"/>
  <c r="F2237" i="6"/>
  <c r="AG2237" i="6"/>
  <c r="F2238" i="6"/>
  <c r="AG2238" i="6"/>
  <c r="F2239" i="6"/>
  <c r="AG2239" i="6"/>
  <c r="F2240" i="6"/>
  <c r="AG2240" i="6"/>
  <c r="F2241" i="6"/>
  <c r="AG2241" i="6"/>
  <c r="F2242" i="6"/>
  <c r="AG2242" i="6"/>
  <c r="F2243" i="6"/>
  <c r="AG2243" i="6"/>
  <c r="F2244" i="6"/>
  <c r="AG2244" i="6"/>
  <c r="AG2245" i="6"/>
  <c r="AG2246" i="6"/>
  <c r="AG2247" i="6"/>
  <c r="F2248" i="6"/>
  <c r="AG2248" i="6"/>
  <c r="F2249" i="6"/>
  <c r="AG2249" i="6"/>
  <c r="F2250" i="6"/>
  <c r="AG2250" i="6"/>
  <c r="F2251" i="6"/>
  <c r="AG2251" i="6"/>
  <c r="F2252" i="6"/>
  <c r="AG2252" i="6"/>
  <c r="F2253" i="6"/>
  <c r="AG2253" i="6"/>
  <c r="F2254" i="6"/>
  <c r="AG2254" i="6"/>
  <c r="F2255" i="6"/>
  <c r="AG2255" i="6"/>
  <c r="F2256" i="6"/>
  <c r="AG2256" i="6"/>
  <c r="F2257" i="6"/>
  <c r="AG2257" i="6"/>
  <c r="AG2258" i="6"/>
  <c r="AG2259" i="6"/>
  <c r="F2260" i="6"/>
  <c r="AG2260" i="6"/>
  <c r="F2261" i="6"/>
  <c r="AG2261" i="6"/>
  <c r="F2262" i="6"/>
  <c r="AG2262" i="6"/>
  <c r="F2263" i="6"/>
  <c r="AG2263" i="6"/>
  <c r="F2264" i="6"/>
  <c r="AG2264" i="6"/>
  <c r="F2265" i="6"/>
  <c r="AG2265" i="6"/>
  <c r="F2266" i="6"/>
  <c r="AG2266" i="6"/>
  <c r="F2267" i="6"/>
  <c r="AG2267" i="6"/>
  <c r="F2268" i="6"/>
  <c r="AG2268" i="6"/>
  <c r="F2269" i="6"/>
  <c r="AG2269" i="6"/>
  <c r="AG2270" i="6"/>
  <c r="AG2271" i="6"/>
  <c r="F2224" i="6"/>
  <c r="AG2224" i="6"/>
  <c r="F652" i="6"/>
  <c r="F654" i="6"/>
  <c r="AG2200" i="6"/>
  <c r="F662" i="6"/>
  <c r="AG2201" i="6"/>
  <c r="F676" i="6"/>
  <c r="AG2202" i="6"/>
  <c r="F690" i="6"/>
  <c r="AG2204" i="6"/>
  <c r="F704" i="6"/>
  <c r="AG2205" i="6"/>
  <c r="F708" i="6"/>
  <c r="AG2206" i="6"/>
  <c r="F712" i="6"/>
  <c r="AG2207" i="6"/>
  <c r="F720" i="6"/>
  <c r="AG2208" i="6"/>
  <c r="F730" i="6"/>
  <c r="AG2210" i="6"/>
  <c r="F738" i="6"/>
  <c r="AG2211" i="6"/>
  <c r="F746" i="6"/>
  <c r="AG2212" i="6"/>
  <c r="F776" i="6"/>
  <c r="AG2213" i="6"/>
  <c r="F792" i="6"/>
  <c r="AG2214" i="6"/>
  <c r="F808" i="6"/>
  <c r="AG2215" i="6"/>
  <c r="AG2203" i="6"/>
  <c r="AG2209" i="6"/>
  <c r="AG2216" i="6"/>
  <c r="AG2056" i="6"/>
  <c r="S883" i="6"/>
  <c r="AG2057" i="6"/>
  <c r="AG2058" i="6"/>
  <c r="AG2059" i="6"/>
  <c r="AG2060" i="6"/>
  <c r="AG2061" i="6"/>
  <c r="AG2062" i="6"/>
  <c r="AG2063" i="6"/>
  <c r="AG2064" i="6"/>
  <c r="S885" i="6"/>
  <c r="AG2065" i="6"/>
  <c r="AG2066" i="6"/>
  <c r="AG2067" i="6"/>
  <c r="AG2068" i="6"/>
  <c r="AG2069" i="6"/>
  <c r="AG2070" i="6"/>
  <c r="AG2071" i="6"/>
  <c r="AG2072" i="6"/>
  <c r="AG2075" i="6"/>
  <c r="AG2076" i="6"/>
  <c r="AG2078" i="6"/>
  <c r="AG2079" i="6"/>
  <c r="AG2080" i="6"/>
  <c r="AG2081" i="6"/>
  <c r="AG2082" i="6"/>
  <c r="AG2083" i="6"/>
  <c r="AG2084" i="6"/>
  <c r="AG2085" i="6"/>
  <c r="AG2086" i="6"/>
  <c r="AG2087" i="6"/>
  <c r="AG2088" i="6"/>
  <c r="AG2089" i="6"/>
  <c r="AG2090" i="6"/>
  <c r="AG2091" i="6"/>
  <c r="AG2092" i="6"/>
  <c r="AG2093" i="6"/>
  <c r="AG2094" i="6"/>
  <c r="AG2095" i="6"/>
  <c r="AG2096" i="6"/>
  <c r="AG2097" i="6"/>
  <c r="AG2098" i="6"/>
  <c r="AG2099" i="6"/>
  <c r="AG2100" i="6"/>
  <c r="AG2101" i="6"/>
  <c r="AG2102" i="6"/>
  <c r="AG2103" i="6"/>
  <c r="AG2104" i="6"/>
  <c r="AG2105" i="6"/>
  <c r="AG2106" i="6"/>
  <c r="AG2107" i="6"/>
  <c r="AG2108" i="6"/>
  <c r="AG2109" i="6"/>
  <c r="AG2110" i="6"/>
  <c r="AG2111" i="6"/>
  <c r="AG2112" i="6"/>
  <c r="AG2113" i="6"/>
  <c r="AG2114" i="6"/>
  <c r="AG2115" i="6"/>
  <c r="AG2116" i="6"/>
  <c r="AG2117" i="6"/>
  <c r="AG2118" i="6"/>
  <c r="AG2119" i="6"/>
  <c r="AG2120" i="6"/>
  <c r="AG2121" i="6"/>
  <c r="AG2124" i="6"/>
  <c r="AG2125" i="6"/>
  <c r="AG2126" i="6"/>
  <c r="AG2127" i="6"/>
  <c r="AG2128" i="6"/>
  <c r="AG2129" i="6"/>
  <c r="AG2130" i="6"/>
  <c r="AG2131" i="6"/>
  <c r="AG2132" i="6"/>
  <c r="AG2133" i="6"/>
  <c r="AG2134" i="6"/>
  <c r="AG2135" i="6"/>
  <c r="AG2136" i="6"/>
  <c r="AG2137" i="6"/>
  <c r="AG2138" i="6"/>
  <c r="AG2139" i="6"/>
  <c r="AG2140" i="6"/>
  <c r="AG2141" i="6"/>
  <c r="AG2142" i="6"/>
  <c r="AG2143" i="6"/>
  <c r="AG2144" i="6"/>
  <c r="AG2145" i="6"/>
  <c r="AG2146" i="6"/>
  <c r="AG2147" i="6"/>
  <c r="AG2148" i="6"/>
  <c r="AG2149" i="6"/>
  <c r="AG2150" i="6"/>
  <c r="AG2151" i="6"/>
  <c r="AG2152" i="6"/>
  <c r="AG2153" i="6"/>
  <c r="AG2154" i="6"/>
  <c r="AG2155" i="6"/>
  <c r="AG2156" i="6"/>
  <c r="AG2157" i="6"/>
  <c r="AG2158" i="6"/>
  <c r="AG2159" i="6"/>
  <c r="AG2160" i="6"/>
  <c r="AG2161" i="6"/>
  <c r="AG2162" i="6"/>
  <c r="AG2163" i="6"/>
  <c r="AG2164" i="6"/>
  <c r="AG2165" i="6"/>
  <c r="AG2166" i="6"/>
  <c r="AG2167" i="6"/>
  <c r="AG2168" i="6"/>
  <c r="AG2169" i="6"/>
  <c r="AG2170" i="6"/>
  <c r="AG2171" i="6"/>
  <c r="AG2172" i="6"/>
  <c r="AG2173" i="6"/>
  <c r="AG2174" i="6"/>
  <c r="AG2175" i="6"/>
  <c r="AG2176" i="6"/>
  <c r="AG2177" i="6"/>
  <c r="AG2178" i="6"/>
  <c r="AG2179" i="6"/>
  <c r="AG2180" i="6"/>
  <c r="AG2181" i="6"/>
  <c r="AG2182" i="6"/>
  <c r="AG2183" i="6"/>
  <c r="AG2184" i="6"/>
  <c r="AG2185" i="6"/>
  <c r="AG2186" i="6"/>
  <c r="AG2187" i="6"/>
  <c r="AG2188" i="6"/>
  <c r="AG2189" i="6"/>
  <c r="AG2190" i="6"/>
  <c r="AG2191" i="6"/>
  <c r="AG2192" i="6"/>
  <c r="AG2193" i="6"/>
  <c r="AG2194" i="6"/>
  <c r="AG2195" i="6"/>
  <c r="AG2196" i="6"/>
  <c r="AG2197" i="6"/>
  <c r="AG2198" i="6"/>
  <c r="AG2199" i="6"/>
  <c r="AG2023" i="6"/>
  <c r="AG2024" i="6"/>
  <c r="AG2025" i="6"/>
  <c r="AG2047" i="6"/>
  <c r="AG2042" i="6"/>
  <c r="AG2034" i="6"/>
  <c r="AG2035" i="6"/>
  <c r="AG2054" i="6"/>
  <c r="AG2122" i="6"/>
  <c r="AG2123" i="6"/>
  <c r="AG2077" i="6"/>
  <c r="AG2073" i="6"/>
  <c r="AG2074" i="6"/>
  <c r="AG1953" i="6"/>
  <c r="AG1954" i="6"/>
  <c r="AG1955" i="6"/>
  <c r="AG1956" i="6"/>
  <c r="AG1957" i="6"/>
  <c r="AG1958" i="6"/>
  <c r="AG1959" i="6"/>
  <c r="AG1960" i="6"/>
  <c r="AG1961" i="6"/>
  <c r="AG1962" i="6"/>
  <c r="AG1963" i="6"/>
  <c r="AG1964" i="6"/>
  <c r="AG1965" i="6"/>
  <c r="AG1966" i="6"/>
  <c r="AG1967" i="6"/>
  <c r="AG1968" i="6"/>
  <c r="AG1969" i="6"/>
  <c r="AG1970" i="6"/>
  <c r="AG1971" i="6"/>
  <c r="AG1972" i="6"/>
  <c r="AG1973" i="6"/>
  <c r="AG1974" i="6"/>
  <c r="AG1975" i="6"/>
  <c r="AG1976" i="6"/>
  <c r="AG1977" i="6"/>
  <c r="AG1978" i="6"/>
  <c r="AG1979" i="6"/>
  <c r="AG1980" i="6"/>
  <c r="AG1981" i="6"/>
  <c r="AG1982" i="6"/>
  <c r="AG1983" i="6"/>
  <c r="AG1984" i="6"/>
  <c r="AG1985" i="6"/>
  <c r="AG1986" i="6"/>
  <c r="AG1987" i="6"/>
  <c r="AG1988" i="6"/>
  <c r="AG1989" i="6"/>
  <c r="AG1990" i="6"/>
  <c r="AG1991" i="6"/>
  <c r="AG1992" i="6"/>
  <c r="AG1993" i="6"/>
  <c r="AG1994" i="6"/>
  <c r="AG1995" i="6"/>
  <c r="AG1996" i="6"/>
  <c r="AG1997" i="6"/>
  <c r="AG1998" i="6"/>
  <c r="AG1999" i="6"/>
  <c r="AG2000" i="6"/>
  <c r="AG2001" i="6"/>
  <c r="AG2002" i="6"/>
  <c r="AG2003" i="6"/>
  <c r="AG2004" i="6"/>
  <c r="AG2005" i="6"/>
  <c r="AG2006" i="6"/>
  <c r="AG1817" i="6"/>
  <c r="AG1818" i="6"/>
  <c r="AG1819" i="6"/>
  <c r="AG1820" i="6"/>
  <c r="AG1821" i="6"/>
  <c r="AG1822" i="6"/>
  <c r="AG1847" i="6"/>
  <c r="AG1848" i="6"/>
  <c r="AG1841" i="6"/>
  <c r="AG1842" i="6"/>
  <c r="AG1831" i="6"/>
  <c r="AG1832" i="6"/>
  <c r="AG1833" i="6"/>
  <c r="AG1834" i="6"/>
  <c r="AG1855" i="6"/>
  <c r="AG1856" i="6"/>
  <c r="AG1927" i="6"/>
  <c r="AG1928" i="6"/>
  <c r="AG1929" i="6"/>
  <c r="AG1930" i="6"/>
  <c r="AG1881" i="6"/>
  <c r="AG1882" i="6"/>
  <c r="AG1874" i="6"/>
  <c r="AG1875" i="6"/>
  <c r="AG1876" i="6"/>
  <c r="AG1877" i="6"/>
  <c r="AG2007" i="6"/>
  <c r="AG2008" i="6"/>
  <c r="AG2009" i="6"/>
  <c r="AG2010" i="6"/>
  <c r="AG2011" i="6"/>
  <c r="AG2012" i="6"/>
  <c r="AG2013" i="6"/>
  <c r="AG2014" i="6"/>
  <c r="AG2015" i="6"/>
  <c r="AG2016" i="6"/>
  <c r="AG2017" i="6"/>
  <c r="AG2018" i="6"/>
  <c r="AG2019" i="6"/>
  <c r="AG2020" i="6"/>
  <c r="AG2021" i="6"/>
  <c r="AG2022" i="6"/>
  <c r="AG2026" i="6"/>
  <c r="AG2027" i="6"/>
  <c r="AG2028" i="6"/>
  <c r="AG2029" i="6"/>
  <c r="AG2030" i="6"/>
  <c r="AG2031" i="6"/>
  <c r="AG2032" i="6"/>
  <c r="AG2033" i="6"/>
  <c r="AG2036" i="6"/>
  <c r="AG2037" i="6"/>
  <c r="AG2038" i="6"/>
  <c r="AG2039" i="6"/>
  <c r="AG2040" i="6"/>
  <c r="AG2041" i="6"/>
  <c r="AG2043" i="6"/>
  <c r="AG2044" i="6"/>
  <c r="AG2045" i="6"/>
  <c r="AG2046" i="6"/>
  <c r="AG2048" i="6"/>
  <c r="AG2049" i="6"/>
  <c r="AG2050" i="6"/>
  <c r="AG2051" i="6"/>
  <c r="AG2052" i="6"/>
  <c r="AG2053" i="6"/>
  <c r="AG2055" i="6"/>
  <c r="AG1814" i="6"/>
  <c r="AG1815" i="6"/>
  <c r="AG1816" i="6"/>
  <c r="AG1823" i="6"/>
  <c r="AG1824" i="6"/>
  <c r="AG1825" i="6"/>
  <c r="AG1826" i="6"/>
  <c r="AG1827" i="6"/>
  <c r="AG1828" i="6"/>
  <c r="AG1829" i="6"/>
  <c r="AG1830" i="6"/>
  <c r="AG1835" i="6"/>
  <c r="AG1836" i="6"/>
  <c r="AG1837" i="6"/>
  <c r="AG1838" i="6"/>
  <c r="AG1839" i="6"/>
  <c r="AG1840" i="6"/>
  <c r="AG1843" i="6"/>
  <c r="AG1844" i="6"/>
  <c r="AG1845" i="6"/>
  <c r="AG1846" i="6"/>
  <c r="AG1849" i="6"/>
  <c r="AG1850" i="6"/>
  <c r="AG1851" i="6"/>
  <c r="AG1852" i="6"/>
  <c r="AG1853" i="6"/>
  <c r="AG1854" i="6"/>
  <c r="AG1857" i="6"/>
  <c r="AG1858" i="6"/>
  <c r="AG1859" i="6"/>
  <c r="AG1860" i="6"/>
  <c r="AG1861" i="6"/>
  <c r="AG1862" i="6"/>
  <c r="AG1863" i="6"/>
  <c r="AG1864" i="6"/>
  <c r="AG1865" i="6"/>
  <c r="AG1866" i="6"/>
  <c r="AG1867" i="6"/>
  <c r="AG1868" i="6"/>
  <c r="AG1869" i="6"/>
  <c r="AG1870" i="6"/>
  <c r="AG1871" i="6"/>
  <c r="AG1872" i="6"/>
  <c r="AG1873" i="6"/>
  <c r="AG1878" i="6"/>
  <c r="AG1879" i="6"/>
  <c r="AG1880" i="6"/>
  <c r="AG1883" i="6"/>
  <c r="AG1884" i="6"/>
  <c r="AG1885" i="6"/>
  <c r="AG1886" i="6"/>
  <c r="AG1887" i="6"/>
  <c r="AG1888" i="6"/>
  <c r="AG1889" i="6"/>
  <c r="AG1890" i="6"/>
  <c r="AG1891" i="6"/>
  <c r="AG1892" i="6"/>
  <c r="AG1893" i="6"/>
  <c r="AG1894" i="6"/>
  <c r="AG1895" i="6"/>
  <c r="AG1896" i="6"/>
  <c r="AG1897" i="6"/>
  <c r="AG1898" i="6"/>
  <c r="AG1899" i="6"/>
  <c r="AG1900" i="6"/>
  <c r="AG1901" i="6"/>
  <c r="AG1902" i="6"/>
  <c r="AG1903" i="6"/>
  <c r="AG1904" i="6"/>
  <c r="AG1905" i="6"/>
  <c r="AG1906" i="6"/>
  <c r="AG1907" i="6"/>
  <c r="AG1908" i="6"/>
  <c r="AG1909" i="6"/>
  <c r="AG1910" i="6"/>
  <c r="AG1911" i="6"/>
  <c r="AG1912" i="6"/>
  <c r="AG1913" i="6"/>
  <c r="AG1914" i="6"/>
  <c r="AG1915" i="6"/>
  <c r="AG1916" i="6"/>
  <c r="AG1917" i="6"/>
  <c r="AG1918" i="6"/>
  <c r="AG1919" i="6"/>
  <c r="AG1920" i="6"/>
  <c r="AG1921" i="6"/>
  <c r="AG1922" i="6"/>
  <c r="AG1923" i="6"/>
  <c r="AG1924" i="6"/>
  <c r="AG1925" i="6"/>
  <c r="AG1926" i="6"/>
  <c r="AG1931" i="6"/>
  <c r="AG1932" i="6"/>
  <c r="AG1933" i="6"/>
  <c r="AG1934" i="6"/>
  <c r="AG1935" i="6"/>
  <c r="AG1936" i="6"/>
  <c r="AG1937" i="6"/>
  <c r="AG1938" i="6"/>
  <c r="AG1939" i="6"/>
  <c r="AG1940" i="6"/>
  <c r="AG1941" i="6"/>
  <c r="AG1942" i="6"/>
  <c r="AG1943" i="6"/>
  <c r="AG1944" i="6"/>
  <c r="AG1945" i="6"/>
  <c r="AG1946" i="6"/>
  <c r="AG1947" i="6"/>
  <c r="AG1948" i="6"/>
  <c r="AG1949" i="6"/>
  <c r="AG1950" i="6"/>
  <c r="AG1951" i="6"/>
  <c r="AG1952" i="6"/>
  <c r="AG1711" i="6"/>
  <c r="AG1714" i="6"/>
  <c r="AG1715" i="6"/>
  <c r="AG1716" i="6"/>
  <c r="AG1718" i="6"/>
  <c r="AG1719" i="6"/>
  <c r="AG1721" i="6"/>
  <c r="AG1722" i="6"/>
  <c r="AG1723" i="6"/>
  <c r="AG1725" i="6"/>
  <c r="AG1726" i="6"/>
  <c r="AG1727" i="6"/>
  <c r="AG1728" i="6"/>
  <c r="AG1729" i="6"/>
  <c r="AG1730" i="6"/>
  <c r="AG1731" i="6"/>
  <c r="AG1732" i="6"/>
  <c r="AG1733" i="6"/>
  <c r="AG1736" i="6"/>
  <c r="AG1738" i="6"/>
  <c r="AG1739" i="6"/>
  <c r="AG1740" i="6"/>
  <c r="AG1741" i="6"/>
  <c r="AG1742" i="6"/>
  <c r="AG1743" i="6"/>
  <c r="AG1744" i="6"/>
  <c r="AG1745" i="6"/>
  <c r="AG1746" i="6"/>
  <c r="AG1747" i="6"/>
  <c r="AG1748" i="6"/>
  <c r="AG1749" i="6"/>
  <c r="AG1750" i="6"/>
  <c r="AG1751" i="6"/>
  <c r="AG1752" i="6"/>
  <c r="AG1753" i="6"/>
  <c r="AG1754" i="6"/>
  <c r="AG1755" i="6"/>
  <c r="AG1756" i="6"/>
  <c r="AG1757" i="6"/>
  <c r="AG1758" i="6"/>
  <c r="AG1759" i="6"/>
  <c r="AG1762" i="6"/>
  <c r="AG1763" i="6"/>
  <c r="AG1764" i="6"/>
  <c r="AG1765" i="6"/>
  <c r="AG1766" i="6"/>
  <c r="AG1767" i="6"/>
  <c r="AG1768" i="6"/>
  <c r="AG1769" i="6"/>
  <c r="AG1770" i="6"/>
  <c r="AG1771" i="6"/>
  <c r="AG1772" i="6"/>
  <c r="AG1773" i="6"/>
  <c r="AG1774" i="6"/>
  <c r="AG1775" i="6"/>
  <c r="AG1776" i="6"/>
  <c r="AG1777" i="6"/>
  <c r="AG1778" i="6"/>
  <c r="AG1779" i="6"/>
  <c r="AG1780" i="6"/>
  <c r="AG1781" i="6"/>
  <c r="AG1782" i="6"/>
  <c r="AG1783" i="6"/>
  <c r="AG1784" i="6"/>
  <c r="AG1785" i="6"/>
  <c r="AG1786" i="6"/>
  <c r="AG1787" i="6"/>
  <c r="AG1788" i="6"/>
  <c r="AG1789" i="6"/>
  <c r="AG1790" i="6"/>
  <c r="AG1791" i="6"/>
  <c r="AG1792" i="6"/>
  <c r="AG1793" i="6"/>
  <c r="AG1794" i="6"/>
  <c r="AG1795" i="6"/>
  <c r="AG1796" i="6"/>
  <c r="AG1797" i="6"/>
  <c r="AG1798" i="6"/>
  <c r="AG1799" i="6"/>
  <c r="AG1705" i="6"/>
  <c r="AG1706" i="6"/>
  <c r="AG1707" i="6"/>
  <c r="AG1720" i="6"/>
  <c r="AG1717" i="6"/>
  <c r="AG1712" i="6"/>
  <c r="AG1713" i="6"/>
  <c r="AG1724" i="6"/>
  <c r="AG1760" i="6"/>
  <c r="AG1761" i="6"/>
  <c r="AG1737" i="6"/>
  <c r="AG1734" i="6"/>
  <c r="AG1735" i="6"/>
  <c r="AG1800" i="6"/>
  <c r="AG1801" i="6"/>
  <c r="AG1802" i="6"/>
  <c r="AG1803" i="6"/>
  <c r="AG1804" i="6"/>
  <c r="AG1805" i="6"/>
  <c r="AG1806" i="6"/>
  <c r="AG1807" i="6"/>
  <c r="AG1808" i="6"/>
  <c r="AG1809" i="6"/>
  <c r="AG1810" i="6"/>
  <c r="AG1811" i="6"/>
  <c r="AG1812" i="6"/>
  <c r="AG1813" i="6"/>
  <c r="AG1607" i="6"/>
  <c r="AG1608" i="6"/>
  <c r="AG1611" i="6"/>
  <c r="AG1612" i="6"/>
  <c r="AG1613" i="6"/>
  <c r="AG1615" i="6"/>
  <c r="AG1616" i="6"/>
  <c r="AG1618" i="6"/>
  <c r="AG1619" i="6"/>
  <c r="AG1620" i="6"/>
  <c r="AG1622" i="6"/>
  <c r="AG1623" i="6"/>
  <c r="AG1624" i="6"/>
  <c r="AG1625" i="6"/>
  <c r="AG1626" i="6"/>
  <c r="AG1627" i="6"/>
  <c r="AG1628" i="6"/>
  <c r="AG1629" i="6"/>
  <c r="AG1630" i="6"/>
  <c r="AG1633" i="6"/>
  <c r="AG1635" i="6"/>
  <c r="AG1636" i="6"/>
  <c r="AG1637" i="6"/>
  <c r="AG1638" i="6"/>
  <c r="AG1639" i="6"/>
  <c r="AG1640" i="6"/>
  <c r="AG1641" i="6"/>
  <c r="AG1642" i="6"/>
  <c r="AG1643" i="6"/>
  <c r="AG1644" i="6"/>
  <c r="AG1645" i="6"/>
  <c r="AG1646" i="6"/>
  <c r="AG1647" i="6"/>
  <c r="AG1648" i="6"/>
  <c r="AG1649" i="6"/>
  <c r="AG1650" i="6"/>
  <c r="AG1651" i="6"/>
  <c r="AG1652" i="6"/>
  <c r="AG1653" i="6"/>
  <c r="AG1654" i="6"/>
  <c r="AG1655" i="6"/>
  <c r="AG1656" i="6"/>
  <c r="AG1659" i="6"/>
  <c r="AG1660" i="6"/>
  <c r="AG1661" i="6"/>
  <c r="AG1662" i="6"/>
  <c r="AG1663" i="6"/>
  <c r="AG1664" i="6"/>
  <c r="AG1665" i="6"/>
  <c r="AG1666" i="6"/>
  <c r="AG1667" i="6"/>
  <c r="AG1668" i="6"/>
  <c r="AG1669" i="6"/>
  <c r="AG1670" i="6"/>
  <c r="AG1671" i="6"/>
  <c r="AG1672" i="6"/>
  <c r="AG1673" i="6"/>
  <c r="AG1674" i="6"/>
  <c r="AG1675" i="6"/>
  <c r="AG1676" i="6"/>
  <c r="AG1677" i="6"/>
  <c r="AG1678" i="6"/>
  <c r="AG1679" i="6"/>
  <c r="AG1680" i="6"/>
  <c r="AG1681" i="6"/>
  <c r="AG1682" i="6"/>
  <c r="AG1683" i="6"/>
  <c r="AG1684" i="6"/>
  <c r="AG1685" i="6"/>
  <c r="AG1686" i="6"/>
  <c r="AG1687" i="6"/>
  <c r="AG1688" i="6"/>
  <c r="AG1689" i="6"/>
  <c r="AG1690" i="6"/>
  <c r="AG1691" i="6"/>
  <c r="AG1692" i="6"/>
  <c r="AG1693" i="6"/>
  <c r="AG1694" i="6"/>
  <c r="AG1695" i="6"/>
  <c r="AG1696" i="6"/>
  <c r="AG1602" i="6"/>
  <c r="AG1603" i="6"/>
  <c r="AG1604" i="6"/>
  <c r="AG1617" i="6"/>
  <c r="AG1614" i="6"/>
  <c r="AG1609" i="6"/>
  <c r="AG1610" i="6"/>
  <c r="AG1621" i="6"/>
  <c r="AG1657" i="6"/>
  <c r="AG1658" i="6"/>
  <c r="AG1634" i="6"/>
  <c r="AG1631" i="6"/>
  <c r="AG1632" i="6"/>
  <c r="AG1697" i="6"/>
  <c r="AG1698" i="6"/>
  <c r="AG1699" i="6"/>
  <c r="AG1700" i="6"/>
  <c r="AG1701" i="6"/>
  <c r="AG1702" i="6"/>
  <c r="AG1703" i="6"/>
  <c r="AG1704" i="6"/>
  <c r="AG1708" i="6"/>
  <c r="AG1709" i="6"/>
  <c r="AG1710" i="6"/>
  <c r="AG1499" i="6"/>
  <c r="AG1500" i="6"/>
  <c r="AG1501" i="6"/>
  <c r="AG1514" i="6"/>
  <c r="AG1511" i="6"/>
  <c r="AG1506" i="6"/>
  <c r="AG1507" i="6"/>
  <c r="AG1518" i="6"/>
  <c r="AG1554" i="6"/>
  <c r="AG1555" i="6"/>
  <c r="AG1531" i="6"/>
  <c r="AG1528" i="6"/>
  <c r="AG1529" i="6"/>
  <c r="AG1594" i="6"/>
  <c r="AG1595" i="6"/>
  <c r="AG1596" i="6"/>
  <c r="AG1597" i="6"/>
  <c r="AG1598" i="6"/>
  <c r="AG1599" i="6"/>
  <c r="AG1600" i="6"/>
  <c r="AG1601" i="6"/>
  <c r="AG1605" i="6"/>
  <c r="AG1606" i="6"/>
  <c r="AG1414" i="6"/>
  <c r="AG1416" i="6"/>
  <c r="AG1417" i="6"/>
  <c r="AG1418" i="6"/>
  <c r="AG1419" i="6"/>
  <c r="AG1420" i="6"/>
  <c r="AG1421" i="6"/>
  <c r="AG1422" i="6"/>
  <c r="AG1423" i="6"/>
  <c r="AG1424" i="6"/>
  <c r="AG1427" i="6"/>
  <c r="AG1429" i="6"/>
  <c r="AG1430" i="6"/>
  <c r="AG1431" i="6"/>
  <c r="AG1432" i="6"/>
  <c r="AG1433" i="6"/>
  <c r="AG1434" i="6"/>
  <c r="AG1435" i="6"/>
  <c r="AG1436" i="6"/>
  <c r="AG1437" i="6"/>
  <c r="AG1438" i="6"/>
  <c r="AG1439" i="6"/>
  <c r="AG1440" i="6"/>
  <c r="AG1441" i="6"/>
  <c r="AG1442" i="6"/>
  <c r="AG1443" i="6"/>
  <c r="AG1444" i="6"/>
  <c r="AG1445" i="6"/>
  <c r="AG1446" i="6"/>
  <c r="AG1447" i="6"/>
  <c r="AG1448" i="6"/>
  <c r="AG1449" i="6"/>
  <c r="AG1450" i="6"/>
  <c r="AG1453" i="6"/>
  <c r="AG1454" i="6"/>
  <c r="AG1455" i="6"/>
  <c r="AG1456" i="6"/>
  <c r="AG1457" i="6"/>
  <c r="AG1458" i="6"/>
  <c r="AG1459" i="6"/>
  <c r="AG1460" i="6"/>
  <c r="AG1461" i="6"/>
  <c r="AG1462" i="6"/>
  <c r="AG1463" i="6"/>
  <c r="AG1464" i="6"/>
  <c r="AG1465" i="6"/>
  <c r="AG1466" i="6"/>
  <c r="AG1467" i="6"/>
  <c r="AG1468" i="6"/>
  <c r="AG1469" i="6"/>
  <c r="AG1470" i="6"/>
  <c r="AG1471" i="6"/>
  <c r="AG1472" i="6"/>
  <c r="AG1473" i="6"/>
  <c r="AG1474" i="6"/>
  <c r="AG1475" i="6"/>
  <c r="AG1476" i="6"/>
  <c r="AG1477" i="6"/>
  <c r="AG1478" i="6"/>
  <c r="AG1479" i="6"/>
  <c r="AG1480" i="6"/>
  <c r="AG1481" i="6"/>
  <c r="AG1482" i="6"/>
  <c r="AG1483" i="6"/>
  <c r="AG1484" i="6"/>
  <c r="AG1485" i="6"/>
  <c r="AG1486" i="6"/>
  <c r="AG1487" i="6"/>
  <c r="AG1488" i="6"/>
  <c r="AG1489" i="6"/>
  <c r="AG1490" i="6"/>
  <c r="AG1396" i="6"/>
  <c r="AG1397" i="6"/>
  <c r="AG1398" i="6"/>
  <c r="AG1411" i="6"/>
  <c r="AG1408" i="6"/>
  <c r="AG1403" i="6"/>
  <c r="AG1404" i="6"/>
  <c r="AG1415" i="6"/>
  <c r="AG1451" i="6"/>
  <c r="AG1452" i="6"/>
  <c r="AG1428" i="6"/>
  <c r="AG1425" i="6"/>
  <c r="AG1426" i="6"/>
  <c r="AG1491" i="6"/>
  <c r="AG1492" i="6"/>
  <c r="AG1493" i="6"/>
  <c r="AG1494" i="6"/>
  <c r="AG1495" i="6"/>
  <c r="AG1496" i="6"/>
  <c r="AG1497" i="6"/>
  <c r="AG1498" i="6"/>
  <c r="AG1502" i="6"/>
  <c r="AG1503" i="6"/>
  <c r="AG1504" i="6"/>
  <c r="AG1505" i="6"/>
  <c r="AG1508" i="6"/>
  <c r="AG1509" i="6"/>
  <c r="AG1510" i="6"/>
  <c r="AG1512" i="6"/>
  <c r="AG1513" i="6"/>
  <c r="AG1515" i="6"/>
  <c r="AG1516" i="6"/>
  <c r="AG1517" i="6"/>
  <c r="AG1519" i="6"/>
  <c r="AG1520" i="6"/>
  <c r="AG1521" i="6"/>
  <c r="AG1522" i="6"/>
  <c r="AG1523" i="6"/>
  <c r="AG1524" i="6"/>
  <c r="AG1525" i="6"/>
  <c r="AG1526" i="6"/>
  <c r="AG1527" i="6"/>
  <c r="AG1530" i="6"/>
  <c r="AG1532" i="6"/>
  <c r="AG1533" i="6"/>
  <c r="AG1534" i="6"/>
  <c r="AG1535" i="6"/>
  <c r="AG1536" i="6"/>
  <c r="AG1537" i="6"/>
  <c r="AG1538" i="6"/>
  <c r="AG1539" i="6"/>
  <c r="AG1540" i="6"/>
  <c r="AG1541" i="6"/>
  <c r="AG1542" i="6"/>
  <c r="AG1543" i="6"/>
  <c r="AG1544" i="6"/>
  <c r="AG1545" i="6"/>
  <c r="AG1546" i="6"/>
  <c r="AG1547" i="6"/>
  <c r="AG1548" i="6"/>
  <c r="AG1549" i="6"/>
  <c r="AG1550" i="6"/>
  <c r="AG1551" i="6"/>
  <c r="AG1552" i="6"/>
  <c r="AG1553" i="6"/>
  <c r="AG1556" i="6"/>
  <c r="AG1557" i="6"/>
  <c r="AG1558" i="6"/>
  <c r="AG1559" i="6"/>
  <c r="AG1560" i="6"/>
  <c r="AG1561" i="6"/>
  <c r="AG1562" i="6"/>
  <c r="AG1563" i="6"/>
  <c r="AG1564" i="6"/>
  <c r="AG1565" i="6"/>
  <c r="AG1566" i="6"/>
  <c r="AG1567" i="6"/>
  <c r="AG1568" i="6"/>
  <c r="AG1569" i="6"/>
  <c r="AG1570" i="6"/>
  <c r="AG1571" i="6"/>
  <c r="AG1572" i="6"/>
  <c r="AG1573" i="6"/>
  <c r="AG1574" i="6"/>
  <c r="AG1575" i="6"/>
  <c r="AG1576" i="6"/>
  <c r="AG1577" i="6"/>
  <c r="AG1578" i="6"/>
  <c r="AG1579" i="6"/>
  <c r="AG1580" i="6"/>
  <c r="AG1581" i="6"/>
  <c r="AG1582" i="6"/>
  <c r="AG1583" i="6"/>
  <c r="AG1584" i="6"/>
  <c r="AG1585" i="6"/>
  <c r="AG1586" i="6"/>
  <c r="AG1587" i="6"/>
  <c r="AG1588" i="6"/>
  <c r="AG1589" i="6"/>
  <c r="AG1590" i="6"/>
  <c r="AG1591" i="6"/>
  <c r="AG1592" i="6"/>
  <c r="AG1593" i="6"/>
  <c r="AG1309" i="6"/>
  <c r="AG1310" i="6"/>
  <c r="AG1311" i="6"/>
  <c r="AG1313" i="6"/>
  <c r="AG1314" i="6"/>
  <c r="AG1315" i="6"/>
  <c r="AG1316" i="6"/>
  <c r="AG1317" i="6"/>
  <c r="AG1318" i="6"/>
  <c r="AG1319" i="6"/>
  <c r="AG1320" i="6"/>
  <c r="AG1321" i="6"/>
  <c r="AG1324" i="6"/>
  <c r="AG1326" i="6"/>
  <c r="AG1327" i="6"/>
  <c r="AG1328" i="6"/>
  <c r="AG1329" i="6"/>
  <c r="AG1330" i="6"/>
  <c r="AG1331" i="6"/>
  <c r="AG1332" i="6"/>
  <c r="AG1333" i="6"/>
  <c r="AG1334" i="6"/>
  <c r="AG1335" i="6"/>
  <c r="AG1336" i="6"/>
  <c r="AG1337" i="6"/>
  <c r="AG1338" i="6"/>
  <c r="AG1339" i="6"/>
  <c r="AG1340" i="6"/>
  <c r="AG1341" i="6"/>
  <c r="AG1342" i="6"/>
  <c r="AG1343" i="6"/>
  <c r="AG1344" i="6"/>
  <c r="AG1345" i="6"/>
  <c r="AG1346" i="6"/>
  <c r="AG1347" i="6"/>
  <c r="AG1350" i="6"/>
  <c r="AG1351" i="6"/>
  <c r="AG1352" i="6"/>
  <c r="AG1353" i="6"/>
  <c r="AG1354" i="6"/>
  <c r="AG1355" i="6"/>
  <c r="AG1356" i="6"/>
  <c r="AG1357" i="6"/>
  <c r="AG1358" i="6"/>
  <c r="AG1359" i="6"/>
  <c r="AG1360" i="6"/>
  <c r="AG1361" i="6"/>
  <c r="AG1362" i="6"/>
  <c r="AG1363" i="6"/>
  <c r="AG1364" i="6"/>
  <c r="AG1365" i="6"/>
  <c r="AG1366" i="6"/>
  <c r="AG1367" i="6"/>
  <c r="AG1368" i="6"/>
  <c r="AG1369" i="6"/>
  <c r="AG1370" i="6"/>
  <c r="AG1371" i="6"/>
  <c r="AG1372" i="6"/>
  <c r="AG1373" i="6"/>
  <c r="AG1374" i="6"/>
  <c r="AG1375" i="6"/>
  <c r="AG1376" i="6"/>
  <c r="AG1377" i="6"/>
  <c r="AG1378" i="6"/>
  <c r="AG1379" i="6"/>
  <c r="AG1380" i="6"/>
  <c r="AG1381" i="6"/>
  <c r="AG1382" i="6"/>
  <c r="AG1383" i="6"/>
  <c r="AG1384" i="6"/>
  <c r="AG1385" i="6"/>
  <c r="AG1386" i="6"/>
  <c r="AG1387" i="6"/>
  <c r="AG1293" i="6"/>
  <c r="AG1294" i="6"/>
  <c r="AG1295" i="6"/>
  <c r="AG1308" i="6"/>
  <c r="AG1305" i="6"/>
  <c r="AG1300" i="6"/>
  <c r="AG1301" i="6"/>
  <c r="AG1312" i="6"/>
  <c r="AG1348" i="6"/>
  <c r="AG1349" i="6"/>
  <c r="AG1325" i="6"/>
  <c r="AG1322" i="6"/>
  <c r="AG1323" i="6"/>
  <c r="AG1388" i="6"/>
  <c r="AG1389" i="6"/>
  <c r="AG1390" i="6"/>
  <c r="AG1391" i="6"/>
  <c r="AG1392" i="6"/>
  <c r="AG1393" i="6"/>
  <c r="AG1394" i="6"/>
  <c r="AG1395" i="6"/>
  <c r="AG1399" i="6"/>
  <c r="AG1400" i="6"/>
  <c r="AG1401" i="6"/>
  <c r="AG1402" i="6"/>
  <c r="AG1405" i="6"/>
  <c r="AG1406" i="6"/>
  <c r="AG1407" i="6"/>
  <c r="AG1409" i="6"/>
  <c r="AG1410" i="6"/>
  <c r="AG1412" i="6"/>
  <c r="AG1413" i="6"/>
  <c r="AG1207" i="6"/>
  <c r="AG1208" i="6"/>
  <c r="AG1210" i="6"/>
  <c r="AG1211" i="6"/>
  <c r="AG1212" i="6"/>
  <c r="AG1213" i="6"/>
  <c r="AG1214" i="6"/>
  <c r="AG1215" i="6"/>
  <c r="AG1216" i="6"/>
  <c r="AG1217" i="6"/>
  <c r="AG1218" i="6"/>
  <c r="AG1221" i="6"/>
  <c r="AG1223" i="6"/>
  <c r="AG1224" i="6"/>
  <c r="AG1225" i="6"/>
  <c r="AG1226" i="6"/>
  <c r="AG1227" i="6"/>
  <c r="AG1228" i="6"/>
  <c r="AG1229" i="6"/>
  <c r="AG1230" i="6"/>
  <c r="AG1231" i="6"/>
  <c r="AG1232" i="6"/>
  <c r="AG1233" i="6"/>
  <c r="AG1234" i="6"/>
  <c r="AG1235" i="6"/>
  <c r="AG1236" i="6"/>
  <c r="AG1237" i="6"/>
  <c r="AG1238" i="6"/>
  <c r="AG1239" i="6"/>
  <c r="AG1240" i="6"/>
  <c r="AG1241" i="6"/>
  <c r="AG1242" i="6"/>
  <c r="AG1243" i="6"/>
  <c r="AG1244" i="6"/>
  <c r="AG1247" i="6"/>
  <c r="AG1248" i="6"/>
  <c r="AG1249" i="6"/>
  <c r="AG1250" i="6"/>
  <c r="AG1251" i="6"/>
  <c r="AG1252" i="6"/>
  <c r="AG1253" i="6"/>
  <c r="AG1254" i="6"/>
  <c r="AG1255" i="6"/>
  <c r="AG1256" i="6"/>
  <c r="AG1257" i="6"/>
  <c r="AG1258" i="6"/>
  <c r="AG1259" i="6"/>
  <c r="AG1260" i="6"/>
  <c r="AG1261" i="6"/>
  <c r="AG1262" i="6"/>
  <c r="AG1263" i="6"/>
  <c r="AG1264" i="6"/>
  <c r="AG1265" i="6"/>
  <c r="AG1266" i="6"/>
  <c r="AG1267" i="6"/>
  <c r="AG1268" i="6"/>
  <c r="AG1269" i="6"/>
  <c r="AG1270" i="6"/>
  <c r="AG1271" i="6"/>
  <c r="AG1272" i="6"/>
  <c r="AG1273" i="6"/>
  <c r="AG1274" i="6"/>
  <c r="AG1275" i="6"/>
  <c r="AG1276" i="6"/>
  <c r="AG1277" i="6"/>
  <c r="AG1278" i="6"/>
  <c r="AG1279" i="6"/>
  <c r="AG1280" i="6"/>
  <c r="AG1281" i="6"/>
  <c r="AG1282" i="6"/>
  <c r="AG1283" i="6"/>
  <c r="AG1284" i="6"/>
  <c r="AG1190" i="6"/>
  <c r="AG1191" i="6"/>
  <c r="AG1192" i="6"/>
  <c r="AG1205" i="6"/>
  <c r="AG1202" i="6"/>
  <c r="AG1197" i="6"/>
  <c r="AG1198" i="6"/>
  <c r="AG1209" i="6"/>
  <c r="AG1245" i="6"/>
  <c r="AG1246" i="6"/>
  <c r="AG1222" i="6"/>
  <c r="AG1219" i="6"/>
  <c r="AG1220" i="6"/>
  <c r="AG1285" i="6"/>
  <c r="AG1286" i="6"/>
  <c r="AG1287" i="6"/>
  <c r="AG1288" i="6"/>
  <c r="AG1289" i="6"/>
  <c r="AG1290" i="6"/>
  <c r="AG1291" i="6"/>
  <c r="AG1292" i="6"/>
  <c r="AG1296" i="6"/>
  <c r="AG1297" i="6"/>
  <c r="AG1298" i="6"/>
  <c r="AG1299" i="6"/>
  <c r="AG1302" i="6"/>
  <c r="AG1303" i="6"/>
  <c r="AG1304" i="6"/>
  <c r="AG1306" i="6"/>
  <c r="AG1307" i="6"/>
  <c r="AG1119" i="6"/>
  <c r="AG1116" i="6"/>
  <c r="AG1117" i="6"/>
  <c r="AG1182" i="6"/>
  <c r="AG1183" i="6"/>
  <c r="AG1184" i="6"/>
  <c r="AG1185" i="6"/>
  <c r="AG1186" i="6"/>
  <c r="AG1187" i="6"/>
  <c r="AG1188" i="6"/>
  <c r="AG1189" i="6"/>
  <c r="AG1193" i="6"/>
  <c r="AG1194" i="6"/>
  <c r="AG1195" i="6"/>
  <c r="AG1196" i="6"/>
  <c r="AG1199" i="6"/>
  <c r="AG1200" i="6"/>
  <c r="AG1201" i="6"/>
  <c r="AG1203" i="6"/>
  <c r="AG1204" i="6"/>
  <c r="AG1206" i="6"/>
  <c r="AG1172" i="6"/>
  <c r="AG1173" i="6"/>
  <c r="AG1174" i="6"/>
  <c r="AG1175" i="6"/>
  <c r="AG1176" i="6"/>
  <c r="AG1177" i="6"/>
  <c r="AG1178" i="6"/>
  <c r="AG1179" i="6"/>
  <c r="AG1180" i="6"/>
  <c r="AG1181" i="6"/>
  <c r="AG1087" i="6"/>
  <c r="AG1088" i="6"/>
  <c r="AG1089" i="6"/>
  <c r="AG1102" i="6"/>
  <c r="AG1099" i="6"/>
  <c r="AG1094" i="6"/>
  <c r="AG1095" i="6"/>
  <c r="AG1106" i="6"/>
  <c r="AG1142" i="6"/>
  <c r="AG1143" i="6"/>
  <c r="AG1138" i="6"/>
  <c r="AG1139" i="6"/>
  <c r="AG1140" i="6"/>
  <c r="AG1141" i="6"/>
  <c r="AG1144" i="6"/>
  <c r="AG1145" i="6"/>
  <c r="AG1146" i="6"/>
  <c r="AG1147" i="6"/>
  <c r="AG1148" i="6"/>
  <c r="AG1149" i="6"/>
  <c r="AG1150" i="6"/>
  <c r="AG1151" i="6"/>
  <c r="AG1152" i="6"/>
  <c r="AG1153" i="6"/>
  <c r="AG1154" i="6"/>
  <c r="AG1155" i="6"/>
  <c r="AG1156" i="6"/>
  <c r="AG1157" i="6"/>
  <c r="AG1158" i="6"/>
  <c r="AG1159" i="6"/>
  <c r="AG1160" i="6"/>
  <c r="AG1161" i="6"/>
  <c r="AG1162" i="6"/>
  <c r="AG1163" i="6"/>
  <c r="AG1164" i="6"/>
  <c r="AG1165" i="6"/>
  <c r="AG1166" i="6"/>
  <c r="AG1167" i="6"/>
  <c r="AG1168" i="6"/>
  <c r="AG1169" i="6"/>
  <c r="AG1170" i="6"/>
  <c r="AG1171" i="6"/>
  <c r="AG1079" i="6"/>
  <c r="AG1080" i="6"/>
  <c r="AG1081" i="6"/>
  <c r="AG1082" i="6"/>
  <c r="AG1083" i="6"/>
  <c r="AG1084" i="6"/>
  <c r="AG1085" i="6"/>
  <c r="AG1086" i="6"/>
  <c r="AG1090" i="6"/>
  <c r="AG1091" i="6"/>
  <c r="AG1092" i="6"/>
  <c r="AG1093" i="6"/>
  <c r="AG1096" i="6"/>
  <c r="AG1097" i="6"/>
  <c r="AG1098" i="6"/>
  <c r="AG1100" i="6"/>
  <c r="AG1101" i="6"/>
  <c r="AG1103" i="6"/>
  <c r="AG1104" i="6"/>
  <c r="AG1105" i="6"/>
  <c r="AG1107" i="6"/>
  <c r="AG1108" i="6"/>
  <c r="AG1109" i="6"/>
  <c r="AG1110" i="6"/>
  <c r="AG1111" i="6"/>
  <c r="AG1112" i="6"/>
  <c r="AG1113" i="6"/>
  <c r="AG1114" i="6"/>
  <c r="AG1115" i="6"/>
  <c r="AG1118" i="6"/>
  <c r="AG1120" i="6"/>
  <c r="AG1121" i="6"/>
  <c r="AG1122" i="6"/>
  <c r="AG1123" i="6"/>
  <c r="AG1124" i="6"/>
  <c r="AG1125" i="6"/>
  <c r="AG1126" i="6"/>
  <c r="AG1127" i="6"/>
  <c r="AG1128" i="6"/>
  <c r="AG1129" i="6"/>
  <c r="AG1130" i="6"/>
  <c r="AG1131" i="6"/>
  <c r="AG1132" i="6"/>
  <c r="AG1133" i="6"/>
  <c r="AG1134" i="6"/>
  <c r="AG1135" i="6"/>
  <c r="AG1136" i="6"/>
  <c r="AG1137" i="6"/>
  <c r="AG989" i="6"/>
  <c r="AG990" i="6"/>
  <c r="AG993" i="6"/>
  <c r="AG994" i="6"/>
  <c r="AG995" i="6"/>
  <c r="AG997" i="6"/>
  <c r="AG998" i="6"/>
  <c r="AG1000" i="6"/>
  <c r="AG1001" i="6"/>
  <c r="AG1002" i="6"/>
  <c r="AG1004" i="6"/>
  <c r="AG1005" i="6"/>
  <c r="AG1006" i="6"/>
  <c r="AG1007" i="6"/>
  <c r="AG1008" i="6"/>
  <c r="AG1009" i="6"/>
  <c r="AG1010" i="6"/>
  <c r="AG1011" i="6"/>
  <c r="AG1012" i="6"/>
  <c r="AG1015" i="6"/>
  <c r="AG1017" i="6"/>
  <c r="AG1018" i="6"/>
  <c r="AG1019" i="6"/>
  <c r="AG1020" i="6"/>
  <c r="AG1021" i="6"/>
  <c r="AG1022" i="6"/>
  <c r="AG1023" i="6"/>
  <c r="AG1024" i="6"/>
  <c r="AG1025" i="6"/>
  <c r="AG1026" i="6"/>
  <c r="AG1027" i="6"/>
  <c r="AG1028" i="6"/>
  <c r="AG1029" i="6"/>
  <c r="AG1030" i="6"/>
  <c r="AG1031" i="6"/>
  <c r="AG1032" i="6"/>
  <c r="AG1033" i="6"/>
  <c r="AG1034" i="6"/>
  <c r="AG1035" i="6"/>
  <c r="AG1036" i="6"/>
  <c r="AG1037" i="6"/>
  <c r="AG1038" i="6"/>
  <c r="AG1041" i="6"/>
  <c r="AG1042" i="6"/>
  <c r="AG1043" i="6"/>
  <c r="AG1044" i="6"/>
  <c r="AG1045" i="6"/>
  <c r="AG1046" i="6"/>
  <c r="AG1047" i="6"/>
  <c r="AG1048" i="6"/>
  <c r="AG1049" i="6"/>
  <c r="AG1050" i="6"/>
  <c r="AG1051" i="6"/>
  <c r="AG1052" i="6"/>
  <c r="AG1053" i="6"/>
  <c r="AG1054" i="6"/>
  <c r="AG1055" i="6"/>
  <c r="AG1056" i="6"/>
  <c r="AG1057" i="6"/>
  <c r="AG1058" i="6"/>
  <c r="AG1059" i="6"/>
  <c r="AG1060" i="6"/>
  <c r="AG1061" i="6"/>
  <c r="AG1062" i="6"/>
  <c r="AG1063" i="6"/>
  <c r="AG1064" i="6"/>
  <c r="AG1065" i="6"/>
  <c r="AG1066" i="6"/>
  <c r="AG1067" i="6"/>
  <c r="AG1068" i="6"/>
  <c r="AG1069" i="6"/>
  <c r="AG1070" i="6"/>
  <c r="AG1071" i="6"/>
  <c r="AG1072" i="6"/>
  <c r="AG1073" i="6"/>
  <c r="AG1074" i="6"/>
  <c r="AG1075" i="6"/>
  <c r="AG1076" i="6"/>
  <c r="AG1077" i="6"/>
  <c r="AG1078" i="6"/>
  <c r="AG984" i="6"/>
  <c r="AG985" i="6"/>
  <c r="AG986" i="6"/>
  <c r="AG999" i="6"/>
  <c r="AG996" i="6"/>
  <c r="AG991" i="6"/>
  <c r="AG992" i="6"/>
  <c r="AG1003" i="6"/>
  <c r="AG1039" i="6"/>
  <c r="AG1040" i="6"/>
  <c r="AG1016" i="6"/>
  <c r="AG1013" i="6"/>
  <c r="AG1014" i="6"/>
  <c r="AG976" i="6"/>
  <c r="AG977" i="6"/>
  <c r="AG978" i="6"/>
  <c r="AG979" i="6"/>
  <c r="AG980" i="6"/>
  <c r="AG981" i="6"/>
  <c r="AG982" i="6"/>
  <c r="AG983" i="6"/>
  <c r="AG987" i="6"/>
  <c r="AG988" i="6"/>
  <c r="AG881" i="6"/>
  <c r="AG882" i="6"/>
  <c r="AG883" i="6"/>
  <c r="AG896" i="6"/>
  <c r="AG893" i="6"/>
  <c r="AG888" i="6"/>
  <c r="AG889" i="6"/>
  <c r="AG900" i="6"/>
  <c r="AG935" i="6"/>
  <c r="AG936" i="6"/>
  <c r="AG975" i="6"/>
  <c r="AG910" i="6"/>
  <c r="AG911" i="6"/>
  <c r="AG874" i="6"/>
  <c r="AG875" i="6"/>
  <c r="AG876" i="6"/>
  <c r="AG877" i="6"/>
  <c r="AG878" i="6"/>
  <c r="AG879" i="6"/>
  <c r="AG880" i="6"/>
  <c r="AG884" i="6"/>
  <c r="AG885" i="6"/>
  <c r="AG886" i="6"/>
  <c r="AG887" i="6"/>
  <c r="AG890" i="6"/>
  <c r="AG891" i="6"/>
  <c r="AG892" i="6"/>
  <c r="AG894" i="6"/>
  <c r="AG895" i="6"/>
  <c r="AG897" i="6"/>
  <c r="AG898" i="6"/>
  <c r="AG899" i="6"/>
  <c r="AG901" i="6"/>
  <c r="AG902" i="6"/>
  <c r="AG903" i="6"/>
  <c r="AG904" i="6"/>
  <c r="AG905" i="6"/>
  <c r="AG906" i="6"/>
  <c r="AG907" i="6"/>
  <c r="AG908" i="6"/>
  <c r="AG909" i="6"/>
  <c r="AG912" i="6"/>
  <c r="AG913" i="6"/>
  <c r="AG914" i="6"/>
  <c r="AG915" i="6"/>
  <c r="AG916" i="6"/>
  <c r="AG917" i="6"/>
  <c r="AG918" i="6"/>
  <c r="AG919" i="6"/>
  <c r="AG920" i="6"/>
  <c r="AG921" i="6"/>
  <c r="AG922" i="6"/>
  <c r="AG923" i="6"/>
  <c r="AG924" i="6"/>
  <c r="AG925" i="6"/>
  <c r="AG926" i="6"/>
  <c r="AG927" i="6"/>
  <c r="AG928" i="6"/>
  <c r="AG929" i="6"/>
  <c r="AG930" i="6"/>
  <c r="AG931" i="6"/>
  <c r="AG932" i="6"/>
  <c r="AG933" i="6"/>
  <c r="AG934" i="6"/>
  <c r="AG937" i="6"/>
  <c r="AG938" i="6"/>
  <c r="AG939" i="6"/>
  <c r="AG940" i="6"/>
  <c r="AG941" i="6"/>
  <c r="AG942" i="6"/>
  <c r="AG943" i="6"/>
  <c r="AG944" i="6"/>
  <c r="AG945" i="6"/>
  <c r="AG946" i="6"/>
  <c r="AG947" i="6"/>
  <c r="AG948" i="6"/>
  <c r="AG949" i="6"/>
  <c r="AG950" i="6"/>
  <c r="AG951" i="6"/>
  <c r="AG952" i="6"/>
  <c r="AG953" i="6"/>
  <c r="AG954" i="6"/>
  <c r="AG955" i="6"/>
  <c r="AG956" i="6"/>
  <c r="AG957" i="6"/>
  <c r="AG958" i="6"/>
  <c r="AG959" i="6"/>
  <c r="AG960" i="6"/>
  <c r="AG961" i="6"/>
  <c r="AG962" i="6"/>
  <c r="AG963" i="6"/>
  <c r="AG964" i="6"/>
  <c r="AG965" i="6"/>
  <c r="AG966" i="6"/>
  <c r="AG967" i="6"/>
  <c r="AG968" i="6"/>
  <c r="AG969" i="6"/>
  <c r="AG970" i="6"/>
  <c r="AG971" i="6"/>
  <c r="AG972" i="6"/>
  <c r="AG973" i="6"/>
  <c r="AG974" i="6"/>
  <c r="AG873" i="6"/>
  <c r="F2203" i="6"/>
  <c r="F2209" i="6"/>
  <c r="F2216" i="6"/>
  <c r="AG2284" i="6"/>
  <c r="AF2284" i="6"/>
  <c r="AE2284" i="6"/>
  <c r="AD2284" i="6"/>
  <c r="AC2284" i="6"/>
  <c r="AB2284" i="6"/>
  <c r="AA2284" i="6"/>
  <c r="Z2284" i="6"/>
  <c r="Y2284" i="6"/>
  <c r="X2284" i="6"/>
  <c r="W2284" i="6"/>
  <c r="AG872" i="6"/>
  <c r="AF872" i="6"/>
  <c r="AE872" i="6"/>
  <c r="AD872" i="6"/>
  <c r="AC872" i="6"/>
  <c r="AB872" i="6"/>
  <c r="AA872" i="6"/>
  <c r="Z872" i="6"/>
  <c r="Y872" i="6"/>
  <c r="X872" i="6"/>
  <c r="W872" i="6"/>
  <c r="AG648" i="6"/>
  <c r="AG649" i="6"/>
  <c r="AG650" i="6"/>
  <c r="AG651" i="6"/>
  <c r="AG652" i="6"/>
  <c r="AG653" i="6"/>
  <c r="AG654" i="6"/>
  <c r="AG655" i="6"/>
  <c r="AG656" i="6"/>
  <c r="AG657" i="6"/>
  <c r="AG658" i="6"/>
  <c r="AG659" i="6"/>
  <c r="AG660" i="6"/>
  <c r="AG661" i="6"/>
  <c r="AG662" i="6"/>
  <c r="AG669" i="6"/>
  <c r="AG670" i="6"/>
  <c r="AG671" i="6"/>
  <c r="AG672" i="6"/>
  <c r="AG673" i="6"/>
  <c r="AG674" i="6"/>
  <c r="AG675" i="6"/>
  <c r="AG676" i="6"/>
  <c r="AG681" i="6"/>
  <c r="AG682" i="6"/>
  <c r="AG683" i="6"/>
  <c r="AG684" i="6"/>
  <c r="AG685" i="6"/>
  <c r="AG686" i="6"/>
  <c r="AG689" i="6"/>
  <c r="AG690" i="6"/>
  <c r="AG691" i="6"/>
  <c r="AG692" i="6"/>
  <c r="AG695" i="6"/>
  <c r="AG696" i="6"/>
  <c r="AG697" i="6"/>
  <c r="AG698" i="6"/>
  <c r="AG699" i="6"/>
  <c r="AG700" i="6"/>
  <c r="AG703" i="6"/>
  <c r="AG704" i="6"/>
  <c r="AG705" i="6"/>
  <c r="AG706" i="6"/>
  <c r="AG707" i="6"/>
  <c r="AG708" i="6"/>
  <c r="AG709" i="6"/>
  <c r="AG710" i="6"/>
  <c r="AG711" i="6"/>
  <c r="AG712" i="6"/>
  <c r="AG713" i="6"/>
  <c r="AG714" i="6"/>
  <c r="AG715" i="6"/>
  <c r="AG716" i="6"/>
  <c r="AG717" i="6"/>
  <c r="AG718" i="6"/>
  <c r="AG719" i="6"/>
  <c r="AG720" i="6"/>
  <c r="AG725" i="6"/>
  <c r="AG726" i="6"/>
  <c r="AG729" i="6"/>
  <c r="AG730" i="6"/>
  <c r="AG731" i="6"/>
  <c r="AG732" i="6"/>
  <c r="AG733" i="6"/>
  <c r="AG734" i="6"/>
  <c r="AG735" i="6"/>
  <c r="AG736" i="6"/>
  <c r="AG737" i="6"/>
  <c r="AG738" i="6"/>
  <c r="AG739" i="6"/>
  <c r="AG740" i="6"/>
  <c r="AG741" i="6"/>
  <c r="AG742" i="6"/>
  <c r="AG743" i="6"/>
  <c r="AG744" i="6"/>
  <c r="AG745" i="6"/>
  <c r="AG746" i="6"/>
  <c r="AG747" i="6"/>
  <c r="AG748" i="6"/>
  <c r="AG749" i="6"/>
  <c r="AG750" i="6"/>
  <c r="AG751" i="6"/>
  <c r="AG752" i="6"/>
  <c r="AG753" i="6"/>
  <c r="AG754" i="6"/>
  <c r="AG755" i="6"/>
  <c r="AG756" i="6"/>
  <c r="AG757" i="6"/>
  <c r="AG758" i="6"/>
  <c r="AG759" i="6"/>
  <c r="AG760" i="6"/>
  <c r="AG761" i="6"/>
  <c r="AG762" i="6"/>
  <c r="AG763" i="6"/>
  <c r="AG764" i="6"/>
  <c r="AG765" i="6"/>
  <c r="AG766" i="6"/>
  <c r="AG767" i="6"/>
  <c r="AG768" i="6"/>
  <c r="AG769" i="6"/>
  <c r="AG770" i="6"/>
  <c r="AG771" i="6"/>
  <c r="AG776" i="6"/>
  <c r="AG777" i="6"/>
  <c r="AG778" i="6"/>
  <c r="AG779" i="6"/>
  <c r="AG780" i="6"/>
  <c r="AG781" i="6"/>
  <c r="AG782" i="6"/>
  <c r="AG783" i="6"/>
  <c r="AG784" i="6"/>
  <c r="AG785" i="6"/>
  <c r="AG786" i="6"/>
  <c r="AG787" i="6"/>
  <c r="AG788" i="6"/>
  <c r="AG789" i="6"/>
  <c r="AG790" i="6"/>
  <c r="AG791" i="6"/>
  <c r="AG792" i="6"/>
  <c r="AG793" i="6"/>
  <c r="AG794" i="6"/>
  <c r="AG795" i="6"/>
  <c r="AG796" i="6"/>
  <c r="AG797" i="6"/>
  <c r="AG798" i="6"/>
  <c r="AG799" i="6"/>
  <c r="AG800" i="6"/>
  <c r="AG801" i="6"/>
  <c r="AG802" i="6"/>
  <c r="AG803" i="6"/>
  <c r="AG804" i="6"/>
  <c r="AG805" i="6"/>
  <c r="AG806" i="6"/>
  <c r="AG807" i="6"/>
  <c r="AG808" i="6"/>
  <c r="AG809" i="6"/>
  <c r="AG810" i="6"/>
  <c r="AG811" i="6"/>
  <c r="AG812" i="6"/>
  <c r="AG813" i="6"/>
  <c r="AG814" i="6"/>
  <c r="AG815" i="6"/>
  <c r="AG816" i="6"/>
  <c r="AG817" i="6"/>
  <c r="AG818" i="6"/>
  <c r="AG819" i="6"/>
  <c r="AG820" i="6"/>
  <c r="AG821" i="6"/>
  <c r="AG822" i="6"/>
  <c r="AG823" i="6"/>
  <c r="AG824" i="6"/>
  <c r="AG825" i="6"/>
  <c r="AG826" i="6"/>
  <c r="AG827" i="6"/>
  <c r="AG828" i="6"/>
  <c r="AG829" i="6"/>
  <c r="AG830" i="6"/>
  <c r="AG831" i="6"/>
  <c r="AG832" i="6"/>
  <c r="AG833" i="6"/>
  <c r="AG834" i="6"/>
  <c r="AG835" i="6"/>
  <c r="AG836" i="6"/>
  <c r="AG837" i="6"/>
  <c r="AG838" i="6"/>
  <c r="AG839" i="6"/>
  <c r="AG840" i="6"/>
  <c r="AG841" i="6"/>
  <c r="AG842" i="6"/>
  <c r="AG843" i="6"/>
  <c r="AG844" i="6"/>
  <c r="AG845" i="6"/>
  <c r="AG846" i="6"/>
  <c r="AG847" i="6"/>
  <c r="AG848" i="6"/>
  <c r="AG849" i="6"/>
  <c r="AG850" i="6"/>
  <c r="AG851" i="6"/>
  <c r="AG852" i="6"/>
  <c r="AG663" i="6"/>
  <c r="AG664" i="6"/>
  <c r="AG665" i="6"/>
  <c r="AG666" i="6"/>
  <c r="AG667" i="6"/>
  <c r="AG668" i="6"/>
  <c r="AG693" i="6"/>
  <c r="AG694" i="6"/>
  <c r="AG687" i="6"/>
  <c r="AG688" i="6"/>
  <c r="AG677" i="6"/>
  <c r="AG678" i="6"/>
  <c r="AG679" i="6"/>
  <c r="AG680" i="6"/>
  <c r="AG701" i="6"/>
  <c r="AG702" i="6"/>
  <c r="AG772" i="6"/>
  <c r="AG773" i="6"/>
  <c r="AG774" i="6"/>
  <c r="AG775" i="6"/>
  <c r="AG727" i="6"/>
  <c r="AG728" i="6"/>
  <c r="AG721" i="6"/>
  <c r="AG722" i="6"/>
  <c r="AG723" i="6"/>
  <c r="AG724" i="6"/>
  <c r="AG647" i="6"/>
  <c r="AG613" i="6"/>
  <c r="AG614" i="6"/>
  <c r="AG615" i="6"/>
  <c r="AG616" i="6"/>
  <c r="AG617" i="6"/>
  <c r="J618" i="6"/>
  <c r="AG618" i="6"/>
  <c r="J619" i="6"/>
  <c r="AG619" i="6"/>
  <c r="AG620" i="6"/>
  <c r="AG621" i="6"/>
  <c r="J622" i="6"/>
  <c r="AG622" i="6"/>
  <c r="J623" i="6"/>
  <c r="AG623" i="6"/>
  <c r="AG624" i="6"/>
  <c r="AG625" i="6"/>
  <c r="AG626" i="6"/>
  <c r="J627" i="6"/>
  <c r="AG627" i="6"/>
  <c r="F628" i="6"/>
  <c r="F549" i="6"/>
  <c r="K549" i="6"/>
  <c r="K628" i="6"/>
  <c r="S559" i="6"/>
  <c r="J628" i="6"/>
  <c r="AG628" i="6"/>
  <c r="AG629" i="6"/>
  <c r="F630" i="6"/>
  <c r="F550" i="6"/>
  <c r="K550" i="6"/>
  <c r="K630" i="6"/>
  <c r="S561" i="6"/>
  <c r="S566" i="6"/>
  <c r="J630" i="6"/>
  <c r="AG630" i="6"/>
  <c r="AG631" i="6"/>
  <c r="AG632" i="6"/>
  <c r="AG633" i="6"/>
  <c r="F634" i="6"/>
  <c r="F551" i="6"/>
  <c r="F552" i="6"/>
  <c r="J552" i="6"/>
  <c r="K552" i="6"/>
  <c r="K634" i="6"/>
  <c r="J634" i="6"/>
  <c r="AG634" i="6"/>
  <c r="AG635" i="6"/>
  <c r="AG636" i="6"/>
  <c r="AG637" i="6"/>
  <c r="F638" i="6"/>
  <c r="F553" i="6"/>
  <c r="F554" i="6"/>
  <c r="J554" i="6"/>
  <c r="K554" i="6"/>
  <c r="K638" i="6"/>
  <c r="J638" i="6"/>
  <c r="AG638" i="6"/>
  <c r="AG639" i="6"/>
  <c r="F640" i="6"/>
  <c r="F555" i="6"/>
  <c r="J553" i="6"/>
  <c r="J555" i="6"/>
  <c r="K555" i="6"/>
  <c r="K640" i="6"/>
  <c r="J640" i="6"/>
  <c r="AG640" i="6"/>
  <c r="AG581" i="6"/>
  <c r="AG582" i="6"/>
  <c r="J583" i="6"/>
  <c r="AG583" i="6"/>
  <c r="J584" i="6"/>
  <c r="AG584" i="6"/>
  <c r="J585" i="6"/>
  <c r="AG585" i="6"/>
  <c r="AG586" i="6"/>
  <c r="J587" i="6"/>
  <c r="AG587" i="6"/>
  <c r="J588" i="6"/>
  <c r="AG588" i="6"/>
  <c r="AG589" i="6"/>
  <c r="AG590" i="6"/>
  <c r="AG591" i="6"/>
  <c r="AG592" i="6"/>
  <c r="AG593" i="6"/>
  <c r="AG594" i="6"/>
  <c r="AG595" i="6"/>
  <c r="AG596" i="6"/>
  <c r="AG597" i="6"/>
  <c r="AG598" i="6"/>
  <c r="AG599" i="6"/>
  <c r="AG600" i="6"/>
  <c r="AG601" i="6"/>
  <c r="AG602" i="6"/>
  <c r="AG603" i="6"/>
  <c r="AG604" i="6"/>
  <c r="AG605" i="6"/>
  <c r="AG606" i="6"/>
  <c r="AG607" i="6"/>
  <c r="AG608" i="6"/>
  <c r="AG609" i="6"/>
  <c r="AG610" i="6"/>
  <c r="AG611" i="6"/>
  <c r="AG612" i="6"/>
  <c r="AG550" i="6"/>
  <c r="J551" i="6"/>
  <c r="AG551" i="6"/>
  <c r="AG552" i="6"/>
  <c r="AG553" i="6"/>
  <c r="AG554" i="6"/>
  <c r="AG555" i="6"/>
  <c r="J556" i="6"/>
  <c r="AG556" i="6"/>
  <c r="AG557" i="6"/>
  <c r="AG558" i="6"/>
  <c r="AG559" i="6"/>
  <c r="AG560" i="6"/>
  <c r="AG561" i="6"/>
  <c r="AG562" i="6"/>
  <c r="AG563" i="6"/>
  <c r="AG564" i="6"/>
  <c r="AG565" i="6"/>
  <c r="AG566" i="6"/>
  <c r="AG567" i="6"/>
  <c r="AG568" i="6"/>
  <c r="AG569" i="6"/>
  <c r="AG570" i="6"/>
  <c r="AG571" i="6"/>
  <c r="AG572" i="6"/>
  <c r="AG573" i="6"/>
  <c r="AG574" i="6"/>
  <c r="AG575" i="6"/>
  <c r="AG576" i="6"/>
  <c r="AG577" i="6"/>
  <c r="AG578" i="6"/>
  <c r="AG579" i="6"/>
  <c r="AG580" i="6"/>
  <c r="AG549" i="6"/>
  <c r="F514" i="6"/>
  <c r="AG514" i="6"/>
  <c r="F515" i="6"/>
  <c r="AG515" i="6"/>
  <c r="F516" i="6"/>
  <c r="AG516" i="6"/>
  <c r="F517" i="6"/>
  <c r="AG517" i="6"/>
  <c r="F518" i="6"/>
  <c r="AG518" i="6"/>
  <c r="F519" i="6"/>
  <c r="AG519" i="6"/>
  <c r="F520" i="6"/>
  <c r="AG520" i="6"/>
  <c r="F521" i="6"/>
  <c r="AG521" i="6"/>
  <c r="F522" i="6"/>
  <c r="AG522" i="6"/>
  <c r="F523" i="6"/>
  <c r="AG523" i="6"/>
  <c r="F524" i="6"/>
  <c r="AG524" i="6"/>
  <c r="F525" i="6"/>
  <c r="AG525" i="6"/>
  <c r="F526" i="6"/>
  <c r="AG526" i="6"/>
  <c r="F527" i="6"/>
  <c r="AG527" i="6"/>
  <c r="F528" i="6"/>
  <c r="AG528" i="6"/>
  <c r="F513" i="6"/>
  <c r="AG513" i="6"/>
  <c r="AG476" i="6"/>
  <c r="AG477" i="6"/>
  <c r="AG478" i="6"/>
  <c r="AG479" i="6"/>
  <c r="AG480" i="6"/>
  <c r="AG481" i="6"/>
  <c r="AG482" i="6"/>
  <c r="AG483" i="6"/>
  <c r="J484" i="6"/>
  <c r="AG484" i="6"/>
  <c r="J485" i="6"/>
  <c r="AG485" i="6"/>
  <c r="J486" i="6"/>
  <c r="AG486" i="6"/>
  <c r="AG487" i="6"/>
  <c r="AG488" i="6"/>
  <c r="AG489" i="6"/>
  <c r="AG490" i="6"/>
  <c r="AG491" i="6"/>
  <c r="AG492" i="6"/>
  <c r="AG493" i="6"/>
  <c r="AG494" i="6"/>
  <c r="AG495" i="6"/>
  <c r="AG496" i="6"/>
  <c r="AG497" i="6"/>
  <c r="AG498" i="6"/>
  <c r="AG499" i="6"/>
  <c r="AG500" i="6"/>
  <c r="AG501" i="6"/>
  <c r="AG502" i="6"/>
  <c r="AG503" i="6"/>
  <c r="AG504" i="6"/>
  <c r="F475" i="6"/>
  <c r="F505" i="6"/>
  <c r="K475" i="6"/>
  <c r="K505" i="6"/>
  <c r="J505" i="6"/>
  <c r="AG505" i="6"/>
  <c r="F476" i="6"/>
  <c r="F506" i="6"/>
  <c r="K476" i="6"/>
  <c r="K506" i="6"/>
  <c r="J506" i="6"/>
  <c r="AG506" i="6"/>
  <c r="F477" i="6"/>
  <c r="F507" i="6"/>
  <c r="K477" i="6"/>
  <c r="K507" i="6"/>
  <c r="J507" i="6"/>
  <c r="AG507" i="6"/>
  <c r="AG475" i="6"/>
  <c r="AG473" i="6"/>
  <c r="AF473" i="6"/>
  <c r="AE473" i="6"/>
  <c r="AD473" i="6"/>
  <c r="AC473" i="6"/>
  <c r="AB473" i="6"/>
  <c r="AA473" i="6"/>
  <c r="Z473" i="6"/>
  <c r="Y473" i="6"/>
  <c r="X473" i="6"/>
  <c r="W473" i="6"/>
  <c r="AG264" i="6"/>
  <c r="AF264" i="6"/>
  <c r="AE264" i="6"/>
  <c r="AD264" i="6"/>
  <c r="AC264" i="6"/>
  <c r="AB264" i="6"/>
  <c r="AA264" i="6"/>
  <c r="Z264" i="6"/>
  <c r="Y264" i="6"/>
  <c r="X264" i="6"/>
  <c r="W264" i="6"/>
  <c r="F365" i="6"/>
  <c r="F391" i="6"/>
  <c r="F416" i="6"/>
  <c r="I265" i="6"/>
  <c r="I275" i="6"/>
  <c r="I285" i="6"/>
  <c r="I295" i="6"/>
  <c r="I305" i="6"/>
  <c r="I266" i="6"/>
  <c r="I276" i="6"/>
  <c r="I286" i="6"/>
  <c r="I296" i="6"/>
  <c r="I306" i="6"/>
  <c r="I267" i="6"/>
  <c r="I277" i="6"/>
  <c r="I287" i="6"/>
  <c r="I297" i="6"/>
  <c r="I307" i="6"/>
  <c r="I268" i="6"/>
  <c r="I278" i="6"/>
  <c r="I288" i="6"/>
  <c r="I298" i="6"/>
  <c r="I308" i="6"/>
  <c r="I269" i="6"/>
  <c r="I279" i="6"/>
  <c r="I289" i="6"/>
  <c r="I299" i="6"/>
  <c r="I309" i="6"/>
  <c r="I270" i="6"/>
  <c r="I280" i="6"/>
  <c r="I290" i="6"/>
  <c r="I300" i="6"/>
  <c r="I310" i="6"/>
  <c r="I271" i="6"/>
  <c r="I281" i="6"/>
  <c r="I291" i="6"/>
  <c r="I301" i="6"/>
  <c r="I311" i="6"/>
  <c r="I272" i="6"/>
  <c r="I282" i="6"/>
  <c r="I292" i="6"/>
  <c r="I302" i="6"/>
  <c r="I312" i="6"/>
  <c r="I273" i="6"/>
  <c r="I283" i="6"/>
  <c r="I293" i="6"/>
  <c r="I303" i="6"/>
  <c r="I313" i="6"/>
  <c r="I274" i="6"/>
  <c r="I284" i="6"/>
  <c r="I294" i="6"/>
  <c r="I304" i="6"/>
  <c r="I314" i="6"/>
  <c r="J314" i="6"/>
  <c r="L416" i="6"/>
  <c r="Q267" i="6"/>
  <c r="Q268" i="6"/>
  <c r="Q269" i="6"/>
  <c r="K273" i="6"/>
  <c r="K416" i="6"/>
  <c r="S286" i="6"/>
  <c r="J416" i="6"/>
  <c r="AF416" i="6"/>
  <c r="AF417" i="6"/>
  <c r="F367" i="6"/>
  <c r="F393" i="6"/>
  <c r="F418" i="6"/>
  <c r="L418" i="6"/>
  <c r="K268" i="6"/>
  <c r="K418" i="6"/>
  <c r="J418" i="6"/>
  <c r="AF418" i="6"/>
  <c r="F368" i="6"/>
  <c r="F394" i="6"/>
  <c r="F419" i="6"/>
  <c r="L419" i="6"/>
  <c r="K267" i="6"/>
  <c r="K419" i="6"/>
  <c r="J419" i="6"/>
  <c r="AF419" i="6"/>
  <c r="AF420" i="6"/>
  <c r="F370" i="6"/>
  <c r="F396" i="6"/>
  <c r="F421" i="6"/>
  <c r="L421" i="6"/>
  <c r="K421" i="6"/>
  <c r="J421" i="6"/>
  <c r="AF421" i="6"/>
  <c r="AF422" i="6"/>
  <c r="F372" i="6"/>
  <c r="F398" i="6"/>
  <c r="F423" i="6"/>
  <c r="L423" i="6"/>
  <c r="K269" i="6"/>
  <c r="K423" i="6"/>
  <c r="J423" i="6"/>
  <c r="AF423" i="6"/>
  <c r="AF424" i="6"/>
  <c r="AF425" i="6"/>
  <c r="AF426" i="6"/>
  <c r="F376" i="6"/>
  <c r="F402" i="6"/>
  <c r="F427" i="6"/>
  <c r="L427" i="6"/>
  <c r="K271" i="6"/>
  <c r="K427" i="6"/>
  <c r="S278" i="6"/>
  <c r="I376" i="6"/>
  <c r="I402" i="6"/>
  <c r="I427" i="6"/>
  <c r="J351" i="6"/>
  <c r="F242" i="6"/>
  <c r="F243" i="6"/>
  <c r="F244" i="6"/>
  <c r="F245" i="6"/>
  <c r="L441" i="6"/>
  <c r="F231" i="6"/>
  <c r="F232" i="6"/>
  <c r="F233" i="6"/>
  <c r="F234" i="6"/>
  <c r="F235" i="6"/>
  <c r="F236" i="6"/>
  <c r="F237" i="6"/>
  <c r="F238" i="6"/>
  <c r="F239" i="6"/>
  <c r="F240" i="6"/>
  <c r="F241" i="6"/>
  <c r="F246" i="6"/>
  <c r="F247" i="6"/>
  <c r="F248" i="6"/>
  <c r="F249" i="6"/>
  <c r="J353" i="6"/>
  <c r="F250" i="6"/>
  <c r="F251" i="6"/>
  <c r="F252" i="6"/>
  <c r="F253" i="6"/>
  <c r="J441" i="6"/>
  <c r="L442" i="6"/>
  <c r="J442" i="6"/>
  <c r="J427" i="6"/>
  <c r="AF427" i="6"/>
  <c r="AF428" i="6"/>
  <c r="AF429" i="6"/>
  <c r="AF430" i="6"/>
  <c r="F380" i="6"/>
  <c r="F406" i="6"/>
  <c r="F431" i="6"/>
  <c r="L431" i="6"/>
  <c r="K270" i="6"/>
  <c r="K431" i="6"/>
  <c r="J431" i="6"/>
  <c r="AF431" i="6"/>
  <c r="AF432" i="6"/>
  <c r="F382" i="6"/>
  <c r="F408" i="6"/>
  <c r="F433" i="6"/>
  <c r="L433" i="6"/>
  <c r="K272" i="6"/>
  <c r="K433" i="6"/>
  <c r="S275" i="6"/>
  <c r="I382" i="6"/>
  <c r="I408" i="6"/>
  <c r="I433" i="6"/>
  <c r="J433" i="6"/>
  <c r="AF433" i="6"/>
  <c r="AF434" i="6"/>
  <c r="F384" i="6"/>
  <c r="F410" i="6"/>
  <c r="F435" i="6"/>
  <c r="L435" i="6"/>
  <c r="K435" i="6"/>
  <c r="J435" i="6"/>
  <c r="AF435" i="6"/>
  <c r="AF436" i="6"/>
  <c r="AF437" i="6"/>
  <c r="AF438" i="6"/>
  <c r="L439" i="6"/>
  <c r="J274" i="6"/>
  <c r="K274" i="6"/>
  <c r="K439" i="6"/>
  <c r="J439" i="6"/>
  <c r="AF439" i="6"/>
  <c r="AF440" i="6"/>
  <c r="AG266" i="6"/>
  <c r="AG267" i="6"/>
  <c r="AG268" i="6"/>
  <c r="AG269" i="6"/>
  <c r="AG270" i="6"/>
  <c r="AG271" i="6"/>
  <c r="AG272" i="6"/>
  <c r="AG273" i="6"/>
  <c r="AG274" i="6"/>
  <c r="AG275" i="6"/>
  <c r="AG276" i="6"/>
  <c r="AG277" i="6"/>
  <c r="AG278" i="6"/>
  <c r="AG279" i="6"/>
  <c r="AG280" i="6"/>
  <c r="AG281" i="6"/>
  <c r="AG282" i="6"/>
  <c r="AG283" i="6"/>
  <c r="AG284" i="6"/>
  <c r="AG285" i="6"/>
  <c r="AG286" i="6"/>
  <c r="AG287" i="6"/>
  <c r="AG288" i="6"/>
  <c r="AG289" i="6"/>
  <c r="AG290" i="6"/>
  <c r="AG291" i="6"/>
  <c r="AG292" i="6"/>
  <c r="AG293" i="6"/>
  <c r="J294" i="6"/>
  <c r="AG294" i="6"/>
  <c r="AG295" i="6"/>
  <c r="AG296" i="6"/>
  <c r="AG297" i="6"/>
  <c r="AG298" i="6"/>
  <c r="AG299" i="6"/>
  <c r="AG300" i="6"/>
  <c r="AG301" i="6"/>
  <c r="AG302" i="6"/>
  <c r="AG303" i="6"/>
  <c r="J304" i="6"/>
  <c r="AG304" i="6"/>
  <c r="AG305" i="6"/>
  <c r="AG306" i="6"/>
  <c r="AG307" i="6"/>
  <c r="AG308" i="6"/>
  <c r="AG309" i="6"/>
  <c r="AG310" i="6"/>
  <c r="AG311" i="6"/>
  <c r="AG312" i="6"/>
  <c r="AG313" i="6"/>
  <c r="AG314" i="6"/>
  <c r="AG315" i="6"/>
  <c r="AG316" i="6"/>
  <c r="AG317" i="6"/>
  <c r="AG318" i="6"/>
  <c r="AG319" i="6"/>
  <c r="AG320" i="6"/>
  <c r="AG321" i="6"/>
  <c r="AG322" i="6"/>
  <c r="AG323" i="6"/>
  <c r="AG324" i="6"/>
  <c r="AG325" i="6"/>
  <c r="AG326" i="6"/>
  <c r="AG327" i="6"/>
  <c r="AG328" i="6"/>
  <c r="AG329" i="6"/>
  <c r="AG330" i="6"/>
  <c r="AG331" i="6"/>
  <c r="AG332" i="6"/>
  <c r="AG333" i="6"/>
  <c r="AG334" i="6"/>
  <c r="AG335" i="6"/>
  <c r="AG336" i="6"/>
  <c r="AG337" i="6"/>
  <c r="AG338" i="6"/>
  <c r="AG339" i="6"/>
  <c r="AG340" i="6"/>
  <c r="AG341" i="6"/>
  <c r="AG342" i="6"/>
  <c r="AG343" i="6"/>
  <c r="AG344" i="6"/>
  <c r="AG345" i="6"/>
  <c r="AG346" i="6"/>
  <c r="AG347" i="6"/>
  <c r="AG348" i="6"/>
  <c r="AG349" i="6"/>
  <c r="AG350" i="6"/>
  <c r="AG351" i="6"/>
  <c r="J352" i="6"/>
  <c r="AG352" i="6"/>
  <c r="AG353" i="6"/>
  <c r="AG354" i="6"/>
  <c r="AG355" i="6"/>
  <c r="AG356" i="6"/>
  <c r="AG357" i="6"/>
  <c r="AG358" i="6"/>
  <c r="AG359" i="6"/>
  <c r="AG360" i="6"/>
  <c r="AG361" i="6"/>
  <c r="AG362" i="6"/>
  <c r="AG363" i="6"/>
  <c r="AG364" i="6"/>
  <c r="AG365" i="6"/>
  <c r="AG366" i="6"/>
  <c r="AG367" i="6"/>
  <c r="AG368" i="6"/>
  <c r="AG369" i="6"/>
  <c r="AG370" i="6"/>
  <c r="AG371" i="6"/>
  <c r="AG372" i="6"/>
  <c r="AG373" i="6"/>
  <c r="AG374" i="6"/>
  <c r="AG375" i="6"/>
  <c r="AG376" i="6"/>
  <c r="AG377" i="6"/>
  <c r="AG378" i="6"/>
  <c r="AG379" i="6"/>
  <c r="AG380" i="6"/>
  <c r="AG381" i="6"/>
  <c r="AG382" i="6"/>
  <c r="AG383" i="6"/>
  <c r="AG384" i="6"/>
  <c r="AG385" i="6"/>
  <c r="AG386" i="6"/>
  <c r="AG387" i="6"/>
  <c r="AG388" i="6"/>
  <c r="AG389" i="6"/>
  <c r="AG390" i="6"/>
  <c r="AG391" i="6"/>
  <c r="AG392" i="6"/>
  <c r="AG393" i="6"/>
  <c r="AG394" i="6"/>
  <c r="AG395" i="6"/>
  <c r="AG396" i="6"/>
  <c r="AG397" i="6"/>
  <c r="AG398" i="6"/>
  <c r="AG399" i="6"/>
  <c r="AG400" i="6"/>
  <c r="AG401" i="6"/>
  <c r="AG402" i="6"/>
  <c r="AG403" i="6"/>
  <c r="AG404" i="6"/>
  <c r="AG405" i="6"/>
  <c r="AG406" i="6"/>
  <c r="AG407" i="6"/>
  <c r="AG408" i="6"/>
  <c r="AG409" i="6"/>
  <c r="AG410" i="6"/>
  <c r="AG411" i="6"/>
  <c r="AG412" i="6"/>
  <c r="AG413" i="6"/>
  <c r="AG414" i="6"/>
  <c r="AG415" i="6"/>
  <c r="AG416" i="6"/>
  <c r="AG417" i="6"/>
  <c r="AG418" i="6"/>
  <c r="AG419" i="6"/>
  <c r="AG420" i="6"/>
  <c r="AG421" i="6"/>
  <c r="AG422" i="6"/>
  <c r="AG423" i="6"/>
  <c r="AG424" i="6"/>
  <c r="AG425" i="6"/>
  <c r="AG426" i="6"/>
  <c r="AG427" i="6"/>
  <c r="AG428" i="6"/>
  <c r="AG429" i="6"/>
  <c r="AG430" i="6"/>
  <c r="AG431" i="6"/>
  <c r="AG432" i="6"/>
  <c r="AG433" i="6"/>
  <c r="AG434" i="6"/>
  <c r="AG435" i="6"/>
  <c r="AG436" i="6"/>
  <c r="AG437" i="6"/>
  <c r="AG438" i="6"/>
  <c r="AG439" i="6"/>
  <c r="AG440" i="6"/>
  <c r="AG265" i="6"/>
  <c r="AG232" i="6"/>
  <c r="AG233" i="6"/>
  <c r="AG234" i="6"/>
  <c r="AG235" i="6"/>
  <c r="AG236" i="6"/>
  <c r="AG237" i="6"/>
  <c r="AG238" i="6"/>
  <c r="AG239" i="6"/>
  <c r="AG240" i="6"/>
  <c r="AG241" i="6"/>
  <c r="AG242" i="6"/>
  <c r="AG243" i="6"/>
  <c r="AG244" i="6"/>
  <c r="AG245" i="6"/>
  <c r="AG246" i="6"/>
  <c r="AG247" i="6"/>
  <c r="AG248" i="6"/>
  <c r="AG249" i="6"/>
  <c r="AG250" i="6"/>
  <c r="AG251" i="6"/>
  <c r="AG252" i="6"/>
  <c r="AG253" i="6"/>
  <c r="AG254" i="6"/>
  <c r="AG255" i="6"/>
  <c r="AG231" i="6"/>
  <c r="AG82" i="6"/>
  <c r="AG83" i="6"/>
  <c r="AG84" i="6"/>
  <c r="AG85" i="6"/>
  <c r="AG86" i="6"/>
  <c r="AG66" i="6"/>
  <c r="AG67" i="6"/>
  <c r="AG68" i="6"/>
  <c r="AG69" i="6"/>
  <c r="AG70" i="6"/>
  <c r="AG71" i="6"/>
  <c r="AG72" i="6"/>
  <c r="AG73" i="6"/>
  <c r="AG74" i="6"/>
  <c r="AG75" i="6"/>
  <c r="AG76" i="6"/>
  <c r="AG77" i="6"/>
  <c r="AG78" i="6"/>
  <c r="AG79" i="6"/>
  <c r="AG80" i="6"/>
  <c r="AG81" i="6"/>
  <c r="AG64" i="6"/>
  <c r="AG65" i="6"/>
  <c r="AG42" i="6"/>
  <c r="AG43" i="6"/>
  <c r="AG44" i="6"/>
  <c r="AG45" i="6"/>
  <c r="AG46" i="6"/>
  <c r="AG47" i="6"/>
  <c r="AG48" i="6"/>
  <c r="AG49" i="6"/>
  <c r="AG50" i="6"/>
  <c r="AG51" i="6"/>
  <c r="AG52" i="6"/>
  <c r="AG53" i="6"/>
  <c r="AG54" i="6"/>
  <c r="AG55" i="6"/>
  <c r="AG56" i="6"/>
  <c r="AG57" i="6"/>
  <c r="AG58" i="6"/>
  <c r="AG59" i="6"/>
  <c r="AG60" i="6"/>
  <c r="AG61" i="6"/>
  <c r="AG62" i="6"/>
  <c r="AG63" i="6"/>
  <c r="AG41" i="6"/>
  <c r="AG89" i="6"/>
  <c r="AG90" i="6"/>
  <c r="AG91" i="6"/>
  <c r="AG92" i="6"/>
  <c r="AG93" i="6"/>
  <c r="AG94" i="6"/>
  <c r="AG95" i="6"/>
  <c r="AG96" i="6"/>
  <c r="AG97" i="6"/>
  <c r="AG98" i="6"/>
  <c r="AG99" i="6"/>
  <c r="AG100" i="6"/>
  <c r="AG101" i="6"/>
  <c r="AG102" i="6"/>
  <c r="AG103" i="6"/>
  <c r="AG104" i="6"/>
  <c r="AG105" i="6"/>
  <c r="AG106" i="6"/>
  <c r="AG107" i="6"/>
  <c r="AG108" i="6"/>
  <c r="AG109" i="6"/>
  <c r="AG110" i="6"/>
  <c r="J111" i="6"/>
  <c r="AG111" i="6"/>
  <c r="AG112" i="6"/>
  <c r="AG113" i="6"/>
  <c r="J114" i="6"/>
  <c r="AG114" i="6"/>
  <c r="AG115" i="6"/>
  <c r="AG116" i="6"/>
  <c r="AG117" i="6"/>
  <c r="AG118" i="6"/>
  <c r="J119" i="6"/>
  <c r="AG119" i="6"/>
  <c r="AG120" i="6"/>
  <c r="AG121" i="6"/>
  <c r="J122" i="6"/>
  <c r="AG122" i="6"/>
  <c r="AG123" i="6"/>
  <c r="AG124" i="6"/>
  <c r="J125" i="6"/>
  <c r="AG125" i="6"/>
  <c r="AG126" i="6"/>
  <c r="AG127" i="6"/>
  <c r="J128" i="6"/>
  <c r="AG128" i="6"/>
  <c r="AG129" i="6"/>
  <c r="AG130" i="6"/>
  <c r="J131" i="6"/>
  <c r="AG131" i="6"/>
  <c r="AG132" i="6"/>
  <c r="AG133" i="6"/>
  <c r="AG134" i="6"/>
  <c r="AG135" i="6"/>
  <c r="AG136" i="6"/>
  <c r="AG137" i="6"/>
  <c r="AG138" i="6"/>
  <c r="AG139" i="6"/>
  <c r="AG140" i="6"/>
  <c r="AG141" i="6"/>
  <c r="AG142" i="6"/>
  <c r="AG143" i="6"/>
  <c r="AG144" i="6"/>
  <c r="AG145" i="6"/>
  <c r="AG146" i="6"/>
  <c r="AG147" i="6"/>
  <c r="AG148" i="6"/>
  <c r="AG149" i="6"/>
  <c r="AG150" i="6"/>
  <c r="AG151" i="6"/>
  <c r="AG152" i="6"/>
  <c r="AG153" i="6"/>
  <c r="AG154" i="6"/>
  <c r="AG155" i="6"/>
  <c r="AG156" i="6"/>
  <c r="AG157" i="6"/>
  <c r="AG158" i="6"/>
  <c r="AG159" i="6"/>
  <c r="AG160" i="6"/>
  <c r="AG161" i="6"/>
  <c r="AG162" i="6"/>
  <c r="AG163" i="6"/>
  <c r="AG164" i="6"/>
  <c r="AG165" i="6"/>
  <c r="AG166" i="6"/>
  <c r="AG167" i="6"/>
  <c r="AG168" i="6"/>
  <c r="AG169" i="6"/>
  <c r="AG170" i="6"/>
  <c r="AG171" i="6"/>
  <c r="AG172" i="6"/>
  <c r="AG173" i="6"/>
  <c r="AG174" i="6"/>
  <c r="AG175" i="6"/>
  <c r="AG176" i="6"/>
  <c r="AG177" i="6"/>
  <c r="AG178" i="6"/>
  <c r="AG179" i="6"/>
  <c r="AG180" i="6"/>
  <c r="AG181" i="6"/>
  <c r="AG182" i="6"/>
  <c r="AG183" i="6"/>
  <c r="AG184" i="6"/>
  <c r="AG185" i="6"/>
  <c r="AG186" i="6"/>
  <c r="AG187" i="6"/>
  <c r="AG188" i="6"/>
  <c r="AG189" i="6"/>
  <c r="AG190" i="6"/>
  <c r="AG191" i="6"/>
  <c r="AG192" i="6"/>
  <c r="AG193" i="6"/>
  <c r="AG194" i="6"/>
  <c r="AG195" i="6"/>
  <c r="AG196" i="6"/>
  <c r="AG197" i="6"/>
  <c r="AG198" i="6"/>
  <c r="AG199" i="6"/>
  <c r="AG200" i="6"/>
  <c r="AG201" i="6"/>
  <c r="AG202" i="6"/>
  <c r="F41" i="6"/>
  <c r="F64" i="6"/>
  <c r="F87" i="6"/>
  <c r="F110" i="6"/>
  <c r="F133" i="6"/>
  <c r="F156" i="6"/>
  <c r="F180" i="6"/>
  <c r="F203" i="6"/>
  <c r="I41" i="6"/>
  <c r="I64" i="6"/>
  <c r="I87" i="6"/>
  <c r="I110" i="6"/>
  <c r="I133" i="6"/>
  <c r="I156" i="6"/>
  <c r="I180" i="6"/>
  <c r="I203" i="6"/>
  <c r="L203" i="6"/>
  <c r="S59" i="6"/>
  <c r="T44" i="6"/>
  <c r="J203" i="6"/>
  <c r="AG203" i="6"/>
  <c r="AG204" i="6"/>
  <c r="F43" i="6"/>
  <c r="F66" i="6"/>
  <c r="F89" i="6"/>
  <c r="F112" i="6"/>
  <c r="F135" i="6"/>
  <c r="F158" i="6"/>
  <c r="F182" i="6"/>
  <c r="F205" i="6"/>
  <c r="I43" i="6"/>
  <c r="I66" i="6"/>
  <c r="I89" i="6"/>
  <c r="I112" i="6"/>
  <c r="I135" i="6"/>
  <c r="I158" i="6"/>
  <c r="I182" i="6"/>
  <c r="I205" i="6"/>
  <c r="I42" i="6"/>
  <c r="I65" i="6"/>
  <c r="I88" i="6"/>
  <c r="I111" i="6"/>
  <c r="L205" i="6"/>
  <c r="J205" i="6"/>
  <c r="AG205" i="6"/>
  <c r="F44" i="6"/>
  <c r="F67" i="6"/>
  <c r="F90" i="6"/>
  <c r="F113" i="6"/>
  <c r="F136" i="6"/>
  <c r="F159" i="6"/>
  <c r="F183" i="6"/>
  <c r="F206" i="6"/>
  <c r="I44" i="6"/>
  <c r="I67" i="6"/>
  <c r="I90" i="6"/>
  <c r="I113" i="6"/>
  <c r="I136" i="6"/>
  <c r="I159" i="6"/>
  <c r="I183" i="6"/>
  <c r="I206" i="6"/>
  <c r="L206" i="6"/>
  <c r="T45" i="6"/>
  <c r="J206" i="6"/>
  <c r="AG206" i="6"/>
  <c r="AG207" i="6"/>
  <c r="F46" i="6"/>
  <c r="F69" i="6"/>
  <c r="F92" i="6"/>
  <c r="F115" i="6"/>
  <c r="F138" i="6"/>
  <c r="F161" i="6"/>
  <c r="F185" i="6"/>
  <c r="F208" i="6"/>
  <c r="I46" i="6"/>
  <c r="I69" i="6"/>
  <c r="I92" i="6"/>
  <c r="I115" i="6"/>
  <c r="I138" i="6"/>
  <c r="I161" i="6"/>
  <c r="I185" i="6"/>
  <c r="I208" i="6"/>
  <c r="I45" i="6"/>
  <c r="I68" i="6"/>
  <c r="I91" i="6"/>
  <c r="I114" i="6"/>
  <c r="L208" i="6"/>
  <c r="J208" i="6"/>
  <c r="AG208" i="6"/>
  <c r="F47" i="6"/>
  <c r="F70" i="6"/>
  <c r="F93" i="6"/>
  <c r="F116" i="6"/>
  <c r="F139" i="6"/>
  <c r="F162" i="6"/>
  <c r="F186" i="6"/>
  <c r="F209" i="6"/>
  <c r="I47" i="6"/>
  <c r="I70" i="6"/>
  <c r="I93" i="6"/>
  <c r="I116" i="6"/>
  <c r="I139" i="6"/>
  <c r="I162" i="6"/>
  <c r="I186" i="6"/>
  <c r="I209" i="6"/>
  <c r="L209" i="6"/>
  <c r="J209" i="6"/>
  <c r="AG209" i="6"/>
  <c r="AG210" i="6"/>
  <c r="F49" i="6"/>
  <c r="F72" i="6"/>
  <c r="F95" i="6"/>
  <c r="F118" i="6"/>
  <c r="F141" i="6"/>
  <c r="F164" i="6"/>
  <c r="F188" i="6"/>
  <c r="F211" i="6"/>
  <c r="I49" i="6"/>
  <c r="I72" i="6"/>
  <c r="I95" i="6"/>
  <c r="I118" i="6"/>
  <c r="I141" i="6"/>
  <c r="I164" i="6"/>
  <c r="I188" i="6"/>
  <c r="I211" i="6"/>
  <c r="I48" i="6"/>
  <c r="I71" i="6"/>
  <c r="I94" i="6"/>
  <c r="I117" i="6"/>
  <c r="L211" i="6"/>
  <c r="T47" i="6"/>
  <c r="J211" i="6"/>
  <c r="AG211" i="6"/>
  <c r="AG212" i="6"/>
  <c r="F51" i="6"/>
  <c r="F74" i="6"/>
  <c r="F97" i="6"/>
  <c r="F120" i="6"/>
  <c r="F143" i="6"/>
  <c r="F166" i="6"/>
  <c r="F190" i="6"/>
  <c r="F213" i="6"/>
  <c r="I51" i="6"/>
  <c r="I74" i="6"/>
  <c r="I97" i="6"/>
  <c r="I120" i="6"/>
  <c r="I143" i="6"/>
  <c r="I166" i="6"/>
  <c r="I190" i="6"/>
  <c r="I213" i="6"/>
  <c r="I50" i="6"/>
  <c r="I73" i="6"/>
  <c r="I96" i="6"/>
  <c r="I119" i="6"/>
  <c r="L213" i="6"/>
  <c r="J213" i="6"/>
  <c r="AG213" i="6"/>
  <c r="F52" i="6"/>
  <c r="F75" i="6"/>
  <c r="F98" i="6"/>
  <c r="F121" i="6"/>
  <c r="F144" i="6"/>
  <c r="F167" i="6"/>
  <c r="F191" i="6"/>
  <c r="F214" i="6"/>
  <c r="I52" i="6"/>
  <c r="I75" i="6"/>
  <c r="I98" i="6"/>
  <c r="I121" i="6"/>
  <c r="I144" i="6"/>
  <c r="I167" i="6"/>
  <c r="I191" i="6"/>
  <c r="I214" i="6"/>
  <c r="L214" i="6"/>
  <c r="T48" i="6"/>
  <c r="J214" i="6"/>
  <c r="AG214" i="6"/>
  <c r="AG215" i="6"/>
  <c r="F54" i="6"/>
  <c r="F77" i="6"/>
  <c r="F100" i="6"/>
  <c r="F123" i="6"/>
  <c r="F146" i="6"/>
  <c r="F169" i="6"/>
  <c r="F193" i="6"/>
  <c r="F216" i="6"/>
  <c r="I54" i="6"/>
  <c r="I77" i="6"/>
  <c r="I100" i="6"/>
  <c r="I123" i="6"/>
  <c r="I146" i="6"/>
  <c r="I169" i="6"/>
  <c r="I193" i="6"/>
  <c r="I216" i="6"/>
  <c r="I53" i="6"/>
  <c r="I76" i="6"/>
  <c r="I99" i="6"/>
  <c r="I122" i="6"/>
  <c r="L216" i="6"/>
  <c r="J216" i="6"/>
  <c r="AG216" i="6"/>
  <c r="F55" i="6"/>
  <c r="F78" i="6"/>
  <c r="F101" i="6"/>
  <c r="F124" i="6"/>
  <c r="F147" i="6"/>
  <c r="F170" i="6"/>
  <c r="F194" i="6"/>
  <c r="F217" i="6"/>
  <c r="I55" i="6"/>
  <c r="I78" i="6"/>
  <c r="I101" i="6"/>
  <c r="I124" i="6"/>
  <c r="I147" i="6"/>
  <c r="I170" i="6"/>
  <c r="I194" i="6"/>
  <c r="I217" i="6"/>
  <c r="L217" i="6"/>
  <c r="J217" i="6"/>
  <c r="AG217" i="6"/>
  <c r="AG218" i="6"/>
  <c r="F57" i="6"/>
  <c r="F80" i="6"/>
  <c r="F103" i="6"/>
  <c r="F126" i="6"/>
  <c r="F149" i="6"/>
  <c r="F172" i="6"/>
  <c r="F196" i="6"/>
  <c r="F219" i="6"/>
  <c r="I57" i="6"/>
  <c r="I80" i="6"/>
  <c r="I103" i="6"/>
  <c r="I126" i="6"/>
  <c r="I149" i="6"/>
  <c r="I172" i="6"/>
  <c r="I196" i="6"/>
  <c r="I219" i="6"/>
  <c r="I56" i="6"/>
  <c r="I79" i="6"/>
  <c r="I102" i="6"/>
  <c r="I125" i="6"/>
  <c r="L219" i="6"/>
  <c r="J219" i="6"/>
  <c r="AG219" i="6"/>
  <c r="F58" i="6"/>
  <c r="F81" i="6"/>
  <c r="F104" i="6"/>
  <c r="F127" i="6"/>
  <c r="F150" i="6"/>
  <c r="F173" i="6"/>
  <c r="F197" i="6"/>
  <c r="F220" i="6"/>
  <c r="I58" i="6"/>
  <c r="I81" i="6"/>
  <c r="I104" i="6"/>
  <c r="I127" i="6"/>
  <c r="I150" i="6"/>
  <c r="I173" i="6"/>
  <c r="I197" i="6"/>
  <c r="I220" i="6"/>
  <c r="L220" i="6"/>
  <c r="T49" i="6"/>
  <c r="J220" i="6"/>
  <c r="AG220" i="6"/>
  <c r="AG221" i="6"/>
  <c r="F60" i="6"/>
  <c r="F83" i="6"/>
  <c r="F106" i="6"/>
  <c r="F129" i="6"/>
  <c r="F152" i="6"/>
  <c r="F175" i="6"/>
  <c r="F199" i="6"/>
  <c r="F222" i="6"/>
  <c r="I60" i="6"/>
  <c r="I83" i="6"/>
  <c r="I106" i="6"/>
  <c r="I129" i="6"/>
  <c r="I152" i="6"/>
  <c r="I175" i="6"/>
  <c r="I199" i="6"/>
  <c r="I222" i="6"/>
  <c r="I59" i="6"/>
  <c r="I82" i="6"/>
  <c r="I105" i="6"/>
  <c r="I128" i="6"/>
  <c r="L222" i="6"/>
  <c r="J222" i="6"/>
  <c r="AG222" i="6"/>
  <c r="F61" i="6"/>
  <c r="F84" i="6"/>
  <c r="F107" i="6"/>
  <c r="F130" i="6"/>
  <c r="F153" i="6"/>
  <c r="F176" i="6"/>
  <c r="F200" i="6"/>
  <c r="F223" i="6"/>
  <c r="I61" i="6"/>
  <c r="I84" i="6"/>
  <c r="I107" i="6"/>
  <c r="I130" i="6"/>
  <c r="I153" i="6"/>
  <c r="I176" i="6"/>
  <c r="I200" i="6"/>
  <c r="I223" i="6"/>
  <c r="L223" i="6"/>
  <c r="T50" i="6"/>
  <c r="J223" i="6"/>
  <c r="AG223" i="6"/>
  <c r="AG224" i="6"/>
  <c r="F63" i="6"/>
  <c r="F86" i="6"/>
  <c r="F109" i="6"/>
  <c r="F132" i="6"/>
  <c r="F155" i="6"/>
  <c r="F178" i="6"/>
  <c r="F202" i="6"/>
  <c r="F225" i="6"/>
  <c r="I63" i="6"/>
  <c r="I86" i="6"/>
  <c r="I109" i="6"/>
  <c r="I132" i="6"/>
  <c r="I155" i="6"/>
  <c r="I178" i="6"/>
  <c r="I202" i="6"/>
  <c r="I225" i="6"/>
  <c r="I62" i="6"/>
  <c r="I85" i="6"/>
  <c r="I108" i="6"/>
  <c r="I131" i="6"/>
  <c r="L225" i="6"/>
  <c r="J225" i="6"/>
  <c r="AG225" i="6"/>
  <c r="AG88" i="6"/>
  <c r="AG40" i="6"/>
  <c r="AF40" i="6"/>
  <c r="AE40" i="6"/>
  <c r="AD40" i="6"/>
  <c r="AC40" i="6"/>
  <c r="AB40" i="6"/>
  <c r="AA40" i="6"/>
  <c r="Z40" i="6"/>
  <c r="Y40" i="6"/>
  <c r="X40" i="6"/>
  <c r="W40" i="6"/>
  <c r="F9" i="6"/>
  <c r="AG9" i="6"/>
  <c r="F10" i="6"/>
  <c r="AG10" i="6"/>
  <c r="F11" i="6"/>
  <c r="AG11" i="6"/>
  <c r="F12" i="6"/>
  <c r="AG12" i="6"/>
  <c r="F13" i="6"/>
  <c r="AG13" i="6"/>
  <c r="AG14" i="6"/>
  <c r="AG15" i="6"/>
  <c r="F16" i="6"/>
  <c r="AG16" i="6"/>
  <c r="F17" i="6"/>
  <c r="AG17" i="6"/>
  <c r="F18" i="6"/>
  <c r="AG18" i="6"/>
  <c r="F19" i="6"/>
  <c r="AG19" i="6"/>
  <c r="F20" i="6"/>
  <c r="AG20" i="6"/>
  <c r="F21" i="6"/>
  <c r="AG21" i="6"/>
  <c r="F22" i="6"/>
  <c r="AG22" i="6"/>
  <c r="F23" i="6"/>
  <c r="AG23" i="6"/>
  <c r="F24" i="6"/>
  <c r="AG24" i="6"/>
  <c r="F25" i="6"/>
  <c r="AG25" i="6"/>
  <c r="F26" i="6"/>
  <c r="AG26" i="6"/>
  <c r="F27" i="6"/>
  <c r="AG27" i="6"/>
  <c r="F28" i="6"/>
  <c r="AG28" i="6"/>
  <c r="F29" i="6"/>
  <c r="AG29" i="6"/>
  <c r="F30" i="6"/>
  <c r="AG30" i="6"/>
  <c r="F8" i="6"/>
  <c r="AG8" i="6"/>
  <c r="W18" i="22"/>
  <c r="AG19" i="22"/>
  <c r="AG20" i="22"/>
  <c r="AG21" i="22"/>
  <c r="AG22" i="22"/>
  <c r="AG24" i="22"/>
  <c r="AG25" i="22"/>
  <c r="AG26" i="22"/>
  <c r="AG27" i="22"/>
  <c r="AG28" i="22"/>
  <c r="AG29" i="22"/>
  <c r="AG30" i="22"/>
  <c r="AG31" i="22"/>
  <c r="AG32" i="22"/>
  <c r="AG39" i="5"/>
  <c r="AG40" i="5"/>
  <c r="AG41" i="5"/>
  <c r="AG42" i="5"/>
  <c r="AG43" i="5"/>
  <c r="AG44" i="5"/>
  <c r="AG45" i="5"/>
  <c r="AG46" i="5"/>
  <c r="AG47" i="5"/>
  <c r="AG48" i="5"/>
  <c r="F32" i="5"/>
  <c r="AG32" i="5"/>
  <c r="AF32" i="5"/>
  <c r="AG139" i="16"/>
  <c r="AG140" i="16"/>
  <c r="AG141" i="16"/>
  <c r="AG142" i="16"/>
  <c r="AG143" i="16"/>
  <c r="AG144" i="16"/>
  <c r="AG145" i="16"/>
  <c r="AG146" i="16"/>
  <c r="AG147" i="16"/>
  <c r="AG71" i="16"/>
  <c r="AG72" i="16"/>
  <c r="AG73" i="16"/>
  <c r="AG74" i="16"/>
  <c r="AG75" i="16"/>
  <c r="AG76" i="16"/>
  <c r="AG77" i="16"/>
  <c r="AG78" i="16"/>
  <c r="AG79" i="16"/>
  <c r="AG80" i="16"/>
  <c r="AG81" i="16"/>
  <c r="AG82" i="16"/>
  <c r="AG83" i="16"/>
  <c r="AG84" i="16"/>
  <c r="AG85" i="16"/>
  <c r="AG86" i="16"/>
  <c r="AG87" i="16"/>
  <c r="AG88" i="16"/>
  <c r="AG89" i="16"/>
  <c r="AG90" i="16"/>
  <c r="AG91" i="16"/>
  <c r="AG93" i="16"/>
  <c r="AG94" i="16"/>
  <c r="AG95" i="16"/>
  <c r="AG96" i="16"/>
  <c r="AG104" i="16"/>
  <c r="AG105" i="16"/>
  <c r="AG106" i="16"/>
  <c r="AG107" i="16"/>
  <c r="AG108" i="16"/>
  <c r="AG109" i="16"/>
  <c r="AG110" i="16"/>
  <c r="AG111" i="16"/>
  <c r="AG112" i="16"/>
  <c r="AG113" i="16"/>
  <c r="AG114" i="16"/>
  <c r="AG115" i="16"/>
  <c r="AG116" i="16"/>
  <c r="AG117" i="16"/>
  <c r="AG118" i="16"/>
  <c r="AG119" i="16"/>
  <c r="AG120" i="16"/>
  <c r="AG121" i="16"/>
  <c r="AG122" i="16"/>
  <c r="AG123" i="16"/>
  <c r="AG124" i="16"/>
  <c r="AG125" i="16"/>
  <c r="AG126" i="16"/>
  <c r="D61" i="2"/>
  <c r="D60" i="2"/>
  <c r="CH237" i="2"/>
  <c r="BT227" i="2"/>
  <c r="BT226" i="2"/>
  <c r="BG227" i="2"/>
  <c r="BG207" i="2"/>
  <c r="BG208" i="2"/>
  <c r="BG206" i="2"/>
  <c r="BG198" i="2"/>
  <c r="BG199" i="2"/>
  <c r="BG200" i="2"/>
  <c r="BG197" i="2"/>
  <c r="BG184" i="2"/>
  <c r="BG185" i="2"/>
  <c r="BG186" i="2"/>
  <c r="BG183" i="2"/>
  <c r="BG73" i="2"/>
  <c r="BT73" i="2"/>
  <c r="AG622" i="7"/>
  <c r="AG630" i="7"/>
  <c r="AC630" i="7"/>
  <c r="DJ610" i="7"/>
  <c r="V610" i="7"/>
  <c r="J610" i="7"/>
  <c r="DH610" i="7" s="1"/>
  <c r="DI610" i="7" s="1"/>
  <c r="AF198" i="15" s="1"/>
  <c r="H610" i="7"/>
  <c r="B610" i="7"/>
  <c r="V609" i="7"/>
  <c r="K609" i="7"/>
  <c r="AB198" i="15" s="1"/>
  <c r="J609" i="7"/>
  <c r="X198" i="15" s="1"/>
  <c r="Z198" i="15" s="1"/>
  <c r="W198" i="15" s="1"/>
  <c r="V198" i="15" s="1"/>
  <c r="H609" i="7"/>
  <c r="B609" i="7"/>
  <c r="AG623" i="7"/>
  <c r="AG624" i="7"/>
  <c r="AG625" i="7"/>
  <c r="AG626" i="7"/>
  <c r="AG627" i="7"/>
  <c r="AG631" i="7"/>
  <c r="AG633" i="7"/>
  <c r="AG617" i="7"/>
  <c r="AG618" i="7"/>
  <c r="AG619" i="7"/>
  <c r="K78" i="6"/>
  <c r="K79" i="6"/>
  <c r="K80" i="6"/>
  <c r="DF724" i="6"/>
  <c r="B724" i="6"/>
  <c r="DF723" i="6"/>
  <c r="B723" i="6"/>
  <c r="DF722" i="6"/>
  <c r="B722" i="6"/>
  <c r="DF721" i="6"/>
  <c r="B721" i="6"/>
  <c r="DF728" i="6"/>
  <c r="B728" i="6"/>
  <c r="DF727" i="6"/>
  <c r="B727" i="6"/>
  <c r="DF775" i="6"/>
  <c r="B775" i="6"/>
  <c r="DF774" i="6"/>
  <c r="B774" i="6"/>
  <c r="DF773" i="6"/>
  <c r="B773" i="6"/>
  <c r="DF772" i="6"/>
  <c r="B772" i="6"/>
  <c r="DF702" i="6"/>
  <c r="B702" i="6"/>
  <c r="DF701" i="6"/>
  <c r="B701" i="6"/>
  <c r="DF680" i="6"/>
  <c r="B680" i="6"/>
  <c r="DF679" i="6"/>
  <c r="B679" i="6"/>
  <c r="DF678" i="6"/>
  <c r="B678" i="6"/>
  <c r="DF677" i="6"/>
  <c r="B677" i="6"/>
  <c r="DF688" i="6"/>
  <c r="B688" i="6"/>
  <c r="DF687" i="6"/>
  <c r="B687" i="6"/>
  <c r="DF694" i="6"/>
  <c r="B694" i="6"/>
  <c r="DF693" i="6"/>
  <c r="B693" i="6"/>
  <c r="DF668" i="6"/>
  <c r="B668" i="6"/>
  <c r="DF667" i="6"/>
  <c r="B667" i="6"/>
  <c r="DF666" i="6"/>
  <c r="B666" i="6"/>
  <c r="DF665" i="6"/>
  <c r="B665" i="6"/>
  <c r="DF664" i="6"/>
  <c r="B664" i="6"/>
  <c r="DF663" i="6"/>
  <c r="B663" i="6"/>
  <c r="B837" i="6"/>
  <c r="B838" i="6"/>
  <c r="B839" i="6"/>
  <c r="B840" i="6"/>
  <c r="B841" i="6"/>
  <c r="B842" i="6"/>
  <c r="B843" i="6"/>
  <c r="B844" i="6"/>
  <c r="B845" i="6"/>
  <c r="B846" i="6"/>
  <c r="B847" i="6"/>
  <c r="B848" i="6"/>
  <c r="B849" i="6"/>
  <c r="J7" i="5"/>
  <c r="I7" i="5"/>
  <c r="I459" i="7"/>
  <c r="J459" i="7"/>
  <c r="BI305" i="2"/>
  <c r="BI306" i="2"/>
  <c r="BI307" i="2"/>
  <c r="BI308" i="2"/>
  <c r="BI309" i="2"/>
  <c r="AV305" i="2"/>
  <c r="AV306" i="2"/>
  <c r="AV307" i="2"/>
  <c r="AV308" i="2"/>
  <c r="AV309" i="2"/>
  <c r="DH38" i="2"/>
  <c r="CT38" i="2"/>
  <c r="BT38" i="2"/>
  <c r="AT38" i="2"/>
  <c r="BG38" i="2"/>
  <c r="AG6" i="11"/>
  <c r="AF2223" i="6"/>
  <c r="AE2223" i="6"/>
  <c r="AD2223" i="6"/>
  <c r="AC2223" i="6"/>
  <c r="AB2223" i="6"/>
  <c r="AA2223" i="6"/>
  <c r="Z2223" i="6"/>
  <c r="Y2223" i="6"/>
  <c r="X2223" i="6"/>
  <c r="W2223" i="6"/>
  <c r="AF646" i="6"/>
  <c r="AE646" i="6"/>
  <c r="AD646" i="6"/>
  <c r="AC646" i="6"/>
  <c r="AB646" i="6"/>
  <c r="AA646" i="6"/>
  <c r="Z646" i="6"/>
  <c r="Y646" i="6"/>
  <c r="X646" i="6"/>
  <c r="W646" i="6"/>
  <c r="AF548" i="6"/>
  <c r="AE548" i="6"/>
  <c r="AD548" i="6"/>
  <c r="AC548" i="6"/>
  <c r="AB548" i="6"/>
  <c r="AA548" i="6"/>
  <c r="Z548" i="6"/>
  <c r="Y548" i="6"/>
  <c r="X548" i="6"/>
  <c r="W548" i="6"/>
  <c r="AF512" i="6"/>
  <c r="AE512" i="6"/>
  <c r="AD512" i="6"/>
  <c r="AC512" i="6"/>
  <c r="AB512" i="6"/>
  <c r="AA512" i="6"/>
  <c r="Z512" i="6"/>
  <c r="Y512" i="6"/>
  <c r="X512" i="6"/>
  <c r="W512" i="6"/>
  <c r="AF447" i="6"/>
  <c r="AE447" i="6"/>
  <c r="AD447" i="6"/>
  <c r="AC447" i="6"/>
  <c r="AB447" i="6"/>
  <c r="AA447" i="6"/>
  <c r="Z447" i="6"/>
  <c r="Y447" i="6"/>
  <c r="X447" i="6"/>
  <c r="W447" i="6"/>
  <c r="X230" i="6"/>
  <c r="Y230" i="6"/>
  <c r="Z230" i="6"/>
  <c r="AA230" i="6"/>
  <c r="AB230" i="6"/>
  <c r="AC230" i="6"/>
  <c r="AD230" i="6"/>
  <c r="AE230" i="6"/>
  <c r="AF230" i="6"/>
  <c r="W230" i="6"/>
  <c r="AG6" i="22"/>
  <c r="AG6" i="5"/>
  <c r="AG6" i="16"/>
  <c r="AG70" i="16" s="1"/>
  <c r="AG8" i="2"/>
  <c r="BT312" i="2" s="1"/>
  <c r="CH330" i="2"/>
  <c r="BG236" i="2"/>
  <c r="AG240" i="2"/>
  <c r="AG304" i="2"/>
  <c r="AG2223" i="6"/>
  <c r="AG512" i="6"/>
  <c r="AG548" i="6"/>
  <c r="AG646" i="6"/>
  <c r="AG230" i="6"/>
  <c r="AG447" i="6"/>
  <c r="AI356" i="15"/>
  <c r="X356" i="15"/>
  <c r="O356" i="15"/>
  <c r="W356" i="15"/>
  <c r="V356" i="15" s="1"/>
  <c r="U356" i="15" s="1"/>
  <c r="I356" i="15"/>
  <c r="H356" i="15"/>
  <c r="G356" i="15"/>
  <c r="AX356" i="15"/>
  <c r="C356" i="15"/>
  <c r="B356" i="15"/>
  <c r="A356" i="15" s="1"/>
  <c r="AZ356" i="15" s="1"/>
  <c r="AI355" i="15"/>
  <c r="X355" i="15"/>
  <c r="O355" i="15"/>
  <c r="W355" i="15"/>
  <c r="V355" i="15" s="1"/>
  <c r="U355" i="15" s="1"/>
  <c r="I355" i="15"/>
  <c r="H355" i="15"/>
  <c r="G355" i="15"/>
  <c r="AX355" i="15" s="1"/>
  <c r="C355" i="15"/>
  <c r="B355" i="15"/>
  <c r="A355" i="15" s="1"/>
  <c r="AZ355" i="15" s="1"/>
  <c r="AI354" i="15"/>
  <c r="X354" i="15"/>
  <c r="O354" i="15"/>
  <c r="W354" i="15"/>
  <c r="V354" i="15" s="1"/>
  <c r="U354" i="15" s="1"/>
  <c r="I354" i="15"/>
  <c r="H354" i="15"/>
  <c r="G354" i="15"/>
  <c r="AX354" i="15"/>
  <c r="C354" i="15"/>
  <c r="B354" i="15"/>
  <c r="A354" i="15"/>
  <c r="AZ354" i="15" s="1"/>
  <c r="AI353" i="15"/>
  <c r="X353" i="15"/>
  <c r="O353" i="15"/>
  <c r="W353" i="15"/>
  <c r="V353" i="15" s="1"/>
  <c r="U353" i="15" s="1"/>
  <c r="I353" i="15"/>
  <c r="H353" i="15"/>
  <c r="G353" i="15"/>
  <c r="AX353" i="15" s="1"/>
  <c r="C353" i="15"/>
  <c r="B353" i="15"/>
  <c r="A353" i="15" s="1"/>
  <c r="AZ353" i="15" s="1"/>
  <c r="AI352" i="15"/>
  <c r="X352" i="15"/>
  <c r="O352" i="15"/>
  <c r="W352" i="15"/>
  <c r="V352" i="15" s="1"/>
  <c r="U352" i="15" s="1"/>
  <c r="I352" i="15"/>
  <c r="H352" i="15"/>
  <c r="G352" i="15"/>
  <c r="AX352" i="15"/>
  <c r="C352" i="15"/>
  <c r="B352" i="15"/>
  <c r="A352" i="15"/>
  <c r="AZ352" i="15" s="1"/>
  <c r="AI351" i="15"/>
  <c r="X351" i="15"/>
  <c r="O351" i="15"/>
  <c r="W351" i="15"/>
  <c r="V351" i="15" s="1"/>
  <c r="U351" i="15" s="1"/>
  <c r="I351" i="15"/>
  <c r="H351" i="15"/>
  <c r="G351" i="15"/>
  <c r="AX351" i="15" s="1"/>
  <c r="C351" i="15"/>
  <c r="B351" i="15"/>
  <c r="A351" i="15" s="1"/>
  <c r="AZ351" i="15" s="1"/>
  <c r="AI350" i="15"/>
  <c r="X350" i="15"/>
  <c r="O350" i="15"/>
  <c r="W350" i="15"/>
  <c r="V350" i="15" s="1"/>
  <c r="U350" i="15" s="1"/>
  <c r="I350" i="15"/>
  <c r="H350" i="15"/>
  <c r="G350" i="15"/>
  <c r="AX350" i="15"/>
  <c r="C350" i="15"/>
  <c r="B350" i="15"/>
  <c r="A350" i="15"/>
  <c r="AZ350" i="15" s="1"/>
  <c r="AI349" i="15"/>
  <c r="X349" i="15"/>
  <c r="O349" i="15"/>
  <c r="W349" i="15"/>
  <c r="V349" i="15" s="1"/>
  <c r="U349" i="15" s="1"/>
  <c r="I349" i="15"/>
  <c r="H349" i="15"/>
  <c r="G349" i="15"/>
  <c r="AX349" i="15" s="1"/>
  <c r="C349" i="15"/>
  <c r="B349" i="15"/>
  <c r="A349" i="15" s="1"/>
  <c r="AZ349" i="15" s="1"/>
  <c r="AI348" i="15"/>
  <c r="X348" i="15"/>
  <c r="O348" i="15"/>
  <c r="W348" i="15"/>
  <c r="V348" i="15" s="1"/>
  <c r="U348" i="15" s="1"/>
  <c r="I348" i="15"/>
  <c r="H348" i="15"/>
  <c r="G348" i="15"/>
  <c r="AX348" i="15"/>
  <c r="C348" i="15"/>
  <c r="B348" i="15"/>
  <c r="A348" i="15" s="1"/>
  <c r="AZ348" i="15" s="1"/>
  <c r="AI347" i="15"/>
  <c r="X347" i="15"/>
  <c r="O347" i="15"/>
  <c r="W347" i="15"/>
  <c r="V347" i="15" s="1"/>
  <c r="U347" i="15" s="1"/>
  <c r="I347" i="15"/>
  <c r="H347" i="15"/>
  <c r="G347" i="15"/>
  <c r="AX347" i="15" s="1"/>
  <c r="C347" i="15"/>
  <c r="B347" i="15"/>
  <c r="A347" i="15" s="1"/>
  <c r="AZ347" i="15" s="1"/>
  <c r="DL517" i="2"/>
  <c r="B517" i="2"/>
  <c r="DL516" i="2"/>
  <c r="B516" i="2"/>
  <c r="DL515" i="2"/>
  <c r="B515" i="2"/>
  <c r="DL514" i="2"/>
  <c r="B514" i="2"/>
  <c r="DL513" i="2"/>
  <c r="B513" i="2"/>
  <c r="DL512" i="2"/>
  <c r="B512" i="2"/>
  <c r="DL511" i="2"/>
  <c r="B511" i="2"/>
  <c r="DL510" i="2"/>
  <c r="B510" i="2"/>
  <c r="DL509" i="2"/>
  <c r="B509" i="2"/>
  <c r="DL508" i="2"/>
  <c r="B508" i="2"/>
  <c r="C241" i="15"/>
  <c r="AI241" i="15"/>
  <c r="H241" i="15"/>
  <c r="G241" i="15"/>
  <c r="AX241" i="15" s="1"/>
  <c r="B241" i="15"/>
  <c r="A241" i="15" s="1"/>
  <c r="AZ241" i="15" s="1"/>
  <c r="AD241" i="15"/>
  <c r="AI266" i="15"/>
  <c r="AD266" i="15"/>
  <c r="AB266" i="15"/>
  <c r="G266" i="15"/>
  <c r="AX266" i="15"/>
  <c r="C266" i="15"/>
  <c r="B266" i="15"/>
  <c r="A266" i="15" s="1"/>
  <c r="AZ266" i="15" s="1"/>
  <c r="AI265" i="15"/>
  <c r="AD265" i="15"/>
  <c r="AB265" i="15"/>
  <c r="G265" i="15"/>
  <c r="AX265" i="15" s="1"/>
  <c r="C265" i="15"/>
  <c r="B265" i="15"/>
  <c r="A265" i="15" s="1"/>
  <c r="AZ265" i="15" s="1"/>
  <c r="AI264" i="15"/>
  <c r="AD264" i="15"/>
  <c r="AB264" i="15"/>
  <c r="G264" i="15"/>
  <c r="AX264" i="15" s="1"/>
  <c r="C264" i="15"/>
  <c r="B264" i="15"/>
  <c r="A264" i="15"/>
  <c r="AZ264" i="15" s="1"/>
  <c r="AI263" i="15"/>
  <c r="AD263" i="15"/>
  <c r="AB263" i="15"/>
  <c r="G263" i="15"/>
  <c r="AX263" i="15"/>
  <c r="C263" i="15"/>
  <c r="B263" i="15"/>
  <c r="A263" i="15" s="1"/>
  <c r="AZ263" i="15" s="1"/>
  <c r="AI262" i="15"/>
  <c r="AD262" i="15"/>
  <c r="AB262" i="15"/>
  <c r="G262" i="15"/>
  <c r="AX262" i="15"/>
  <c r="C262" i="15"/>
  <c r="B262" i="15"/>
  <c r="A262" i="15"/>
  <c r="AZ262" i="15" s="1"/>
  <c r="AI261" i="15"/>
  <c r="AD261" i="15"/>
  <c r="AB261" i="15"/>
  <c r="G261" i="15"/>
  <c r="AX261" i="15" s="1"/>
  <c r="C261" i="15"/>
  <c r="B261" i="15"/>
  <c r="A261" i="15"/>
  <c r="AZ261" i="15" s="1"/>
  <c r="AI260" i="15"/>
  <c r="AD260" i="15"/>
  <c r="AB260" i="15"/>
  <c r="H260" i="15"/>
  <c r="G260" i="15"/>
  <c r="AX260" i="15" s="1"/>
  <c r="C260" i="15"/>
  <c r="B260" i="15"/>
  <c r="A260" i="15" s="1"/>
  <c r="AZ260" i="15" s="1"/>
  <c r="H20" i="2"/>
  <c r="J20" i="2"/>
  <c r="X262" i="15"/>
  <c r="Z262" i="15" s="1"/>
  <c r="W262" i="15" s="1"/>
  <c r="V262" i="15" s="1"/>
  <c r="U262" i="15" s="1"/>
  <c r="H21" i="2"/>
  <c r="J21" i="2"/>
  <c r="X263" i="15"/>
  <c r="Z263" i="15" s="1"/>
  <c r="W263" i="15" s="1"/>
  <c r="V263" i="15" s="1"/>
  <c r="U263" i="15" s="1"/>
  <c r="H22" i="2"/>
  <c r="J22" i="2"/>
  <c r="DL22" i="2"/>
  <c r="H23" i="2"/>
  <c r="J23" i="2"/>
  <c r="X265" i="15"/>
  <c r="Z265" i="15" s="1"/>
  <c r="W265" i="15" s="1"/>
  <c r="V265" i="15" s="1"/>
  <c r="U265" i="15" s="1"/>
  <c r="H24" i="2"/>
  <c r="J24" i="2"/>
  <c r="DL24" i="2"/>
  <c r="E48" i="2"/>
  <c r="E49" i="2"/>
  <c r="E50" i="2"/>
  <c r="E51" i="2"/>
  <c r="E52" i="2"/>
  <c r="E53" i="2"/>
  <c r="E54" i="2"/>
  <c r="D48" i="2"/>
  <c r="D49" i="2"/>
  <c r="D50" i="2"/>
  <c r="D51" i="2"/>
  <c r="D52" i="2"/>
  <c r="D53" i="2"/>
  <c r="D54" i="2"/>
  <c r="DN24" i="2"/>
  <c r="B24" i="2"/>
  <c r="DN22" i="2"/>
  <c r="B22" i="2"/>
  <c r="DN20" i="2"/>
  <c r="B20" i="2"/>
  <c r="J18" i="2"/>
  <c r="DL18" i="2"/>
  <c r="H18" i="2"/>
  <c r="DN18" i="2"/>
  <c r="B18" i="2"/>
  <c r="C309" i="15"/>
  <c r="D309" i="15"/>
  <c r="G309" i="15"/>
  <c r="H309" i="15"/>
  <c r="J309" i="15"/>
  <c r="P309" i="15"/>
  <c r="X309" i="15"/>
  <c r="Z309" i="15"/>
  <c r="AD309" i="15"/>
  <c r="AI309" i="15"/>
  <c r="B309" i="15"/>
  <c r="A309" i="15"/>
  <c r="AZ309" i="15" s="1"/>
  <c r="H18" i="22"/>
  <c r="X18" i="22"/>
  <c r="Y18" i="22"/>
  <c r="Z18" i="22"/>
  <c r="AA18" i="22"/>
  <c r="AB18" i="22"/>
  <c r="AC18" i="22"/>
  <c r="AD18" i="22"/>
  <c r="AE18" i="22"/>
  <c r="F19" i="22"/>
  <c r="H19" i="22"/>
  <c r="F20" i="22"/>
  <c r="H20" i="22"/>
  <c r="G23" i="22"/>
  <c r="L7" i="22" s="1"/>
  <c r="B7" i="22"/>
  <c r="M7" i="22"/>
  <c r="O7" i="22" s="1"/>
  <c r="P7" i="22"/>
  <c r="DH7" i="22"/>
  <c r="Q7" i="22"/>
  <c r="R7" i="22"/>
  <c r="DJ7" i="22" s="1"/>
  <c r="AB241" i="15" s="1"/>
  <c r="V4" i="22"/>
  <c r="DL313" i="2"/>
  <c r="DO313" i="2"/>
  <c r="BW313" i="2"/>
  <c r="BW314" i="2"/>
  <c r="BW315" i="2"/>
  <c r="BW316" i="2"/>
  <c r="AV313" i="2"/>
  <c r="AV314" i="2"/>
  <c r="AI313" i="2"/>
  <c r="V313" i="2"/>
  <c r="O331" i="2"/>
  <c r="L331" i="2"/>
  <c r="N331" i="2"/>
  <c r="D331" i="2"/>
  <c r="E331" i="2"/>
  <c r="B313" i="2"/>
  <c r="G313" i="2"/>
  <c r="N313" i="2"/>
  <c r="CH313" i="2"/>
  <c r="L313" i="2"/>
  <c r="Q309" i="15"/>
  <c r="O309" i="15"/>
  <c r="AT313" i="2"/>
  <c r="AE309" i="15"/>
  <c r="AC309" i="15" s="1"/>
  <c r="X260" i="15"/>
  <c r="Z260" i="15" s="1"/>
  <c r="W260" i="15" s="1"/>
  <c r="X266" i="15"/>
  <c r="Z266" i="15"/>
  <c r="W266" i="15" s="1"/>
  <c r="DL20" i="2"/>
  <c r="X264" i="15"/>
  <c r="Z264" i="15"/>
  <c r="W264" i="15" s="1"/>
  <c r="X241" i="15"/>
  <c r="Z241" i="15" s="1"/>
  <c r="W241" i="15" s="1"/>
  <c r="V241" i="15" s="1"/>
  <c r="AV315" i="2"/>
  <c r="AV316" i="2"/>
  <c r="AV317" i="2"/>
  <c r="AV318" i="2"/>
  <c r="AV319" i="2"/>
  <c r="AV320" i="2"/>
  <c r="AB309" i="15"/>
  <c r="DN313" i="2"/>
  <c r="AI314" i="2"/>
  <c r="K309" i="15"/>
  <c r="BW317" i="2"/>
  <c r="BW318" i="2"/>
  <c r="BW319" i="2"/>
  <c r="BW320" i="2"/>
  <c r="H313" i="2"/>
  <c r="F313" i="2"/>
  <c r="AG313" i="2"/>
  <c r="BG313" i="2"/>
  <c r="V314" i="2"/>
  <c r="L309" i="15"/>
  <c r="I309" i="15"/>
  <c r="H263" i="15"/>
  <c r="H264" i="15"/>
  <c r="H266" i="15"/>
  <c r="H265" i="15"/>
  <c r="J1271" i="6"/>
  <c r="F1271" i="6"/>
  <c r="H261" i="15"/>
  <c r="H262" i="15"/>
  <c r="T43" i="6"/>
  <c r="T42" i="6"/>
  <c r="T51" i="6"/>
  <c r="T46" i="6"/>
  <c r="K924" i="7"/>
  <c r="K923" i="7"/>
  <c r="DJ923" i="7" s="1"/>
  <c r="DJ2271" i="6"/>
  <c r="DJ2269" i="6"/>
  <c r="DJ2267" i="6"/>
  <c r="DJ2266" i="6"/>
  <c r="DJ2265" i="6"/>
  <c r="DJ2263" i="6"/>
  <c r="DJ2262" i="6"/>
  <c r="DJ2261" i="6"/>
  <c r="DJ2259" i="6"/>
  <c r="DJ2257" i="6"/>
  <c r="DJ2255" i="6"/>
  <c r="DJ2254" i="6"/>
  <c r="DJ2253" i="6"/>
  <c r="DJ2251" i="6"/>
  <c r="DJ2250" i="6"/>
  <c r="DJ2249" i="6"/>
  <c r="DJ2247" i="6"/>
  <c r="DJ2245" i="6"/>
  <c r="DJ2243" i="6"/>
  <c r="DJ2242" i="6"/>
  <c r="DJ2241" i="6"/>
  <c r="DJ2239" i="6"/>
  <c r="DJ2238" i="6"/>
  <c r="DJ2237" i="6"/>
  <c r="DJ2235" i="6"/>
  <c r="DJ2233" i="6"/>
  <c r="DJ2231" i="6"/>
  <c r="DJ2230" i="6"/>
  <c r="DJ2229" i="6"/>
  <c r="DJ2227" i="6"/>
  <c r="DJ2226" i="6"/>
  <c r="DJ2225" i="6"/>
  <c r="DJ528" i="6"/>
  <c r="DJ527" i="6"/>
  <c r="DJ526" i="6"/>
  <c r="DJ524" i="6"/>
  <c r="DJ522" i="6"/>
  <c r="DJ521" i="6"/>
  <c r="DJ520" i="6"/>
  <c r="DJ518" i="6"/>
  <c r="DJ517" i="6"/>
  <c r="DJ516" i="6"/>
  <c r="DJ514" i="6"/>
  <c r="DJ453" i="6"/>
  <c r="DJ451" i="6"/>
  <c r="DJ449" i="6"/>
  <c r="DJ29" i="11"/>
  <c r="DJ28" i="11"/>
  <c r="DJ10" i="11"/>
  <c r="DJ9" i="11"/>
  <c r="DJ8" i="11"/>
  <c r="DJ7" i="11"/>
  <c r="DJ975" i="7"/>
  <c r="DJ943" i="7"/>
  <c r="DJ941" i="7"/>
  <c r="DJ939" i="7"/>
  <c r="DJ922" i="7"/>
  <c r="DJ791" i="7"/>
  <c r="DJ789" i="7"/>
  <c r="DJ787" i="7"/>
  <c r="DJ785" i="7"/>
  <c r="DJ783" i="7"/>
  <c r="DJ781" i="7"/>
  <c r="DJ608" i="7"/>
  <c r="DJ556" i="7"/>
  <c r="DJ521" i="7"/>
  <c r="DJ486" i="7"/>
  <c r="DJ458" i="7"/>
  <c r="DJ420" i="7"/>
  <c r="DJ101" i="7"/>
  <c r="DJ33" i="7"/>
  <c r="DO315" i="2"/>
  <c r="DO316" i="2"/>
  <c r="DL315" i="2"/>
  <c r="DL316" i="2"/>
  <c r="DJ131" i="16"/>
  <c r="DJ61" i="16"/>
  <c r="DJ59" i="16"/>
  <c r="DJ57" i="16"/>
  <c r="DJ55" i="16"/>
  <c r="DJ53" i="16"/>
  <c r="DJ51" i="16"/>
  <c r="DJ49" i="16"/>
  <c r="DJ47" i="16"/>
  <c r="DN506" i="2"/>
  <c r="DN491" i="2"/>
  <c r="DN490" i="2"/>
  <c r="DN489" i="2"/>
  <c r="DN488" i="2"/>
  <c r="DN487" i="2"/>
  <c r="DN486" i="2"/>
  <c r="DN471" i="2"/>
  <c r="DN470" i="2"/>
  <c r="DN453" i="2"/>
  <c r="DN452" i="2"/>
  <c r="DN451" i="2"/>
  <c r="DN450" i="2"/>
  <c r="DN435" i="2"/>
  <c r="DN434" i="2"/>
  <c r="DN417" i="2"/>
  <c r="DN416" i="2"/>
  <c r="DN415" i="2"/>
  <c r="DN414" i="2"/>
  <c r="DN395" i="2"/>
  <c r="DN394" i="2"/>
  <c r="DN393" i="2"/>
  <c r="DN392" i="2"/>
  <c r="DN391" i="2"/>
  <c r="DN390" i="2"/>
  <c r="DN389" i="2"/>
  <c r="DN388" i="2"/>
  <c r="DN369" i="2"/>
  <c r="DN368" i="2"/>
  <c r="DN367" i="2"/>
  <c r="DN366" i="2"/>
  <c r="DN365" i="2"/>
  <c r="DN364" i="2"/>
  <c r="DN363" i="2"/>
  <c r="DN362" i="2"/>
  <c r="DN341" i="2"/>
  <c r="DN312" i="2"/>
  <c r="DN290" i="2"/>
  <c r="DN260" i="2"/>
  <c r="DN240" i="2"/>
  <c r="DN225" i="2"/>
  <c r="DN208" i="2"/>
  <c r="DN207" i="2"/>
  <c r="DN206" i="2"/>
  <c r="DN205" i="2"/>
  <c r="DN186" i="2"/>
  <c r="DN185" i="2"/>
  <c r="DN184" i="2"/>
  <c r="DN183" i="2"/>
  <c r="DN182" i="2"/>
  <c r="DN166" i="2"/>
  <c r="DN145" i="2"/>
  <c r="DK145" i="2" s="1"/>
  <c r="AA288" i="15" s="1"/>
  <c r="DN144" i="2"/>
  <c r="DK144" i="2" s="1"/>
  <c r="AA287" i="15" s="1"/>
  <c r="DN143" i="2"/>
  <c r="DN142" i="2"/>
  <c r="DN141" i="2"/>
  <c r="DN140" i="2"/>
  <c r="DN139" i="2"/>
  <c r="DN138" i="2"/>
  <c r="DN121" i="2"/>
  <c r="DN120" i="2"/>
  <c r="DN119" i="2"/>
  <c r="DN92" i="2"/>
  <c r="DN91" i="2"/>
  <c r="DN90" i="2"/>
  <c r="DN89" i="2"/>
  <c r="DN88" i="2"/>
  <c r="DN87" i="2"/>
  <c r="DN86" i="2"/>
  <c r="DN85" i="2"/>
  <c r="DN84" i="2"/>
  <c r="DN83" i="2"/>
  <c r="DN82" i="2"/>
  <c r="DN81" i="2"/>
  <c r="DN61" i="2"/>
  <c r="DN60" i="2"/>
  <c r="DN59" i="2"/>
  <c r="DN23" i="2"/>
  <c r="DN21" i="2"/>
  <c r="DN19" i="2"/>
  <c r="DN17" i="2"/>
  <c r="DN16" i="2"/>
  <c r="DN15" i="2"/>
  <c r="DN14" i="2"/>
  <c r="DN13" i="2"/>
  <c r="DN12" i="2"/>
  <c r="DN11" i="2"/>
  <c r="DN10" i="2"/>
  <c r="DN9" i="2"/>
  <c r="M7" i="5"/>
  <c r="DJ7" i="5"/>
  <c r="F60" i="16"/>
  <c r="AG60" i="16"/>
  <c r="F58" i="16"/>
  <c r="AG58" i="16"/>
  <c r="F56" i="16"/>
  <c r="AG56" i="16"/>
  <c r="F54" i="16"/>
  <c r="AG54" i="16"/>
  <c r="F52" i="16"/>
  <c r="AG52" i="16"/>
  <c r="F50" i="16"/>
  <c r="AG50" i="16"/>
  <c r="F48" i="16"/>
  <c r="AG48" i="16"/>
  <c r="G227" i="2"/>
  <c r="AT227" i="2"/>
  <c r="H226" i="2"/>
  <c r="BG226" i="2"/>
  <c r="G226" i="2"/>
  <c r="AT226" i="2"/>
  <c r="F7" i="11"/>
  <c r="Y52" i="15"/>
  <c r="E332" i="2"/>
  <c r="DL488" i="2"/>
  <c r="AI17" i="15"/>
  <c r="AI249" i="15"/>
  <c r="AC249" i="15"/>
  <c r="AD249" i="15"/>
  <c r="AB249" i="15"/>
  <c r="X249" i="15"/>
  <c r="Z249" i="15" s="1"/>
  <c r="W249" i="15" s="1"/>
  <c r="V249" i="15" s="1"/>
  <c r="O249" i="15"/>
  <c r="I249" i="15"/>
  <c r="H249" i="15"/>
  <c r="G249" i="15"/>
  <c r="AX249" i="15"/>
  <c r="C249" i="15"/>
  <c r="B249" i="15"/>
  <c r="A249" i="15"/>
  <c r="AZ249" i="15" s="1"/>
  <c r="AI248" i="15"/>
  <c r="AB248" i="15"/>
  <c r="X248" i="15"/>
  <c r="Z248" i="15" s="1"/>
  <c r="W248" i="15" s="1"/>
  <c r="V248" i="15" s="1"/>
  <c r="U248" i="15" s="1"/>
  <c r="O248" i="15"/>
  <c r="I248" i="15"/>
  <c r="H248" i="15"/>
  <c r="G248" i="15"/>
  <c r="AX248" i="15" s="1"/>
  <c r="C248" i="15"/>
  <c r="B248" i="15"/>
  <c r="A248" i="15"/>
  <c r="AZ248" i="15" s="1"/>
  <c r="AC248" i="15"/>
  <c r="AD248" i="15"/>
  <c r="C247" i="15"/>
  <c r="C246" i="15"/>
  <c r="C245" i="15"/>
  <c r="C244" i="15"/>
  <c r="AI240" i="15"/>
  <c r="AD240" i="15"/>
  <c r="H240" i="15"/>
  <c r="G240" i="15"/>
  <c r="AX240" i="15" s="1"/>
  <c r="C240" i="15"/>
  <c r="B240" i="15"/>
  <c r="A240" i="15" s="1"/>
  <c r="AZ240" i="15" s="1"/>
  <c r="AI239" i="15"/>
  <c r="AD239" i="15"/>
  <c r="H239" i="15"/>
  <c r="G239" i="15"/>
  <c r="AX239" i="15" s="1"/>
  <c r="C239" i="15"/>
  <c r="B239" i="15"/>
  <c r="A239" i="15" s="1"/>
  <c r="AZ239" i="15" s="1"/>
  <c r="AI238" i="15"/>
  <c r="AD238" i="15"/>
  <c r="H238" i="15"/>
  <c r="G238" i="15"/>
  <c r="AX238" i="15" s="1"/>
  <c r="C238" i="15"/>
  <c r="B238" i="15"/>
  <c r="A238" i="15" s="1"/>
  <c r="AZ238" i="15" s="1"/>
  <c r="AI237" i="15"/>
  <c r="AD237" i="15"/>
  <c r="H237" i="15"/>
  <c r="G237" i="15"/>
  <c r="AX237" i="15" s="1"/>
  <c r="C237" i="15"/>
  <c r="B237" i="15"/>
  <c r="A237" i="15" s="1"/>
  <c r="AZ237" i="15" s="1"/>
  <c r="AI236" i="15"/>
  <c r="AD236" i="15"/>
  <c r="H236" i="15"/>
  <c r="G236" i="15"/>
  <c r="AX236" i="15" s="1"/>
  <c r="C236" i="15"/>
  <c r="B236" i="15"/>
  <c r="A236" i="15" s="1"/>
  <c r="AZ236" i="15" s="1"/>
  <c r="AI235" i="15"/>
  <c r="AD235" i="15"/>
  <c r="H235" i="15"/>
  <c r="G235" i="15"/>
  <c r="AX235" i="15" s="1"/>
  <c r="C235" i="15"/>
  <c r="B235" i="15"/>
  <c r="A235" i="15" s="1"/>
  <c r="AZ235" i="15" s="1"/>
  <c r="AI234" i="15"/>
  <c r="AD234" i="15"/>
  <c r="H234" i="15"/>
  <c r="G234" i="15"/>
  <c r="AX234" i="15" s="1"/>
  <c r="C234" i="15"/>
  <c r="B234" i="15"/>
  <c r="A234" i="15" s="1"/>
  <c r="AZ234" i="15" s="1"/>
  <c r="AI233" i="15"/>
  <c r="AD233" i="15"/>
  <c r="H233" i="15"/>
  <c r="G233" i="15"/>
  <c r="AX233" i="15" s="1"/>
  <c r="C233" i="15"/>
  <c r="B233" i="15"/>
  <c r="A233" i="15" s="1"/>
  <c r="AZ233" i="15" s="1"/>
  <c r="AD52" i="15"/>
  <c r="X52" i="15"/>
  <c r="Z52" i="15" s="1"/>
  <c r="P52" i="15"/>
  <c r="J52" i="15"/>
  <c r="H52" i="15"/>
  <c r="G52" i="15"/>
  <c r="AX52" i="15"/>
  <c r="D52" i="15"/>
  <c r="C52" i="15"/>
  <c r="B52" i="15"/>
  <c r="A52" i="15" s="1"/>
  <c r="AZ52" i="15" s="1"/>
  <c r="H19" i="15"/>
  <c r="G19" i="15"/>
  <c r="AX19" i="15" s="1"/>
  <c r="C19" i="15"/>
  <c r="B19" i="15"/>
  <c r="A19" i="15"/>
  <c r="AZ19" i="15" s="1"/>
  <c r="H17" i="15"/>
  <c r="G17" i="15"/>
  <c r="AX17" i="15"/>
  <c r="C17" i="15"/>
  <c r="B17" i="15"/>
  <c r="A17" i="15" s="1"/>
  <c r="AZ17" i="15" s="1"/>
  <c r="AI341" i="15"/>
  <c r="AD341" i="15"/>
  <c r="AB341" i="15"/>
  <c r="X341" i="15"/>
  <c r="Z341" i="15"/>
  <c r="W341" i="15" s="1"/>
  <c r="V341" i="15" s="1"/>
  <c r="U341" i="15" s="1"/>
  <c r="H341" i="15"/>
  <c r="G341" i="15"/>
  <c r="AX341" i="15" s="1"/>
  <c r="C341" i="15"/>
  <c r="B341" i="15"/>
  <c r="A341" i="15" s="1"/>
  <c r="AZ341" i="15" s="1"/>
  <c r="AI342" i="15"/>
  <c r="AD342" i="15"/>
  <c r="AB342" i="15"/>
  <c r="X342" i="15"/>
  <c r="Z342" i="15"/>
  <c r="W342" i="15" s="1"/>
  <c r="V342" i="15" s="1"/>
  <c r="U342" i="15" s="1"/>
  <c r="H342" i="15"/>
  <c r="G342" i="15"/>
  <c r="AX342" i="15"/>
  <c r="C342" i="15"/>
  <c r="B342" i="15"/>
  <c r="A342" i="15" s="1"/>
  <c r="AZ342" i="15" s="1"/>
  <c r="AI312" i="15"/>
  <c r="AD312" i="15"/>
  <c r="X312" i="15"/>
  <c r="Z312" i="15"/>
  <c r="P312" i="15"/>
  <c r="J312" i="15"/>
  <c r="H312" i="15"/>
  <c r="G312" i="15"/>
  <c r="AX312" i="15"/>
  <c r="D312" i="15"/>
  <c r="C312" i="15"/>
  <c r="B312" i="15"/>
  <c r="A312" i="15" s="1"/>
  <c r="AZ312" i="15" s="1"/>
  <c r="AI311" i="15"/>
  <c r="AD311" i="15"/>
  <c r="X311" i="15"/>
  <c r="Z311" i="15" s="1"/>
  <c r="P311" i="15"/>
  <c r="J311" i="15"/>
  <c r="H311" i="15"/>
  <c r="G311" i="15"/>
  <c r="AX311" i="15" s="1"/>
  <c r="D311" i="15"/>
  <c r="C311" i="15"/>
  <c r="B311" i="15"/>
  <c r="A311" i="15"/>
  <c r="AZ311" i="15" s="1"/>
  <c r="AI298" i="15"/>
  <c r="AD298" i="15"/>
  <c r="X298" i="15"/>
  <c r="Z298" i="15"/>
  <c r="W298" i="15" s="1"/>
  <c r="V298" i="15" s="1"/>
  <c r="P298" i="15"/>
  <c r="L298" i="15"/>
  <c r="J298" i="15"/>
  <c r="H298" i="15"/>
  <c r="G298" i="15"/>
  <c r="AX298" i="15" s="1"/>
  <c r="D298" i="15"/>
  <c r="C298" i="15"/>
  <c r="B298" i="15"/>
  <c r="A298" i="15" s="1"/>
  <c r="AZ298" i="15" s="1"/>
  <c r="AI288" i="15"/>
  <c r="AD288" i="15"/>
  <c r="AB288" i="15"/>
  <c r="X288" i="15"/>
  <c r="Z288" i="15"/>
  <c r="H288" i="15"/>
  <c r="G288" i="15"/>
  <c r="AX288" i="15" s="1"/>
  <c r="C288" i="15"/>
  <c r="B288" i="15"/>
  <c r="A288" i="15" s="1"/>
  <c r="AZ288" i="15" s="1"/>
  <c r="AI287" i="15"/>
  <c r="AD287" i="15"/>
  <c r="AB287" i="15"/>
  <c r="X287" i="15"/>
  <c r="Z287" i="15"/>
  <c r="H287" i="15"/>
  <c r="G287" i="15"/>
  <c r="AX287" i="15" s="1"/>
  <c r="C287" i="15"/>
  <c r="B287" i="15"/>
  <c r="A287" i="15" s="1"/>
  <c r="AZ287" i="15" s="1"/>
  <c r="AI279" i="15"/>
  <c r="AD279" i="15"/>
  <c r="AB279" i="15"/>
  <c r="X279" i="15"/>
  <c r="Z279" i="15" s="1"/>
  <c r="W279" i="15" s="1"/>
  <c r="V279" i="15" s="1"/>
  <c r="U279" i="15" s="1"/>
  <c r="H279" i="15"/>
  <c r="G279" i="15"/>
  <c r="AX279" i="15"/>
  <c r="C279" i="15"/>
  <c r="B279" i="15"/>
  <c r="A279" i="15" s="1"/>
  <c r="AZ279" i="15" s="1"/>
  <c r="AI277" i="15"/>
  <c r="AD277" i="15"/>
  <c r="AB277" i="15"/>
  <c r="X277" i="15"/>
  <c r="Z277" i="15"/>
  <c r="W277" i="15" s="1"/>
  <c r="H277" i="15"/>
  <c r="G277" i="15"/>
  <c r="AX277" i="15" s="1"/>
  <c r="C277" i="15"/>
  <c r="B277" i="15"/>
  <c r="A277" i="15" s="1"/>
  <c r="AZ277" i="15" s="1"/>
  <c r="F293" i="2"/>
  <c r="AF293" i="2"/>
  <c r="B1005" i="7"/>
  <c r="B1006" i="7"/>
  <c r="B1007" i="7"/>
  <c r="B1008" i="7"/>
  <c r="H405" i="2"/>
  <c r="BE404" i="2"/>
  <c r="BD404" i="2"/>
  <c r="BC404" i="2"/>
  <c r="BA404" i="2"/>
  <c r="AZ404" i="2"/>
  <c r="AY404" i="2"/>
  <c r="AX404" i="2"/>
  <c r="AR404" i="2"/>
  <c r="AQ404" i="2"/>
  <c r="AP404" i="2"/>
  <c r="AO404" i="2"/>
  <c r="AN404" i="2"/>
  <c r="AM404" i="2"/>
  <c r="AL404" i="2"/>
  <c r="AK404" i="2"/>
  <c r="AE404" i="2"/>
  <c r="AD404" i="2"/>
  <c r="AC404" i="2"/>
  <c r="AA404" i="2"/>
  <c r="Z404" i="2"/>
  <c r="Y404" i="2"/>
  <c r="X404" i="2"/>
  <c r="W404" i="2"/>
  <c r="DS330" i="2"/>
  <c r="DR330" i="2"/>
  <c r="DQ330" i="2"/>
  <c r="DO330" i="2"/>
  <c r="DN330" i="2"/>
  <c r="DM330" i="2"/>
  <c r="DL330" i="2"/>
  <c r="DF330" i="2"/>
  <c r="DE330" i="2"/>
  <c r="DD330" i="2"/>
  <c r="DB330" i="2"/>
  <c r="DA330" i="2"/>
  <c r="CZ330" i="2"/>
  <c r="CY330" i="2"/>
  <c r="CS330" i="2"/>
  <c r="CR330" i="2"/>
  <c r="CQ330" i="2"/>
  <c r="CO330" i="2"/>
  <c r="CN330" i="2"/>
  <c r="CM330" i="2"/>
  <c r="CL330" i="2"/>
  <c r="D332" i="2"/>
  <c r="D333" i="2"/>
  <c r="CF330" i="2"/>
  <c r="CE330" i="2"/>
  <c r="CD330" i="2"/>
  <c r="CB330" i="2"/>
  <c r="CA330" i="2"/>
  <c r="BZ330" i="2"/>
  <c r="BY330" i="2"/>
  <c r="BR330" i="2"/>
  <c r="BQ330" i="2"/>
  <c r="BP330" i="2"/>
  <c r="BN330" i="2"/>
  <c r="BM330" i="2"/>
  <c r="BL330" i="2"/>
  <c r="BK330" i="2"/>
  <c r="BE330" i="2"/>
  <c r="BD330" i="2"/>
  <c r="BC330" i="2"/>
  <c r="BA330" i="2"/>
  <c r="AZ330" i="2"/>
  <c r="AY330" i="2"/>
  <c r="AX330" i="2"/>
  <c r="AR330" i="2"/>
  <c r="AQ330" i="2"/>
  <c r="AP330" i="2"/>
  <c r="AN330" i="2"/>
  <c r="AM330" i="2"/>
  <c r="AL330" i="2"/>
  <c r="AK330" i="2"/>
  <c r="AG330" i="2"/>
  <c r="AE330" i="2"/>
  <c r="AD330" i="2"/>
  <c r="AC330" i="2"/>
  <c r="AA330" i="2"/>
  <c r="Z330" i="2"/>
  <c r="Y330" i="2"/>
  <c r="X330" i="2"/>
  <c r="W330" i="2"/>
  <c r="B315" i="2"/>
  <c r="B316" i="2"/>
  <c r="D334" i="2"/>
  <c r="D335" i="2"/>
  <c r="D336" i="2"/>
  <c r="D337" i="2"/>
  <c r="D338" i="2"/>
  <c r="AI255" i="2"/>
  <c r="AI256" i="2"/>
  <c r="AI257" i="2"/>
  <c r="AR253" i="2"/>
  <c r="AQ253" i="2"/>
  <c r="AP253" i="2"/>
  <c r="AN253" i="2"/>
  <c r="AM253" i="2"/>
  <c r="AL253" i="2"/>
  <c r="AK253" i="2"/>
  <c r="AJ253" i="2"/>
  <c r="V255" i="2"/>
  <c r="V256" i="2"/>
  <c r="V257" i="2"/>
  <c r="AG253" i="2"/>
  <c r="AE253" i="2"/>
  <c r="AD253" i="2"/>
  <c r="AC253" i="2"/>
  <c r="AA253" i="2"/>
  <c r="Z253" i="2"/>
  <c r="Y253" i="2"/>
  <c r="X253" i="2"/>
  <c r="W253" i="2"/>
  <c r="K261" i="2"/>
  <c r="DN261" i="2"/>
  <c r="B227" i="2"/>
  <c r="BE217" i="2"/>
  <c r="BD217" i="2"/>
  <c r="BC217" i="2"/>
  <c r="BA217" i="2"/>
  <c r="AZ217" i="2"/>
  <c r="AY217" i="2"/>
  <c r="AX217" i="2"/>
  <c r="AR217" i="2"/>
  <c r="AQ217" i="2"/>
  <c r="AP217" i="2"/>
  <c r="AO217" i="2"/>
  <c r="AN217" i="2"/>
  <c r="AM217" i="2"/>
  <c r="AL217" i="2"/>
  <c r="AK217" i="2"/>
  <c r="AE217" i="2"/>
  <c r="AD217" i="2"/>
  <c r="AC217" i="2"/>
  <c r="AA217" i="2"/>
  <c r="Z217" i="2"/>
  <c r="Y217" i="2"/>
  <c r="X217" i="2"/>
  <c r="W217" i="2"/>
  <c r="S191" i="2"/>
  <c r="BR154" i="2"/>
  <c r="BQ154" i="2"/>
  <c r="BP154" i="2"/>
  <c r="BN154" i="2"/>
  <c r="BM154" i="2"/>
  <c r="BL154" i="2"/>
  <c r="BK154" i="2"/>
  <c r="BE154" i="2"/>
  <c r="BD154" i="2"/>
  <c r="BC154" i="2"/>
  <c r="BA154" i="2"/>
  <c r="AZ154" i="2"/>
  <c r="AY154" i="2"/>
  <c r="AX154" i="2"/>
  <c r="AR154" i="2"/>
  <c r="AQ154" i="2"/>
  <c r="AP154" i="2"/>
  <c r="AO154" i="2"/>
  <c r="AN154" i="2"/>
  <c r="AM154" i="2"/>
  <c r="AL154" i="2"/>
  <c r="AK154" i="2"/>
  <c r="AG154" i="2"/>
  <c r="AE154" i="2"/>
  <c r="AD154" i="2"/>
  <c r="AC154" i="2"/>
  <c r="AA154" i="2"/>
  <c r="Z154" i="2"/>
  <c r="Y154" i="2"/>
  <c r="X154" i="2"/>
  <c r="W154" i="2"/>
  <c r="J255" i="2"/>
  <c r="K242" i="2"/>
  <c r="J256" i="2"/>
  <c r="K243" i="2"/>
  <c r="J257" i="2"/>
  <c r="K244" i="2"/>
  <c r="J254" i="2"/>
  <c r="K241" i="2"/>
  <c r="BW237" i="2"/>
  <c r="CF236" i="2"/>
  <c r="CE236" i="2"/>
  <c r="CD236" i="2"/>
  <c r="CC236" i="2"/>
  <c r="CB236" i="2"/>
  <c r="CA236" i="2"/>
  <c r="BZ236" i="2"/>
  <c r="BY236" i="2"/>
  <c r="BR236" i="2"/>
  <c r="BQ236" i="2"/>
  <c r="BP236" i="2"/>
  <c r="BN236" i="2"/>
  <c r="BM236" i="2"/>
  <c r="BL236" i="2"/>
  <c r="BK236" i="2"/>
  <c r="BJ236" i="2"/>
  <c r="BE236" i="2"/>
  <c r="BD236" i="2"/>
  <c r="BC236" i="2"/>
  <c r="BA236" i="2"/>
  <c r="AZ236" i="2"/>
  <c r="AY236" i="2"/>
  <c r="AX236" i="2"/>
  <c r="AW236" i="2"/>
  <c r="AR236" i="2"/>
  <c r="AQ236" i="2"/>
  <c r="AP236" i="2"/>
  <c r="AN236" i="2"/>
  <c r="AM236" i="2"/>
  <c r="AL236" i="2"/>
  <c r="AK236" i="2"/>
  <c r="AJ236" i="2"/>
  <c r="AE236" i="2"/>
  <c r="AD236" i="2"/>
  <c r="AC236" i="2"/>
  <c r="AA236" i="2"/>
  <c r="Z236" i="2"/>
  <c r="Y236" i="2"/>
  <c r="X236" i="2"/>
  <c r="W236" i="2"/>
  <c r="DN243" i="2"/>
  <c r="BG243" i="2"/>
  <c r="DN242" i="2"/>
  <c r="BG242" i="2"/>
  <c r="DN241" i="2"/>
  <c r="BG241" i="2"/>
  <c r="DN244" i="2"/>
  <c r="BG244" i="2"/>
  <c r="H218" i="2"/>
  <c r="I219" i="2"/>
  <c r="BE196" i="2"/>
  <c r="BD196" i="2"/>
  <c r="BC196" i="2"/>
  <c r="BA196" i="2"/>
  <c r="AZ196" i="2"/>
  <c r="AY196" i="2"/>
  <c r="AX196" i="2"/>
  <c r="AW196" i="2"/>
  <c r="AE196" i="2"/>
  <c r="AD196" i="2"/>
  <c r="AC196" i="2"/>
  <c r="AA196" i="2"/>
  <c r="Z196" i="2"/>
  <c r="Y196" i="2"/>
  <c r="X196" i="2"/>
  <c r="W196" i="2"/>
  <c r="B144" i="2"/>
  <c r="B145" i="2"/>
  <c r="B91" i="2"/>
  <c r="B92" i="2"/>
  <c r="E498" i="2"/>
  <c r="E499" i="2"/>
  <c r="E500" i="2"/>
  <c r="E501" i="2"/>
  <c r="H487" i="2"/>
  <c r="F487" i="2"/>
  <c r="I341" i="15"/>
  <c r="H488" i="2"/>
  <c r="F488" i="2"/>
  <c r="B488" i="2"/>
  <c r="E497" i="2"/>
  <c r="D497" i="2"/>
  <c r="D498" i="2"/>
  <c r="DL487" i="2"/>
  <c r="B487" i="2"/>
  <c r="H406" i="2"/>
  <c r="H407" i="2"/>
  <c r="H408" i="2"/>
  <c r="H409" i="2"/>
  <c r="H410" i="2"/>
  <c r="H411" i="2"/>
  <c r="F389" i="2"/>
  <c r="AG389" i="2"/>
  <c r="BG61" i="2"/>
  <c r="BG60" i="2"/>
  <c r="M184" i="2"/>
  <c r="N184" i="2"/>
  <c r="O184" i="2"/>
  <c r="P184" i="2"/>
  <c r="M185" i="2"/>
  <c r="N185" i="2"/>
  <c r="O185" i="2"/>
  <c r="P185" i="2"/>
  <c r="M186" i="2"/>
  <c r="N186" i="2"/>
  <c r="O186" i="2"/>
  <c r="P186" i="2"/>
  <c r="P183" i="2"/>
  <c r="O183" i="2"/>
  <c r="N183" i="2"/>
  <c r="M183" i="2"/>
  <c r="L428" i="2"/>
  <c r="K416" i="2"/>
  <c r="BG416" i="2"/>
  <c r="L429" i="2"/>
  <c r="K417" i="2"/>
  <c r="BG417" i="2"/>
  <c r="L427" i="2"/>
  <c r="K415" i="2"/>
  <c r="BG415" i="2"/>
  <c r="T183" i="2"/>
  <c r="R191" i="2"/>
  <c r="I342" i="15"/>
  <c r="DM488" i="2"/>
  <c r="S183" i="2"/>
  <c r="Q191" i="2"/>
  <c r="I488" i="2"/>
  <c r="O342" i="15"/>
  <c r="I487" i="2"/>
  <c r="O341" i="15"/>
  <c r="T186" i="2"/>
  <c r="S186" i="2"/>
  <c r="T185" i="2"/>
  <c r="S185" i="2"/>
  <c r="T184" i="2"/>
  <c r="S184" i="2"/>
  <c r="AV416" i="2"/>
  <c r="AV417" i="2"/>
  <c r="N314" i="2"/>
  <c r="N315" i="2"/>
  <c r="N316" i="2"/>
  <c r="N319" i="2"/>
  <c r="R335" i="2"/>
  <c r="N317" i="2"/>
  <c r="R336" i="2"/>
  <c r="N318" i="2"/>
  <c r="R338" i="2"/>
  <c r="N320" i="2"/>
  <c r="M338" i="2"/>
  <c r="O338" i="2"/>
  <c r="G314" i="2"/>
  <c r="AT314" i="2"/>
  <c r="H314" i="2"/>
  <c r="BG314" i="2"/>
  <c r="G315" i="2"/>
  <c r="AT315" i="2"/>
  <c r="H315" i="2"/>
  <c r="G316" i="2"/>
  <c r="AT316" i="2"/>
  <c r="H316" i="2"/>
  <c r="L338" i="2"/>
  <c r="N338" i="2"/>
  <c r="F292" i="2"/>
  <c r="AF292" i="2"/>
  <c r="F294" i="2"/>
  <c r="AF294" i="2"/>
  <c r="F295" i="2"/>
  <c r="AF295" i="2"/>
  <c r="F291" i="2"/>
  <c r="AF291" i="2"/>
  <c r="J306" i="2"/>
  <c r="K292" i="2"/>
  <c r="DN292" i="2"/>
  <c r="J307" i="2"/>
  <c r="K293" i="2"/>
  <c r="DN293" i="2"/>
  <c r="J308" i="2"/>
  <c r="K294" i="2"/>
  <c r="DN294" i="2"/>
  <c r="J309" i="2"/>
  <c r="K295" i="2"/>
  <c r="DN295" i="2"/>
  <c r="J305" i="2"/>
  <c r="K291" i="2"/>
  <c r="DN291" i="2"/>
  <c r="V226" i="2"/>
  <c r="V227" i="2"/>
  <c r="K298" i="15"/>
  <c r="I298" i="15" s="1"/>
  <c r="BF207" i="2"/>
  <c r="BF208" i="2"/>
  <c r="BF206" i="2"/>
  <c r="H219" i="2"/>
  <c r="H220" i="2"/>
  <c r="DN318" i="2"/>
  <c r="CH318" i="2"/>
  <c r="DN314" i="2"/>
  <c r="CH314" i="2"/>
  <c r="DN320" i="2"/>
  <c r="CH320" i="2"/>
  <c r="DN317" i="2"/>
  <c r="CH317" i="2"/>
  <c r="DN319" i="2"/>
  <c r="CH319" i="2"/>
  <c r="DP316" i="2"/>
  <c r="BG316" i="2"/>
  <c r="DN315" i="2"/>
  <c r="CH315" i="2"/>
  <c r="DP315" i="2"/>
  <c r="BG315" i="2"/>
  <c r="DN316" i="2"/>
  <c r="CH316" i="2"/>
  <c r="DM316" i="2"/>
  <c r="AE312" i="15"/>
  <c r="AC312" i="15" s="1"/>
  <c r="AI317" i="2"/>
  <c r="DM315" i="2"/>
  <c r="AE311" i="15"/>
  <c r="AC311" i="15" s="1"/>
  <c r="AI316" i="2"/>
  <c r="AI315" i="2"/>
  <c r="U183" i="2"/>
  <c r="U191" i="2"/>
  <c r="U192" i="2"/>
  <c r="DK488" i="2"/>
  <c r="AA342" i="15"/>
  <c r="AE342" i="15"/>
  <c r="AC342" i="15" s="1"/>
  <c r="U185" i="2"/>
  <c r="L312" i="15"/>
  <c r="L311" i="15"/>
  <c r="K312" i="15"/>
  <c r="I312" i="15" s="1"/>
  <c r="K311" i="15"/>
  <c r="I311" i="15" s="1"/>
  <c r="AB312" i="15"/>
  <c r="AB311" i="15"/>
  <c r="U186" i="2"/>
  <c r="T187" i="2"/>
  <c r="U184" i="2"/>
  <c r="S187" i="2"/>
  <c r="H320" i="2"/>
  <c r="BG320" i="2"/>
  <c r="F315" i="2"/>
  <c r="AG315" i="2"/>
  <c r="F316" i="2"/>
  <c r="AG316" i="2"/>
  <c r="L316" i="2"/>
  <c r="Q312" i="15"/>
  <c r="O312" i="15"/>
  <c r="L315" i="2"/>
  <c r="Q311" i="15"/>
  <c r="O311" i="15" s="1"/>
  <c r="DK316" i="2"/>
  <c r="AA312" i="15"/>
  <c r="DK315" i="2"/>
  <c r="AA311" i="15"/>
  <c r="V317" i="2"/>
  <c r="V316" i="2"/>
  <c r="U187" i="2"/>
  <c r="E333" i="2"/>
  <c r="E334" i="2"/>
  <c r="E335" i="2"/>
  <c r="E336" i="2"/>
  <c r="E337" i="2"/>
  <c r="E338" i="2"/>
  <c r="BF292" i="2"/>
  <c r="BF293" i="2"/>
  <c r="BF294" i="2"/>
  <c r="BF295" i="2"/>
  <c r="BF291" i="2"/>
  <c r="E309" i="2"/>
  <c r="N227" i="2"/>
  <c r="N226" i="2"/>
  <c r="F227" i="2"/>
  <c r="DL227" i="2"/>
  <c r="F199" i="2"/>
  <c r="AG199" i="2"/>
  <c r="F200" i="2"/>
  <c r="AG200" i="2"/>
  <c r="DN226" i="2"/>
  <c r="CH226" i="2"/>
  <c r="DN227" i="2"/>
  <c r="CH227" i="2"/>
  <c r="AB298" i="15"/>
  <c r="F226" i="2"/>
  <c r="L227" i="2"/>
  <c r="Q298" i="15"/>
  <c r="O298" i="15" s="1"/>
  <c r="O156" i="2"/>
  <c r="O157" i="2"/>
  <c r="O158" i="2"/>
  <c r="O159" i="2"/>
  <c r="O160" i="2"/>
  <c r="O161" i="2"/>
  <c r="O155" i="2"/>
  <c r="H161" i="2"/>
  <c r="N161" i="2"/>
  <c r="E161" i="2"/>
  <c r="D161" i="2"/>
  <c r="H160" i="2"/>
  <c r="E160" i="2"/>
  <c r="D160" i="2"/>
  <c r="DL145" i="2"/>
  <c r="H145" i="2"/>
  <c r="DL144" i="2"/>
  <c r="H144" i="2"/>
  <c r="AF106" i="2"/>
  <c r="AF107" i="2"/>
  <c r="AF108" i="2"/>
  <c r="AF109" i="2"/>
  <c r="AF110" i="2"/>
  <c r="AF111" i="2"/>
  <c r="AF112" i="2"/>
  <c r="AF113" i="2"/>
  <c r="AF114" i="2"/>
  <c r="AF105" i="2"/>
  <c r="F92" i="2"/>
  <c r="F91" i="2"/>
  <c r="AG91" i="2"/>
  <c r="F90" i="2"/>
  <c r="DL90" i="2"/>
  <c r="H90" i="2"/>
  <c r="B90" i="2"/>
  <c r="DL92" i="2"/>
  <c r="H92" i="2"/>
  <c r="F82" i="2"/>
  <c r="AG82" i="2"/>
  <c r="AG90" i="2"/>
  <c r="I277" i="15"/>
  <c r="AG92" i="2"/>
  <c r="I279" i="15"/>
  <c r="M160" i="2"/>
  <c r="N160" i="2"/>
  <c r="M161" i="2"/>
  <c r="F145" i="2"/>
  <c r="AG145" i="2"/>
  <c r="I90" i="2"/>
  <c r="O277" i="15"/>
  <c r="I92" i="2"/>
  <c r="O279" i="15"/>
  <c r="AF145" i="2"/>
  <c r="I288" i="15"/>
  <c r="F144" i="2"/>
  <c r="AG144" i="2"/>
  <c r="I145" i="2"/>
  <c r="O288" i="15"/>
  <c r="AF144" i="2"/>
  <c r="I287" i="15"/>
  <c r="I144" i="2"/>
  <c r="O287" i="15"/>
  <c r="F448" i="6"/>
  <c r="AG448" i="6"/>
  <c r="AF1014" i="7"/>
  <c r="AF1015" i="7"/>
  <c r="AF1016" i="7"/>
  <c r="AF1017" i="7"/>
  <c r="AF1018" i="7"/>
  <c r="AF1019" i="7"/>
  <c r="AF1020" i="7"/>
  <c r="AF1021" i="7"/>
  <c r="AF1022" i="7"/>
  <c r="V1018" i="7"/>
  <c r="H1005" i="7"/>
  <c r="J1005" i="7"/>
  <c r="DH1005" i="7" s="1"/>
  <c r="K1005" i="7"/>
  <c r="AB237" i="15" s="1"/>
  <c r="H1006" i="7"/>
  <c r="J1006" i="7"/>
  <c r="K1006" i="7"/>
  <c r="H1007" i="7"/>
  <c r="J1007" i="7"/>
  <c r="X239" i="15" s="1"/>
  <c r="Z239" i="15" s="1"/>
  <c r="K1007" i="7"/>
  <c r="DJ1007" i="7" s="1"/>
  <c r="H1008" i="7"/>
  <c r="J1008" i="7"/>
  <c r="X240" i="15" s="1"/>
  <c r="Z240" i="15" s="1"/>
  <c r="K1008" i="7"/>
  <c r="DJ1008" i="7" s="1"/>
  <c r="S486" i="6"/>
  <c r="S484" i="6"/>
  <c r="AR196" i="2"/>
  <c r="AQ196" i="2"/>
  <c r="AP196" i="2"/>
  <c r="AN196" i="2"/>
  <c r="AM196" i="2"/>
  <c r="AL196" i="2"/>
  <c r="AK196" i="2"/>
  <c r="AJ196" i="2"/>
  <c r="AE102" i="2"/>
  <c r="AD102" i="2"/>
  <c r="AC102" i="2"/>
  <c r="AA102" i="2"/>
  <c r="Z102" i="2"/>
  <c r="Y102" i="2"/>
  <c r="X102" i="2"/>
  <c r="W102" i="2"/>
  <c r="V117" i="2"/>
  <c r="F83" i="2"/>
  <c r="AG83" i="2"/>
  <c r="F84" i="2"/>
  <c r="AG84" i="2"/>
  <c r="F85" i="2"/>
  <c r="AG85" i="2"/>
  <c r="F86" i="2"/>
  <c r="AG86" i="2"/>
  <c r="F87" i="2"/>
  <c r="AG87" i="2"/>
  <c r="F88" i="2"/>
  <c r="AG88" i="2"/>
  <c r="F89" i="2"/>
  <c r="AG89" i="2"/>
  <c r="J132" i="16"/>
  <c r="K132" i="16"/>
  <c r="F132" i="16"/>
  <c r="V140" i="16"/>
  <c r="V141" i="16"/>
  <c r="V142" i="16"/>
  <c r="V143" i="16"/>
  <c r="V144" i="16"/>
  <c r="V145" i="16"/>
  <c r="V146" i="16"/>
  <c r="V147" i="16"/>
  <c r="V139" i="16"/>
  <c r="AE138" i="16"/>
  <c r="AD138" i="16"/>
  <c r="AC138" i="16"/>
  <c r="AB138" i="16"/>
  <c r="AA138" i="16"/>
  <c r="Z138" i="16"/>
  <c r="Y138" i="16"/>
  <c r="X138" i="16"/>
  <c r="W138" i="16"/>
  <c r="H132" i="16"/>
  <c r="B132" i="16"/>
  <c r="DI131" i="16"/>
  <c r="DH131" i="16"/>
  <c r="DG131" i="16"/>
  <c r="AG131" i="16"/>
  <c r="AE131" i="16"/>
  <c r="AD131" i="16"/>
  <c r="AC131" i="16"/>
  <c r="AB131" i="16"/>
  <c r="AA131" i="16"/>
  <c r="Z131" i="16"/>
  <c r="Y131" i="16"/>
  <c r="X131" i="16"/>
  <c r="W131" i="16"/>
  <c r="V129" i="16"/>
  <c r="J32" i="5"/>
  <c r="K32" i="5"/>
  <c r="DJ32" i="5"/>
  <c r="F40" i="5"/>
  <c r="F39" i="5"/>
  <c r="H32" i="5"/>
  <c r="B32" i="5"/>
  <c r="AB17" i="15"/>
  <c r="DJ132" i="16"/>
  <c r="DH32" i="5"/>
  <c r="X19" i="15"/>
  <c r="Z19" i="15"/>
  <c r="W19" i="15" s="1"/>
  <c r="V19" i="15" s="1"/>
  <c r="AB19" i="15"/>
  <c r="AF132" i="16"/>
  <c r="I17" i="15"/>
  <c r="X17" i="15"/>
  <c r="Z17" i="15"/>
  <c r="W17" i="15" s="1"/>
  <c r="V17" i="15" s="1"/>
  <c r="U17" i="15" s="1"/>
  <c r="DH132" i="16"/>
  <c r="O17" i="15"/>
  <c r="I132" i="16"/>
  <c r="V48" i="5"/>
  <c r="B9" i="15"/>
  <c r="A9" i="15" s="1"/>
  <c r="AZ9" i="15" s="1"/>
  <c r="C9" i="15"/>
  <c r="G9" i="15"/>
  <c r="H9" i="15"/>
  <c r="AI9" i="15"/>
  <c r="B10" i="15"/>
  <c r="A10" i="15" s="1"/>
  <c r="AZ10" i="15" s="1"/>
  <c r="C10" i="15"/>
  <c r="D10" i="15"/>
  <c r="G10" i="15"/>
  <c r="H10" i="15"/>
  <c r="J10" i="15"/>
  <c r="P10" i="15"/>
  <c r="AI10" i="15"/>
  <c r="B11" i="15"/>
  <c r="A11" i="15" s="1"/>
  <c r="AZ11" i="15" s="1"/>
  <c r="C11" i="15"/>
  <c r="D11" i="15"/>
  <c r="G11" i="15"/>
  <c r="H11" i="15"/>
  <c r="J11" i="15"/>
  <c r="P11" i="15"/>
  <c r="AI11" i="15"/>
  <c r="B12" i="15"/>
  <c r="A12" i="15" s="1"/>
  <c r="AZ12" i="15" s="1"/>
  <c r="C12" i="15"/>
  <c r="D12" i="15"/>
  <c r="G12" i="15"/>
  <c r="H12" i="15"/>
  <c r="J12" i="15"/>
  <c r="P12" i="15"/>
  <c r="AI12" i="15"/>
  <c r="B13" i="15"/>
  <c r="A13" i="15"/>
  <c r="AZ13" i="15" s="1"/>
  <c r="C13" i="15"/>
  <c r="D13" i="15"/>
  <c r="G13" i="15"/>
  <c r="H13" i="15"/>
  <c r="J13" i="15"/>
  <c r="P13" i="15"/>
  <c r="AI13" i="15"/>
  <c r="B14" i="15"/>
  <c r="A14" i="15"/>
  <c r="AZ14" i="15" s="1"/>
  <c r="C14" i="15"/>
  <c r="D14" i="15"/>
  <c r="G14" i="15"/>
  <c r="AX14" i="15" s="1"/>
  <c r="H14" i="15"/>
  <c r="J14" i="15"/>
  <c r="P14" i="15"/>
  <c r="AI14" i="15"/>
  <c r="B15" i="15"/>
  <c r="A15" i="15" s="1"/>
  <c r="C15" i="15"/>
  <c r="D15" i="15"/>
  <c r="G15" i="15"/>
  <c r="H15" i="15"/>
  <c r="J15" i="15"/>
  <c r="P15" i="15"/>
  <c r="AI15" i="15"/>
  <c r="B16" i="15"/>
  <c r="A16" i="15"/>
  <c r="AZ16" i="15" s="1"/>
  <c r="C16" i="15"/>
  <c r="D16" i="15"/>
  <c r="G16" i="15"/>
  <c r="H16" i="15"/>
  <c r="J16" i="15"/>
  <c r="P16" i="15"/>
  <c r="AI16" i="15"/>
  <c r="B18" i="15"/>
  <c r="A18" i="15" s="1"/>
  <c r="AZ18" i="15" s="1"/>
  <c r="C18" i="15"/>
  <c r="G18" i="15"/>
  <c r="H18" i="15"/>
  <c r="AI18" i="15"/>
  <c r="B20" i="15"/>
  <c r="A20" i="15"/>
  <c r="AZ20" i="15" s="1"/>
  <c r="C20" i="15"/>
  <c r="D20" i="15"/>
  <c r="G20" i="15"/>
  <c r="H20" i="15"/>
  <c r="B21" i="15"/>
  <c r="A21" i="15" s="1"/>
  <c r="AZ21" i="15" s="1"/>
  <c r="C21" i="15"/>
  <c r="G21" i="15"/>
  <c r="H21" i="15"/>
  <c r="J21" i="15"/>
  <c r="P21" i="15"/>
  <c r="AD21" i="15"/>
  <c r="B22" i="15"/>
  <c r="A22" i="15"/>
  <c r="AZ22" i="15" s="1"/>
  <c r="C22" i="15"/>
  <c r="D22" i="15"/>
  <c r="G22" i="15"/>
  <c r="H22" i="15"/>
  <c r="B23" i="15"/>
  <c r="A23" i="15" s="1"/>
  <c r="AZ23" i="15" s="1"/>
  <c r="C23" i="15"/>
  <c r="G23" i="15"/>
  <c r="H23" i="15"/>
  <c r="J23" i="15"/>
  <c r="P23" i="15"/>
  <c r="AD23" i="15"/>
  <c r="B24" i="15"/>
  <c r="A24" i="15" s="1"/>
  <c r="AZ24" i="15" s="1"/>
  <c r="C24" i="15"/>
  <c r="D24" i="15"/>
  <c r="G24" i="15"/>
  <c r="H24" i="15"/>
  <c r="B25" i="15"/>
  <c r="A25" i="15" s="1"/>
  <c r="AZ25" i="15" s="1"/>
  <c r="C25" i="15"/>
  <c r="D25" i="15"/>
  <c r="G25" i="15"/>
  <c r="H25" i="15"/>
  <c r="B26" i="15"/>
  <c r="A26" i="15"/>
  <c r="C26" i="15"/>
  <c r="G26" i="15"/>
  <c r="H26" i="15"/>
  <c r="J26" i="15"/>
  <c r="P26" i="15"/>
  <c r="AD26" i="15"/>
  <c r="B27" i="15"/>
  <c r="A27" i="15" s="1"/>
  <c r="AZ27" i="15" s="1"/>
  <c r="C27" i="15"/>
  <c r="D27" i="15"/>
  <c r="G27" i="15"/>
  <c r="H27" i="15"/>
  <c r="B28" i="15"/>
  <c r="A28" i="15" s="1"/>
  <c r="AZ28" i="15" s="1"/>
  <c r="C28" i="15"/>
  <c r="G28" i="15"/>
  <c r="AX28" i="15" s="1"/>
  <c r="H28" i="15"/>
  <c r="J28" i="15"/>
  <c r="P28" i="15"/>
  <c r="AD28" i="15"/>
  <c r="B29" i="15"/>
  <c r="A29" i="15"/>
  <c r="AZ29" i="15" s="1"/>
  <c r="C29" i="15"/>
  <c r="D29" i="15"/>
  <c r="G29" i="15"/>
  <c r="H29" i="15"/>
  <c r="B30" i="15"/>
  <c r="A30" i="15"/>
  <c r="AZ30" i="15" s="1"/>
  <c r="C30" i="15"/>
  <c r="G30" i="15"/>
  <c r="H30" i="15"/>
  <c r="J30" i="15"/>
  <c r="P30" i="15"/>
  <c r="AD30" i="15"/>
  <c r="B31" i="15"/>
  <c r="A31" i="15" s="1"/>
  <c r="AZ31" i="15" s="1"/>
  <c r="C31" i="15"/>
  <c r="D31" i="15"/>
  <c r="G31" i="15"/>
  <c r="AX31" i="15" s="1"/>
  <c r="H31" i="15"/>
  <c r="B32" i="15"/>
  <c r="A32" i="15" s="1"/>
  <c r="AZ32" i="15" s="1"/>
  <c r="C32" i="15"/>
  <c r="G32" i="15"/>
  <c r="H32" i="15"/>
  <c r="J32" i="15"/>
  <c r="P32" i="15"/>
  <c r="AD32" i="15"/>
  <c r="B33" i="15"/>
  <c r="A33" i="15"/>
  <c r="AZ33" i="15" s="1"/>
  <c r="C33" i="15"/>
  <c r="D33" i="15"/>
  <c r="G33" i="15"/>
  <c r="H33" i="15"/>
  <c r="B34" i="15"/>
  <c r="A34" i="15" s="1"/>
  <c r="AZ34" i="15" s="1"/>
  <c r="C34" i="15"/>
  <c r="G34" i="15"/>
  <c r="H34" i="15"/>
  <c r="J34" i="15"/>
  <c r="P34" i="15"/>
  <c r="AD34" i="15"/>
  <c r="B35" i="15"/>
  <c r="A35" i="15" s="1"/>
  <c r="AZ35" i="15" s="1"/>
  <c r="C35" i="15"/>
  <c r="D35" i="15"/>
  <c r="G35" i="15"/>
  <c r="H35" i="15"/>
  <c r="B36" i="15"/>
  <c r="A36" i="15" s="1"/>
  <c r="C36" i="15"/>
  <c r="G36" i="15"/>
  <c r="H36" i="15"/>
  <c r="J36" i="15"/>
  <c r="P36" i="15"/>
  <c r="AD36" i="15"/>
  <c r="B37" i="15"/>
  <c r="A37" i="15" s="1"/>
  <c r="AZ37" i="15" s="1"/>
  <c r="C37" i="15"/>
  <c r="D37" i="15"/>
  <c r="G37" i="15"/>
  <c r="H37" i="15"/>
  <c r="J37" i="15"/>
  <c r="P37" i="15"/>
  <c r="AD37" i="15"/>
  <c r="B38" i="15"/>
  <c r="A38" i="15" s="1"/>
  <c r="AZ38" i="15" s="1"/>
  <c r="C38" i="15"/>
  <c r="D38" i="15"/>
  <c r="G38" i="15"/>
  <c r="H38" i="15"/>
  <c r="J38" i="15"/>
  <c r="P38" i="15"/>
  <c r="AD38" i="15"/>
  <c r="B39" i="15"/>
  <c r="A39" i="15" s="1"/>
  <c r="AZ39" i="15" s="1"/>
  <c r="C39" i="15"/>
  <c r="D39" i="15"/>
  <c r="E39" i="15"/>
  <c r="F39" i="15"/>
  <c r="G39" i="15"/>
  <c r="H39" i="15"/>
  <c r="B40" i="15"/>
  <c r="A40" i="15" s="1"/>
  <c r="AZ40" i="15" s="1"/>
  <c r="C40" i="15"/>
  <c r="D40" i="15"/>
  <c r="E40" i="15"/>
  <c r="F40" i="15"/>
  <c r="G40" i="15"/>
  <c r="H40" i="15"/>
  <c r="B41" i="15"/>
  <c r="A41" i="15"/>
  <c r="C41" i="15"/>
  <c r="D41" i="15"/>
  <c r="G41" i="15"/>
  <c r="H41" i="15"/>
  <c r="J41" i="15"/>
  <c r="P41" i="15"/>
  <c r="AD41" i="15"/>
  <c r="B42" i="15"/>
  <c r="A42" i="15"/>
  <c r="AZ42" i="15" s="1"/>
  <c r="C42" i="15"/>
  <c r="D42" i="15"/>
  <c r="G42" i="15"/>
  <c r="H42" i="15"/>
  <c r="J42" i="15"/>
  <c r="P42" i="15"/>
  <c r="AD42" i="15"/>
  <c r="B43" i="15"/>
  <c r="A43" i="15" s="1"/>
  <c r="AZ43" i="15" s="1"/>
  <c r="C43" i="15"/>
  <c r="D43" i="15"/>
  <c r="E43" i="15"/>
  <c r="F43" i="15"/>
  <c r="G43" i="15"/>
  <c r="H43" i="15"/>
  <c r="B44" i="15"/>
  <c r="A44" i="15"/>
  <c r="AZ44" i="15" s="1"/>
  <c r="C44" i="15"/>
  <c r="D44" i="15"/>
  <c r="G44" i="15"/>
  <c r="H44" i="15"/>
  <c r="B45" i="15"/>
  <c r="A45" i="15" s="1"/>
  <c r="AZ45" i="15" s="1"/>
  <c r="C45" i="15"/>
  <c r="D45" i="15"/>
  <c r="G45" i="15"/>
  <c r="H45" i="15"/>
  <c r="J45" i="15"/>
  <c r="P45" i="15"/>
  <c r="AD45" i="15"/>
  <c r="B46" i="15"/>
  <c r="A46" i="15" s="1"/>
  <c r="AZ46" i="15" s="1"/>
  <c r="C46" i="15"/>
  <c r="D46" i="15"/>
  <c r="G46" i="15"/>
  <c r="H46" i="15"/>
  <c r="J46" i="15"/>
  <c r="P46" i="15"/>
  <c r="AD46" i="15"/>
  <c r="B47" i="15"/>
  <c r="A47" i="15" s="1"/>
  <c r="AZ47" i="15" s="1"/>
  <c r="C47" i="15"/>
  <c r="D47" i="15"/>
  <c r="G47" i="15"/>
  <c r="H47" i="15"/>
  <c r="J47" i="15"/>
  <c r="P47" i="15"/>
  <c r="AD47" i="15"/>
  <c r="B48" i="15"/>
  <c r="A48" i="15" s="1"/>
  <c r="AZ48" i="15" s="1"/>
  <c r="C48" i="15"/>
  <c r="D48" i="15"/>
  <c r="G48" i="15"/>
  <c r="H48" i="15"/>
  <c r="J48" i="15"/>
  <c r="P48" i="15"/>
  <c r="X48" i="15"/>
  <c r="Z48" i="15" s="1"/>
  <c r="AD48" i="15"/>
  <c r="B49" i="15"/>
  <c r="A49" i="15"/>
  <c r="AZ49" i="15" s="1"/>
  <c r="C49" i="15"/>
  <c r="D49" i="15"/>
  <c r="E49" i="15"/>
  <c r="F49" i="15"/>
  <c r="G49" i="15"/>
  <c r="H49" i="15"/>
  <c r="X49" i="15"/>
  <c r="Y49" i="15"/>
  <c r="B50" i="15"/>
  <c r="A50" i="15"/>
  <c r="AZ50" i="15" s="1"/>
  <c r="C50" i="15"/>
  <c r="D50" i="15"/>
  <c r="E50" i="15"/>
  <c r="F50" i="15"/>
  <c r="G50" i="15"/>
  <c r="H50" i="15"/>
  <c r="X50" i="15"/>
  <c r="Y50" i="15"/>
  <c r="B51" i="15"/>
  <c r="A51" i="15" s="1"/>
  <c r="AZ51" i="15" s="1"/>
  <c r="C51" i="15"/>
  <c r="D51" i="15"/>
  <c r="G51" i="15"/>
  <c r="H51" i="15"/>
  <c r="J51" i="15"/>
  <c r="P51" i="15"/>
  <c r="X51" i="15"/>
  <c r="Z51" i="15" s="1"/>
  <c r="AD51" i="15"/>
  <c r="B53" i="15"/>
  <c r="A53" i="15"/>
  <c r="AZ53" i="15" s="1"/>
  <c r="C53" i="15"/>
  <c r="D53" i="15"/>
  <c r="E53" i="15"/>
  <c r="F53" i="15"/>
  <c r="G53" i="15"/>
  <c r="H53" i="15"/>
  <c r="B54" i="15"/>
  <c r="A54" i="15" s="1"/>
  <c r="AZ54" i="15" s="1"/>
  <c r="C54" i="15"/>
  <c r="D54" i="15"/>
  <c r="E54" i="15"/>
  <c r="F54" i="15"/>
  <c r="G54" i="15"/>
  <c r="H54" i="15"/>
  <c r="B55" i="15"/>
  <c r="A55" i="15"/>
  <c r="AZ55" i="15" s="1"/>
  <c r="C55" i="15"/>
  <c r="D55" i="15"/>
  <c r="E55" i="15"/>
  <c r="F55" i="15"/>
  <c r="G55" i="15"/>
  <c r="H55" i="15"/>
  <c r="B56" i="15"/>
  <c r="A56" i="15" s="1"/>
  <c r="AZ56" i="15" s="1"/>
  <c r="C56" i="15"/>
  <c r="D56" i="15"/>
  <c r="G56" i="15"/>
  <c r="H56" i="15"/>
  <c r="J56" i="15"/>
  <c r="P56" i="15"/>
  <c r="AD56" i="15"/>
  <c r="C57" i="15"/>
  <c r="D57" i="15"/>
  <c r="G57" i="15"/>
  <c r="H57" i="15"/>
  <c r="J57" i="15"/>
  <c r="P57" i="15"/>
  <c r="AD57" i="15"/>
  <c r="B60" i="15"/>
  <c r="A60" i="15"/>
  <c r="C60" i="15"/>
  <c r="D60" i="15"/>
  <c r="E60" i="15"/>
  <c r="F60" i="15"/>
  <c r="G60" i="15"/>
  <c r="AX60" i="15" s="1"/>
  <c r="H60" i="15"/>
  <c r="B61" i="15"/>
  <c r="A61" i="15" s="1"/>
  <c r="AZ61" i="15" s="1"/>
  <c r="C61" i="15"/>
  <c r="D61" i="15"/>
  <c r="E61" i="15"/>
  <c r="F61" i="15"/>
  <c r="G61" i="15"/>
  <c r="H61" i="15"/>
  <c r="L61" i="15"/>
  <c r="B63" i="15"/>
  <c r="A63" i="15"/>
  <c r="AZ63" i="15" s="1"/>
  <c r="C63" i="15"/>
  <c r="D63" i="15"/>
  <c r="E63" i="15"/>
  <c r="F63" i="15"/>
  <c r="G63" i="15"/>
  <c r="H63" i="15"/>
  <c r="B64" i="15"/>
  <c r="A64" i="15"/>
  <c r="AZ64" i="15" s="1"/>
  <c r="C64" i="15"/>
  <c r="D64" i="15"/>
  <c r="G64" i="15"/>
  <c r="AX64" i="15" s="1"/>
  <c r="H64" i="15"/>
  <c r="J64" i="15"/>
  <c r="P64" i="15"/>
  <c r="AD64" i="15"/>
  <c r="B66" i="15"/>
  <c r="A66" i="15" s="1"/>
  <c r="AZ66" i="15" s="1"/>
  <c r="C66" i="15"/>
  <c r="D66" i="15"/>
  <c r="G66" i="15"/>
  <c r="H66" i="15"/>
  <c r="J66" i="15"/>
  <c r="P66" i="15"/>
  <c r="AD66" i="15"/>
  <c r="B67" i="15"/>
  <c r="A67" i="15" s="1"/>
  <c r="AZ67" i="15" s="1"/>
  <c r="C67" i="15"/>
  <c r="D67" i="15"/>
  <c r="G67" i="15"/>
  <c r="H67" i="15"/>
  <c r="J67" i="15"/>
  <c r="P67" i="15"/>
  <c r="AD67" i="15"/>
  <c r="B69" i="15"/>
  <c r="A69" i="15" s="1"/>
  <c r="AZ69" i="15" s="1"/>
  <c r="C69" i="15"/>
  <c r="D69" i="15"/>
  <c r="E69" i="15"/>
  <c r="F69" i="15"/>
  <c r="G69" i="15"/>
  <c r="H69" i="15"/>
  <c r="B70" i="15"/>
  <c r="A70" i="15" s="1"/>
  <c r="AZ70" i="15" s="1"/>
  <c r="C70" i="15"/>
  <c r="D70" i="15"/>
  <c r="G70" i="15"/>
  <c r="H70" i="15"/>
  <c r="J70" i="15"/>
  <c r="P70" i="15"/>
  <c r="AD70" i="15"/>
  <c r="B72" i="15"/>
  <c r="A72" i="15"/>
  <c r="AZ72" i="15" s="1"/>
  <c r="C72" i="15"/>
  <c r="D72" i="15"/>
  <c r="G72" i="15"/>
  <c r="H72" i="15"/>
  <c r="J72" i="15"/>
  <c r="P72" i="15"/>
  <c r="AD72" i="15"/>
  <c r="B73" i="15"/>
  <c r="A73" i="15"/>
  <c r="C73" i="15"/>
  <c r="D73" i="15"/>
  <c r="G73" i="15"/>
  <c r="H73" i="15"/>
  <c r="J73" i="15"/>
  <c r="P73" i="15"/>
  <c r="AD73" i="15"/>
  <c r="B74" i="15"/>
  <c r="A74" i="15" s="1"/>
  <c r="AZ74" i="15" s="1"/>
  <c r="C74" i="15"/>
  <c r="D74" i="15"/>
  <c r="G74" i="15"/>
  <c r="H74" i="15"/>
  <c r="J74" i="15"/>
  <c r="P74" i="15"/>
  <c r="AD74" i="15"/>
  <c r="B75" i="15"/>
  <c r="A75" i="15" s="1"/>
  <c r="AZ75" i="15" s="1"/>
  <c r="C75" i="15"/>
  <c r="D75" i="15"/>
  <c r="G75" i="15"/>
  <c r="H75" i="15"/>
  <c r="J75" i="15"/>
  <c r="P75" i="15"/>
  <c r="AD75" i="15"/>
  <c r="B76" i="15"/>
  <c r="A76" i="15"/>
  <c r="AZ76" i="15" s="1"/>
  <c r="C76" i="15"/>
  <c r="D76" i="15"/>
  <c r="G76" i="15"/>
  <c r="H76" i="15"/>
  <c r="J76" i="15"/>
  <c r="P76" i="15"/>
  <c r="AD76" i="15"/>
  <c r="B77" i="15"/>
  <c r="A77" i="15"/>
  <c r="AZ77" i="15" s="1"/>
  <c r="C77" i="15"/>
  <c r="D77" i="15"/>
  <c r="E77" i="15"/>
  <c r="F77" i="15"/>
  <c r="G77" i="15"/>
  <c r="H77" i="15"/>
  <c r="B78" i="15"/>
  <c r="A78" i="15"/>
  <c r="C78" i="15"/>
  <c r="D78" i="15"/>
  <c r="E78" i="15"/>
  <c r="F78" i="15"/>
  <c r="G78" i="15"/>
  <c r="H78" i="15"/>
  <c r="B80" i="15"/>
  <c r="A80" i="15"/>
  <c r="AZ80" i="15" s="1"/>
  <c r="C80" i="15"/>
  <c r="D80" i="15"/>
  <c r="G80" i="15"/>
  <c r="H80" i="15"/>
  <c r="J80" i="15"/>
  <c r="P80" i="15"/>
  <c r="AD80" i="15"/>
  <c r="B82" i="15"/>
  <c r="A82" i="15" s="1"/>
  <c r="AZ82" i="15" s="1"/>
  <c r="C82" i="15"/>
  <c r="D82" i="15"/>
  <c r="G82" i="15"/>
  <c r="H82" i="15"/>
  <c r="J82" i="15"/>
  <c r="P82" i="15"/>
  <c r="AD82" i="15"/>
  <c r="B83" i="15"/>
  <c r="A83" i="15" s="1"/>
  <c r="AZ83" i="15" s="1"/>
  <c r="C83" i="15"/>
  <c r="D83" i="15"/>
  <c r="E83" i="15"/>
  <c r="F83" i="15"/>
  <c r="G83" i="15"/>
  <c r="H83" i="15"/>
  <c r="B84" i="15"/>
  <c r="A84" i="15" s="1"/>
  <c r="AZ84" i="15" s="1"/>
  <c r="C84" i="15"/>
  <c r="D84" i="15"/>
  <c r="E84" i="15"/>
  <c r="F84" i="15"/>
  <c r="G84" i="15"/>
  <c r="AX84" i="15" s="1"/>
  <c r="H84" i="15"/>
  <c r="L84" i="15"/>
  <c r="B85" i="15"/>
  <c r="A85" i="15" s="1"/>
  <c r="C85" i="15"/>
  <c r="D85" i="15"/>
  <c r="E85" i="15"/>
  <c r="F85" i="15"/>
  <c r="G85" i="15"/>
  <c r="H85" i="15"/>
  <c r="B86" i="15"/>
  <c r="A86" i="15"/>
  <c r="AZ86" i="15" s="1"/>
  <c r="C86" i="15"/>
  <c r="D86" i="15"/>
  <c r="G86" i="15"/>
  <c r="H86" i="15"/>
  <c r="J86" i="15"/>
  <c r="P86" i="15"/>
  <c r="AD86" i="15"/>
  <c r="B87" i="15"/>
  <c r="A87" i="15"/>
  <c r="AZ87" i="15" s="1"/>
  <c r="C87" i="15"/>
  <c r="D87" i="15"/>
  <c r="G87" i="15"/>
  <c r="H87" i="15"/>
  <c r="J87" i="15"/>
  <c r="P87" i="15"/>
  <c r="AD87" i="15"/>
  <c r="B88" i="15"/>
  <c r="A88" i="15" s="1"/>
  <c r="AZ88" i="15" s="1"/>
  <c r="C88" i="15"/>
  <c r="D88" i="15"/>
  <c r="E88" i="15"/>
  <c r="F88" i="15"/>
  <c r="G88" i="15"/>
  <c r="H88" i="15"/>
  <c r="B89" i="15"/>
  <c r="A89" i="15" s="1"/>
  <c r="AZ89" i="15" s="1"/>
  <c r="C89" i="15"/>
  <c r="D89" i="15"/>
  <c r="G89" i="15"/>
  <c r="AX89" i="15" s="1"/>
  <c r="H89" i="15"/>
  <c r="J89" i="15"/>
  <c r="P89" i="15"/>
  <c r="AD89" i="15"/>
  <c r="B90" i="15"/>
  <c r="A90" i="15" s="1"/>
  <c r="AZ90" i="15" s="1"/>
  <c r="C90" i="15"/>
  <c r="D90" i="15"/>
  <c r="E90" i="15"/>
  <c r="F90" i="15"/>
  <c r="G90" i="15"/>
  <c r="H90" i="15"/>
  <c r="B91" i="15"/>
  <c r="A91" i="15" s="1"/>
  <c r="AZ91" i="15" s="1"/>
  <c r="C91" i="15"/>
  <c r="D91" i="15"/>
  <c r="G91" i="15"/>
  <c r="H91" i="15"/>
  <c r="J91" i="15"/>
  <c r="P91" i="15"/>
  <c r="AD91" i="15"/>
  <c r="B92" i="15"/>
  <c r="A92" i="15" s="1"/>
  <c r="AZ92" i="15" s="1"/>
  <c r="C92" i="15"/>
  <c r="D92" i="15"/>
  <c r="E92" i="15"/>
  <c r="F92" i="15"/>
  <c r="G92" i="15"/>
  <c r="H92" i="15"/>
  <c r="B93" i="15"/>
  <c r="A93" i="15" s="1"/>
  <c r="AZ93" i="15" s="1"/>
  <c r="C93" i="15"/>
  <c r="D93" i="15"/>
  <c r="G93" i="15"/>
  <c r="H93" i="15"/>
  <c r="J93" i="15"/>
  <c r="P93" i="15"/>
  <c r="AD93" i="15"/>
  <c r="B94" i="15"/>
  <c r="A94" i="15"/>
  <c r="C94" i="15"/>
  <c r="D94" i="15"/>
  <c r="E94" i="15"/>
  <c r="F94" i="15"/>
  <c r="G94" i="15"/>
  <c r="AX94" i="15" s="1"/>
  <c r="H94" i="15"/>
  <c r="B95" i="15"/>
  <c r="A95" i="15" s="1"/>
  <c r="AZ95" i="15" s="1"/>
  <c r="C95" i="15"/>
  <c r="D95" i="15"/>
  <c r="E95" i="15"/>
  <c r="F95" i="15"/>
  <c r="G95" i="15"/>
  <c r="H95" i="15"/>
  <c r="B97" i="15"/>
  <c r="A97" i="15" s="1"/>
  <c r="AZ97" i="15" s="1"/>
  <c r="C97" i="15"/>
  <c r="D97" i="15"/>
  <c r="E97" i="15"/>
  <c r="F97" i="15"/>
  <c r="G97" i="15"/>
  <c r="H97" i="15"/>
  <c r="B98" i="15"/>
  <c r="A98" i="15" s="1"/>
  <c r="AZ98" i="15" s="1"/>
  <c r="C98" i="15"/>
  <c r="D98" i="15"/>
  <c r="E98" i="15"/>
  <c r="F98" i="15"/>
  <c r="G98" i="15"/>
  <c r="AX98" i="15" s="1"/>
  <c r="H98" i="15"/>
  <c r="B99" i="15"/>
  <c r="A99" i="15" s="1"/>
  <c r="AZ99" i="15" s="1"/>
  <c r="C99" i="15"/>
  <c r="D99" i="15"/>
  <c r="E99" i="15"/>
  <c r="F99" i="15"/>
  <c r="G99" i="15"/>
  <c r="H99" i="15"/>
  <c r="B100" i="15"/>
  <c r="A100" i="15" s="1"/>
  <c r="AZ100" i="15" s="1"/>
  <c r="C100" i="15"/>
  <c r="D100" i="15"/>
  <c r="E100" i="15"/>
  <c r="F100" i="15"/>
  <c r="G100" i="15"/>
  <c r="H100" i="15"/>
  <c r="L100" i="15"/>
  <c r="B101" i="15"/>
  <c r="A101" i="15"/>
  <c r="AZ101" i="15" s="1"/>
  <c r="C101" i="15"/>
  <c r="D101" i="15"/>
  <c r="E101" i="15"/>
  <c r="F101" i="15"/>
  <c r="G101" i="15"/>
  <c r="H101" i="15"/>
  <c r="B102" i="15"/>
  <c r="A102" i="15" s="1"/>
  <c r="AZ102" i="15" s="1"/>
  <c r="C102" i="15"/>
  <c r="D102" i="15"/>
  <c r="E102" i="15"/>
  <c r="F102" i="15"/>
  <c r="G102" i="15"/>
  <c r="H102" i="15"/>
  <c r="B103" i="15"/>
  <c r="A103" i="15" s="1"/>
  <c r="AZ103" i="15" s="1"/>
  <c r="C103" i="15"/>
  <c r="D103" i="15"/>
  <c r="E103" i="15"/>
  <c r="F103" i="15"/>
  <c r="G103" i="15"/>
  <c r="H103" i="15"/>
  <c r="B104" i="15"/>
  <c r="A104" i="15"/>
  <c r="AZ104" i="15" s="1"/>
  <c r="C104" i="15"/>
  <c r="D104" i="15"/>
  <c r="E104" i="15"/>
  <c r="F104" i="15"/>
  <c r="G104" i="15"/>
  <c r="H104" i="15"/>
  <c r="L104" i="15"/>
  <c r="B105" i="15"/>
  <c r="A105" i="15" s="1"/>
  <c r="AZ105" i="15" s="1"/>
  <c r="C105" i="15"/>
  <c r="D105" i="15"/>
  <c r="E105" i="15"/>
  <c r="F105" i="15"/>
  <c r="G105" i="15"/>
  <c r="H105" i="15"/>
  <c r="B106" i="15"/>
  <c r="A106" i="15" s="1"/>
  <c r="AZ106" i="15" s="1"/>
  <c r="C106" i="15"/>
  <c r="D106" i="15"/>
  <c r="E106" i="15"/>
  <c r="F106" i="15"/>
  <c r="G106" i="15"/>
  <c r="AX106" i="15" s="1"/>
  <c r="H106" i="15"/>
  <c r="B107" i="15"/>
  <c r="A107" i="15" s="1"/>
  <c r="C107" i="15"/>
  <c r="D107" i="15"/>
  <c r="E107" i="15"/>
  <c r="F107" i="15"/>
  <c r="G107" i="15"/>
  <c r="H107" i="15"/>
  <c r="B108" i="15"/>
  <c r="A108" i="15" s="1"/>
  <c r="AZ108" i="15" s="1"/>
  <c r="C108" i="15"/>
  <c r="D108" i="15"/>
  <c r="G108" i="15"/>
  <c r="H108" i="15"/>
  <c r="J108" i="15"/>
  <c r="P108" i="15"/>
  <c r="AD108" i="15"/>
  <c r="B109" i="15"/>
  <c r="A109" i="15"/>
  <c r="AZ109" i="15" s="1"/>
  <c r="C109" i="15"/>
  <c r="D109" i="15"/>
  <c r="E109" i="15"/>
  <c r="F109" i="15"/>
  <c r="G109" i="15"/>
  <c r="H109" i="15"/>
  <c r="B110" i="15"/>
  <c r="A110" i="15" s="1"/>
  <c r="AZ110" i="15" s="1"/>
  <c r="C110" i="15"/>
  <c r="D110" i="15"/>
  <c r="E110" i="15"/>
  <c r="F110" i="15"/>
  <c r="G110" i="15"/>
  <c r="H110" i="15"/>
  <c r="B111" i="15"/>
  <c r="A111" i="15" s="1"/>
  <c r="AZ111" i="15" s="1"/>
  <c r="C111" i="15"/>
  <c r="D111" i="15"/>
  <c r="E111" i="15"/>
  <c r="F111" i="15"/>
  <c r="G111" i="15"/>
  <c r="AX111" i="15" s="1"/>
  <c r="H111" i="15"/>
  <c r="B112" i="15"/>
  <c r="A112" i="15"/>
  <c r="AZ112" i="15" s="1"/>
  <c r="C112" i="15"/>
  <c r="D112" i="15"/>
  <c r="G112" i="15"/>
  <c r="H112" i="15"/>
  <c r="J112" i="15"/>
  <c r="P112" i="15"/>
  <c r="AD112" i="15"/>
  <c r="B113" i="15"/>
  <c r="A113" i="15" s="1"/>
  <c r="AZ113" i="15" s="1"/>
  <c r="C113" i="15"/>
  <c r="D113" i="15"/>
  <c r="G113" i="15"/>
  <c r="H113" i="15"/>
  <c r="J113" i="15"/>
  <c r="P113" i="15"/>
  <c r="AD113" i="15"/>
  <c r="B114" i="15"/>
  <c r="A114" i="15" s="1"/>
  <c r="AZ114" i="15" s="1"/>
  <c r="C114" i="15"/>
  <c r="D114" i="15"/>
  <c r="E114" i="15"/>
  <c r="F114" i="15"/>
  <c r="G114" i="15"/>
  <c r="H114" i="15"/>
  <c r="B115" i="15"/>
  <c r="A115" i="15" s="1"/>
  <c r="C115" i="15"/>
  <c r="D115" i="15"/>
  <c r="G115" i="15"/>
  <c r="H115" i="15"/>
  <c r="J115" i="15"/>
  <c r="P115" i="15"/>
  <c r="AD115" i="15"/>
  <c r="B116" i="15"/>
  <c r="A116" i="15"/>
  <c r="AZ116" i="15" s="1"/>
  <c r="C116" i="15"/>
  <c r="D116" i="15"/>
  <c r="G116" i="15"/>
  <c r="H116" i="15"/>
  <c r="J116" i="15"/>
  <c r="P116" i="15"/>
  <c r="AD116" i="15"/>
  <c r="B117" i="15"/>
  <c r="A117" i="15"/>
  <c r="AZ117" i="15" s="1"/>
  <c r="C117" i="15"/>
  <c r="D117" i="15"/>
  <c r="G117" i="15"/>
  <c r="H117" i="15"/>
  <c r="J117" i="15"/>
  <c r="P117" i="15"/>
  <c r="AD117" i="15"/>
  <c r="B118" i="15"/>
  <c r="A118" i="15" s="1"/>
  <c r="AZ118" i="15" s="1"/>
  <c r="C118" i="15"/>
  <c r="D118" i="15"/>
  <c r="G118" i="15"/>
  <c r="H118" i="15"/>
  <c r="J118" i="15"/>
  <c r="P118" i="15"/>
  <c r="AD118" i="15"/>
  <c r="B119" i="15"/>
  <c r="A119" i="15" s="1"/>
  <c r="AZ119" i="15" s="1"/>
  <c r="C119" i="15"/>
  <c r="D119" i="15"/>
  <c r="G119" i="15"/>
  <c r="AX119" i="15" s="1"/>
  <c r="H119" i="15"/>
  <c r="J119" i="15"/>
  <c r="P119" i="15"/>
  <c r="AD119" i="15"/>
  <c r="B120" i="15"/>
  <c r="A120" i="15" s="1"/>
  <c r="AZ120" i="15" s="1"/>
  <c r="C120" i="15"/>
  <c r="D120" i="15"/>
  <c r="E120" i="15"/>
  <c r="F120" i="15"/>
  <c r="G120" i="15"/>
  <c r="AX120" i="15" s="1"/>
  <c r="H120" i="15"/>
  <c r="B121" i="15"/>
  <c r="A121" i="15"/>
  <c r="C121" i="15"/>
  <c r="D121" i="15"/>
  <c r="E121" i="15"/>
  <c r="F121" i="15"/>
  <c r="G121" i="15"/>
  <c r="H121" i="15"/>
  <c r="B122" i="15"/>
  <c r="A122" i="15" s="1"/>
  <c r="AZ122" i="15" s="1"/>
  <c r="C122" i="15"/>
  <c r="D122" i="15"/>
  <c r="G122" i="15"/>
  <c r="H122" i="15"/>
  <c r="J122" i="15"/>
  <c r="B123" i="15"/>
  <c r="A123" i="15"/>
  <c r="AZ123" i="15" s="1"/>
  <c r="C123" i="15"/>
  <c r="D123" i="15"/>
  <c r="G123" i="15"/>
  <c r="H123" i="15"/>
  <c r="J123" i="15"/>
  <c r="P123" i="15"/>
  <c r="AD123" i="15"/>
  <c r="B124" i="15"/>
  <c r="A124" i="15"/>
  <c r="C124" i="15"/>
  <c r="D124" i="15"/>
  <c r="E124" i="15"/>
  <c r="F124" i="15"/>
  <c r="G124" i="15"/>
  <c r="AX124" i="15" s="1"/>
  <c r="H124" i="15"/>
  <c r="B125" i="15"/>
  <c r="A125" i="15" s="1"/>
  <c r="AZ125" i="15" s="1"/>
  <c r="C125" i="15"/>
  <c r="D125" i="15"/>
  <c r="E125" i="15"/>
  <c r="F125" i="15"/>
  <c r="G125" i="15"/>
  <c r="H125" i="15"/>
  <c r="B126" i="15"/>
  <c r="A126" i="15" s="1"/>
  <c r="AZ126" i="15" s="1"/>
  <c r="C126" i="15"/>
  <c r="D126" i="15"/>
  <c r="G126" i="15"/>
  <c r="H126" i="15"/>
  <c r="J126" i="15"/>
  <c r="B127" i="15"/>
  <c r="A127" i="15" s="1"/>
  <c r="AZ127" i="15" s="1"/>
  <c r="C127" i="15"/>
  <c r="D127" i="15"/>
  <c r="G127" i="15"/>
  <c r="AX127" i="15" s="1"/>
  <c r="H127" i="15"/>
  <c r="J127" i="15"/>
  <c r="P127" i="15"/>
  <c r="AD127" i="15"/>
  <c r="B128" i="15"/>
  <c r="A128" i="15" s="1"/>
  <c r="AZ128" i="15" s="1"/>
  <c r="C128" i="15"/>
  <c r="D128" i="15"/>
  <c r="E128" i="15"/>
  <c r="F128" i="15"/>
  <c r="G128" i="15"/>
  <c r="H128" i="15"/>
  <c r="B129" i="15"/>
  <c r="A129" i="15" s="1"/>
  <c r="AZ129" i="15" s="1"/>
  <c r="C129" i="15"/>
  <c r="D129" i="15"/>
  <c r="E129" i="15"/>
  <c r="F129" i="15"/>
  <c r="G129" i="15"/>
  <c r="H129" i="15"/>
  <c r="B130" i="15"/>
  <c r="A130" i="15"/>
  <c r="AZ130" i="15" s="1"/>
  <c r="C130" i="15"/>
  <c r="D130" i="15"/>
  <c r="G130" i="15"/>
  <c r="AX130" i="15" s="1"/>
  <c r="H130" i="15"/>
  <c r="J130" i="15"/>
  <c r="B131" i="15"/>
  <c r="A131" i="15" s="1"/>
  <c r="AZ131" i="15" s="1"/>
  <c r="C131" i="15"/>
  <c r="D131" i="15"/>
  <c r="G131" i="15"/>
  <c r="H131" i="15"/>
  <c r="J131" i="15"/>
  <c r="P131" i="15"/>
  <c r="AD131" i="15"/>
  <c r="B132" i="15"/>
  <c r="A132" i="15"/>
  <c r="AZ132" i="15" s="1"/>
  <c r="C132" i="15"/>
  <c r="D132" i="15"/>
  <c r="E132" i="15"/>
  <c r="F132" i="15"/>
  <c r="G132" i="15"/>
  <c r="H132" i="15"/>
  <c r="B133" i="15"/>
  <c r="A133" i="15" s="1"/>
  <c r="AZ133" i="15" s="1"/>
  <c r="C133" i="15"/>
  <c r="D133" i="15"/>
  <c r="E133" i="15"/>
  <c r="F133" i="15"/>
  <c r="G133" i="15"/>
  <c r="H133" i="15"/>
  <c r="B134" i="15"/>
  <c r="A134" i="15" s="1"/>
  <c r="C134" i="15"/>
  <c r="D134" i="15"/>
  <c r="G134" i="15"/>
  <c r="H134" i="15"/>
  <c r="J134" i="15"/>
  <c r="B135" i="15"/>
  <c r="A135" i="15" s="1"/>
  <c r="AZ135" i="15" s="1"/>
  <c r="C135" i="15"/>
  <c r="D135" i="15"/>
  <c r="G135" i="15"/>
  <c r="H135" i="15"/>
  <c r="J135" i="15"/>
  <c r="P135" i="15"/>
  <c r="AD135" i="15"/>
  <c r="B136" i="15"/>
  <c r="A136" i="15" s="1"/>
  <c r="AZ136" i="15" s="1"/>
  <c r="C136" i="15"/>
  <c r="G136" i="15"/>
  <c r="AX136" i="15" s="1"/>
  <c r="H136" i="15"/>
  <c r="J136" i="15"/>
  <c r="P136" i="15"/>
  <c r="AD136" i="15"/>
  <c r="AI136" i="15"/>
  <c r="B137" i="15"/>
  <c r="A137" i="15" s="1"/>
  <c r="AZ137" i="15" s="1"/>
  <c r="C137" i="15"/>
  <c r="G137" i="15"/>
  <c r="AX137" i="15" s="1"/>
  <c r="H137" i="15"/>
  <c r="J137" i="15"/>
  <c r="P137" i="15"/>
  <c r="AD137" i="15"/>
  <c r="AI137" i="15"/>
  <c r="B138" i="15"/>
  <c r="A138" i="15" s="1"/>
  <c r="AZ138" i="15" s="1"/>
  <c r="C138" i="15"/>
  <c r="G138" i="15"/>
  <c r="AX138" i="15" s="1"/>
  <c r="H138" i="15"/>
  <c r="J138" i="15"/>
  <c r="P138" i="15"/>
  <c r="AD138" i="15"/>
  <c r="AI138" i="15"/>
  <c r="B140" i="15"/>
  <c r="A140" i="15" s="1"/>
  <c r="AZ140" i="15" s="1"/>
  <c r="C140" i="15"/>
  <c r="G140" i="15"/>
  <c r="H140" i="15"/>
  <c r="J140" i="15"/>
  <c r="P140" i="15"/>
  <c r="AD140" i="15"/>
  <c r="AI140" i="15"/>
  <c r="AI141" i="15" s="1"/>
  <c r="B141" i="15"/>
  <c r="A141" i="15" s="1"/>
  <c r="AZ141" i="15" s="1"/>
  <c r="C141" i="15"/>
  <c r="G141" i="15"/>
  <c r="AX141" i="15" s="1"/>
  <c r="J141" i="15"/>
  <c r="P141" i="15"/>
  <c r="AD141" i="15"/>
  <c r="B142" i="15"/>
  <c r="A142" i="15" s="1"/>
  <c r="AZ142" i="15" s="1"/>
  <c r="C142" i="15"/>
  <c r="G142" i="15"/>
  <c r="AX142" i="15" s="1"/>
  <c r="J142" i="15"/>
  <c r="P142" i="15"/>
  <c r="AD142" i="15"/>
  <c r="B143" i="15"/>
  <c r="A143" i="15" s="1"/>
  <c r="AZ143" i="15" s="1"/>
  <c r="C143" i="15"/>
  <c r="G143" i="15"/>
  <c r="J143" i="15"/>
  <c r="P143" i="15"/>
  <c r="AD143" i="15"/>
  <c r="B144" i="15"/>
  <c r="A144" i="15" s="1"/>
  <c r="AZ144" i="15" s="1"/>
  <c r="C144" i="15"/>
  <c r="G144" i="15"/>
  <c r="AX144" i="15" s="1"/>
  <c r="J144" i="15"/>
  <c r="P144" i="15"/>
  <c r="AD144" i="15"/>
  <c r="B145" i="15"/>
  <c r="A145" i="15" s="1"/>
  <c r="AZ145" i="15" s="1"/>
  <c r="C145" i="15"/>
  <c r="G145" i="15"/>
  <c r="J145" i="15"/>
  <c r="P145" i="15"/>
  <c r="AD145" i="15"/>
  <c r="B146" i="15"/>
  <c r="A146" i="15" s="1"/>
  <c r="AZ146" i="15" s="1"/>
  <c r="C146" i="15"/>
  <c r="G146" i="15"/>
  <c r="AX146" i="15" s="1"/>
  <c r="J146" i="15"/>
  <c r="P146" i="15"/>
  <c r="AD146" i="15"/>
  <c r="B147" i="15"/>
  <c r="A147" i="15" s="1"/>
  <c r="C147" i="15"/>
  <c r="G147" i="15"/>
  <c r="J147" i="15"/>
  <c r="P147" i="15"/>
  <c r="AD147" i="15"/>
  <c r="B148" i="15"/>
  <c r="A148" i="15" s="1"/>
  <c r="AZ148" i="15" s="1"/>
  <c r="C148" i="15"/>
  <c r="G148" i="15"/>
  <c r="J148" i="15"/>
  <c r="P148" i="15"/>
  <c r="AD148" i="15"/>
  <c r="B149" i="15"/>
  <c r="A149" i="15" s="1"/>
  <c r="AZ149" i="15" s="1"/>
  <c r="C149" i="15"/>
  <c r="G149" i="15"/>
  <c r="AX149" i="15" s="1"/>
  <c r="H149" i="15"/>
  <c r="J149" i="15"/>
  <c r="P149" i="15"/>
  <c r="AD149" i="15"/>
  <c r="AI149" i="15"/>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B150" i="15"/>
  <c r="A150" i="15" s="1"/>
  <c r="AZ150" i="15" s="1"/>
  <c r="C150" i="15"/>
  <c r="G150" i="15"/>
  <c r="H150" i="15"/>
  <c r="J150" i="15"/>
  <c r="P150" i="15"/>
  <c r="AD150" i="15"/>
  <c r="B151" i="15"/>
  <c r="A151" i="15" s="1"/>
  <c r="AZ151" i="15" s="1"/>
  <c r="C151" i="15"/>
  <c r="G151" i="15"/>
  <c r="H151" i="15"/>
  <c r="J151" i="15"/>
  <c r="P151" i="15"/>
  <c r="AD151" i="15"/>
  <c r="B152" i="15"/>
  <c r="A152" i="15" s="1"/>
  <c r="AZ152" i="15" s="1"/>
  <c r="C152" i="15"/>
  <c r="G152" i="15"/>
  <c r="AX152" i="15" s="1"/>
  <c r="H152" i="15"/>
  <c r="J152" i="15"/>
  <c r="P152" i="15"/>
  <c r="AD152" i="15"/>
  <c r="B153" i="15"/>
  <c r="A153" i="15" s="1"/>
  <c r="AZ153" i="15" s="1"/>
  <c r="C153" i="15"/>
  <c r="G153" i="15"/>
  <c r="H153" i="15"/>
  <c r="J153" i="15"/>
  <c r="P153" i="15"/>
  <c r="AD153" i="15"/>
  <c r="B154" i="15"/>
  <c r="A154" i="15" s="1"/>
  <c r="AZ154" i="15" s="1"/>
  <c r="C154" i="15"/>
  <c r="G154" i="15"/>
  <c r="AX154" i="15" s="1"/>
  <c r="H154" i="15"/>
  <c r="J154" i="15"/>
  <c r="P154" i="15"/>
  <c r="AD154" i="15"/>
  <c r="B155" i="15"/>
  <c r="A155" i="15" s="1"/>
  <c r="AZ155" i="15" s="1"/>
  <c r="C155" i="15"/>
  <c r="G155" i="15"/>
  <c r="AX155" i="15" s="1"/>
  <c r="H155" i="15"/>
  <c r="J155" i="15"/>
  <c r="P155" i="15"/>
  <c r="AD155" i="15"/>
  <c r="B156" i="15"/>
  <c r="A156" i="15" s="1"/>
  <c r="AZ156" i="15" s="1"/>
  <c r="C156" i="15"/>
  <c r="G156" i="15"/>
  <c r="AX156" i="15" s="1"/>
  <c r="H156" i="15"/>
  <c r="J156" i="15"/>
  <c r="P156" i="15"/>
  <c r="AD156" i="15"/>
  <c r="B157" i="15"/>
  <c r="A157" i="15" s="1"/>
  <c r="AZ157" i="15" s="1"/>
  <c r="C157" i="15"/>
  <c r="G157" i="15"/>
  <c r="AX157" i="15" s="1"/>
  <c r="H157" i="15"/>
  <c r="J157" i="15"/>
  <c r="P157" i="15"/>
  <c r="AD157" i="15"/>
  <c r="B158" i="15"/>
  <c r="A158" i="15" s="1"/>
  <c r="AZ158" i="15" s="1"/>
  <c r="C158" i="15"/>
  <c r="G158" i="15"/>
  <c r="AX158" i="15" s="1"/>
  <c r="H158" i="15"/>
  <c r="J158" i="15"/>
  <c r="P158" i="15"/>
  <c r="AD158" i="15"/>
  <c r="B159" i="15"/>
  <c r="A159" i="15" s="1"/>
  <c r="AZ159" i="15" s="1"/>
  <c r="C159" i="15"/>
  <c r="G159" i="15"/>
  <c r="H159" i="15"/>
  <c r="J159" i="15"/>
  <c r="P159" i="15"/>
  <c r="AD159" i="15"/>
  <c r="B160" i="15"/>
  <c r="A160" i="15" s="1"/>
  <c r="AZ160" i="15" s="1"/>
  <c r="C160" i="15"/>
  <c r="G160" i="15"/>
  <c r="AX160" i="15" s="1"/>
  <c r="H160" i="15"/>
  <c r="J160" i="15"/>
  <c r="P160" i="15"/>
  <c r="AD160" i="15"/>
  <c r="B161" i="15"/>
  <c r="A161" i="15" s="1"/>
  <c r="AZ161" i="15" s="1"/>
  <c r="C161" i="15"/>
  <c r="G161" i="15"/>
  <c r="AX161" i="15" s="1"/>
  <c r="H161" i="15"/>
  <c r="J161" i="15"/>
  <c r="P161" i="15"/>
  <c r="AD161" i="15"/>
  <c r="B162" i="15"/>
  <c r="A162" i="15" s="1"/>
  <c r="AZ162" i="15" s="1"/>
  <c r="C162" i="15"/>
  <c r="G162" i="15"/>
  <c r="H162" i="15"/>
  <c r="J162" i="15"/>
  <c r="P162" i="15"/>
  <c r="AD162" i="15"/>
  <c r="B163" i="15"/>
  <c r="A163" i="15"/>
  <c r="AZ163" i="15" s="1"/>
  <c r="C163" i="15"/>
  <c r="G163" i="15"/>
  <c r="AX163" i="15" s="1"/>
  <c r="H163" i="15"/>
  <c r="J163" i="15"/>
  <c r="P163" i="15"/>
  <c r="AD163" i="15"/>
  <c r="B164" i="15"/>
  <c r="A164" i="15" s="1"/>
  <c r="AZ164" i="15" s="1"/>
  <c r="C164" i="15"/>
  <c r="G164" i="15"/>
  <c r="AX164" i="15" s="1"/>
  <c r="H164" i="15"/>
  <c r="J164" i="15"/>
  <c r="P164" i="15"/>
  <c r="AD164" i="15"/>
  <c r="B165" i="15"/>
  <c r="A165" i="15" s="1"/>
  <c r="AZ165" i="15" s="1"/>
  <c r="C165" i="15"/>
  <c r="G165" i="15"/>
  <c r="H165" i="15"/>
  <c r="J165" i="15"/>
  <c r="P165" i="15"/>
  <c r="AD165" i="15"/>
  <c r="B166" i="15"/>
  <c r="A166" i="15"/>
  <c r="AZ166" i="15" s="1"/>
  <c r="C166" i="15"/>
  <c r="G166" i="15"/>
  <c r="H166" i="15"/>
  <c r="J166" i="15"/>
  <c r="P166" i="15"/>
  <c r="AD166" i="15"/>
  <c r="B167" i="15"/>
  <c r="A167" i="15" s="1"/>
  <c r="AZ167" i="15" s="1"/>
  <c r="C167" i="15"/>
  <c r="G167" i="15"/>
  <c r="AX167" i="15" s="1"/>
  <c r="H167" i="15"/>
  <c r="J167" i="15"/>
  <c r="P167" i="15"/>
  <c r="AD167" i="15"/>
  <c r="B168" i="15"/>
  <c r="A168" i="15" s="1"/>
  <c r="AZ168" i="15" s="1"/>
  <c r="C168" i="15"/>
  <c r="G168" i="15"/>
  <c r="H168" i="15"/>
  <c r="J168" i="15"/>
  <c r="P168" i="15"/>
  <c r="AD168" i="15"/>
  <c r="B169" i="15"/>
  <c r="A169" i="15" s="1"/>
  <c r="C169" i="15"/>
  <c r="G169" i="15"/>
  <c r="AX169" i="15" s="1"/>
  <c r="H169" i="15"/>
  <c r="J169" i="15"/>
  <c r="P169" i="15"/>
  <c r="AD169" i="15"/>
  <c r="B170" i="15"/>
  <c r="A170" i="15" s="1"/>
  <c r="AZ170" i="15" s="1"/>
  <c r="C170" i="15"/>
  <c r="G170" i="15"/>
  <c r="AX170" i="15" s="1"/>
  <c r="H170" i="15"/>
  <c r="J170" i="15"/>
  <c r="P170" i="15"/>
  <c r="AD170" i="15"/>
  <c r="B171" i="15"/>
  <c r="A171" i="15" s="1"/>
  <c r="AZ171" i="15" s="1"/>
  <c r="C171" i="15"/>
  <c r="G171" i="15"/>
  <c r="AX171" i="15" s="1"/>
  <c r="H171" i="15"/>
  <c r="J171" i="15"/>
  <c r="P171" i="15"/>
  <c r="AD171" i="15"/>
  <c r="B172" i="15"/>
  <c r="A172" i="15" s="1"/>
  <c r="AZ172" i="15" s="1"/>
  <c r="C172" i="15"/>
  <c r="G172" i="15"/>
  <c r="H172" i="15"/>
  <c r="J172" i="15"/>
  <c r="P172" i="15"/>
  <c r="AD172" i="15"/>
  <c r="B173" i="15"/>
  <c r="A173" i="15" s="1"/>
  <c r="AZ173" i="15" s="1"/>
  <c r="C173" i="15"/>
  <c r="G173" i="15"/>
  <c r="AX173" i="15" s="1"/>
  <c r="H173" i="15"/>
  <c r="J173" i="15"/>
  <c r="P173" i="15"/>
  <c r="AD173" i="15"/>
  <c r="B174" i="15"/>
  <c r="A174" i="15" s="1"/>
  <c r="AZ174" i="15" s="1"/>
  <c r="C174" i="15"/>
  <c r="G174" i="15"/>
  <c r="AX174" i="15" s="1"/>
  <c r="H174" i="15"/>
  <c r="J174" i="15"/>
  <c r="P174" i="15"/>
  <c r="AD174" i="15"/>
  <c r="B175" i="15"/>
  <c r="A175" i="15" s="1"/>
  <c r="AZ175" i="15" s="1"/>
  <c r="C175" i="15"/>
  <c r="G175" i="15"/>
  <c r="H175" i="15"/>
  <c r="J175" i="15"/>
  <c r="P175" i="15"/>
  <c r="AD175" i="15"/>
  <c r="B176" i="15"/>
  <c r="A176" i="15" s="1"/>
  <c r="AZ176" i="15" s="1"/>
  <c r="C176" i="15"/>
  <c r="G176" i="15"/>
  <c r="AX176" i="15" s="1"/>
  <c r="H176" i="15"/>
  <c r="J176" i="15"/>
  <c r="P176" i="15"/>
  <c r="AD176" i="15"/>
  <c r="B177" i="15"/>
  <c r="A177" i="15" s="1"/>
  <c r="AZ177" i="15" s="1"/>
  <c r="C177" i="15"/>
  <c r="G177" i="15"/>
  <c r="AX177" i="15" s="1"/>
  <c r="H177" i="15"/>
  <c r="J177" i="15"/>
  <c r="P177" i="15"/>
  <c r="AD177" i="15"/>
  <c r="B178" i="15"/>
  <c r="A178" i="15" s="1"/>
  <c r="AZ178" i="15" s="1"/>
  <c r="C178" i="15"/>
  <c r="G178" i="15"/>
  <c r="AX178" i="15" s="1"/>
  <c r="H178" i="15"/>
  <c r="J178" i="15"/>
  <c r="P178" i="15"/>
  <c r="AD178" i="15"/>
  <c r="B179" i="15"/>
  <c r="A179" i="15" s="1"/>
  <c r="AZ179" i="15" s="1"/>
  <c r="C179" i="15"/>
  <c r="G179" i="15"/>
  <c r="H179" i="15"/>
  <c r="J179" i="15"/>
  <c r="AD179" i="15"/>
  <c r="AI179" i="15"/>
  <c r="AI180" i="15" s="1"/>
  <c r="AI181" i="15" s="1"/>
  <c r="AI182" i="15" s="1"/>
  <c r="AI183" i="15" s="1"/>
  <c r="AI184" i="15" s="1"/>
  <c r="B180" i="15"/>
  <c r="A180" i="15" s="1"/>
  <c r="AZ180" i="15" s="1"/>
  <c r="C180" i="15"/>
  <c r="G180" i="15"/>
  <c r="AX180" i="15" s="1"/>
  <c r="H180" i="15"/>
  <c r="J180" i="15"/>
  <c r="AD180" i="15"/>
  <c r="B181" i="15"/>
  <c r="A181" i="15" s="1"/>
  <c r="AZ181" i="15" s="1"/>
  <c r="C181" i="15"/>
  <c r="G181" i="15"/>
  <c r="H181" i="15"/>
  <c r="J181" i="15"/>
  <c r="AD181" i="15"/>
  <c r="B182" i="15"/>
  <c r="A182" i="15" s="1"/>
  <c r="AZ182" i="15" s="1"/>
  <c r="C182" i="15"/>
  <c r="G182" i="15"/>
  <c r="AX182" i="15" s="1"/>
  <c r="H182" i="15"/>
  <c r="J182" i="15"/>
  <c r="AD182" i="15"/>
  <c r="B183" i="15"/>
  <c r="A183" i="15" s="1"/>
  <c r="AZ183" i="15" s="1"/>
  <c r="C183" i="15"/>
  <c r="G183" i="15"/>
  <c r="AX183" i="15" s="1"/>
  <c r="H183" i="15"/>
  <c r="J183" i="15"/>
  <c r="AD183" i="15"/>
  <c r="B184" i="15"/>
  <c r="A184" i="15" s="1"/>
  <c r="AZ184" i="15" s="1"/>
  <c r="C184" i="15"/>
  <c r="G184" i="15"/>
  <c r="AX184" i="15" s="1"/>
  <c r="H184" i="15"/>
  <c r="J184" i="15"/>
  <c r="AD184" i="15"/>
  <c r="B185" i="15"/>
  <c r="A185" i="15" s="1"/>
  <c r="AZ185" i="15" s="1"/>
  <c r="C185" i="15"/>
  <c r="G185" i="15"/>
  <c r="AX185" i="15" s="1"/>
  <c r="H185" i="15"/>
  <c r="J185" i="15"/>
  <c r="AD185" i="15"/>
  <c r="AI185" i="15"/>
  <c r="B186" i="15"/>
  <c r="A186" i="15" s="1"/>
  <c r="AZ186" i="15" s="1"/>
  <c r="C186" i="15"/>
  <c r="G186" i="15"/>
  <c r="H186" i="15"/>
  <c r="J186" i="15"/>
  <c r="AD186" i="15"/>
  <c r="AI186" i="15"/>
  <c r="AI187" i="15" s="1"/>
  <c r="AI188" i="15" s="1"/>
  <c r="B187" i="15"/>
  <c r="A187" i="15" s="1"/>
  <c r="AZ187" i="15" s="1"/>
  <c r="C187" i="15"/>
  <c r="G187" i="15"/>
  <c r="AX187" i="15" s="1"/>
  <c r="H187" i="15"/>
  <c r="J187" i="15"/>
  <c r="AD187" i="15"/>
  <c r="B188" i="15"/>
  <c r="A188" i="15" s="1"/>
  <c r="AZ188" i="15" s="1"/>
  <c r="C188" i="15"/>
  <c r="G188" i="15"/>
  <c r="AX188" i="15" s="1"/>
  <c r="H188" i="15"/>
  <c r="J188" i="15"/>
  <c r="AD188" i="15"/>
  <c r="B189" i="15"/>
  <c r="A189" i="15" s="1"/>
  <c r="AZ189" i="15" s="1"/>
  <c r="C189" i="15"/>
  <c r="G189" i="15"/>
  <c r="AX189" i="15" s="1"/>
  <c r="H189" i="15"/>
  <c r="J189" i="15"/>
  <c r="AD189" i="15"/>
  <c r="AI189" i="15"/>
  <c r="AI190" i="15" s="1"/>
  <c r="AI193" i="15" s="1"/>
  <c r="AI194" i="15" s="1"/>
  <c r="B190" i="15"/>
  <c r="A190" i="15" s="1"/>
  <c r="AZ190" i="15" s="1"/>
  <c r="C190" i="15"/>
  <c r="G190" i="15"/>
  <c r="AX190" i="15" s="1"/>
  <c r="H190" i="15"/>
  <c r="J190" i="15"/>
  <c r="AD190" i="15"/>
  <c r="B191" i="15"/>
  <c r="A191" i="15" s="1"/>
  <c r="AZ191" i="15" s="1"/>
  <c r="C191" i="15"/>
  <c r="G191" i="15"/>
  <c r="H191" i="15"/>
  <c r="J191" i="15"/>
  <c r="AD191" i="15"/>
  <c r="B192" i="15"/>
  <c r="A192" i="15" s="1"/>
  <c r="AZ192" i="15" s="1"/>
  <c r="C192" i="15"/>
  <c r="G192" i="15"/>
  <c r="H192" i="15"/>
  <c r="J192" i="15"/>
  <c r="AD192" i="15"/>
  <c r="B193" i="15"/>
  <c r="A193" i="15" s="1"/>
  <c r="AZ193" i="15" s="1"/>
  <c r="C193" i="15"/>
  <c r="G193" i="15"/>
  <c r="AX193" i="15" s="1"/>
  <c r="H193" i="15"/>
  <c r="J193" i="15"/>
  <c r="AD193" i="15"/>
  <c r="B194" i="15"/>
  <c r="A194" i="15" s="1"/>
  <c r="AZ194" i="15" s="1"/>
  <c r="C194" i="15"/>
  <c r="G194" i="15"/>
  <c r="H194" i="15"/>
  <c r="J194" i="15"/>
  <c r="AD194" i="15"/>
  <c r="B195" i="15"/>
  <c r="A195" i="15" s="1"/>
  <c r="AZ195" i="15" s="1"/>
  <c r="C195" i="15"/>
  <c r="G195" i="15"/>
  <c r="AX195" i="15" s="1"/>
  <c r="H195" i="15"/>
  <c r="AG195" i="15"/>
  <c r="AD195" i="15" s="1"/>
  <c r="AI195" i="15"/>
  <c r="B196" i="15"/>
  <c r="A196" i="15" s="1"/>
  <c r="AZ196" i="15" s="1"/>
  <c r="C196" i="15"/>
  <c r="G196" i="15"/>
  <c r="AX196" i="15" s="1"/>
  <c r="H196" i="15"/>
  <c r="AG196" i="15"/>
  <c r="AD196" i="15" s="1"/>
  <c r="AI196" i="15"/>
  <c r="B197" i="15"/>
  <c r="A197" i="15" s="1"/>
  <c r="AZ197" i="15" s="1"/>
  <c r="C197" i="15"/>
  <c r="D197" i="15"/>
  <c r="G197" i="15"/>
  <c r="AX197" i="15" s="1"/>
  <c r="H197" i="15"/>
  <c r="J197" i="15"/>
  <c r="P197" i="15"/>
  <c r="AD197" i="15"/>
  <c r="AI197" i="15"/>
  <c r="B199" i="15"/>
  <c r="A199" i="15" s="1"/>
  <c r="AZ199" i="15" s="1"/>
  <c r="C199" i="15"/>
  <c r="G199" i="15"/>
  <c r="AX199" i="15" s="1"/>
  <c r="H199" i="15"/>
  <c r="AD199" i="15"/>
  <c r="AI199" i="15"/>
  <c r="B200" i="15"/>
  <c r="A200" i="15" s="1"/>
  <c r="AZ200" i="15" s="1"/>
  <c r="C200" i="15"/>
  <c r="G200" i="15"/>
  <c r="AX200" i="15" s="1"/>
  <c r="H200" i="15"/>
  <c r="AD200" i="15"/>
  <c r="AI200" i="15"/>
  <c r="B201" i="15"/>
  <c r="A201" i="15" s="1"/>
  <c r="AZ201" i="15" s="1"/>
  <c r="C201" i="15"/>
  <c r="G201" i="15"/>
  <c r="AX201" i="15" s="1"/>
  <c r="H201" i="15"/>
  <c r="AD201" i="15"/>
  <c r="AI201" i="15"/>
  <c r="B202" i="15"/>
  <c r="A202" i="15" s="1"/>
  <c r="AZ202" i="15" s="1"/>
  <c r="C202" i="15"/>
  <c r="G202" i="15"/>
  <c r="AX202" i="15" s="1"/>
  <c r="H202" i="15"/>
  <c r="AD202" i="15"/>
  <c r="AI202" i="15"/>
  <c r="B203" i="15"/>
  <c r="A203" i="15" s="1"/>
  <c r="AZ203" i="15" s="1"/>
  <c r="C203" i="15"/>
  <c r="G203" i="15"/>
  <c r="H203" i="15"/>
  <c r="AD203" i="15"/>
  <c r="AI203" i="15"/>
  <c r="B204" i="15"/>
  <c r="A204" i="15" s="1"/>
  <c r="AZ204" i="15" s="1"/>
  <c r="C204" i="15"/>
  <c r="G204" i="15"/>
  <c r="H204" i="15"/>
  <c r="AD204" i="15"/>
  <c r="AI204" i="15"/>
  <c r="B205" i="15"/>
  <c r="A205" i="15" s="1"/>
  <c r="AZ205" i="15" s="1"/>
  <c r="C205" i="15"/>
  <c r="G205" i="15"/>
  <c r="H205" i="15"/>
  <c r="AD205" i="15"/>
  <c r="AI205" i="15"/>
  <c r="B206" i="15"/>
  <c r="A206" i="15" s="1"/>
  <c r="AZ206" i="15" s="1"/>
  <c r="C206" i="15"/>
  <c r="G206" i="15"/>
  <c r="AX206" i="15" s="1"/>
  <c r="H206" i="15"/>
  <c r="AD206" i="15"/>
  <c r="AI206" i="15"/>
  <c r="B207" i="15"/>
  <c r="A207" i="15" s="1"/>
  <c r="AZ207" i="15" s="1"/>
  <c r="C207" i="15"/>
  <c r="G207" i="15"/>
  <c r="AX207" i="15" s="1"/>
  <c r="H207" i="15"/>
  <c r="AD207" i="15"/>
  <c r="AI207" i="15"/>
  <c r="B208" i="15"/>
  <c r="A208" i="15" s="1"/>
  <c r="AZ208" i="15" s="1"/>
  <c r="C208" i="15"/>
  <c r="G208" i="15"/>
  <c r="AX208" i="15" s="1"/>
  <c r="H208" i="15"/>
  <c r="AD208" i="15"/>
  <c r="AI208" i="15"/>
  <c r="B209" i="15"/>
  <c r="A209" i="15" s="1"/>
  <c r="C209" i="15"/>
  <c r="D209" i="15"/>
  <c r="G209" i="15"/>
  <c r="AX209" i="15" s="1"/>
  <c r="H209" i="15"/>
  <c r="J209" i="15"/>
  <c r="P209" i="15"/>
  <c r="AD209" i="15"/>
  <c r="AI209" i="15"/>
  <c r="B210" i="15"/>
  <c r="A210" i="15" s="1"/>
  <c r="AZ210" i="15" s="1"/>
  <c r="C210" i="15"/>
  <c r="D210" i="15"/>
  <c r="G210" i="15"/>
  <c r="AX210" i="15" s="1"/>
  <c r="H210" i="15"/>
  <c r="J210" i="15"/>
  <c r="P210" i="15"/>
  <c r="AD210" i="15"/>
  <c r="AI210" i="15"/>
  <c r="B211" i="15"/>
  <c r="A211" i="15" s="1"/>
  <c r="AZ211" i="15" s="1"/>
  <c r="C211" i="15"/>
  <c r="D211" i="15"/>
  <c r="G211" i="15"/>
  <c r="H211" i="15"/>
  <c r="J211" i="15"/>
  <c r="P211" i="15"/>
  <c r="AD211" i="15"/>
  <c r="AI211" i="15"/>
  <c r="B212" i="15"/>
  <c r="A212" i="15" s="1"/>
  <c r="AZ212" i="15" s="1"/>
  <c r="C212" i="15"/>
  <c r="D212" i="15"/>
  <c r="G212" i="15"/>
  <c r="H212" i="15"/>
  <c r="J212" i="15"/>
  <c r="P212" i="15"/>
  <c r="AD212" i="15"/>
  <c r="AI212" i="15"/>
  <c r="B213" i="15"/>
  <c r="A213" i="15" s="1"/>
  <c r="AZ213" i="15" s="1"/>
  <c r="C213" i="15"/>
  <c r="D213" i="15"/>
  <c r="G213" i="15"/>
  <c r="AX213" i="15" s="1"/>
  <c r="H213" i="15"/>
  <c r="J213" i="15"/>
  <c r="L213" i="15"/>
  <c r="P213" i="15"/>
  <c r="AD213" i="15"/>
  <c r="AI213" i="15"/>
  <c r="B214" i="15"/>
  <c r="A214" i="15" s="1"/>
  <c r="AZ214" i="15" s="1"/>
  <c r="C214" i="15"/>
  <c r="D214" i="15"/>
  <c r="G214" i="15"/>
  <c r="AX214" i="15" s="1"/>
  <c r="H214" i="15"/>
  <c r="J214" i="15"/>
  <c r="L214" i="15"/>
  <c r="P214" i="15"/>
  <c r="AD214" i="15"/>
  <c r="AI214" i="15"/>
  <c r="B215" i="15"/>
  <c r="A215" i="15" s="1"/>
  <c r="AZ215" i="15" s="1"/>
  <c r="C215" i="15"/>
  <c r="G215" i="15"/>
  <c r="AX215" i="15" s="1"/>
  <c r="H215" i="15"/>
  <c r="AD215" i="15"/>
  <c r="AI215" i="15"/>
  <c r="B216" i="15"/>
  <c r="A216" i="15" s="1"/>
  <c r="AZ216" i="15" s="1"/>
  <c r="C216" i="15"/>
  <c r="G216" i="15"/>
  <c r="AX216" i="15" s="1"/>
  <c r="H216" i="15"/>
  <c r="AD216" i="15"/>
  <c r="AI216" i="15"/>
  <c r="B217" i="15"/>
  <c r="A217" i="15" s="1"/>
  <c r="C217" i="15"/>
  <c r="G217" i="15"/>
  <c r="AX217" i="15" s="1"/>
  <c r="H217" i="15"/>
  <c r="AD217" i="15"/>
  <c r="AI217" i="15"/>
  <c r="B218" i="15"/>
  <c r="A218" i="15" s="1"/>
  <c r="AZ218" i="15" s="1"/>
  <c r="C218" i="15"/>
  <c r="G218" i="15"/>
  <c r="H218" i="15"/>
  <c r="AD218" i="15"/>
  <c r="AI218" i="15"/>
  <c r="B219" i="15"/>
  <c r="A219" i="15" s="1"/>
  <c r="AZ219" i="15" s="1"/>
  <c r="C219" i="15"/>
  <c r="G219" i="15"/>
  <c r="AX219" i="15" s="1"/>
  <c r="H219" i="15"/>
  <c r="AD219" i="15"/>
  <c r="AI219" i="15"/>
  <c r="B220" i="15"/>
  <c r="A220" i="15" s="1"/>
  <c r="AZ220" i="15" s="1"/>
  <c r="C220" i="15"/>
  <c r="G220" i="15"/>
  <c r="AX220" i="15" s="1"/>
  <c r="H220" i="15"/>
  <c r="AD220" i="15"/>
  <c r="AI220" i="15"/>
  <c r="B221" i="15"/>
  <c r="A221" i="15" s="1"/>
  <c r="AZ221" i="15" s="1"/>
  <c r="C221" i="15"/>
  <c r="G221" i="15"/>
  <c r="AX221" i="15" s="1"/>
  <c r="H221" i="15"/>
  <c r="AD221" i="15"/>
  <c r="AI221" i="15"/>
  <c r="B222" i="15"/>
  <c r="A222" i="15" s="1"/>
  <c r="AZ222" i="15" s="1"/>
  <c r="C222" i="15"/>
  <c r="G222" i="15"/>
  <c r="H222" i="15"/>
  <c r="AD222" i="15"/>
  <c r="AI222" i="15"/>
  <c r="B223" i="15"/>
  <c r="A223" i="15"/>
  <c r="AZ223" i="15" s="1"/>
  <c r="C223" i="15"/>
  <c r="G223" i="15"/>
  <c r="AX223" i="15" s="1"/>
  <c r="H223" i="15"/>
  <c r="AD223" i="15"/>
  <c r="AI223" i="15"/>
  <c r="B224" i="15"/>
  <c r="A224" i="15" s="1"/>
  <c r="AZ224" i="15" s="1"/>
  <c r="C224" i="15"/>
  <c r="G224" i="15"/>
  <c r="AX224" i="15" s="1"/>
  <c r="H224" i="15"/>
  <c r="AD224" i="15"/>
  <c r="AI224" i="15"/>
  <c r="B225" i="15"/>
  <c r="A225" i="15" s="1"/>
  <c r="AZ225" i="15" s="1"/>
  <c r="C225" i="15"/>
  <c r="G225" i="15"/>
  <c r="H225" i="15"/>
  <c r="AD225" i="15"/>
  <c r="AI225" i="15"/>
  <c r="B226" i="15"/>
  <c r="A226" i="15" s="1"/>
  <c r="AZ226" i="15" s="1"/>
  <c r="C226" i="15"/>
  <c r="G226" i="15"/>
  <c r="H226" i="15"/>
  <c r="AD226" i="15"/>
  <c r="AI226" i="15"/>
  <c r="B227" i="15"/>
  <c r="A227" i="15" s="1"/>
  <c r="AZ227" i="15" s="1"/>
  <c r="C227" i="15"/>
  <c r="H227" i="15"/>
  <c r="X227" i="15"/>
  <c r="Z227" i="15" s="1"/>
  <c r="W227" i="15" s="1"/>
  <c r="AD227" i="15"/>
  <c r="AI227" i="15"/>
  <c r="B228" i="15"/>
  <c r="A228" i="15" s="1"/>
  <c r="AZ228" i="15" s="1"/>
  <c r="C228" i="15"/>
  <c r="H228" i="15"/>
  <c r="X228" i="15"/>
  <c r="Z228" i="15" s="1"/>
  <c r="W228" i="15" s="1"/>
  <c r="AD228" i="15"/>
  <c r="AI228" i="15"/>
  <c r="B229" i="15"/>
  <c r="A229" i="15" s="1"/>
  <c r="AZ229" i="15" s="1"/>
  <c r="C229" i="15"/>
  <c r="D229" i="15"/>
  <c r="G229" i="15"/>
  <c r="AX229" i="15" s="1"/>
  <c r="H229" i="15"/>
  <c r="AI229" i="15"/>
  <c r="B230" i="15"/>
  <c r="A230" i="15" s="1"/>
  <c r="AZ230" i="15" s="1"/>
  <c r="C230" i="15"/>
  <c r="D230" i="15"/>
  <c r="G230" i="15"/>
  <c r="AX230" i="15" s="1"/>
  <c r="H230" i="15"/>
  <c r="AI230" i="15"/>
  <c r="B231" i="15"/>
  <c r="A231" i="15" s="1"/>
  <c r="AZ231" i="15" s="1"/>
  <c r="C231" i="15"/>
  <c r="G231" i="15"/>
  <c r="AX231" i="15" s="1"/>
  <c r="H231" i="15"/>
  <c r="J231" i="15"/>
  <c r="P231" i="15"/>
  <c r="AD231" i="15"/>
  <c r="AI231" i="15"/>
  <c r="B232" i="15"/>
  <c r="A232" i="15" s="1"/>
  <c r="AZ232" i="15" s="1"/>
  <c r="C232" i="15"/>
  <c r="G232" i="15"/>
  <c r="AX232" i="15" s="1"/>
  <c r="H232" i="15"/>
  <c r="J232" i="15"/>
  <c r="P232" i="15"/>
  <c r="AD232" i="15"/>
  <c r="AI232" i="15"/>
  <c r="B242" i="15"/>
  <c r="A242" i="15" s="1"/>
  <c r="AZ242" i="15" s="1"/>
  <c r="C242" i="15"/>
  <c r="G242" i="15"/>
  <c r="AX242" i="15" s="1"/>
  <c r="H242" i="15"/>
  <c r="X242" i="15"/>
  <c r="Z242" i="15" s="1"/>
  <c r="W242" i="15" s="1"/>
  <c r="AD242" i="15"/>
  <c r="AI242" i="15"/>
  <c r="B244" i="15"/>
  <c r="A244" i="15" s="1"/>
  <c r="AZ244" i="15" s="1"/>
  <c r="G244" i="15"/>
  <c r="H244" i="15"/>
  <c r="I244" i="15"/>
  <c r="O244" i="15"/>
  <c r="X244" i="15"/>
  <c r="Z244" i="15"/>
  <c r="W244" i="15" s="1"/>
  <c r="V244" i="15" s="1"/>
  <c r="U244" i="15" s="1"/>
  <c r="AB244" i="15"/>
  <c r="AD244" i="15"/>
  <c r="AE244" i="15"/>
  <c r="AC244" i="15" s="1"/>
  <c r="AI244" i="15"/>
  <c r="B245" i="15"/>
  <c r="A245" i="15" s="1"/>
  <c r="AZ245" i="15" s="1"/>
  <c r="G245" i="15"/>
  <c r="AX245" i="15" s="1"/>
  <c r="H245" i="15"/>
  <c r="I245" i="15"/>
  <c r="O245" i="15"/>
  <c r="X245" i="15"/>
  <c r="Z245" i="15" s="1"/>
  <c r="W245" i="15" s="1"/>
  <c r="V245" i="15" s="1"/>
  <c r="AB245" i="15"/>
  <c r="AD245" i="15"/>
  <c r="AE245" i="15"/>
  <c r="AC245" i="15" s="1"/>
  <c r="AI245" i="15"/>
  <c r="B246" i="15"/>
  <c r="A246" i="15" s="1"/>
  <c r="AZ246" i="15" s="1"/>
  <c r="G246" i="15"/>
  <c r="AX246" i="15" s="1"/>
  <c r="H246" i="15"/>
  <c r="I246" i="15"/>
  <c r="O246" i="15"/>
  <c r="X246" i="15"/>
  <c r="Z246" i="15" s="1"/>
  <c r="W246" i="15" s="1"/>
  <c r="V246" i="15" s="1"/>
  <c r="AB246" i="15"/>
  <c r="AD246" i="15"/>
  <c r="AE246" i="15"/>
  <c r="AC246" i="15"/>
  <c r="AI246" i="15"/>
  <c r="B247" i="15"/>
  <c r="A247" i="15" s="1"/>
  <c r="AZ247" i="15" s="1"/>
  <c r="G247" i="15"/>
  <c r="H247" i="15"/>
  <c r="I247" i="15"/>
  <c r="O247" i="15"/>
  <c r="X247" i="15"/>
  <c r="Z247" i="15" s="1"/>
  <c r="W247" i="15" s="1"/>
  <c r="V247" i="15" s="1"/>
  <c r="U247" i="15" s="1"/>
  <c r="AB247" i="15"/>
  <c r="AD247" i="15"/>
  <c r="AE247" i="15"/>
  <c r="AC247" i="15"/>
  <c r="AI247" i="15"/>
  <c r="B251" i="15"/>
  <c r="A251" i="15"/>
  <c r="AZ251" i="15" s="1"/>
  <c r="C251" i="15"/>
  <c r="G251" i="15"/>
  <c r="H251" i="15"/>
  <c r="AB251" i="15"/>
  <c r="AD251" i="15"/>
  <c r="AI251" i="15"/>
  <c r="B252" i="15"/>
  <c r="A252" i="15"/>
  <c r="AZ252" i="15" s="1"/>
  <c r="C252" i="15"/>
  <c r="G252" i="15"/>
  <c r="H252" i="15"/>
  <c r="AB252" i="15"/>
  <c r="AD252" i="15"/>
  <c r="AI252" i="15"/>
  <c r="B253" i="15"/>
  <c r="A253" i="15" s="1"/>
  <c r="AZ253" i="15" s="1"/>
  <c r="C253" i="15"/>
  <c r="G253" i="15"/>
  <c r="H253" i="15"/>
  <c r="AB253" i="15"/>
  <c r="AD253" i="15"/>
  <c r="AI253" i="15"/>
  <c r="B254" i="15"/>
  <c r="A254" i="15" s="1"/>
  <c r="AZ254" i="15" s="1"/>
  <c r="C254" i="15"/>
  <c r="G254" i="15"/>
  <c r="H254" i="15"/>
  <c r="AB254" i="15"/>
  <c r="AD254" i="15"/>
  <c r="AI254" i="15"/>
  <c r="B255" i="15"/>
  <c r="A255" i="15"/>
  <c r="AZ255" i="15" s="1"/>
  <c r="C255" i="15"/>
  <c r="G255" i="15"/>
  <c r="AX255" i="15" s="1"/>
  <c r="H255" i="15"/>
  <c r="AB255" i="15"/>
  <c r="AD255" i="15"/>
  <c r="AI255" i="15"/>
  <c r="B256" i="15"/>
  <c r="A256" i="15" s="1"/>
  <c r="AZ256" i="15" s="1"/>
  <c r="C256" i="15"/>
  <c r="G256" i="15"/>
  <c r="H256" i="15"/>
  <c r="AB256" i="15"/>
  <c r="AD256" i="15"/>
  <c r="AI256" i="15"/>
  <c r="B257" i="15"/>
  <c r="A257" i="15" s="1"/>
  <c r="AZ257" i="15" s="1"/>
  <c r="C257" i="15"/>
  <c r="G257" i="15"/>
  <c r="H257" i="15"/>
  <c r="AB257" i="15"/>
  <c r="AD257" i="15"/>
  <c r="AI257" i="15"/>
  <c r="B258" i="15"/>
  <c r="A258" i="15"/>
  <c r="AZ258" i="15" s="1"/>
  <c r="C258" i="15"/>
  <c r="G258" i="15"/>
  <c r="AX258" i="15" s="1"/>
  <c r="H258" i="15"/>
  <c r="AB258" i="15"/>
  <c r="AD258" i="15"/>
  <c r="AI258" i="15"/>
  <c r="B259" i="15"/>
  <c r="A259" i="15"/>
  <c r="C259" i="15"/>
  <c r="G259" i="15"/>
  <c r="H259" i="15"/>
  <c r="AB259" i="15"/>
  <c r="AD259" i="15"/>
  <c r="AI259" i="15"/>
  <c r="B267" i="15"/>
  <c r="A267" i="15"/>
  <c r="AZ267" i="15" s="1"/>
  <c r="C267" i="15"/>
  <c r="G267" i="15"/>
  <c r="AX267" i="15" s="1"/>
  <c r="H267" i="15"/>
  <c r="X267" i="15"/>
  <c r="Z267" i="15" s="1"/>
  <c r="W267" i="15" s="1"/>
  <c r="V267" i="15" s="1"/>
  <c r="U267" i="15" s="1"/>
  <c r="AB267" i="15"/>
  <c r="AD267" i="15"/>
  <c r="AI267" i="15"/>
  <c r="B268" i="15"/>
  <c r="A268" i="15" s="1"/>
  <c r="AZ268" i="15" s="1"/>
  <c r="C268" i="15"/>
  <c r="G268" i="15"/>
  <c r="H268" i="15"/>
  <c r="X268" i="15"/>
  <c r="Z268" i="15"/>
  <c r="W268" i="15" s="1"/>
  <c r="AB268" i="15"/>
  <c r="AD268" i="15"/>
  <c r="AI268" i="15"/>
  <c r="B269" i="15"/>
  <c r="A269" i="15" s="1"/>
  <c r="AZ269" i="15" s="1"/>
  <c r="C269" i="15"/>
  <c r="G269" i="15"/>
  <c r="H269" i="15"/>
  <c r="X269" i="15"/>
  <c r="Z269" i="15" s="1"/>
  <c r="W269" i="15" s="1"/>
  <c r="V269" i="15" s="1"/>
  <c r="U269" i="15" s="1"/>
  <c r="AB269" i="15"/>
  <c r="AD269" i="15"/>
  <c r="AI269" i="15"/>
  <c r="B270" i="15"/>
  <c r="A270" i="15"/>
  <c r="AZ270" i="15" s="1"/>
  <c r="C270" i="15"/>
  <c r="G270" i="15"/>
  <c r="H270" i="15"/>
  <c r="X270" i="15"/>
  <c r="Z270" i="15" s="1"/>
  <c r="W270" i="15" s="1"/>
  <c r="AB270" i="15"/>
  <c r="AD270" i="15"/>
  <c r="AI270" i="15"/>
  <c r="B271" i="15"/>
  <c r="A271" i="15" s="1"/>
  <c r="AZ271" i="15" s="1"/>
  <c r="C271" i="15"/>
  <c r="G271" i="15"/>
  <c r="H271" i="15"/>
  <c r="X271" i="15"/>
  <c r="Z271" i="15" s="1"/>
  <c r="W271" i="15" s="1"/>
  <c r="AB271" i="15"/>
  <c r="AD271" i="15"/>
  <c r="AI271" i="15"/>
  <c r="B272" i="15"/>
  <c r="A272" i="15"/>
  <c r="AZ272" i="15" s="1"/>
  <c r="C272" i="15"/>
  <c r="G272" i="15"/>
  <c r="AX272" i="15" s="1"/>
  <c r="H272" i="15"/>
  <c r="X272" i="15"/>
  <c r="Z272" i="15" s="1"/>
  <c r="W272" i="15" s="1"/>
  <c r="V272" i="15" s="1"/>
  <c r="U272" i="15" s="1"/>
  <c r="AB272" i="15"/>
  <c r="AD272" i="15"/>
  <c r="AI272" i="15"/>
  <c r="B273" i="15"/>
  <c r="A273" i="15"/>
  <c r="AZ273" i="15" s="1"/>
  <c r="C273" i="15"/>
  <c r="G273" i="15"/>
  <c r="H273" i="15"/>
  <c r="X273" i="15"/>
  <c r="Z273" i="15" s="1"/>
  <c r="W273" i="15" s="1"/>
  <c r="V273" i="15" s="1"/>
  <c r="U273" i="15" s="1"/>
  <c r="AB273" i="15"/>
  <c r="AD273" i="15"/>
  <c r="AI273" i="15"/>
  <c r="B274" i="15"/>
  <c r="A274" i="15" s="1"/>
  <c r="AZ274" i="15" s="1"/>
  <c r="C274" i="15"/>
  <c r="G274" i="15"/>
  <c r="AX274" i="15" s="1"/>
  <c r="H274" i="15"/>
  <c r="X274" i="15"/>
  <c r="Z274" i="15"/>
  <c r="W274" i="15" s="1"/>
  <c r="V274" i="15" s="1"/>
  <c r="U274" i="15" s="1"/>
  <c r="AB274" i="15"/>
  <c r="AD274" i="15"/>
  <c r="AI274" i="15"/>
  <c r="B275" i="15"/>
  <c r="A275" i="15" s="1"/>
  <c r="AZ275" i="15" s="1"/>
  <c r="C275" i="15"/>
  <c r="G275" i="15"/>
  <c r="H275" i="15"/>
  <c r="X275" i="15"/>
  <c r="Z275" i="15"/>
  <c r="W275" i="15" s="1"/>
  <c r="AB275" i="15"/>
  <c r="AD275" i="15"/>
  <c r="AI275" i="15"/>
  <c r="B276" i="15"/>
  <c r="A276" i="15"/>
  <c r="AZ276" i="15" s="1"/>
  <c r="C276" i="15"/>
  <c r="G276" i="15"/>
  <c r="H276" i="15"/>
  <c r="X276" i="15"/>
  <c r="Z276" i="15"/>
  <c r="W276" i="15" s="1"/>
  <c r="V276" i="15" s="1"/>
  <c r="U276" i="15" s="1"/>
  <c r="AB276" i="15"/>
  <c r="AD276" i="15"/>
  <c r="AI276" i="15"/>
  <c r="B278" i="15"/>
  <c r="A278" i="15" s="1"/>
  <c r="AZ278" i="15" s="1"/>
  <c r="C278" i="15"/>
  <c r="G278" i="15"/>
  <c r="H278" i="15"/>
  <c r="X278" i="15"/>
  <c r="Z278" i="15" s="1"/>
  <c r="W278" i="15" s="1"/>
  <c r="AB278" i="15"/>
  <c r="AD278" i="15"/>
  <c r="AI278" i="15"/>
  <c r="B280" i="15"/>
  <c r="A280" i="15"/>
  <c r="AZ280" i="15" s="1"/>
  <c r="C280" i="15"/>
  <c r="G280" i="15"/>
  <c r="AX280" i="15" s="1"/>
  <c r="H280" i="15"/>
  <c r="X280" i="15"/>
  <c r="Z280" i="15" s="1"/>
  <c r="W280" i="15" s="1"/>
  <c r="V280" i="15" s="1"/>
  <c r="U280" i="15" s="1"/>
  <c r="AB280" i="15"/>
  <c r="AD280" i="15"/>
  <c r="AI280" i="15"/>
  <c r="B281" i="15"/>
  <c r="A281" i="15" s="1"/>
  <c r="AZ281" i="15" s="1"/>
  <c r="C281" i="15"/>
  <c r="G281" i="15"/>
  <c r="H281" i="15"/>
  <c r="X281" i="15"/>
  <c r="Z281" i="15" s="1"/>
  <c r="W281" i="15" s="1"/>
  <c r="V281" i="15" s="1"/>
  <c r="U281" i="15" s="1"/>
  <c r="AB281" i="15"/>
  <c r="AD281" i="15"/>
  <c r="AI281" i="15"/>
  <c r="B282" i="15"/>
  <c r="A282" i="15" s="1"/>
  <c r="AZ282" i="15" s="1"/>
  <c r="C282" i="15"/>
  <c r="G282" i="15"/>
  <c r="H282" i="15"/>
  <c r="X282" i="15"/>
  <c r="Z282" i="15" s="1"/>
  <c r="W282" i="15" s="1"/>
  <c r="V282" i="15" s="1"/>
  <c r="U282" i="15" s="1"/>
  <c r="AB282" i="15"/>
  <c r="AD282" i="15"/>
  <c r="AI282" i="15"/>
  <c r="B283" i="15"/>
  <c r="A283" i="15"/>
  <c r="AZ283" i="15" s="1"/>
  <c r="C283" i="15"/>
  <c r="G283" i="15"/>
  <c r="H283" i="15"/>
  <c r="X283" i="15"/>
  <c r="Z283" i="15" s="1"/>
  <c r="AB283" i="15"/>
  <c r="AD283" i="15"/>
  <c r="AI283" i="15"/>
  <c r="B284" i="15"/>
  <c r="A284" i="15" s="1"/>
  <c r="AZ284" i="15" s="1"/>
  <c r="C284" i="15"/>
  <c r="G284" i="15"/>
  <c r="H284" i="15"/>
  <c r="X284" i="15"/>
  <c r="Z284" i="15" s="1"/>
  <c r="AB284" i="15"/>
  <c r="AD284" i="15"/>
  <c r="AI284" i="15"/>
  <c r="B285" i="15"/>
  <c r="A285" i="15"/>
  <c r="AZ285" i="15" s="1"/>
  <c r="C285" i="15"/>
  <c r="G285" i="15"/>
  <c r="AX285" i="15" s="1"/>
  <c r="H285" i="15"/>
  <c r="X285" i="15"/>
  <c r="Z285" i="15" s="1"/>
  <c r="AB285" i="15"/>
  <c r="AD285" i="15"/>
  <c r="AI285" i="15"/>
  <c r="B286" i="15"/>
  <c r="A286" i="15" s="1"/>
  <c r="AZ286" i="15" s="1"/>
  <c r="C286" i="15"/>
  <c r="G286" i="15"/>
  <c r="H286" i="15"/>
  <c r="X286" i="15"/>
  <c r="Z286" i="15" s="1"/>
  <c r="W286" i="15" s="1"/>
  <c r="V286" i="15" s="1"/>
  <c r="U286" i="15" s="1"/>
  <c r="AB286" i="15"/>
  <c r="AD286" i="15"/>
  <c r="AI286" i="15"/>
  <c r="B289" i="15"/>
  <c r="A289" i="15" s="1"/>
  <c r="AZ289" i="15" s="1"/>
  <c r="C289" i="15"/>
  <c r="G289" i="15"/>
  <c r="AX289" i="15" s="1"/>
  <c r="H289" i="15"/>
  <c r="X289" i="15"/>
  <c r="Z289" i="15"/>
  <c r="W289" i="15" s="1"/>
  <c r="V289" i="15" s="1"/>
  <c r="U289" i="15" s="1"/>
  <c r="AD289" i="15"/>
  <c r="AI289" i="15"/>
  <c r="B290" i="15"/>
  <c r="A290" i="15" s="1"/>
  <c r="AZ290" i="15" s="1"/>
  <c r="C290" i="15"/>
  <c r="G290" i="15"/>
  <c r="H290" i="15"/>
  <c r="X290" i="15"/>
  <c r="Z290" i="15"/>
  <c r="W290" i="15" s="1"/>
  <c r="AB290" i="15"/>
  <c r="AD290" i="15"/>
  <c r="AI290" i="15"/>
  <c r="B291" i="15"/>
  <c r="A291" i="15" s="1"/>
  <c r="AZ291" i="15" s="1"/>
  <c r="C291" i="15"/>
  <c r="G291" i="15"/>
  <c r="H291" i="15"/>
  <c r="X291" i="15"/>
  <c r="Z291" i="15"/>
  <c r="W291" i="15" s="1"/>
  <c r="AB291" i="15"/>
  <c r="AD291" i="15"/>
  <c r="AI291" i="15"/>
  <c r="B292" i="15"/>
  <c r="A292" i="15" s="1"/>
  <c r="AZ292" i="15" s="1"/>
  <c r="C292" i="15"/>
  <c r="G292" i="15"/>
  <c r="H292" i="15"/>
  <c r="X292" i="15"/>
  <c r="Z292" i="15"/>
  <c r="W292" i="15" s="1"/>
  <c r="AB292" i="15"/>
  <c r="AD292" i="15"/>
  <c r="AI292" i="15"/>
  <c r="B293" i="15"/>
  <c r="A293" i="15" s="1"/>
  <c r="AZ293" i="15" s="1"/>
  <c r="C293" i="15"/>
  <c r="G293" i="15"/>
  <c r="H293" i="15"/>
  <c r="X293" i="15"/>
  <c r="Z293" i="15" s="1"/>
  <c r="W293" i="15" s="1"/>
  <c r="AB293" i="15"/>
  <c r="AD293" i="15"/>
  <c r="AI293" i="15"/>
  <c r="B294" i="15"/>
  <c r="A294" i="15" s="1"/>
  <c r="AZ294" i="15" s="1"/>
  <c r="C294" i="15"/>
  <c r="G294" i="15"/>
  <c r="H294" i="15"/>
  <c r="X294" i="15"/>
  <c r="Z294" i="15"/>
  <c r="W294" i="15" s="1"/>
  <c r="AB294" i="15"/>
  <c r="AD294" i="15"/>
  <c r="AI294" i="15"/>
  <c r="B295" i="15"/>
  <c r="A295" i="15"/>
  <c r="AZ295" i="15" s="1"/>
  <c r="C295" i="15"/>
  <c r="G295" i="15"/>
  <c r="H295" i="15"/>
  <c r="X295" i="15"/>
  <c r="Z295" i="15"/>
  <c r="W295" i="15" s="1"/>
  <c r="AB295" i="15"/>
  <c r="AD295" i="15"/>
  <c r="AI295" i="15"/>
  <c r="B296" i="15"/>
  <c r="A296" i="15"/>
  <c r="AZ296" i="15" s="1"/>
  <c r="C296" i="15"/>
  <c r="G296" i="15"/>
  <c r="AX296" i="15" s="1"/>
  <c r="H296" i="15"/>
  <c r="X296" i="15"/>
  <c r="Z296" i="15" s="1"/>
  <c r="W296" i="15" s="1"/>
  <c r="AB296" i="15"/>
  <c r="AD296" i="15"/>
  <c r="AI296" i="15"/>
  <c r="B297" i="15"/>
  <c r="A297" i="15" s="1"/>
  <c r="AZ297" i="15" s="1"/>
  <c r="C297" i="15"/>
  <c r="D297" i="15"/>
  <c r="G297" i="15"/>
  <c r="H297" i="15"/>
  <c r="J297" i="15"/>
  <c r="P297" i="15"/>
  <c r="X297" i="15"/>
  <c r="Z297" i="15" s="1"/>
  <c r="W297" i="15" s="1"/>
  <c r="V297" i="15" s="1"/>
  <c r="AB297" i="15"/>
  <c r="AD297" i="15"/>
  <c r="AI297" i="15"/>
  <c r="B299" i="15"/>
  <c r="A299" i="15"/>
  <c r="AZ299" i="15" s="1"/>
  <c r="C299" i="15"/>
  <c r="G299" i="15"/>
  <c r="H299" i="15"/>
  <c r="X299" i="15"/>
  <c r="Z299" i="15" s="1"/>
  <c r="W299" i="15" s="1"/>
  <c r="V299" i="15" s="1"/>
  <c r="U299" i="15" s="1"/>
  <c r="AB299" i="15"/>
  <c r="AD299" i="15"/>
  <c r="AI299" i="15"/>
  <c r="B300" i="15"/>
  <c r="A300" i="15" s="1"/>
  <c r="AZ300" i="15" s="1"/>
  <c r="C300" i="15"/>
  <c r="G300" i="15"/>
  <c r="H300" i="15"/>
  <c r="X300" i="15"/>
  <c r="Z300" i="15" s="1"/>
  <c r="W300" i="15" s="1"/>
  <c r="V300" i="15" s="1"/>
  <c r="U300" i="15" s="1"/>
  <c r="AD300" i="15"/>
  <c r="AI300" i="15"/>
  <c r="B301" i="15"/>
  <c r="A301" i="15" s="1"/>
  <c r="AZ301" i="15" s="1"/>
  <c r="C301" i="15"/>
  <c r="G301" i="15"/>
  <c r="AX301" i="15" s="1"/>
  <c r="H301" i="15"/>
  <c r="X301" i="15"/>
  <c r="Z301" i="15" s="1"/>
  <c r="AB301" i="15"/>
  <c r="AD301" i="15"/>
  <c r="AI301" i="15"/>
  <c r="B302" i="15"/>
  <c r="A302" i="15" s="1"/>
  <c r="AZ302" i="15" s="1"/>
  <c r="C302" i="15"/>
  <c r="G302" i="15"/>
  <c r="H302" i="15"/>
  <c r="X302" i="15"/>
  <c r="Z302" i="15" s="1"/>
  <c r="W302" i="15" s="1"/>
  <c r="V302" i="15" s="1"/>
  <c r="U302" i="15" s="1"/>
  <c r="AB302" i="15"/>
  <c r="AD302" i="15"/>
  <c r="AI302" i="15"/>
  <c r="B303" i="15"/>
  <c r="A303" i="15" s="1"/>
  <c r="AZ303" i="15" s="1"/>
  <c r="C303" i="15"/>
  <c r="G303" i="15"/>
  <c r="H303" i="15"/>
  <c r="X303" i="15"/>
  <c r="Z303" i="15" s="1"/>
  <c r="W303" i="15" s="1"/>
  <c r="V303" i="15" s="1"/>
  <c r="U303" i="15" s="1"/>
  <c r="AB303" i="15"/>
  <c r="AD303" i="15"/>
  <c r="AI303" i="15"/>
  <c r="B304" i="15"/>
  <c r="A304" i="15" s="1"/>
  <c r="AZ304" i="15" s="1"/>
  <c r="C304" i="15"/>
  <c r="G304" i="15"/>
  <c r="H304" i="15"/>
  <c r="J304" i="15"/>
  <c r="P304" i="15"/>
  <c r="X304" i="15"/>
  <c r="Z304" i="15" s="1"/>
  <c r="AB304" i="15"/>
  <c r="AD304" i="15"/>
  <c r="AI304" i="15"/>
  <c r="B305" i="15"/>
  <c r="A305" i="15" s="1"/>
  <c r="AZ305" i="15" s="1"/>
  <c r="C305" i="15"/>
  <c r="G305" i="15"/>
  <c r="H305" i="15"/>
  <c r="J305" i="15"/>
  <c r="P305" i="15"/>
  <c r="X305" i="15"/>
  <c r="Z305" i="15" s="1"/>
  <c r="AB305" i="15"/>
  <c r="AD305" i="15"/>
  <c r="AI305" i="15"/>
  <c r="B306" i="15"/>
  <c r="A306" i="15" s="1"/>
  <c r="AZ306" i="15" s="1"/>
  <c r="C306" i="15"/>
  <c r="G306" i="15"/>
  <c r="H306" i="15"/>
  <c r="J306" i="15"/>
  <c r="P306" i="15"/>
  <c r="X306" i="15"/>
  <c r="Z306" i="15"/>
  <c r="AB306" i="15"/>
  <c r="AD306" i="15"/>
  <c r="AI306" i="15"/>
  <c r="B307" i="15"/>
  <c r="A307" i="15"/>
  <c r="AZ307" i="15" s="1"/>
  <c r="C307" i="15"/>
  <c r="G307" i="15"/>
  <c r="H307" i="15"/>
  <c r="J307" i="15"/>
  <c r="P307" i="15"/>
  <c r="X307" i="15"/>
  <c r="Z307" i="15" s="1"/>
  <c r="AB307" i="15"/>
  <c r="AD307" i="15"/>
  <c r="AI307" i="15"/>
  <c r="B308" i="15"/>
  <c r="A308" i="15" s="1"/>
  <c r="AZ308" i="15" s="1"/>
  <c r="C308" i="15"/>
  <c r="G308" i="15"/>
  <c r="H308" i="15"/>
  <c r="J308" i="15"/>
  <c r="P308" i="15"/>
  <c r="X308" i="15"/>
  <c r="Z308" i="15"/>
  <c r="AB308" i="15"/>
  <c r="AD308" i="15"/>
  <c r="AI308" i="15"/>
  <c r="B310" i="15"/>
  <c r="A310" i="15"/>
  <c r="AZ310" i="15" s="1"/>
  <c r="C310" i="15"/>
  <c r="D310" i="15"/>
  <c r="G310" i="15"/>
  <c r="H310" i="15"/>
  <c r="J310" i="15"/>
  <c r="P310" i="15"/>
  <c r="X310" i="15"/>
  <c r="Z310" i="15" s="1"/>
  <c r="AB310" i="15"/>
  <c r="AD310" i="15"/>
  <c r="AI310" i="15"/>
  <c r="B313" i="15"/>
  <c r="A313" i="15" s="1"/>
  <c r="AZ313" i="15" s="1"/>
  <c r="C313" i="15"/>
  <c r="D313" i="15"/>
  <c r="G313" i="15"/>
  <c r="H313" i="15"/>
  <c r="J313" i="15"/>
  <c r="P313" i="15"/>
  <c r="X313" i="15"/>
  <c r="Z313" i="15"/>
  <c r="AB313" i="15"/>
  <c r="AD313" i="15"/>
  <c r="AI313" i="15"/>
  <c r="B314" i="15"/>
  <c r="A314" i="15"/>
  <c r="C314" i="15"/>
  <c r="D314" i="15"/>
  <c r="G314" i="15"/>
  <c r="H314" i="15"/>
  <c r="J314" i="15"/>
  <c r="P314" i="15"/>
  <c r="X314" i="15"/>
  <c r="Z314" i="15"/>
  <c r="AB314" i="15"/>
  <c r="AD314" i="15"/>
  <c r="AI314" i="15"/>
  <c r="B315" i="15"/>
  <c r="A315" i="15"/>
  <c r="AZ315" i="15" s="1"/>
  <c r="C315" i="15"/>
  <c r="D315" i="15"/>
  <c r="G315" i="15"/>
  <c r="H315" i="15"/>
  <c r="J315" i="15"/>
  <c r="P315" i="15"/>
  <c r="X315" i="15"/>
  <c r="Z315" i="15" s="1"/>
  <c r="AB315" i="15"/>
  <c r="AD315" i="15"/>
  <c r="AI315" i="15"/>
  <c r="B316" i="15"/>
  <c r="A316" i="15" s="1"/>
  <c r="AZ316" i="15" s="1"/>
  <c r="C316" i="15"/>
  <c r="D316" i="15"/>
  <c r="G316" i="15"/>
  <c r="H316" i="15"/>
  <c r="J316" i="15"/>
  <c r="P316" i="15"/>
  <c r="X316" i="15"/>
  <c r="Z316" i="15" s="1"/>
  <c r="AB316" i="15"/>
  <c r="AD316" i="15"/>
  <c r="AI316" i="15"/>
  <c r="B317" i="15"/>
  <c r="A317" i="15"/>
  <c r="AZ317" i="15" s="1"/>
  <c r="C317" i="15"/>
  <c r="G317" i="15"/>
  <c r="AX317" i="15" s="1"/>
  <c r="H317" i="15"/>
  <c r="J317" i="15"/>
  <c r="P317" i="15"/>
  <c r="X317" i="15"/>
  <c r="Z317" i="15" s="1"/>
  <c r="AD317" i="15"/>
  <c r="AI317" i="15"/>
  <c r="B318" i="15"/>
  <c r="A318" i="15" s="1"/>
  <c r="AZ318" i="15" s="1"/>
  <c r="C318" i="15"/>
  <c r="G318" i="15"/>
  <c r="AX318" i="15" s="1"/>
  <c r="H318" i="15"/>
  <c r="J318" i="15"/>
  <c r="P318" i="15"/>
  <c r="X318" i="15"/>
  <c r="Z318" i="15"/>
  <c r="AD318" i="15"/>
  <c r="AI318" i="15"/>
  <c r="B319" i="15"/>
  <c r="A319" i="15"/>
  <c r="AZ319" i="15" s="1"/>
  <c r="C319" i="15"/>
  <c r="G319" i="15"/>
  <c r="AX319" i="15" s="1"/>
  <c r="H319" i="15"/>
  <c r="X319" i="15"/>
  <c r="Z319" i="15" s="1"/>
  <c r="W319" i="15" s="1"/>
  <c r="V319" i="15" s="1"/>
  <c r="U319" i="15" s="1"/>
  <c r="AB319" i="15"/>
  <c r="AD319" i="15"/>
  <c r="AI319" i="15"/>
  <c r="B320" i="15"/>
  <c r="A320" i="15" s="1"/>
  <c r="AZ320" i="15" s="1"/>
  <c r="C320" i="15"/>
  <c r="G320" i="15"/>
  <c r="H320" i="15"/>
  <c r="X320" i="15"/>
  <c r="Z320" i="15" s="1"/>
  <c r="W320" i="15" s="1"/>
  <c r="V320" i="15" s="1"/>
  <c r="U320" i="15" s="1"/>
  <c r="AB320" i="15"/>
  <c r="AD320" i="15"/>
  <c r="AI320" i="15"/>
  <c r="B321" i="15"/>
  <c r="A321" i="15" s="1"/>
  <c r="AZ321" i="15" s="1"/>
  <c r="C321" i="15"/>
  <c r="G321" i="15"/>
  <c r="AX321" i="15" s="1"/>
  <c r="H321" i="15"/>
  <c r="X321" i="15"/>
  <c r="Z321" i="15"/>
  <c r="W321" i="15" s="1"/>
  <c r="V321" i="15" s="1"/>
  <c r="U321" i="15" s="1"/>
  <c r="AB321" i="15"/>
  <c r="AD321" i="15"/>
  <c r="AI321" i="15"/>
  <c r="B322" i="15"/>
  <c r="A322" i="15"/>
  <c r="AZ322" i="15" s="1"/>
  <c r="C322" i="15"/>
  <c r="G322" i="15"/>
  <c r="H322" i="15"/>
  <c r="X322" i="15"/>
  <c r="Z322" i="15"/>
  <c r="W322" i="15" s="1"/>
  <c r="AB322" i="15"/>
  <c r="AD322" i="15"/>
  <c r="AI322" i="15"/>
  <c r="B323" i="15"/>
  <c r="A323" i="15"/>
  <c r="AZ323" i="15" s="1"/>
  <c r="C323" i="15"/>
  <c r="G323" i="15"/>
  <c r="H323" i="15"/>
  <c r="X323" i="15"/>
  <c r="Z323" i="15" s="1"/>
  <c r="W323" i="15" s="1"/>
  <c r="V323" i="15" s="1"/>
  <c r="U323" i="15" s="1"/>
  <c r="AB323" i="15"/>
  <c r="AD323" i="15"/>
  <c r="AI323" i="15"/>
  <c r="B324" i="15"/>
  <c r="A324" i="15" s="1"/>
  <c r="AZ324" i="15" s="1"/>
  <c r="C324" i="15"/>
  <c r="G324" i="15"/>
  <c r="H324" i="15"/>
  <c r="X324" i="15"/>
  <c r="Z324" i="15"/>
  <c r="W324" i="15" s="1"/>
  <c r="AB324" i="15"/>
  <c r="AD324" i="15"/>
  <c r="AI324" i="15"/>
  <c r="B325" i="15"/>
  <c r="A325" i="15"/>
  <c r="AZ325" i="15" s="1"/>
  <c r="C325" i="15"/>
  <c r="G325" i="15"/>
  <c r="H325" i="15"/>
  <c r="X325" i="15"/>
  <c r="Z325" i="15"/>
  <c r="W325" i="15" s="1"/>
  <c r="AB325" i="15"/>
  <c r="AD325" i="15"/>
  <c r="AI325" i="15"/>
  <c r="B326" i="15"/>
  <c r="A326" i="15" s="1"/>
  <c r="AZ326" i="15" s="1"/>
  <c r="C326" i="15"/>
  <c r="G326" i="15"/>
  <c r="H326" i="15"/>
  <c r="X326" i="15"/>
  <c r="Z326" i="15" s="1"/>
  <c r="AB326" i="15"/>
  <c r="AD326" i="15"/>
  <c r="AI326" i="15"/>
  <c r="B327" i="15"/>
  <c r="A327" i="15" s="1"/>
  <c r="AZ327" i="15" s="1"/>
  <c r="C327" i="15"/>
  <c r="G327" i="15"/>
  <c r="AX327" i="15" s="1"/>
  <c r="H327" i="15"/>
  <c r="X327" i="15"/>
  <c r="Z327" i="15" s="1"/>
  <c r="W327" i="15" s="1"/>
  <c r="V327" i="15" s="1"/>
  <c r="U327" i="15" s="1"/>
  <c r="AB327" i="15"/>
  <c r="AD327" i="15"/>
  <c r="AI327" i="15"/>
  <c r="B328" i="15"/>
  <c r="A328" i="15" s="1"/>
  <c r="AZ328" i="15" s="1"/>
  <c r="C328" i="15"/>
  <c r="G328" i="15"/>
  <c r="H328" i="15"/>
  <c r="X328" i="15"/>
  <c r="Z328" i="15" s="1"/>
  <c r="W328" i="15" s="1"/>
  <c r="V328" i="15" s="1"/>
  <c r="U328" i="15" s="1"/>
  <c r="AB328" i="15"/>
  <c r="AD328" i="15"/>
  <c r="AI328" i="15"/>
  <c r="B329" i="15"/>
  <c r="A329" i="15" s="1"/>
  <c r="AZ329" i="15" s="1"/>
  <c r="C329" i="15"/>
  <c r="G329" i="15"/>
  <c r="H329" i="15"/>
  <c r="X329" i="15"/>
  <c r="Z329" i="15" s="1"/>
  <c r="W329" i="15" s="1"/>
  <c r="V329" i="15" s="1"/>
  <c r="U329" i="15" s="1"/>
  <c r="AB329" i="15"/>
  <c r="AD329" i="15"/>
  <c r="AI329" i="15"/>
  <c r="B330" i="15"/>
  <c r="A330" i="15"/>
  <c r="C330" i="15"/>
  <c r="G330" i="15"/>
  <c r="H330" i="15"/>
  <c r="X330" i="15"/>
  <c r="Z330" i="15" s="1"/>
  <c r="W330" i="15" s="1"/>
  <c r="V330" i="15" s="1"/>
  <c r="U330" i="15" s="1"/>
  <c r="AB330" i="15"/>
  <c r="AD330" i="15"/>
  <c r="AI330" i="15"/>
  <c r="B331" i="15"/>
  <c r="A331" i="15" s="1"/>
  <c r="AZ331" i="15" s="1"/>
  <c r="C331" i="15"/>
  <c r="G331" i="15"/>
  <c r="H331" i="15"/>
  <c r="X331" i="15"/>
  <c r="Z331" i="15"/>
  <c r="AB331" i="15"/>
  <c r="AD331" i="15"/>
  <c r="AI331" i="15"/>
  <c r="B332" i="15"/>
  <c r="A332" i="15"/>
  <c r="AZ332" i="15" s="1"/>
  <c r="C332" i="15"/>
  <c r="G332" i="15"/>
  <c r="H332" i="15"/>
  <c r="X332" i="15"/>
  <c r="Z332" i="15"/>
  <c r="W332" i="15" s="1"/>
  <c r="V332" i="15" s="1"/>
  <c r="U332" i="15" s="1"/>
  <c r="AB332" i="15"/>
  <c r="AD332" i="15"/>
  <c r="AI332" i="15"/>
  <c r="B333" i="15"/>
  <c r="A333" i="15" s="1"/>
  <c r="AZ333" i="15" s="1"/>
  <c r="C333" i="15"/>
  <c r="G333" i="15"/>
  <c r="H333" i="15"/>
  <c r="X333" i="15"/>
  <c r="Z333" i="15"/>
  <c r="W333" i="15" s="1"/>
  <c r="V333" i="15" s="1"/>
  <c r="U333" i="15" s="1"/>
  <c r="AB333" i="15"/>
  <c r="AD333" i="15"/>
  <c r="AI333" i="15"/>
  <c r="B334" i="15"/>
  <c r="A334" i="15"/>
  <c r="AZ334" i="15" s="1"/>
  <c r="C334" i="15"/>
  <c r="G334" i="15"/>
  <c r="H334" i="15"/>
  <c r="X334" i="15"/>
  <c r="Z334" i="15"/>
  <c r="W334" i="15" s="1"/>
  <c r="V334" i="15" s="1"/>
  <c r="U334" i="15" s="1"/>
  <c r="AB334" i="15"/>
  <c r="AD334" i="15"/>
  <c r="AI334" i="15"/>
  <c r="B335" i="15"/>
  <c r="A335" i="15" s="1"/>
  <c r="AZ335" i="15" s="1"/>
  <c r="C335" i="15"/>
  <c r="G335" i="15"/>
  <c r="H335" i="15"/>
  <c r="X335" i="15"/>
  <c r="Z335" i="15"/>
  <c r="W335" i="15" s="1"/>
  <c r="AB335" i="15"/>
  <c r="AD335" i="15"/>
  <c r="AI335" i="15"/>
  <c r="B336" i="15"/>
  <c r="A336" i="15"/>
  <c r="AZ336" i="15" s="1"/>
  <c r="C336" i="15"/>
  <c r="G336" i="15"/>
  <c r="H336" i="15"/>
  <c r="X336" i="15"/>
  <c r="Z336" i="15" s="1"/>
  <c r="W336" i="15" s="1"/>
  <c r="V336" i="15" s="1"/>
  <c r="U336" i="15" s="1"/>
  <c r="AB336" i="15"/>
  <c r="AD336" i="15"/>
  <c r="AI336" i="15"/>
  <c r="B337" i="15"/>
  <c r="A337" i="15" s="1"/>
  <c r="AZ337" i="15" s="1"/>
  <c r="C337" i="15"/>
  <c r="G337" i="15"/>
  <c r="H337" i="15"/>
  <c r="X337" i="15"/>
  <c r="Z337" i="15" s="1"/>
  <c r="W337" i="15" s="1"/>
  <c r="V337" i="15" s="1"/>
  <c r="U337" i="15" s="1"/>
  <c r="AB337" i="15"/>
  <c r="AD337" i="15"/>
  <c r="AI337" i="15"/>
  <c r="B338" i="15"/>
  <c r="A338" i="15" s="1"/>
  <c r="AZ338" i="15" s="1"/>
  <c r="C338" i="15"/>
  <c r="G338" i="15"/>
  <c r="AX338" i="15" s="1"/>
  <c r="H338" i="15"/>
  <c r="X338" i="15"/>
  <c r="Z338" i="15" s="1"/>
  <c r="W338" i="15" s="1"/>
  <c r="V338" i="15" s="1"/>
  <c r="U338" i="15" s="1"/>
  <c r="AB338" i="15"/>
  <c r="AD338" i="15"/>
  <c r="AI338" i="15"/>
  <c r="B339" i="15"/>
  <c r="A339" i="15"/>
  <c r="C339" i="15"/>
  <c r="G339" i="15"/>
  <c r="H339" i="15"/>
  <c r="X339" i="15"/>
  <c r="Z339" i="15" s="1"/>
  <c r="W339" i="15" s="1"/>
  <c r="V339" i="15" s="1"/>
  <c r="U339" i="15" s="1"/>
  <c r="AB339" i="15"/>
  <c r="AD339" i="15"/>
  <c r="AI339" i="15"/>
  <c r="B340" i="15"/>
  <c r="A340" i="15" s="1"/>
  <c r="AZ340" i="15" s="1"/>
  <c r="C340" i="15"/>
  <c r="G340" i="15"/>
  <c r="H340" i="15"/>
  <c r="X340" i="15"/>
  <c r="Z340" i="15" s="1"/>
  <c r="AB340" i="15"/>
  <c r="AD340" i="15"/>
  <c r="AI340" i="15"/>
  <c r="B343" i="15"/>
  <c r="A343" i="15"/>
  <c r="AZ343" i="15" s="1"/>
  <c r="C343" i="15"/>
  <c r="G343" i="15"/>
  <c r="AX343" i="15" s="1"/>
  <c r="H343" i="15"/>
  <c r="X343" i="15"/>
  <c r="Z343" i="15"/>
  <c r="W343" i="15" s="1"/>
  <c r="AB343" i="15"/>
  <c r="AD343" i="15"/>
  <c r="AI343" i="15"/>
  <c r="B344" i="15"/>
  <c r="A344" i="15"/>
  <c r="AZ344" i="15" s="1"/>
  <c r="C344" i="15"/>
  <c r="G344" i="15"/>
  <c r="H344" i="15"/>
  <c r="X344" i="15"/>
  <c r="Z344" i="15" s="1"/>
  <c r="W344" i="15" s="1"/>
  <c r="V344" i="15" s="1"/>
  <c r="U344" i="15" s="1"/>
  <c r="AB344" i="15"/>
  <c r="AD344" i="15"/>
  <c r="AI344" i="15"/>
  <c r="B345" i="15"/>
  <c r="A345" i="15"/>
  <c r="AZ345" i="15" s="1"/>
  <c r="C345" i="15"/>
  <c r="G345" i="15"/>
  <c r="H345" i="15"/>
  <c r="X345" i="15"/>
  <c r="Z345" i="15" s="1"/>
  <c r="W345" i="15" s="1"/>
  <c r="V345" i="15" s="1"/>
  <c r="U345" i="15" s="1"/>
  <c r="AB345" i="15"/>
  <c r="AD345" i="15"/>
  <c r="AI345" i="15"/>
  <c r="B346" i="15"/>
  <c r="A346" i="15" s="1"/>
  <c r="AZ346" i="15" s="1"/>
  <c r="C346" i="15"/>
  <c r="G346" i="15"/>
  <c r="H346" i="15"/>
  <c r="I346" i="15"/>
  <c r="O346" i="15"/>
  <c r="W346" i="15" s="1"/>
  <c r="V346" i="15" s="1"/>
  <c r="U346" i="15" s="1"/>
  <c r="X346" i="15"/>
  <c r="AI346" i="15"/>
  <c r="DG29" i="11"/>
  <c r="AA249" i="15" s="1"/>
  <c r="DG28" i="11"/>
  <c r="AA248" i="15" s="1"/>
  <c r="Z50" i="15"/>
  <c r="Z49" i="15"/>
  <c r="V29" i="11"/>
  <c r="B29" i="11"/>
  <c r="V28" i="11"/>
  <c r="B28" i="11"/>
  <c r="F60" i="2"/>
  <c r="Q262" i="6"/>
  <c r="Q548" i="6"/>
  <c r="Q870" i="6"/>
  <c r="Q471" i="6"/>
  <c r="I267" i="15"/>
  <c r="AF955" i="7"/>
  <c r="AF966" i="7"/>
  <c r="AF967" i="7"/>
  <c r="AF968" i="7"/>
  <c r="AF969" i="7"/>
  <c r="AF970" i="7"/>
  <c r="AF932" i="7"/>
  <c r="AF933" i="7"/>
  <c r="AF931" i="7"/>
  <c r="AF803" i="7"/>
  <c r="AF804" i="7"/>
  <c r="AF805" i="7"/>
  <c r="AF806" i="7"/>
  <c r="AF807" i="7"/>
  <c r="AF808" i="7"/>
  <c r="AF809" i="7"/>
  <c r="AF810" i="7"/>
  <c r="AF811" i="7"/>
  <c r="AF812" i="7"/>
  <c r="AF813" i="7"/>
  <c r="AF814" i="7"/>
  <c r="AF815" i="7"/>
  <c r="AF816" i="7"/>
  <c r="AF817" i="7"/>
  <c r="AF818" i="7"/>
  <c r="AF819" i="7"/>
  <c r="AF820" i="7"/>
  <c r="AF821" i="7"/>
  <c r="AF822" i="7"/>
  <c r="AF823" i="7"/>
  <c r="AF824" i="7"/>
  <c r="AF825" i="7"/>
  <c r="AF826" i="7"/>
  <c r="AF827" i="7"/>
  <c r="AF830" i="7"/>
  <c r="AF831" i="7"/>
  <c r="AF832" i="7"/>
  <c r="AF833" i="7"/>
  <c r="AF834" i="7"/>
  <c r="AF835" i="7"/>
  <c r="AF836" i="7"/>
  <c r="AF837" i="7"/>
  <c r="AF802" i="7"/>
  <c r="AF760" i="7"/>
  <c r="AF762" i="7"/>
  <c r="AF763" i="7"/>
  <c r="AF764" i="7"/>
  <c r="AF765" i="7"/>
  <c r="AF766" i="7"/>
  <c r="AF767" i="7"/>
  <c r="AF768" i="7"/>
  <c r="AF769" i="7"/>
  <c r="AF770" i="7"/>
  <c r="AF771" i="7"/>
  <c r="AF772" i="7"/>
  <c r="AF773" i="7"/>
  <c r="AF774" i="7"/>
  <c r="AF724" i="7"/>
  <c r="AF725" i="7"/>
  <c r="AF726" i="7"/>
  <c r="AF727" i="7"/>
  <c r="AF728" i="7"/>
  <c r="AF729" i="7"/>
  <c r="AF730" i="7"/>
  <c r="AF731" i="7"/>
  <c r="AF732" i="7"/>
  <c r="AF733" i="7"/>
  <c r="AF734" i="7"/>
  <c r="AF735" i="7"/>
  <c r="AF736" i="7"/>
  <c r="AF737" i="7"/>
  <c r="AF738" i="7"/>
  <c r="AF739" i="7"/>
  <c r="AF740" i="7"/>
  <c r="AF741" i="7"/>
  <c r="AF742" i="7"/>
  <c r="AF743" i="7"/>
  <c r="AF744" i="7"/>
  <c r="AF745" i="7"/>
  <c r="AF746" i="7"/>
  <c r="AF723" i="7"/>
  <c r="AF687" i="7"/>
  <c r="AF688" i="7"/>
  <c r="AF689" i="7"/>
  <c r="AF690" i="7"/>
  <c r="AF691" i="7"/>
  <c r="AF692" i="7"/>
  <c r="AF693" i="7"/>
  <c r="AF694" i="7"/>
  <c r="AF695" i="7"/>
  <c r="AF696" i="7"/>
  <c r="AF697" i="7"/>
  <c r="AF698" i="7"/>
  <c r="AF699" i="7"/>
  <c r="AF700" i="7"/>
  <c r="AF701" i="7"/>
  <c r="AF702" i="7"/>
  <c r="AF703" i="7"/>
  <c r="AF704" i="7"/>
  <c r="AF686" i="7"/>
  <c r="AF652" i="7"/>
  <c r="AF653" i="7"/>
  <c r="AF654" i="7"/>
  <c r="AF655" i="7"/>
  <c r="AF656" i="7"/>
  <c r="AF657" i="7"/>
  <c r="AF658" i="7"/>
  <c r="AF659" i="7"/>
  <c r="AF660" i="7"/>
  <c r="AF661" i="7"/>
  <c r="AF662" i="7"/>
  <c r="AF663" i="7"/>
  <c r="AF664" i="7"/>
  <c r="AF665" i="7"/>
  <c r="AF666" i="7"/>
  <c r="AF667" i="7"/>
  <c r="AF668" i="7"/>
  <c r="AF669" i="7"/>
  <c r="AF651" i="7"/>
  <c r="AF571" i="7"/>
  <c r="AF572" i="7"/>
  <c r="AF573" i="7"/>
  <c r="AF574" i="7"/>
  <c r="AF575" i="7"/>
  <c r="AF576" i="7"/>
  <c r="AF577" i="7"/>
  <c r="AF582" i="7"/>
  <c r="AF583" i="7"/>
  <c r="AF584" i="7"/>
  <c r="AF585" i="7"/>
  <c r="AF586" i="7"/>
  <c r="AF587" i="7"/>
  <c r="AF588" i="7"/>
  <c r="AF589" i="7"/>
  <c r="AF590" i="7"/>
  <c r="AF591" i="7"/>
  <c r="AF592" i="7"/>
  <c r="AF593" i="7"/>
  <c r="AF594" i="7"/>
  <c r="AF595" i="7"/>
  <c r="AF596" i="7"/>
  <c r="AF597" i="7"/>
  <c r="AF599" i="7"/>
  <c r="AF601" i="7"/>
  <c r="AF536" i="7"/>
  <c r="AF537" i="7"/>
  <c r="AF538" i="7"/>
  <c r="AF539" i="7"/>
  <c r="AF540" i="7"/>
  <c r="AF541" i="7"/>
  <c r="AF542" i="7"/>
  <c r="AF543" i="7"/>
  <c r="AF544" i="7"/>
  <c r="AF545" i="7"/>
  <c r="AF546" i="7"/>
  <c r="AF547" i="7"/>
  <c r="AF548" i="7"/>
  <c r="AF549" i="7"/>
  <c r="AF550" i="7"/>
  <c r="AF535" i="7"/>
  <c r="AF497" i="7"/>
  <c r="AF500" i="7"/>
  <c r="AF501" i="7"/>
  <c r="AF502" i="7"/>
  <c r="AF503" i="7"/>
  <c r="AF504" i="7"/>
  <c r="AF505" i="7"/>
  <c r="AF506" i="7"/>
  <c r="AF507" i="7"/>
  <c r="AF508" i="7"/>
  <c r="AF509" i="7"/>
  <c r="AF510" i="7"/>
  <c r="AF511" i="7"/>
  <c r="AF512" i="7"/>
  <c r="AF513" i="7"/>
  <c r="AF514" i="7"/>
  <c r="AF515" i="7"/>
  <c r="AF496" i="7"/>
  <c r="AF471" i="7"/>
  <c r="AF472" i="7"/>
  <c r="AF473" i="7"/>
  <c r="AF474" i="7"/>
  <c r="AF476" i="7"/>
  <c r="AF477" i="7"/>
  <c r="AF478" i="7"/>
  <c r="AF479" i="7"/>
  <c r="AF480" i="7"/>
  <c r="AF481" i="7"/>
  <c r="AF470" i="7"/>
  <c r="AF436" i="7"/>
  <c r="AF437" i="7"/>
  <c r="AF438" i="7"/>
  <c r="AF439" i="7"/>
  <c r="AF441" i="7"/>
  <c r="AF442" i="7"/>
  <c r="AF443" i="7"/>
  <c r="AF444" i="7"/>
  <c r="AF445" i="7"/>
  <c r="AF446" i="7"/>
  <c r="AF447" i="7"/>
  <c r="AF448" i="7"/>
  <c r="AF449" i="7"/>
  <c r="AF450" i="7"/>
  <c r="AF451" i="7"/>
  <c r="AF452" i="7"/>
  <c r="AF434" i="7"/>
  <c r="AF139" i="7"/>
  <c r="AF140" i="7"/>
  <c r="AF141" i="7"/>
  <c r="AF142" i="7"/>
  <c r="AF143" i="7"/>
  <c r="AF144" i="7"/>
  <c r="AF145" i="7"/>
  <c r="AF146" i="7"/>
  <c r="AF147" i="7"/>
  <c r="AF148" i="7"/>
  <c r="AF149" i="7"/>
  <c r="AF150" i="7"/>
  <c r="AF151" i="7"/>
  <c r="AF152" i="7"/>
  <c r="AF153" i="7"/>
  <c r="AF154" i="7"/>
  <c r="AF155" i="7"/>
  <c r="AF156" i="7"/>
  <c r="AF157" i="7"/>
  <c r="AF158" i="7"/>
  <c r="AF159" i="7"/>
  <c r="AF160" i="7"/>
  <c r="AF161" i="7"/>
  <c r="AF162" i="7"/>
  <c r="AF163"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291" i="7"/>
  <c r="AF322" i="7"/>
  <c r="AF323" i="7"/>
  <c r="AF324" i="7"/>
  <c r="AF325" i="7"/>
  <c r="AF326" i="7"/>
  <c r="AF327" i="7"/>
  <c r="AF328" i="7"/>
  <c r="AF329" i="7"/>
  <c r="AF330" i="7"/>
  <c r="AF331" i="7"/>
  <c r="AF332" i="7"/>
  <c r="AF333" i="7"/>
  <c r="AF334" i="7"/>
  <c r="AF335" i="7"/>
  <c r="AF336" i="7"/>
  <c r="AF337" i="7"/>
  <c r="AF338" i="7"/>
  <c r="AF339" i="7"/>
  <c r="AF340" i="7"/>
  <c r="AF341" i="7"/>
  <c r="AF342" i="7"/>
  <c r="AF343" i="7"/>
  <c r="AF344" i="7"/>
  <c r="AF345" i="7"/>
  <c r="AF34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385" i="7"/>
  <c r="AF138" i="7"/>
  <c r="AF50" i="7"/>
  <c r="AF51" i="7"/>
  <c r="AF52" i="7"/>
  <c r="AF53" i="7"/>
  <c r="AF54" i="7"/>
  <c r="AF55" i="7"/>
  <c r="AF56" i="7"/>
  <c r="AF57" i="7"/>
  <c r="AF58" i="7"/>
  <c r="AF59" i="7"/>
  <c r="AF60" i="7"/>
  <c r="AF61" i="7"/>
  <c r="AF62" i="7"/>
  <c r="AF63" i="7"/>
  <c r="AF64" i="7"/>
  <c r="AF65" i="7"/>
  <c r="AF66" i="7"/>
  <c r="AF67" i="7"/>
  <c r="AF68" i="7"/>
  <c r="AF69" i="7"/>
  <c r="AF70" i="7"/>
  <c r="AF72" i="7"/>
  <c r="AF73" i="7"/>
  <c r="AF76" i="7"/>
  <c r="AF77" i="7"/>
  <c r="AF78" i="7"/>
  <c r="AF79" i="7"/>
  <c r="AF80" i="7"/>
  <c r="AF81" i="7"/>
  <c r="AF82" i="7"/>
  <c r="AF83" i="7"/>
  <c r="AF84" i="7"/>
  <c r="AF85" i="7"/>
  <c r="AF86" i="7"/>
  <c r="AF87" i="7"/>
  <c r="AF49" i="7"/>
  <c r="AF641" i="6"/>
  <c r="AF16" i="5"/>
  <c r="AF17" i="5"/>
  <c r="AF18" i="5"/>
  <c r="AF19" i="5"/>
  <c r="AF20" i="5"/>
  <c r="AF22" i="5"/>
  <c r="AF23" i="5"/>
  <c r="AF24" i="5"/>
  <c r="AF25" i="5"/>
  <c r="AF26" i="5"/>
  <c r="AF27" i="5"/>
  <c r="AG17" i="16"/>
  <c r="AG18" i="16"/>
  <c r="AG19" i="16"/>
  <c r="AG20" i="16"/>
  <c r="AG21" i="16"/>
  <c r="AG22" i="16"/>
  <c r="AG23" i="16"/>
  <c r="AG24" i="16"/>
  <c r="AG25" i="16"/>
  <c r="AG26" i="16"/>
  <c r="AG27" i="16"/>
  <c r="AG28" i="16"/>
  <c r="AG29" i="16"/>
  <c r="AG30" i="16"/>
  <c r="AG31" i="16"/>
  <c r="AG32" i="16"/>
  <c r="AG33" i="16"/>
  <c r="AG34" i="16"/>
  <c r="AG35" i="16"/>
  <c r="AG36" i="16"/>
  <c r="AG37" i="16"/>
  <c r="AG38" i="16"/>
  <c r="AG39" i="16"/>
  <c r="AG40" i="16"/>
  <c r="AG41" i="16"/>
  <c r="AG42" i="16"/>
  <c r="AG16" i="16"/>
  <c r="P847" i="7"/>
  <c r="AB216" i="15" s="1"/>
  <c r="P848" i="7"/>
  <c r="AB217" i="15" s="1"/>
  <c r="P849" i="7"/>
  <c r="AB218" i="15" s="1"/>
  <c r="P850" i="7"/>
  <c r="AB219" i="15" s="1"/>
  <c r="P851" i="7"/>
  <c r="AB220" i="15" s="1"/>
  <c r="P852" i="7"/>
  <c r="P853" i="7"/>
  <c r="AB222" i="15" s="1"/>
  <c r="P854" i="7"/>
  <c r="DJ854" i="7" s="1"/>
  <c r="P855" i="7"/>
  <c r="DJ855" i="7" s="1"/>
  <c r="Q855" i="7"/>
  <c r="P857" i="7"/>
  <c r="DJ857" i="7" s="1"/>
  <c r="N847" i="7"/>
  <c r="X216" i="15" s="1"/>
  <c r="Z216" i="15" s="1"/>
  <c r="W216" i="15" s="1"/>
  <c r="V216" i="15" s="1"/>
  <c r="N848" i="7"/>
  <c r="X217" i="15" s="1"/>
  <c r="Z217" i="15" s="1"/>
  <c r="W217" i="15" s="1"/>
  <c r="V217" i="15" s="1"/>
  <c r="N849" i="7"/>
  <c r="DH849" i="7" s="1"/>
  <c r="N850" i="7"/>
  <c r="X219" i="15"/>
  <c r="Z219" i="15" s="1"/>
  <c r="W219" i="15" s="1"/>
  <c r="V219" i="15" s="1"/>
  <c r="N851" i="7"/>
  <c r="X220" i="15" s="1"/>
  <c r="Z220" i="15"/>
  <c r="W220" i="15" s="1"/>
  <c r="V220" i="15" s="1"/>
  <c r="N852" i="7"/>
  <c r="X221" i="15"/>
  <c r="Z221" i="15" s="1"/>
  <c r="W221" i="15" s="1"/>
  <c r="V221" i="15" s="1"/>
  <c r="N853" i="7"/>
  <c r="X222" i="15" s="1"/>
  <c r="Z222" i="15" s="1"/>
  <c r="W222" i="15" s="1"/>
  <c r="V222" i="15" s="1"/>
  <c r="N854" i="7"/>
  <c r="DH854" i="7" s="1"/>
  <c r="DI854" i="7" s="1"/>
  <c r="N855" i="7"/>
  <c r="DH855" i="7" s="1"/>
  <c r="N856" i="7"/>
  <c r="X225" i="15" s="1"/>
  <c r="Z225" i="15" s="1"/>
  <c r="W225" i="15" s="1"/>
  <c r="V225" i="15" s="1"/>
  <c r="N857" i="7"/>
  <c r="X226" i="15" s="1"/>
  <c r="Z226" i="15" s="1"/>
  <c r="W226" i="15" s="1"/>
  <c r="V226" i="15" s="1"/>
  <c r="N846" i="7"/>
  <c r="X215" i="15" s="1"/>
  <c r="Z215" i="15" s="1"/>
  <c r="W215" i="15" s="1"/>
  <c r="V215" i="15" s="1"/>
  <c r="Q848" i="7"/>
  <c r="Q849" i="7"/>
  <c r="Q850" i="7"/>
  <c r="Q852" i="7"/>
  <c r="Q853" i="7"/>
  <c r="S491" i="6"/>
  <c r="K316" i="6"/>
  <c r="J7" i="16"/>
  <c r="K7" i="16"/>
  <c r="L7" i="16"/>
  <c r="J525" i="7"/>
  <c r="J523" i="7"/>
  <c r="I522" i="7"/>
  <c r="AF953" i="7"/>
  <c r="F956" i="7"/>
  <c r="AF956" i="7" s="1"/>
  <c r="I36" i="7"/>
  <c r="F299" i="7"/>
  <c r="I109" i="7" s="1"/>
  <c r="AF299" i="7"/>
  <c r="F399" i="7"/>
  <c r="AF399" i="7"/>
  <c r="F292" i="7"/>
  <c r="G598" i="7"/>
  <c r="AF598" i="7"/>
  <c r="L53" i="15"/>
  <c r="M114" i="15"/>
  <c r="K114" i="15"/>
  <c r="N53" i="15"/>
  <c r="I227" i="15"/>
  <c r="K696" i="6"/>
  <c r="K697" i="6"/>
  <c r="K698" i="6"/>
  <c r="K700" i="6"/>
  <c r="K704" i="6"/>
  <c r="K706" i="6"/>
  <c r="K708" i="6"/>
  <c r="K710" i="6"/>
  <c r="K712" i="6"/>
  <c r="K714" i="6"/>
  <c r="K715" i="6"/>
  <c r="K716" i="6"/>
  <c r="K718" i="6"/>
  <c r="K719" i="6"/>
  <c r="K720" i="6"/>
  <c r="K726" i="6"/>
  <c r="K730" i="6"/>
  <c r="K732" i="6"/>
  <c r="K733" i="6"/>
  <c r="K734" i="6"/>
  <c r="K736" i="6"/>
  <c r="K737" i="6"/>
  <c r="K738" i="6"/>
  <c r="K740" i="6"/>
  <c r="K741" i="6"/>
  <c r="K742" i="6"/>
  <c r="K744" i="6"/>
  <c r="K746" i="6"/>
  <c r="K748" i="6"/>
  <c r="K749" i="6"/>
  <c r="K750" i="6"/>
  <c r="K752" i="6"/>
  <c r="K754" i="6"/>
  <c r="K755" i="6"/>
  <c r="K756" i="6"/>
  <c r="K758" i="6"/>
  <c r="K760" i="6"/>
  <c r="K761" i="6"/>
  <c r="K762" i="6"/>
  <c r="K764" i="6"/>
  <c r="K766" i="6"/>
  <c r="K767" i="6"/>
  <c r="K768" i="6"/>
  <c r="K770" i="6"/>
  <c r="K771" i="6"/>
  <c r="K776" i="6"/>
  <c r="K778" i="6"/>
  <c r="K779" i="6"/>
  <c r="K780" i="6"/>
  <c r="K782" i="6"/>
  <c r="K783" i="6"/>
  <c r="K784" i="6"/>
  <c r="K786" i="6"/>
  <c r="K787" i="6"/>
  <c r="K788" i="6"/>
  <c r="K790" i="6"/>
  <c r="K791" i="6"/>
  <c r="K792" i="6"/>
  <c r="K794" i="6"/>
  <c r="K795" i="6"/>
  <c r="K796" i="6"/>
  <c r="K798" i="6"/>
  <c r="K799" i="6"/>
  <c r="K800" i="6"/>
  <c r="K802" i="6"/>
  <c r="K803" i="6"/>
  <c r="K804" i="6"/>
  <c r="K806" i="6"/>
  <c r="K807" i="6"/>
  <c r="K808" i="6"/>
  <c r="K810" i="6"/>
  <c r="K811" i="6"/>
  <c r="K812" i="6"/>
  <c r="K814" i="6"/>
  <c r="K815" i="6"/>
  <c r="K816" i="6"/>
  <c r="K818" i="6"/>
  <c r="K819" i="6"/>
  <c r="K820" i="6"/>
  <c r="K822" i="6"/>
  <c r="K824" i="6"/>
  <c r="K825" i="6"/>
  <c r="K826" i="6"/>
  <c r="K828" i="6"/>
  <c r="K829" i="6"/>
  <c r="K830" i="6"/>
  <c r="K832" i="6"/>
  <c r="K833" i="6"/>
  <c r="K834" i="6"/>
  <c r="K836" i="6"/>
  <c r="K838" i="6"/>
  <c r="K840" i="6"/>
  <c r="K841" i="6"/>
  <c r="K842" i="6"/>
  <c r="K844" i="6"/>
  <c r="K846" i="6"/>
  <c r="K848" i="6"/>
  <c r="K852" i="6"/>
  <c r="K660" i="6"/>
  <c r="K662" i="6"/>
  <c r="K670" i="6"/>
  <c r="K671" i="6"/>
  <c r="K672" i="6"/>
  <c r="K674" i="6"/>
  <c r="K675" i="6"/>
  <c r="K676" i="6"/>
  <c r="K682" i="6"/>
  <c r="K683" i="6"/>
  <c r="K684" i="6"/>
  <c r="K686" i="6"/>
  <c r="K690" i="6"/>
  <c r="K692" i="6"/>
  <c r="K652" i="6"/>
  <c r="K653" i="6"/>
  <c r="K654" i="6"/>
  <c r="K656" i="6"/>
  <c r="K657" i="6"/>
  <c r="K658" i="6"/>
  <c r="K648" i="6"/>
  <c r="K649" i="6"/>
  <c r="K650" i="6"/>
  <c r="DJ715" i="6"/>
  <c r="DJ758" i="6"/>
  <c r="DJ828" i="6"/>
  <c r="DJ844" i="6"/>
  <c r="DJ756" i="6"/>
  <c r="DJ776" i="6"/>
  <c r="DJ657" i="6"/>
  <c r="DJ754" i="6"/>
  <c r="DJ656" i="6"/>
  <c r="DJ752" i="6"/>
  <c r="DJ838" i="6"/>
  <c r="DJ733" i="6"/>
  <c r="DJ653" i="6"/>
  <c r="DJ671" i="6"/>
  <c r="DJ836" i="6"/>
  <c r="DJ819" i="6"/>
  <c r="DJ803" i="6"/>
  <c r="DJ787" i="6"/>
  <c r="DJ767" i="6"/>
  <c r="DJ749" i="6"/>
  <c r="DJ732" i="6"/>
  <c r="DJ706" i="6"/>
  <c r="DJ811" i="6"/>
  <c r="DJ682" i="6"/>
  <c r="DJ810" i="6"/>
  <c r="DJ676" i="6"/>
  <c r="DJ714" i="6"/>
  <c r="DJ791" i="6"/>
  <c r="DJ840" i="6"/>
  <c r="DJ710" i="6"/>
  <c r="DJ804" i="6"/>
  <c r="DJ834" i="6"/>
  <c r="DJ818" i="6"/>
  <c r="DJ802" i="6"/>
  <c r="DJ786" i="6"/>
  <c r="DJ766" i="6"/>
  <c r="DJ748" i="6"/>
  <c r="DJ730" i="6"/>
  <c r="DJ704" i="6"/>
  <c r="DJ649" i="6"/>
  <c r="DJ779" i="6"/>
  <c r="DJ738" i="6"/>
  <c r="DJ792" i="6"/>
  <c r="DJ675" i="6"/>
  <c r="DJ771" i="6"/>
  <c r="DJ822" i="6"/>
  <c r="DJ734" i="6"/>
  <c r="DJ768" i="6"/>
  <c r="DJ670" i="6"/>
  <c r="DJ692" i="6"/>
  <c r="DJ662" i="6"/>
  <c r="DJ833" i="6"/>
  <c r="DJ816" i="6"/>
  <c r="DJ800" i="6"/>
  <c r="DJ784" i="6"/>
  <c r="DJ764" i="6"/>
  <c r="DJ746" i="6"/>
  <c r="DJ726" i="6"/>
  <c r="DJ700" i="6"/>
  <c r="DJ795" i="6"/>
  <c r="DJ648" i="6"/>
  <c r="DJ826" i="6"/>
  <c r="DJ658" i="6"/>
  <c r="DJ808" i="6"/>
  <c r="DJ841" i="6"/>
  <c r="DJ712" i="6"/>
  <c r="DJ790" i="6"/>
  <c r="DJ654" i="6"/>
  <c r="DJ788" i="6"/>
  <c r="DJ652" i="6"/>
  <c r="DJ690" i="6"/>
  <c r="DJ660" i="6"/>
  <c r="DJ832" i="6"/>
  <c r="DJ815" i="6"/>
  <c r="DJ799" i="6"/>
  <c r="DJ783" i="6"/>
  <c r="DJ762" i="6"/>
  <c r="DJ744" i="6"/>
  <c r="DJ720" i="6"/>
  <c r="DJ698" i="6"/>
  <c r="DJ683" i="6"/>
  <c r="DJ740" i="6"/>
  <c r="DJ778" i="6"/>
  <c r="DJ842" i="6"/>
  <c r="DJ755" i="6"/>
  <c r="DJ824" i="6"/>
  <c r="DJ736" i="6"/>
  <c r="DJ806" i="6"/>
  <c r="DJ672" i="6"/>
  <c r="DJ708" i="6"/>
  <c r="DJ686" i="6"/>
  <c r="DJ852" i="6"/>
  <c r="DJ830" i="6"/>
  <c r="DJ814" i="6"/>
  <c r="DJ798" i="6"/>
  <c r="DJ782" i="6"/>
  <c r="DJ761" i="6"/>
  <c r="DJ742" i="6"/>
  <c r="DJ719" i="6"/>
  <c r="DJ697" i="6"/>
  <c r="DJ846" i="6"/>
  <c r="DJ716" i="6"/>
  <c r="DJ794" i="6"/>
  <c r="DJ825" i="6"/>
  <c r="DJ737" i="6"/>
  <c r="DJ807" i="6"/>
  <c r="DJ674" i="6"/>
  <c r="DJ770" i="6"/>
  <c r="DJ820" i="6"/>
  <c r="DJ750" i="6"/>
  <c r="DJ650" i="6"/>
  <c r="DJ684" i="6"/>
  <c r="DJ848" i="6"/>
  <c r="DJ829" i="6"/>
  <c r="DJ812" i="6"/>
  <c r="DJ796" i="6"/>
  <c r="DJ780" i="6"/>
  <c r="DJ760" i="6"/>
  <c r="DJ741" i="6"/>
  <c r="DJ718" i="6"/>
  <c r="DJ696" i="6"/>
  <c r="DF852" i="6"/>
  <c r="DF851" i="6"/>
  <c r="DF850" i="6"/>
  <c r="DF849" i="6"/>
  <c r="DF848" i="6"/>
  <c r="DF847" i="6"/>
  <c r="DF846" i="6"/>
  <c r="DF845" i="6"/>
  <c r="DF844" i="6"/>
  <c r="DF843" i="6"/>
  <c r="DF842" i="6"/>
  <c r="DF841" i="6"/>
  <c r="DF840" i="6"/>
  <c r="DF839" i="6"/>
  <c r="DF838" i="6"/>
  <c r="DF837" i="6"/>
  <c r="DF836" i="6"/>
  <c r="DF835" i="6"/>
  <c r="DF834" i="6"/>
  <c r="DF833" i="6"/>
  <c r="DF832" i="6"/>
  <c r="DF831" i="6"/>
  <c r="DF830" i="6"/>
  <c r="DF829" i="6"/>
  <c r="DF828" i="6"/>
  <c r="DF827" i="6"/>
  <c r="DF826" i="6"/>
  <c r="DF825" i="6"/>
  <c r="DF824" i="6"/>
  <c r="DF823" i="6"/>
  <c r="DF822" i="6"/>
  <c r="DF821" i="6"/>
  <c r="DF820" i="6"/>
  <c r="DF819" i="6"/>
  <c r="DF818" i="6"/>
  <c r="DF817" i="6"/>
  <c r="DF816" i="6"/>
  <c r="DF815" i="6"/>
  <c r="DF814" i="6"/>
  <c r="DF813" i="6"/>
  <c r="DF812" i="6"/>
  <c r="DF811" i="6"/>
  <c r="DF810" i="6"/>
  <c r="DF809" i="6"/>
  <c r="DF808" i="6"/>
  <c r="DF807" i="6"/>
  <c r="DF806" i="6"/>
  <c r="DF805" i="6"/>
  <c r="DF804" i="6"/>
  <c r="DF803" i="6"/>
  <c r="DF802" i="6"/>
  <c r="DF801" i="6"/>
  <c r="DF800" i="6"/>
  <c r="DF799" i="6"/>
  <c r="DF798" i="6"/>
  <c r="DF797" i="6"/>
  <c r="DF796" i="6"/>
  <c r="DF795" i="6"/>
  <c r="DF794" i="6"/>
  <c r="DF793" i="6"/>
  <c r="DF792" i="6"/>
  <c r="DF791" i="6"/>
  <c r="DF790" i="6"/>
  <c r="DF789" i="6"/>
  <c r="DF788" i="6"/>
  <c r="DF787" i="6"/>
  <c r="DF786" i="6"/>
  <c r="DF785" i="6"/>
  <c r="DF784" i="6"/>
  <c r="DF783" i="6"/>
  <c r="DF782" i="6"/>
  <c r="DF781" i="6"/>
  <c r="DF780" i="6"/>
  <c r="DF779" i="6"/>
  <c r="DF778" i="6"/>
  <c r="DF777" i="6"/>
  <c r="DF776" i="6"/>
  <c r="DF771" i="6"/>
  <c r="DF770" i="6"/>
  <c r="DF769" i="6"/>
  <c r="DF768" i="6"/>
  <c r="DF767" i="6"/>
  <c r="DF766" i="6"/>
  <c r="DF765" i="6"/>
  <c r="DF764" i="6"/>
  <c r="DF763" i="6"/>
  <c r="DF762" i="6"/>
  <c r="DF761" i="6"/>
  <c r="DF760" i="6"/>
  <c r="DF759" i="6"/>
  <c r="DF758" i="6"/>
  <c r="DF757" i="6"/>
  <c r="DF756" i="6"/>
  <c r="DF755" i="6"/>
  <c r="DF754" i="6"/>
  <c r="DF753" i="6"/>
  <c r="DF752" i="6"/>
  <c r="DF751" i="6"/>
  <c r="DF750" i="6"/>
  <c r="DF749" i="6"/>
  <c r="DF748" i="6"/>
  <c r="DF747" i="6"/>
  <c r="DF746" i="6"/>
  <c r="DF745" i="6"/>
  <c r="DF744" i="6"/>
  <c r="DF743" i="6"/>
  <c r="DF742" i="6"/>
  <c r="DF741" i="6"/>
  <c r="DF740" i="6"/>
  <c r="DF739" i="6"/>
  <c r="DF738" i="6"/>
  <c r="DF737" i="6"/>
  <c r="DF736" i="6"/>
  <c r="DF735" i="6"/>
  <c r="DF734" i="6"/>
  <c r="DF733" i="6"/>
  <c r="DF732" i="6"/>
  <c r="DF731" i="6"/>
  <c r="DF730" i="6"/>
  <c r="DF729" i="6"/>
  <c r="DF726" i="6"/>
  <c r="DF725" i="6"/>
  <c r="DF720" i="6"/>
  <c r="DF719" i="6"/>
  <c r="DF718" i="6"/>
  <c r="DF717" i="6"/>
  <c r="DF716" i="6"/>
  <c r="DF715" i="6"/>
  <c r="DF714" i="6"/>
  <c r="DF713" i="6"/>
  <c r="DF712" i="6"/>
  <c r="DF711" i="6"/>
  <c r="DF710" i="6"/>
  <c r="DF709" i="6"/>
  <c r="DF708" i="6"/>
  <c r="DF707" i="6"/>
  <c r="DF706" i="6"/>
  <c r="DF705" i="6"/>
  <c r="DF704" i="6"/>
  <c r="DF703" i="6"/>
  <c r="DF700" i="6"/>
  <c r="DF699" i="6"/>
  <c r="DF698" i="6"/>
  <c r="DF697" i="6"/>
  <c r="DF696" i="6"/>
  <c r="DF695" i="6"/>
  <c r="DF692" i="6"/>
  <c r="DF691" i="6"/>
  <c r="DF690" i="6"/>
  <c r="DF689" i="6"/>
  <c r="DF686" i="6"/>
  <c r="DF685" i="6"/>
  <c r="DF684" i="6"/>
  <c r="DF683" i="6"/>
  <c r="DF682" i="6"/>
  <c r="DF681" i="6"/>
  <c r="DF676" i="6"/>
  <c r="DF675" i="6"/>
  <c r="DF674" i="6"/>
  <c r="DF673" i="6"/>
  <c r="DF672" i="6"/>
  <c r="DF671" i="6"/>
  <c r="DF670" i="6"/>
  <c r="DF669" i="6"/>
  <c r="DF662" i="6"/>
  <c r="DF661" i="6"/>
  <c r="DF660" i="6"/>
  <c r="DF659" i="6"/>
  <c r="DF658" i="6"/>
  <c r="DF657" i="6"/>
  <c r="DF656" i="6"/>
  <c r="DF655" i="6"/>
  <c r="DF654" i="6"/>
  <c r="DF653" i="6"/>
  <c r="DF652" i="6"/>
  <c r="DF651" i="6"/>
  <c r="DF650" i="6"/>
  <c r="DF649" i="6"/>
  <c r="DF648" i="6"/>
  <c r="DF647" i="6"/>
  <c r="DH526" i="6"/>
  <c r="DH527" i="6"/>
  <c r="DH528" i="6"/>
  <c r="DH525" i="6"/>
  <c r="F641" i="6"/>
  <c r="F627" i="6"/>
  <c r="F626" i="6"/>
  <c r="F612" i="6"/>
  <c r="F611" i="6"/>
  <c r="F604" i="6"/>
  <c r="F603" i="6"/>
  <c r="F596" i="6"/>
  <c r="F595" i="6"/>
  <c r="F588" i="6"/>
  <c r="F587" i="6"/>
  <c r="F580" i="6"/>
  <c r="F579" i="6"/>
  <c r="F572" i="6"/>
  <c r="F571" i="6"/>
  <c r="F564" i="6"/>
  <c r="F563" i="6"/>
  <c r="F556" i="6"/>
  <c r="B525" i="6"/>
  <c r="B526" i="6"/>
  <c r="B527" i="6"/>
  <c r="B528" i="6"/>
  <c r="H528" i="6"/>
  <c r="H527" i="6"/>
  <c r="H526" i="6"/>
  <c r="H525" i="6"/>
  <c r="K51" i="15"/>
  <c r="L48" i="15"/>
  <c r="L49" i="15"/>
  <c r="I49" i="15" s="1"/>
  <c r="K49" i="15"/>
  <c r="AV415" i="2"/>
  <c r="BE414" i="2"/>
  <c r="BD414" i="2"/>
  <c r="BC414" i="2"/>
  <c r="BA414" i="2"/>
  <c r="AZ414" i="2"/>
  <c r="AY414" i="2"/>
  <c r="AX414" i="2"/>
  <c r="AR414" i="2"/>
  <c r="AQ414" i="2"/>
  <c r="AP414" i="2"/>
  <c r="AO414" i="2"/>
  <c r="AN414" i="2"/>
  <c r="AM414" i="2"/>
  <c r="AL414" i="2"/>
  <c r="AK414" i="2"/>
  <c r="AG414" i="2"/>
  <c r="AE414" i="2"/>
  <c r="AD414" i="2"/>
  <c r="AC414" i="2"/>
  <c r="AA414" i="2"/>
  <c r="Z414" i="2"/>
  <c r="Y414" i="2"/>
  <c r="X414" i="2"/>
  <c r="W414" i="2"/>
  <c r="BE388" i="2"/>
  <c r="BD388" i="2"/>
  <c r="BC388" i="2"/>
  <c r="BA388" i="2"/>
  <c r="AZ388" i="2"/>
  <c r="AY388" i="2"/>
  <c r="AX388" i="2"/>
  <c r="AR388" i="2"/>
  <c r="AQ388" i="2"/>
  <c r="AP388" i="2"/>
  <c r="AO388" i="2"/>
  <c r="AN388" i="2"/>
  <c r="AM388" i="2"/>
  <c r="AL388" i="2"/>
  <c r="AK388" i="2"/>
  <c r="AG388" i="2"/>
  <c r="AE388" i="2"/>
  <c r="AD388" i="2"/>
  <c r="AC388" i="2"/>
  <c r="AA388" i="2"/>
  <c r="Z388" i="2"/>
  <c r="Y388" i="2"/>
  <c r="X388" i="2"/>
  <c r="W388" i="2"/>
  <c r="BE362" i="2"/>
  <c r="BD362" i="2"/>
  <c r="BC362" i="2"/>
  <c r="BA362" i="2"/>
  <c r="AZ362" i="2"/>
  <c r="AY362" i="2"/>
  <c r="AX362" i="2"/>
  <c r="AR362" i="2"/>
  <c r="AQ362" i="2"/>
  <c r="AP362" i="2"/>
  <c r="AO362" i="2"/>
  <c r="AN362" i="2"/>
  <c r="AM362" i="2"/>
  <c r="AL362" i="2"/>
  <c r="AK362" i="2"/>
  <c r="AE362" i="2"/>
  <c r="AD362" i="2"/>
  <c r="AC362" i="2"/>
  <c r="AA362" i="2"/>
  <c r="Z362" i="2"/>
  <c r="Y362" i="2"/>
  <c r="X362" i="2"/>
  <c r="W362" i="2"/>
  <c r="V360" i="2"/>
  <c r="AV342" i="2"/>
  <c r="AV343" i="2"/>
  <c r="V342" i="2"/>
  <c r="V343" i="2"/>
  <c r="BE341" i="2"/>
  <c r="BD341" i="2"/>
  <c r="BC341" i="2"/>
  <c r="BA341" i="2"/>
  <c r="AZ341" i="2"/>
  <c r="AY341" i="2"/>
  <c r="AX341" i="2"/>
  <c r="AR341" i="2"/>
  <c r="AQ341" i="2"/>
  <c r="AP341" i="2"/>
  <c r="AO341" i="2"/>
  <c r="AN341" i="2"/>
  <c r="AM341" i="2"/>
  <c r="AL341" i="2"/>
  <c r="AK341" i="2"/>
  <c r="AG341" i="2"/>
  <c r="AE341" i="2"/>
  <c r="AD341" i="2"/>
  <c r="AC341" i="2"/>
  <c r="AA341" i="2"/>
  <c r="Z341" i="2"/>
  <c r="Y341" i="2"/>
  <c r="X341" i="2"/>
  <c r="W341" i="2"/>
  <c r="CF312" i="2"/>
  <c r="CE312" i="2"/>
  <c r="CD312" i="2"/>
  <c r="CB312" i="2"/>
  <c r="CA312" i="2"/>
  <c r="BZ312" i="2"/>
  <c r="BY312" i="2"/>
  <c r="BR312" i="2"/>
  <c r="BQ312" i="2"/>
  <c r="BP312" i="2"/>
  <c r="BN312" i="2"/>
  <c r="BM312" i="2"/>
  <c r="BL312" i="2"/>
  <c r="BK312" i="2"/>
  <c r="BE312" i="2"/>
  <c r="BD312" i="2"/>
  <c r="BC312" i="2"/>
  <c r="BA312" i="2"/>
  <c r="AZ312" i="2"/>
  <c r="AY312" i="2"/>
  <c r="AX312" i="2"/>
  <c r="AR312" i="2"/>
  <c r="AQ312" i="2"/>
  <c r="AP312" i="2"/>
  <c r="AN312" i="2"/>
  <c r="AM312" i="2"/>
  <c r="AL312" i="2"/>
  <c r="AK312" i="2"/>
  <c r="AE312" i="2"/>
  <c r="AD312" i="2"/>
  <c r="AC312" i="2"/>
  <c r="AA312" i="2"/>
  <c r="Z312" i="2"/>
  <c r="Y312" i="2"/>
  <c r="X312" i="2"/>
  <c r="W312" i="2"/>
  <c r="V291" i="2"/>
  <c r="V292" i="2"/>
  <c r="V293" i="2"/>
  <c r="V294" i="2"/>
  <c r="V295" i="2"/>
  <c r="BE290" i="2"/>
  <c r="BD290" i="2"/>
  <c r="BC290" i="2"/>
  <c r="BA290" i="2"/>
  <c r="AZ290" i="2"/>
  <c r="AY290" i="2"/>
  <c r="AX290" i="2"/>
  <c r="AR290" i="2"/>
  <c r="AQ290" i="2"/>
  <c r="AP290" i="2"/>
  <c r="AN290" i="2"/>
  <c r="AM290" i="2"/>
  <c r="AL290" i="2"/>
  <c r="AK290" i="2"/>
  <c r="AE290" i="2"/>
  <c r="AD290" i="2"/>
  <c r="AC290" i="2"/>
  <c r="AA290" i="2"/>
  <c r="Z290" i="2"/>
  <c r="Y290" i="2"/>
  <c r="X290" i="2"/>
  <c r="W290" i="2"/>
  <c r="AV261" i="2"/>
  <c r="V261" i="2"/>
  <c r="BE260" i="2"/>
  <c r="BD260" i="2"/>
  <c r="BC260" i="2"/>
  <c r="BA260" i="2"/>
  <c r="AZ260" i="2"/>
  <c r="AY260" i="2"/>
  <c r="AX260" i="2"/>
  <c r="AR260" i="2"/>
  <c r="AQ260" i="2"/>
  <c r="AP260" i="2"/>
  <c r="AO260" i="2"/>
  <c r="AN260" i="2"/>
  <c r="AM260" i="2"/>
  <c r="AL260" i="2"/>
  <c r="AK260" i="2"/>
  <c r="AG260" i="2"/>
  <c r="AE260" i="2"/>
  <c r="AD260" i="2"/>
  <c r="AC260" i="2"/>
  <c r="AA260" i="2"/>
  <c r="Z260" i="2"/>
  <c r="Y260" i="2"/>
  <c r="X260" i="2"/>
  <c r="W260" i="2"/>
  <c r="AX242" i="2"/>
  <c r="AW242" i="2"/>
  <c r="AV241" i="2"/>
  <c r="AV242" i="2"/>
  <c r="AV243" i="2"/>
  <c r="AV244" i="2"/>
  <c r="V241" i="2"/>
  <c r="V242" i="2"/>
  <c r="V243" i="2"/>
  <c r="V244" i="2"/>
  <c r="BE240" i="2"/>
  <c r="BD240" i="2"/>
  <c r="BC240" i="2"/>
  <c r="BA240" i="2"/>
  <c r="AZ240" i="2"/>
  <c r="AY240" i="2"/>
  <c r="AX240" i="2"/>
  <c r="AR240" i="2"/>
  <c r="AQ240" i="2"/>
  <c r="AP240" i="2"/>
  <c r="AO240" i="2"/>
  <c r="AN240" i="2"/>
  <c r="AM240" i="2"/>
  <c r="AL240" i="2"/>
  <c r="AK240" i="2"/>
  <c r="AE240" i="2"/>
  <c r="AD240" i="2"/>
  <c r="AC240" i="2"/>
  <c r="AA240" i="2"/>
  <c r="Z240" i="2"/>
  <c r="Y240" i="2"/>
  <c r="X240" i="2"/>
  <c r="W240" i="2"/>
  <c r="BW226" i="2"/>
  <c r="BW227" i="2"/>
  <c r="AV226" i="2"/>
  <c r="AV227" i="2"/>
  <c r="AI226" i="2"/>
  <c r="AI227" i="2"/>
  <c r="CF225" i="2"/>
  <c r="CE225" i="2"/>
  <c r="CD225" i="2"/>
  <c r="CC225" i="2"/>
  <c r="CB225" i="2"/>
  <c r="CA225" i="2"/>
  <c r="BZ225" i="2"/>
  <c r="BY225" i="2"/>
  <c r="BR225" i="2"/>
  <c r="BQ225" i="2"/>
  <c r="BP225" i="2"/>
  <c r="BN225" i="2"/>
  <c r="BM225" i="2"/>
  <c r="BL225" i="2"/>
  <c r="BK225" i="2"/>
  <c r="BE225" i="2"/>
  <c r="BD225" i="2"/>
  <c r="BC225" i="2"/>
  <c r="BA225" i="2"/>
  <c r="AZ225" i="2"/>
  <c r="AY225" i="2"/>
  <c r="AX225" i="2"/>
  <c r="AR225" i="2"/>
  <c r="AQ225" i="2"/>
  <c r="AP225" i="2"/>
  <c r="AO225" i="2"/>
  <c r="AN225" i="2"/>
  <c r="AM225" i="2"/>
  <c r="AL225" i="2"/>
  <c r="AK225" i="2"/>
  <c r="AE225" i="2"/>
  <c r="AD225" i="2"/>
  <c r="AC225" i="2"/>
  <c r="AA225" i="2"/>
  <c r="Z225" i="2"/>
  <c r="Y225" i="2"/>
  <c r="X225" i="2"/>
  <c r="W225" i="2"/>
  <c r="V223" i="2"/>
  <c r="BE205" i="2"/>
  <c r="BD205" i="2"/>
  <c r="BC205" i="2"/>
  <c r="BA205" i="2"/>
  <c r="AZ205" i="2"/>
  <c r="AY205" i="2"/>
  <c r="AX205" i="2"/>
  <c r="AR205" i="2"/>
  <c r="AQ205" i="2"/>
  <c r="AP205" i="2"/>
  <c r="AO205" i="2"/>
  <c r="AN205" i="2"/>
  <c r="AM205" i="2"/>
  <c r="AL205" i="2"/>
  <c r="AK205" i="2"/>
  <c r="AE205" i="2"/>
  <c r="AD205" i="2"/>
  <c r="AC205" i="2"/>
  <c r="AA205" i="2"/>
  <c r="Z205" i="2"/>
  <c r="Y205" i="2"/>
  <c r="X205" i="2"/>
  <c r="W205" i="2"/>
  <c r="V203" i="2"/>
  <c r="BE182" i="2"/>
  <c r="BD182" i="2"/>
  <c r="BC182" i="2"/>
  <c r="BA182" i="2"/>
  <c r="AZ182" i="2"/>
  <c r="AY182" i="2"/>
  <c r="AX182" i="2"/>
  <c r="AR182" i="2"/>
  <c r="AQ182" i="2"/>
  <c r="AP182" i="2"/>
  <c r="AO182" i="2"/>
  <c r="AN182" i="2"/>
  <c r="AM182" i="2"/>
  <c r="AL182" i="2"/>
  <c r="AK182" i="2"/>
  <c r="AE182" i="2"/>
  <c r="AD182" i="2"/>
  <c r="AC182" i="2"/>
  <c r="AA182" i="2"/>
  <c r="Z182" i="2"/>
  <c r="Y182" i="2"/>
  <c r="X182" i="2"/>
  <c r="W182" i="2"/>
  <c r="V180" i="2"/>
  <c r="H453" i="2"/>
  <c r="H452" i="2"/>
  <c r="H451" i="2"/>
  <c r="DL453" i="2"/>
  <c r="F453" i="2"/>
  <c r="I339" i="15"/>
  <c r="DL452" i="2"/>
  <c r="F452" i="2"/>
  <c r="I338" i="15"/>
  <c r="DL451" i="2"/>
  <c r="V451" i="2"/>
  <c r="V452" i="2"/>
  <c r="V453" i="2"/>
  <c r="F451" i="2"/>
  <c r="I337" i="15"/>
  <c r="H471" i="2"/>
  <c r="DL471" i="2"/>
  <c r="V471" i="2"/>
  <c r="V472" i="2"/>
  <c r="F471" i="2"/>
  <c r="H491" i="2"/>
  <c r="H490" i="2"/>
  <c r="H489" i="2"/>
  <c r="DL491" i="2"/>
  <c r="F491" i="2"/>
  <c r="I345" i="15"/>
  <c r="DL490" i="2"/>
  <c r="F490" i="2"/>
  <c r="I344" i="15"/>
  <c r="DL489" i="2"/>
  <c r="F489" i="2"/>
  <c r="I343" i="15"/>
  <c r="DM486" i="2"/>
  <c r="DL486" i="2"/>
  <c r="DK486" i="2"/>
  <c r="BE486" i="2"/>
  <c r="BD486" i="2"/>
  <c r="BC486" i="2"/>
  <c r="BA486" i="2"/>
  <c r="AZ486" i="2"/>
  <c r="AY486" i="2"/>
  <c r="AX486" i="2"/>
  <c r="AR486" i="2"/>
  <c r="AQ486" i="2"/>
  <c r="AP486" i="2"/>
  <c r="AO486" i="2"/>
  <c r="AN486" i="2"/>
  <c r="AM486" i="2"/>
  <c r="AL486" i="2"/>
  <c r="AK486" i="2"/>
  <c r="AG486" i="2"/>
  <c r="AE486" i="2"/>
  <c r="AD486" i="2"/>
  <c r="AC486" i="2"/>
  <c r="AA486" i="2"/>
  <c r="Z486" i="2"/>
  <c r="Y486" i="2"/>
  <c r="X486" i="2"/>
  <c r="W486" i="2"/>
  <c r="I471" i="2"/>
  <c r="O340" i="15"/>
  <c r="I340" i="15"/>
  <c r="I491" i="2"/>
  <c r="O345" i="15"/>
  <c r="I451" i="2"/>
  <c r="O337" i="15"/>
  <c r="I489" i="2"/>
  <c r="O343" i="15"/>
  <c r="I490" i="2"/>
  <c r="O344" i="15"/>
  <c r="I453" i="2"/>
  <c r="O339" i="15"/>
  <c r="I452" i="2"/>
  <c r="O338" i="15"/>
  <c r="R39" i="2"/>
  <c r="S42" i="2"/>
  <c r="M2197" i="6"/>
  <c r="L2197" i="6"/>
  <c r="M2195" i="6"/>
  <c r="L2195" i="6"/>
  <c r="M2193" i="6"/>
  <c r="L2193" i="6"/>
  <c r="M2191" i="6"/>
  <c r="L2191" i="6"/>
  <c r="M2189" i="6"/>
  <c r="L2189" i="6"/>
  <c r="M2188" i="6"/>
  <c r="L2188" i="6"/>
  <c r="M2187" i="6"/>
  <c r="L2187" i="6"/>
  <c r="M2185" i="6"/>
  <c r="L2185" i="6"/>
  <c r="K850" i="6"/>
  <c r="M2183" i="6"/>
  <c r="L2183" i="6"/>
  <c r="M2181" i="6"/>
  <c r="L2181" i="6"/>
  <c r="M2180" i="6"/>
  <c r="L2180" i="6"/>
  <c r="M2179" i="6"/>
  <c r="L2179" i="6"/>
  <c r="M2177" i="6"/>
  <c r="L2177" i="6"/>
  <c r="M2176" i="6"/>
  <c r="L2176" i="6"/>
  <c r="M2175" i="6"/>
  <c r="L2175" i="6"/>
  <c r="M2173" i="6"/>
  <c r="L2173" i="6"/>
  <c r="M2172" i="6"/>
  <c r="L2172" i="6"/>
  <c r="M2171" i="6"/>
  <c r="L2171" i="6"/>
  <c r="M2169" i="6"/>
  <c r="L2169" i="6"/>
  <c r="M2167" i="6"/>
  <c r="L2167" i="6"/>
  <c r="M2166" i="6"/>
  <c r="L2166" i="6"/>
  <c r="M2165" i="6"/>
  <c r="L2165" i="6"/>
  <c r="M2163" i="6"/>
  <c r="L2163" i="6"/>
  <c r="M2162" i="6"/>
  <c r="L2162" i="6"/>
  <c r="M2161" i="6"/>
  <c r="L2161" i="6"/>
  <c r="M2159" i="6"/>
  <c r="L2159" i="6"/>
  <c r="M2158" i="6"/>
  <c r="L2158" i="6"/>
  <c r="M2157" i="6"/>
  <c r="L2157" i="6"/>
  <c r="M2151" i="6"/>
  <c r="L2151" i="6"/>
  <c r="M2150" i="6"/>
  <c r="L2150" i="6"/>
  <c r="M2149" i="6"/>
  <c r="L2149" i="6"/>
  <c r="M2147" i="6"/>
  <c r="L2147" i="6"/>
  <c r="M2146" i="6"/>
  <c r="L2146" i="6"/>
  <c r="M2145" i="6"/>
  <c r="L2145" i="6"/>
  <c r="M2143" i="6"/>
  <c r="L2143" i="6"/>
  <c r="M2142" i="6"/>
  <c r="L2142" i="6"/>
  <c r="M2141" i="6"/>
  <c r="L2141" i="6"/>
  <c r="M2135" i="6"/>
  <c r="L2135" i="6"/>
  <c r="M2134" i="6"/>
  <c r="L2134" i="6"/>
  <c r="M2133" i="6"/>
  <c r="L2133" i="6"/>
  <c r="M2131" i="6"/>
  <c r="L2131" i="6"/>
  <c r="M2130" i="6"/>
  <c r="L2130" i="6"/>
  <c r="M2129" i="6"/>
  <c r="L2129" i="6"/>
  <c r="M2127" i="6"/>
  <c r="L2127" i="6"/>
  <c r="M2126" i="6"/>
  <c r="L2126" i="6"/>
  <c r="M2125" i="6"/>
  <c r="L2125" i="6"/>
  <c r="M2117" i="6"/>
  <c r="L2117" i="6"/>
  <c r="M2116" i="6"/>
  <c r="L2116" i="6"/>
  <c r="M2115" i="6"/>
  <c r="L2115" i="6"/>
  <c r="M2113" i="6"/>
  <c r="L2113" i="6"/>
  <c r="M2111" i="6"/>
  <c r="L2111" i="6"/>
  <c r="M2110" i="6"/>
  <c r="L2110" i="6"/>
  <c r="M2109" i="6"/>
  <c r="L2109" i="6"/>
  <c r="M2107" i="6"/>
  <c r="L2107" i="6"/>
  <c r="M2105" i="6"/>
  <c r="L2105" i="6"/>
  <c r="M2104" i="6"/>
  <c r="L2104" i="6"/>
  <c r="M2103" i="6"/>
  <c r="L2103" i="6"/>
  <c r="M2101" i="6"/>
  <c r="L2101" i="6"/>
  <c r="M2099" i="6"/>
  <c r="L2099" i="6"/>
  <c r="M2098" i="6"/>
  <c r="L2098" i="6"/>
  <c r="M2097" i="6"/>
  <c r="L2097" i="6"/>
  <c r="M2095" i="6"/>
  <c r="L2095" i="6"/>
  <c r="M2093" i="6"/>
  <c r="L2093" i="6"/>
  <c r="M2091" i="6"/>
  <c r="L2091" i="6"/>
  <c r="M2090" i="6"/>
  <c r="L2090" i="6"/>
  <c r="M2089" i="6"/>
  <c r="L2089" i="6"/>
  <c r="M2083" i="6"/>
  <c r="L2083" i="6"/>
  <c r="M2082" i="6"/>
  <c r="L2082" i="6"/>
  <c r="M2081" i="6"/>
  <c r="L2081" i="6"/>
  <c r="M2079" i="6"/>
  <c r="L2079" i="6"/>
  <c r="M2076" i="6"/>
  <c r="L2076" i="6"/>
  <c r="M2068" i="6"/>
  <c r="L2068" i="6"/>
  <c r="M2067" i="6"/>
  <c r="L2067" i="6"/>
  <c r="M2066" i="6"/>
  <c r="L2066" i="6"/>
  <c r="M2064" i="6"/>
  <c r="L2064" i="6"/>
  <c r="M2062" i="6"/>
  <c r="L2062" i="6"/>
  <c r="M2060" i="6"/>
  <c r="L2060" i="6"/>
  <c r="M2058" i="6"/>
  <c r="L2058" i="6"/>
  <c r="M2056" i="6"/>
  <c r="L2056" i="6"/>
  <c r="M2053" i="6"/>
  <c r="L2053" i="6"/>
  <c r="M2051" i="6"/>
  <c r="L2051" i="6"/>
  <c r="M2050" i="6"/>
  <c r="L2050" i="6"/>
  <c r="M2049" i="6"/>
  <c r="L2049" i="6"/>
  <c r="M2046" i="6"/>
  <c r="L2046" i="6"/>
  <c r="M2044" i="6"/>
  <c r="L2044" i="6"/>
  <c r="M2041" i="6"/>
  <c r="L2041" i="6"/>
  <c r="M2039" i="6"/>
  <c r="L2039" i="6"/>
  <c r="M2038" i="6"/>
  <c r="L2038" i="6"/>
  <c r="M2037" i="6"/>
  <c r="L2037" i="6"/>
  <c r="M2029" i="6"/>
  <c r="L2029" i="6"/>
  <c r="M2028" i="6"/>
  <c r="L2028" i="6"/>
  <c r="M2027" i="6"/>
  <c r="L2027" i="6"/>
  <c r="M2020" i="6"/>
  <c r="L2020" i="6"/>
  <c r="M2018" i="6"/>
  <c r="L2018" i="6"/>
  <c r="M2017" i="6"/>
  <c r="L2017" i="6"/>
  <c r="M2016" i="6"/>
  <c r="L2016" i="6"/>
  <c r="M2010" i="6"/>
  <c r="M2009" i="6"/>
  <c r="M2008" i="6"/>
  <c r="J2006" i="6"/>
  <c r="J2005" i="6"/>
  <c r="J2004" i="6"/>
  <c r="J2003" i="6"/>
  <c r="J2002" i="6"/>
  <c r="J2001" i="6"/>
  <c r="J2000" i="6"/>
  <c r="J1999" i="6"/>
  <c r="J1998" i="6"/>
  <c r="J1997" i="6"/>
  <c r="J1996" i="6"/>
  <c r="J1995" i="6"/>
  <c r="J1994" i="6"/>
  <c r="J1993" i="6"/>
  <c r="J1992" i="6"/>
  <c r="J1991" i="6"/>
  <c r="J1990" i="6"/>
  <c r="J1989" i="6"/>
  <c r="J1988" i="6"/>
  <c r="J1987" i="6"/>
  <c r="J1986" i="6"/>
  <c r="J1985" i="6"/>
  <c r="J1984" i="6"/>
  <c r="J1983" i="6"/>
  <c r="J1982" i="6"/>
  <c r="J1981" i="6"/>
  <c r="J1980" i="6"/>
  <c r="J1979" i="6"/>
  <c r="J1978" i="6"/>
  <c r="J1977" i="6"/>
  <c r="J1976" i="6"/>
  <c r="J1975" i="6"/>
  <c r="J1974" i="6"/>
  <c r="J1973" i="6"/>
  <c r="J1972" i="6"/>
  <c r="J1971" i="6"/>
  <c r="J1970" i="6"/>
  <c r="J1969" i="6"/>
  <c r="J1968" i="6"/>
  <c r="J1967" i="6"/>
  <c r="J1966" i="6"/>
  <c r="J1965" i="6"/>
  <c r="J1964" i="6"/>
  <c r="J1963" i="6"/>
  <c r="J1962" i="6"/>
  <c r="J1961" i="6"/>
  <c r="J1960" i="6"/>
  <c r="J1959" i="6"/>
  <c r="J1958" i="6"/>
  <c r="J1957" i="6"/>
  <c r="J1956" i="6"/>
  <c r="J1955" i="6"/>
  <c r="J1954" i="6"/>
  <c r="J1953" i="6"/>
  <c r="J1952" i="6"/>
  <c r="J1951" i="6"/>
  <c r="J1950" i="6"/>
  <c r="J1949" i="6"/>
  <c r="J1948" i="6"/>
  <c r="J1947" i="6"/>
  <c r="J1946" i="6"/>
  <c r="J1945" i="6"/>
  <c r="J1944" i="6"/>
  <c r="J1943" i="6"/>
  <c r="J1942" i="6"/>
  <c r="J1941" i="6"/>
  <c r="J1940" i="6"/>
  <c r="J1939" i="6"/>
  <c r="J1938" i="6"/>
  <c r="J1937" i="6"/>
  <c r="J1936" i="6"/>
  <c r="J1935" i="6"/>
  <c r="J1934" i="6"/>
  <c r="J1933" i="6"/>
  <c r="J1932" i="6"/>
  <c r="J1931" i="6"/>
  <c r="J1926" i="6"/>
  <c r="J1925" i="6"/>
  <c r="J1924" i="6"/>
  <c r="J1923" i="6"/>
  <c r="J1922" i="6"/>
  <c r="J1921" i="6"/>
  <c r="J1920" i="6"/>
  <c r="J1919" i="6"/>
  <c r="J1918" i="6"/>
  <c r="J1917" i="6"/>
  <c r="J1916" i="6"/>
  <c r="J1915" i="6"/>
  <c r="J1914" i="6"/>
  <c r="J1913" i="6"/>
  <c r="J1912" i="6"/>
  <c r="J1911" i="6"/>
  <c r="J1910" i="6"/>
  <c r="J1909" i="6"/>
  <c r="J1908" i="6"/>
  <c r="J1907" i="6"/>
  <c r="J1906" i="6"/>
  <c r="J1905" i="6"/>
  <c r="J1904" i="6"/>
  <c r="J1903" i="6"/>
  <c r="J1902" i="6"/>
  <c r="J1901" i="6"/>
  <c r="J1900" i="6"/>
  <c r="J1899" i="6"/>
  <c r="J1898" i="6"/>
  <c r="J1897" i="6"/>
  <c r="J1896" i="6"/>
  <c r="J1895" i="6"/>
  <c r="J1894" i="6"/>
  <c r="J1893" i="6"/>
  <c r="J1892" i="6"/>
  <c r="J1891" i="6"/>
  <c r="J1890" i="6"/>
  <c r="J1889" i="6"/>
  <c r="J1888" i="6"/>
  <c r="J1887" i="6"/>
  <c r="J1886" i="6"/>
  <c r="J1885" i="6"/>
  <c r="J1884" i="6"/>
  <c r="J1883" i="6"/>
  <c r="J1880" i="6"/>
  <c r="J1879" i="6"/>
  <c r="J1878" i="6"/>
  <c r="J1873" i="6"/>
  <c r="J1872" i="6"/>
  <c r="J1871" i="6"/>
  <c r="J1870" i="6"/>
  <c r="J1869" i="6"/>
  <c r="J1868" i="6"/>
  <c r="J1867" i="6"/>
  <c r="J1866" i="6"/>
  <c r="J1865" i="6"/>
  <c r="J1864" i="6"/>
  <c r="J1863" i="6"/>
  <c r="J1862" i="6"/>
  <c r="J1861" i="6"/>
  <c r="J1860" i="6"/>
  <c r="J1859" i="6"/>
  <c r="J1858" i="6"/>
  <c r="J1857" i="6"/>
  <c r="J1854" i="6"/>
  <c r="J1853" i="6"/>
  <c r="J1852" i="6"/>
  <c r="J1851" i="6"/>
  <c r="J1850" i="6"/>
  <c r="J1849" i="6"/>
  <c r="J1846" i="6"/>
  <c r="J1845" i="6"/>
  <c r="J1844" i="6"/>
  <c r="J1843" i="6"/>
  <c r="J1840" i="6"/>
  <c r="J1839" i="6"/>
  <c r="J1838" i="6"/>
  <c r="J1837" i="6"/>
  <c r="J1836" i="6"/>
  <c r="J1835" i="6"/>
  <c r="J1830" i="6"/>
  <c r="J1829" i="6"/>
  <c r="J1828" i="6"/>
  <c r="J1827" i="6"/>
  <c r="J1826" i="6"/>
  <c r="J1825" i="6"/>
  <c r="J1824" i="6"/>
  <c r="J1823" i="6"/>
  <c r="J1816" i="6"/>
  <c r="J1815" i="6"/>
  <c r="J1814" i="6"/>
  <c r="J1813" i="6"/>
  <c r="J1812" i="6"/>
  <c r="J1811" i="6"/>
  <c r="J1810" i="6"/>
  <c r="J1809" i="6"/>
  <c r="J1808" i="6"/>
  <c r="J1807" i="6"/>
  <c r="J1806" i="6"/>
  <c r="J1805" i="6"/>
  <c r="J1804" i="6"/>
  <c r="J1803" i="6"/>
  <c r="J1802" i="6"/>
  <c r="J1801" i="6"/>
  <c r="J1696" i="6"/>
  <c r="J1695" i="6"/>
  <c r="J1694" i="6"/>
  <c r="J1693" i="6"/>
  <c r="J1692" i="6"/>
  <c r="J1691" i="6"/>
  <c r="J1690" i="6"/>
  <c r="J1689" i="6"/>
  <c r="J1688" i="6"/>
  <c r="J1687" i="6"/>
  <c r="J1686" i="6"/>
  <c r="J1685" i="6"/>
  <c r="J1684" i="6"/>
  <c r="J1683" i="6"/>
  <c r="J1682" i="6"/>
  <c r="J1681" i="6"/>
  <c r="J1680" i="6"/>
  <c r="J1679" i="6"/>
  <c r="J1678" i="6"/>
  <c r="J1677" i="6"/>
  <c r="J1676" i="6"/>
  <c r="J1675" i="6"/>
  <c r="J1674" i="6"/>
  <c r="J1673" i="6"/>
  <c r="J1672" i="6"/>
  <c r="J1671" i="6"/>
  <c r="J1670" i="6"/>
  <c r="J1669" i="6"/>
  <c r="J1668" i="6"/>
  <c r="J1667" i="6"/>
  <c r="J1666" i="6"/>
  <c r="J1665" i="6"/>
  <c r="J1664" i="6"/>
  <c r="J1663" i="6"/>
  <c r="J1662" i="6"/>
  <c r="J1661" i="6"/>
  <c r="J1660" i="6"/>
  <c r="J1659" i="6"/>
  <c r="J1656" i="6"/>
  <c r="J1655" i="6"/>
  <c r="J1654" i="6"/>
  <c r="J1653" i="6"/>
  <c r="J1652" i="6"/>
  <c r="J1651" i="6"/>
  <c r="J1650" i="6"/>
  <c r="J1649" i="6"/>
  <c r="J1648" i="6"/>
  <c r="J1647" i="6"/>
  <c r="J1646" i="6"/>
  <c r="J1645" i="6"/>
  <c r="J1644" i="6"/>
  <c r="J1643" i="6"/>
  <c r="J1642" i="6"/>
  <c r="J1641" i="6"/>
  <c r="J1640" i="6"/>
  <c r="J1639" i="6"/>
  <c r="J1638" i="6"/>
  <c r="J1637" i="6"/>
  <c r="J1636" i="6"/>
  <c r="J1635" i="6"/>
  <c r="J1633" i="6"/>
  <c r="J1630" i="6"/>
  <c r="J1629" i="6"/>
  <c r="J1628" i="6"/>
  <c r="J1627" i="6"/>
  <c r="J1626" i="6"/>
  <c r="J1625" i="6"/>
  <c r="J1624" i="6"/>
  <c r="J1623" i="6"/>
  <c r="J1622" i="6"/>
  <c r="J1620" i="6"/>
  <c r="J1619" i="6"/>
  <c r="J1618" i="6"/>
  <c r="J1616" i="6"/>
  <c r="J1615" i="6"/>
  <c r="J1613" i="6"/>
  <c r="J1612" i="6"/>
  <c r="J1611" i="6"/>
  <c r="J1608" i="6"/>
  <c r="J1607" i="6"/>
  <c r="J1606" i="6"/>
  <c r="J1605" i="6"/>
  <c r="J1601" i="6"/>
  <c r="J1600" i="6"/>
  <c r="J1599" i="6"/>
  <c r="J1598" i="6"/>
  <c r="J1597" i="6"/>
  <c r="J1596" i="6"/>
  <c r="J1595" i="6"/>
  <c r="J1594" i="6"/>
  <c r="J1593" i="6"/>
  <c r="J1592" i="6"/>
  <c r="J1591" i="6"/>
  <c r="J1590" i="6"/>
  <c r="J1589" i="6"/>
  <c r="J1588" i="6"/>
  <c r="J1587" i="6"/>
  <c r="J1586"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3" i="6"/>
  <c r="J1552" i="6"/>
  <c r="J1551" i="6"/>
  <c r="J1550" i="6"/>
  <c r="J1549" i="6"/>
  <c r="J1548" i="6"/>
  <c r="J1547" i="6"/>
  <c r="J1546" i="6"/>
  <c r="J1545" i="6"/>
  <c r="J1544" i="6"/>
  <c r="J1543" i="6"/>
  <c r="J1542" i="6"/>
  <c r="J1541" i="6"/>
  <c r="J1540" i="6"/>
  <c r="J1539" i="6"/>
  <c r="J1538" i="6"/>
  <c r="J1537" i="6"/>
  <c r="J1536" i="6"/>
  <c r="J1535" i="6"/>
  <c r="J1534" i="6"/>
  <c r="J1533" i="6"/>
  <c r="J1532" i="6"/>
  <c r="J1530" i="6"/>
  <c r="J1527" i="6"/>
  <c r="J1526" i="6"/>
  <c r="J1525" i="6"/>
  <c r="J1524" i="6"/>
  <c r="J1523" i="6"/>
  <c r="J1522" i="6"/>
  <c r="J1521" i="6"/>
  <c r="J1520" i="6"/>
  <c r="J1519" i="6"/>
  <c r="J1517" i="6"/>
  <c r="J1516" i="6"/>
  <c r="J1515" i="6"/>
  <c r="J1513" i="6"/>
  <c r="J1512" i="6"/>
  <c r="J1510" i="6"/>
  <c r="J1509" i="6"/>
  <c r="J1508" i="6"/>
  <c r="J1505" i="6"/>
  <c r="J1504" i="6"/>
  <c r="J1503" i="6"/>
  <c r="J1502" i="6"/>
  <c r="J1498" i="6"/>
  <c r="J1497" i="6"/>
  <c r="J1496" i="6"/>
  <c r="J1495" i="6"/>
  <c r="J1494" i="6"/>
  <c r="J1493" i="6"/>
  <c r="J1492" i="6"/>
  <c r="J1491" i="6"/>
  <c r="J1490" i="6"/>
  <c r="J1489" i="6"/>
  <c r="J1488" i="6"/>
  <c r="J1487" i="6"/>
  <c r="J1486" i="6"/>
  <c r="J1485" i="6"/>
  <c r="J1484" i="6"/>
  <c r="J1483" i="6"/>
  <c r="J1482" i="6"/>
  <c r="J1481" i="6"/>
  <c r="J1480" i="6"/>
  <c r="J1479" i="6"/>
  <c r="J1478" i="6"/>
  <c r="J1477" i="6"/>
  <c r="J1476" i="6"/>
  <c r="J1475" i="6"/>
  <c r="J1474" i="6"/>
  <c r="J1473" i="6"/>
  <c r="J1472" i="6"/>
  <c r="J1471" i="6"/>
  <c r="J1470" i="6"/>
  <c r="J1469" i="6"/>
  <c r="J1468" i="6"/>
  <c r="J1467" i="6"/>
  <c r="J1466" i="6"/>
  <c r="J1465" i="6"/>
  <c r="J1464" i="6"/>
  <c r="J1463" i="6"/>
  <c r="J1462" i="6"/>
  <c r="J1461" i="6"/>
  <c r="J1460" i="6"/>
  <c r="J1459" i="6"/>
  <c r="J1458" i="6"/>
  <c r="J1457" i="6"/>
  <c r="J1456" i="6"/>
  <c r="J1455" i="6"/>
  <c r="J1454" i="6"/>
  <c r="J1453" i="6"/>
  <c r="J1450" i="6"/>
  <c r="J1449" i="6"/>
  <c r="J1448" i="6"/>
  <c r="J1447" i="6"/>
  <c r="J1446" i="6"/>
  <c r="J1445" i="6"/>
  <c r="J1444" i="6"/>
  <c r="J1443" i="6"/>
  <c r="J1442" i="6"/>
  <c r="J1441" i="6"/>
  <c r="J1440" i="6"/>
  <c r="J1439" i="6"/>
  <c r="J1438" i="6"/>
  <c r="J1437" i="6"/>
  <c r="J1436" i="6"/>
  <c r="J1435" i="6"/>
  <c r="J1434" i="6"/>
  <c r="J1433" i="6"/>
  <c r="J1432" i="6"/>
  <c r="J1431" i="6"/>
  <c r="J1430" i="6"/>
  <c r="J1429" i="6"/>
  <c r="J1427" i="6"/>
  <c r="J1424" i="6"/>
  <c r="J1423" i="6"/>
  <c r="J1422" i="6"/>
  <c r="J1421" i="6"/>
  <c r="J1420" i="6"/>
  <c r="J1419" i="6"/>
  <c r="J1418" i="6"/>
  <c r="J1417" i="6"/>
  <c r="J1416" i="6"/>
  <c r="J1414" i="6"/>
  <c r="J1413" i="6"/>
  <c r="J1412" i="6"/>
  <c r="J1410" i="6"/>
  <c r="J1409" i="6"/>
  <c r="J1407" i="6"/>
  <c r="J1406" i="6"/>
  <c r="J1405" i="6"/>
  <c r="J1402" i="6"/>
  <c r="J1401" i="6"/>
  <c r="J1400" i="6"/>
  <c r="J1399" i="6"/>
  <c r="J1395" i="6"/>
  <c r="J1394" i="6"/>
  <c r="J1393" i="6"/>
  <c r="J1392" i="6"/>
  <c r="J1391" i="6"/>
  <c r="J1390" i="6"/>
  <c r="J1389" i="6"/>
  <c r="J1388" i="6"/>
  <c r="L1387" i="6"/>
  <c r="J1387" i="6"/>
  <c r="L1386" i="6"/>
  <c r="J1386" i="6"/>
  <c r="L1385" i="6"/>
  <c r="J1385" i="6"/>
  <c r="L1384" i="6"/>
  <c r="J1384" i="6"/>
  <c r="L1383" i="6"/>
  <c r="J1383" i="6"/>
  <c r="L1382" i="6"/>
  <c r="J1382" i="6"/>
  <c r="L1381" i="6"/>
  <c r="J1381" i="6"/>
  <c r="L1380" i="6"/>
  <c r="J1380" i="6"/>
  <c r="L1379" i="6"/>
  <c r="J1379" i="6"/>
  <c r="L1378" i="6"/>
  <c r="J1378" i="6"/>
  <c r="L1377" i="6"/>
  <c r="J1377" i="6"/>
  <c r="L1376" i="6"/>
  <c r="J1376" i="6"/>
  <c r="L1375" i="6"/>
  <c r="J1375" i="6"/>
  <c r="L1374" i="6"/>
  <c r="J1374" i="6"/>
  <c r="L1373" i="6"/>
  <c r="J1373" i="6"/>
  <c r="L1372" i="6"/>
  <c r="J1372" i="6"/>
  <c r="L1371" i="6"/>
  <c r="J1371" i="6"/>
  <c r="L1370" i="6"/>
  <c r="J1370" i="6"/>
  <c r="L1369" i="6"/>
  <c r="J1369" i="6"/>
  <c r="L1368" i="6"/>
  <c r="J1368" i="6"/>
  <c r="L1367" i="6"/>
  <c r="J1367" i="6"/>
  <c r="L1366" i="6"/>
  <c r="J1366" i="6"/>
  <c r="J1365" i="6"/>
  <c r="J1364" i="6"/>
  <c r="J1363" i="6"/>
  <c r="L1362" i="6"/>
  <c r="J1362" i="6"/>
  <c r="L1361" i="6"/>
  <c r="J1361" i="6"/>
  <c r="L1360" i="6"/>
  <c r="J1360" i="6"/>
  <c r="L1359" i="6"/>
  <c r="J1359" i="6"/>
  <c r="L1358" i="6"/>
  <c r="J1358" i="6"/>
  <c r="J1357" i="6"/>
  <c r="J1356" i="6"/>
  <c r="J1355" i="6"/>
  <c r="L1354" i="6"/>
  <c r="J1354" i="6"/>
  <c r="L1353" i="6"/>
  <c r="J1353" i="6"/>
  <c r="L1352" i="6"/>
  <c r="J1352" i="6"/>
  <c r="L1351" i="6"/>
  <c r="J1351" i="6"/>
  <c r="L1350" i="6"/>
  <c r="J1350" i="6"/>
  <c r="J1347" i="6"/>
  <c r="J1346" i="6"/>
  <c r="J1345" i="6"/>
  <c r="L1344" i="6"/>
  <c r="J1344" i="6"/>
  <c r="L1343" i="6"/>
  <c r="J1343" i="6"/>
  <c r="L1342" i="6"/>
  <c r="J1342" i="6"/>
  <c r="L1341" i="6"/>
  <c r="J1341" i="6"/>
  <c r="L1340" i="6"/>
  <c r="J1340" i="6"/>
  <c r="L1339" i="6"/>
  <c r="J1339" i="6"/>
  <c r="L1338" i="6"/>
  <c r="J1338" i="6"/>
  <c r="L1337" i="6"/>
  <c r="J1337" i="6"/>
  <c r="L1336" i="6"/>
  <c r="J1336" i="6"/>
  <c r="L1335" i="6"/>
  <c r="J1335" i="6"/>
  <c r="L1334" i="6"/>
  <c r="J1334" i="6"/>
  <c r="L1333" i="6"/>
  <c r="J1333" i="6"/>
  <c r="L1332" i="6"/>
  <c r="J1332" i="6"/>
  <c r="L1331" i="6"/>
  <c r="J1331" i="6"/>
  <c r="J1330" i="6"/>
  <c r="J1329" i="6"/>
  <c r="J1328" i="6"/>
  <c r="L1327" i="6"/>
  <c r="J1327" i="6"/>
  <c r="L1326" i="6"/>
  <c r="J1326" i="6"/>
  <c r="L1324" i="6"/>
  <c r="J1324" i="6"/>
  <c r="J1321" i="6"/>
  <c r="J1320" i="6"/>
  <c r="J1319" i="6"/>
  <c r="L1318" i="6"/>
  <c r="J1318" i="6"/>
  <c r="L1317" i="6"/>
  <c r="J1317" i="6"/>
  <c r="L1316" i="6"/>
  <c r="J1316" i="6"/>
  <c r="L1315" i="6"/>
  <c r="J1315" i="6"/>
  <c r="L1314" i="6"/>
  <c r="J1314" i="6"/>
  <c r="J1313" i="6"/>
  <c r="L1311" i="6"/>
  <c r="J1311" i="6"/>
  <c r="L1310" i="6"/>
  <c r="J1310" i="6"/>
  <c r="L1309" i="6"/>
  <c r="J1309" i="6"/>
  <c r="L1307" i="6"/>
  <c r="J1307" i="6"/>
  <c r="L1306" i="6"/>
  <c r="J1306" i="6"/>
  <c r="L1304" i="6"/>
  <c r="J1304" i="6"/>
  <c r="J1303" i="6"/>
  <c r="J1302" i="6"/>
  <c r="J1299" i="6"/>
  <c r="J1298" i="6"/>
  <c r="J1297" i="6"/>
  <c r="L1296" i="6"/>
  <c r="J1296" i="6"/>
  <c r="L1292" i="6"/>
  <c r="J1292" i="6"/>
  <c r="L1291" i="6"/>
  <c r="J1291" i="6"/>
  <c r="L1290" i="6"/>
  <c r="J1290" i="6"/>
  <c r="L1289" i="6"/>
  <c r="J1289" i="6"/>
  <c r="L1288" i="6"/>
  <c r="J1288" i="6"/>
  <c r="L1287" i="6"/>
  <c r="J1287" i="6"/>
  <c r="L1286" i="6"/>
  <c r="J1286" i="6"/>
  <c r="L1285" i="6"/>
  <c r="J1285" i="6"/>
  <c r="J1284" i="6"/>
  <c r="J1283" i="6"/>
  <c r="J1282" i="6"/>
  <c r="J1281" i="6"/>
  <c r="J1280" i="6"/>
  <c r="J1279" i="6"/>
  <c r="J1278" i="6"/>
  <c r="J1277" i="6"/>
  <c r="J1276" i="6"/>
  <c r="J1275" i="6"/>
  <c r="J1274" i="6"/>
  <c r="J1273" i="6"/>
  <c r="J1272" i="6"/>
  <c r="J1270" i="6"/>
  <c r="J1269" i="6"/>
  <c r="J1268" i="6"/>
  <c r="J1267" i="6"/>
  <c r="J1266" i="6"/>
  <c r="J1265" i="6"/>
  <c r="J1264" i="6"/>
  <c r="J1263" i="6"/>
  <c r="J1262" i="6"/>
  <c r="J1261" i="6"/>
  <c r="J1260" i="6"/>
  <c r="J1259" i="6"/>
  <c r="J1258" i="6"/>
  <c r="J1257" i="6"/>
  <c r="J1256" i="6"/>
  <c r="J1255" i="6"/>
  <c r="J1254" i="6"/>
  <c r="J1253" i="6"/>
  <c r="J1252" i="6"/>
  <c r="J1251" i="6"/>
  <c r="J1250" i="6"/>
  <c r="J1249" i="6"/>
  <c r="J1248" i="6"/>
  <c r="J1247" i="6"/>
  <c r="J1244" i="6"/>
  <c r="J1243" i="6"/>
  <c r="J1242" i="6"/>
  <c r="J1241" i="6"/>
  <c r="J1240" i="6"/>
  <c r="J1239" i="6"/>
  <c r="J1238" i="6"/>
  <c r="J1237" i="6"/>
  <c r="J1236" i="6"/>
  <c r="J1235" i="6"/>
  <c r="J1234" i="6"/>
  <c r="J1233" i="6"/>
  <c r="J1232" i="6"/>
  <c r="J1231" i="6"/>
  <c r="J1230" i="6"/>
  <c r="J1229" i="6"/>
  <c r="J1228" i="6"/>
  <c r="J1227" i="6"/>
  <c r="J1226" i="6"/>
  <c r="J1225" i="6"/>
  <c r="J1224" i="6"/>
  <c r="J1223" i="6"/>
  <c r="J1221" i="6"/>
  <c r="J1218" i="6"/>
  <c r="J1217" i="6"/>
  <c r="J1216" i="6"/>
  <c r="J1215" i="6"/>
  <c r="J1214" i="6"/>
  <c r="J1213" i="6"/>
  <c r="J1212" i="6"/>
  <c r="J1211" i="6"/>
  <c r="J1210" i="6"/>
  <c r="J1208" i="6"/>
  <c r="J1207" i="6"/>
  <c r="J1206" i="6"/>
  <c r="J1204" i="6"/>
  <c r="J1203" i="6"/>
  <c r="J1201" i="6"/>
  <c r="J1200" i="6"/>
  <c r="J1199" i="6"/>
  <c r="J1196" i="6"/>
  <c r="J1195" i="6"/>
  <c r="J1194" i="6"/>
  <c r="J1193" i="6"/>
  <c r="J1189" i="6"/>
  <c r="J1188" i="6"/>
  <c r="J1187" i="6"/>
  <c r="J1186" i="6"/>
  <c r="J1185" i="6"/>
  <c r="J1184" i="6"/>
  <c r="J1183" i="6"/>
  <c r="J1182" i="6"/>
  <c r="J1181" i="6"/>
  <c r="J1180" i="6"/>
  <c r="J1179" i="6"/>
  <c r="J1178" i="6"/>
  <c r="J1177" i="6"/>
  <c r="J1176" i="6"/>
  <c r="J1175" i="6"/>
  <c r="J1174" i="6"/>
  <c r="J1173" i="6"/>
  <c r="J1172" i="6"/>
  <c r="J1171" i="6"/>
  <c r="J1170" i="6"/>
  <c r="J1169" i="6"/>
  <c r="J1168" i="6"/>
  <c r="J1167" i="6"/>
  <c r="J1166" i="6"/>
  <c r="J1165" i="6"/>
  <c r="J1164" i="6"/>
  <c r="J1163" i="6"/>
  <c r="J1162" i="6"/>
  <c r="J1161" i="6"/>
  <c r="J1160" i="6"/>
  <c r="J1159" i="6"/>
  <c r="J1158" i="6"/>
  <c r="J1157" i="6"/>
  <c r="J1156" i="6"/>
  <c r="J1155" i="6"/>
  <c r="J1154" i="6"/>
  <c r="J1153" i="6"/>
  <c r="J1152" i="6"/>
  <c r="J1151" i="6"/>
  <c r="J1150" i="6"/>
  <c r="J1149" i="6"/>
  <c r="J1148" i="6"/>
  <c r="J1147" i="6"/>
  <c r="J1146" i="6"/>
  <c r="J1145" i="6"/>
  <c r="J1144" i="6"/>
  <c r="J1141" i="6"/>
  <c r="J1140" i="6"/>
  <c r="J1139" i="6"/>
  <c r="J1138" i="6"/>
  <c r="J1137" i="6"/>
  <c r="J1136" i="6"/>
  <c r="J1135" i="6"/>
  <c r="J1134" i="6"/>
  <c r="J1133" i="6"/>
  <c r="J1132" i="6"/>
  <c r="J1131" i="6"/>
  <c r="J1130" i="6"/>
  <c r="J1129" i="6"/>
  <c r="J1128" i="6"/>
  <c r="J1127" i="6"/>
  <c r="J1126" i="6"/>
  <c r="J1125" i="6"/>
  <c r="J1124" i="6"/>
  <c r="J1123" i="6"/>
  <c r="J1122" i="6"/>
  <c r="J1121" i="6"/>
  <c r="J1120" i="6"/>
  <c r="J1118" i="6"/>
  <c r="J1115" i="6"/>
  <c r="J1114" i="6"/>
  <c r="J1113" i="6"/>
  <c r="J1112" i="6"/>
  <c r="J1111" i="6"/>
  <c r="J1110" i="6"/>
  <c r="J1109" i="6"/>
  <c r="J1108" i="6"/>
  <c r="J1107" i="6"/>
  <c r="J1105" i="6"/>
  <c r="J1104" i="6"/>
  <c r="J1103" i="6"/>
  <c r="J1101" i="6"/>
  <c r="J1100" i="6"/>
  <c r="J1098" i="6"/>
  <c r="J1097" i="6"/>
  <c r="J1096" i="6"/>
  <c r="J1093" i="6"/>
  <c r="J1092" i="6"/>
  <c r="J1091" i="6"/>
  <c r="J1090" i="6"/>
  <c r="J1086" i="6"/>
  <c r="J1085" i="6"/>
  <c r="J1084" i="6"/>
  <c r="J1083" i="6"/>
  <c r="J1082" i="6"/>
  <c r="J1081" i="6"/>
  <c r="J1080" i="6"/>
  <c r="J1079" i="6"/>
  <c r="J1078" i="6"/>
  <c r="J1077" i="6"/>
  <c r="J1076" i="6"/>
  <c r="J1075" i="6"/>
  <c r="J1074" i="6"/>
  <c r="J1073" i="6"/>
  <c r="J1072" i="6"/>
  <c r="J1071" i="6"/>
  <c r="J1070" i="6"/>
  <c r="J1069" i="6"/>
  <c r="J1068" i="6"/>
  <c r="J1067" i="6"/>
  <c r="J1066" i="6"/>
  <c r="J1065" i="6"/>
  <c r="J1064" i="6"/>
  <c r="J1063" i="6"/>
  <c r="J1062" i="6"/>
  <c r="J1061" i="6"/>
  <c r="J1060" i="6"/>
  <c r="J1059" i="6"/>
  <c r="J1058" i="6"/>
  <c r="J1057" i="6"/>
  <c r="J1056" i="6"/>
  <c r="J1055" i="6"/>
  <c r="J1054" i="6"/>
  <c r="J1053" i="6"/>
  <c r="J1052" i="6"/>
  <c r="J1051" i="6"/>
  <c r="J1050" i="6"/>
  <c r="J1049" i="6"/>
  <c r="J1048" i="6"/>
  <c r="J1047" i="6"/>
  <c r="J1046" i="6"/>
  <c r="J1045" i="6"/>
  <c r="J1044" i="6"/>
  <c r="J1043" i="6"/>
  <c r="J1042" i="6"/>
  <c r="J1041" i="6"/>
  <c r="J1038" i="6"/>
  <c r="J1037" i="6"/>
  <c r="J1036" i="6"/>
  <c r="J1035" i="6"/>
  <c r="J1034" i="6"/>
  <c r="J1033" i="6"/>
  <c r="J1032" i="6"/>
  <c r="J1031" i="6"/>
  <c r="J1030" i="6"/>
  <c r="J1029" i="6"/>
  <c r="J1028" i="6"/>
  <c r="J1027" i="6"/>
  <c r="J1026" i="6"/>
  <c r="J1025" i="6"/>
  <c r="J1024" i="6"/>
  <c r="J1023" i="6"/>
  <c r="J1022" i="6"/>
  <c r="J1021" i="6"/>
  <c r="J1020" i="6"/>
  <c r="J1019" i="6"/>
  <c r="J1018" i="6"/>
  <c r="J1017" i="6"/>
  <c r="J1015" i="6"/>
  <c r="J1012" i="6"/>
  <c r="J1011" i="6"/>
  <c r="J1010" i="6"/>
  <c r="J1009" i="6"/>
  <c r="J1008" i="6"/>
  <c r="J1007" i="6"/>
  <c r="J1006" i="6"/>
  <c r="J1005" i="6"/>
  <c r="J1004" i="6"/>
  <c r="J1002" i="6"/>
  <c r="J1001" i="6"/>
  <c r="J1000" i="6"/>
  <c r="J998" i="6"/>
  <c r="J997" i="6"/>
  <c r="J995" i="6"/>
  <c r="J994" i="6"/>
  <c r="J993" i="6"/>
  <c r="J990" i="6"/>
  <c r="J989" i="6"/>
  <c r="J988" i="6"/>
  <c r="J987" i="6"/>
  <c r="J983" i="6"/>
  <c r="J982" i="6"/>
  <c r="J981" i="6"/>
  <c r="J980" i="6"/>
  <c r="J979" i="6"/>
  <c r="J978" i="6"/>
  <c r="J977" i="6"/>
  <c r="J976" i="6"/>
  <c r="L851" i="6"/>
  <c r="AJ119" i="15"/>
  <c r="L849" i="6"/>
  <c r="AJ118" i="15"/>
  <c r="L847" i="6"/>
  <c r="AJ117" i="15"/>
  <c r="L845" i="6"/>
  <c r="AJ116" i="15"/>
  <c r="L843" i="6"/>
  <c r="AJ115" i="15"/>
  <c r="L839" i="6"/>
  <c r="AJ114" i="15"/>
  <c r="L837" i="6"/>
  <c r="AJ113" i="15"/>
  <c r="L835" i="6"/>
  <c r="AJ112" i="15"/>
  <c r="L831" i="6"/>
  <c r="AJ111" i="15"/>
  <c r="L827" i="6"/>
  <c r="AJ110" i="15"/>
  <c r="L823" i="6"/>
  <c r="AJ109" i="15"/>
  <c r="L821" i="6"/>
  <c r="AJ108" i="15"/>
  <c r="L817" i="6"/>
  <c r="AJ107" i="15"/>
  <c r="L813" i="6"/>
  <c r="AJ106" i="15"/>
  <c r="L809" i="6"/>
  <c r="AJ105" i="15"/>
  <c r="L805" i="6"/>
  <c r="AJ104" i="15"/>
  <c r="L801" i="6"/>
  <c r="AJ103" i="15"/>
  <c r="L797" i="6"/>
  <c r="AJ102" i="15"/>
  <c r="L793" i="6"/>
  <c r="AJ101" i="15"/>
  <c r="L789" i="6"/>
  <c r="AJ100" i="15"/>
  <c r="L785" i="6"/>
  <c r="AJ99" i="15"/>
  <c r="L781" i="6"/>
  <c r="AJ98" i="15"/>
  <c r="L777" i="6"/>
  <c r="AJ97" i="15"/>
  <c r="L769" i="6"/>
  <c r="AJ95" i="15"/>
  <c r="L765" i="6"/>
  <c r="AJ94" i="15"/>
  <c r="L763" i="6"/>
  <c r="AJ93" i="15"/>
  <c r="L759" i="6"/>
  <c r="AJ92" i="15"/>
  <c r="L757" i="6"/>
  <c r="AJ91" i="15"/>
  <c r="L753" i="6"/>
  <c r="AJ90" i="15"/>
  <c r="L751" i="6"/>
  <c r="AJ89" i="15"/>
  <c r="L747" i="6"/>
  <c r="AJ88" i="15"/>
  <c r="L745" i="6"/>
  <c r="AJ87" i="15"/>
  <c r="L743" i="6"/>
  <c r="AJ86" i="15"/>
  <c r="L739" i="6"/>
  <c r="AJ85" i="15"/>
  <c r="L735" i="6"/>
  <c r="AJ84" i="15"/>
  <c r="L731" i="6"/>
  <c r="AJ83" i="15"/>
  <c r="L729" i="6"/>
  <c r="AJ82" i="15"/>
  <c r="L725" i="6"/>
  <c r="AJ80" i="15"/>
  <c r="L717" i="6"/>
  <c r="AJ78" i="15"/>
  <c r="L713" i="6"/>
  <c r="AJ77" i="15"/>
  <c r="L711" i="6"/>
  <c r="AJ76" i="15"/>
  <c r="L709" i="6"/>
  <c r="AJ75" i="15"/>
  <c r="L707" i="6"/>
  <c r="AJ74" i="15"/>
  <c r="L705" i="6"/>
  <c r="AJ73" i="15"/>
  <c r="L703" i="6"/>
  <c r="AJ72" i="15"/>
  <c r="L699" i="6"/>
  <c r="AJ70" i="15"/>
  <c r="L695" i="6"/>
  <c r="AJ69" i="15"/>
  <c r="L691" i="6"/>
  <c r="AJ67" i="15"/>
  <c r="L689" i="6"/>
  <c r="L685" i="6"/>
  <c r="AJ64" i="15"/>
  <c r="L681" i="6"/>
  <c r="AJ63" i="15"/>
  <c r="L673" i="6"/>
  <c r="AJ61" i="15"/>
  <c r="L669" i="6"/>
  <c r="AJ60" i="15"/>
  <c r="L661" i="6"/>
  <c r="AJ57" i="15"/>
  <c r="L659" i="6"/>
  <c r="AJ56" i="15"/>
  <c r="L655" i="6"/>
  <c r="AJ55" i="15"/>
  <c r="L651" i="6"/>
  <c r="AJ54" i="15"/>
  <c r="L647" i="6"/>
  <c r="AJ53" i="15"/>
  <c r="H852" i="6"/>
  <c r="H851" i="6"/>
  <c r="H850" i="6"/>
  <c r="H849" i="6"/>
  <c r="H848" i="6"/>
  <c r="H847" i="6"/>
  <c r="H846" i="6"/>
  <c r="H845" i="6"/>
  <c r="H844" i="6"/>
  <c r="H843" i="6"/>
  <c r="H842" i="6"/>
  <c r="H841" i="6"/>
  <c r="H840" i="6"/>
  <c r="H839" i="6"/>
  <c r="H838" i="6"/>
  <c r="H837" i="6"/>
  <c r="H836" i="6"/>
  <c r="H835" i="6"/>
  <c r="H834" i="6"/>
  <c r="H833" i="6"/>
  <c r="H832" i="6"/>
  <c r="H831" i="6"/>
  <c r="H830" i="6"/>
  <c r="H829" i="6"/>
  <c r="H828" i="6"/>
  <c r="H827" i="6"/>
  <c r="H826" i="6"/>
  <c r="H825" i="6"/>
  <c r="H824" i="6"/>
  <c r="H823" i="6"/>
  <c r="H822" i="6"/>
  <c r="H821" i="6"/>
  <c r="H820" i="6"/>
  <c r="H819" i="6"/>
  <c r="H818" i="6"/>
  <c r="H817" i="6"/>
  <c r="H816" i="6"/>
  <c r="H815" i="6"/>
  <c r="H814" i="6"/>
  <c r="H813" i="6"/>
  <c r="H812" i="6"/>
  <c r="H811" i="6"/>
  <c r="H810" i="6"/>
  <c r="H809" i="6"/>
  <c r="H808" i="6"/>
  <c r="H807" i="6"/>
  <c r="H806" i="6"/>
  <c r="I806" i="6"/>
  <c r="R104" i="15"/>
  <c r="O104" i="15" s="1"/>
  <c r="H805" i="6"/>
  <c r="H804" i="6"/>
  <c r="H803" i="6"/>
  <c r="H802" i="6"/>
  <c r="H801" i="6"/>
  <c r="H800" i="6"/>
  <c r="H799" i="6"/>
  <c r="H798" i="6"/>
  <c r="H797" i="6"/>
  <c r="H796" i="6"/>
  <c r="H795" i="6"/>
  <c r="H794" i="6"/>
  <c r="H793" i="6"/>
  <c r="H792" i="6"/>
  <c r="H791" i="6"/>
  <c r="H790" i="6"/>
  <c r="I790" i="6"/>
  <c r="R100" i="15"/>
  <c r="H789" i="6"/>
  <c r="H788" i="6"/>
  <c r="H787" i="6"/>
  <c r="H786" i="6"/>
  <c r="H785" i="6"/>
  <c r="H784" i="6"/>
  <c r="H783" i="6"/>
  <c r="H782" i="6"/>
  <c r="H781" i="6"/>
  <c r="H780" i="6"/>
  <c r="H779" i="6"/>
  <c r="H778" i="6"/>
  <c r="H777" i="6"/>
  <c r="H776" i="6"/>
  <c r="H771" i="6"/>
  <c r="H770" i="6"/>
  <c r="I770" i="6"/>
  <c r="R95" i="15"/>
  <c r="H769" i="6"/>
  <c r="H768" i="6"/>
  <c r="H767" i="6"/>
  <c r="H766" i="6"/>
  <c r="H765" i="6"/>
  <c r="H764" i="6"/>
  <c r="H763" i="6"/>
  <c r="H762" i="6"/>
  <c r="H761" i="6"/>
  <c r="H760" i="6"/>
  <c r="H759" i="6"/>
  <c r="H758" i="6"/>
  <c r="H757" i="6"/>
  <c r="H756" i="6"/>
  <c r="H755" i="6"/>
  <c r="H754" i="6"/>
  <c r="H753" i="6"/>
  <c r="H752" i="6"/>
  <c r="H751" i="6"/>
  <c r="H750" i="6"/>
  <c r="H749" i="6"/>
  <c r="H748" i="6"/>
  <c r="H747" i="6"/>
  <c r="H746" i="6"/>
  <c r="H745" i="6"/>
  <c r="H744" i="6"/>
  <c r="H743" i="6"/>
  <c r="H742" i="6"/>
  <c r="H741" i="6"/>
  <c r="H740" i="6"/>
  <c r="H739" i="6"/>
  <c r="H738" i="6"/>
  <c r="H737" i="6"/>
  <c r="H736" i="6"/>
  <c r="I736" i="6"/>
  <c r="R84" i="15"/>
  <c r="H735" i="6"/>
  <c r="H734" i="6"/>
  <c r="H733" i="6"/>
  <c r="H732" i="6"/>
  <c r="H731" i="6"/>
  <c r="H730" i="6"/>
  <c r="H729" i="6"/>
  <c r="H726" i="6"/>
  <c r="H725" i="6"/>
  <c r="H720" i="6"/>
  <c r="H719" i="6"/>
  <c r="H718" i="6"/>
  <c r="I718" i="6"/>
  <c r="R78" i="15"/>
  <c r="O78" i="15" s="1"/>
  <c r="H717" i="6"/>
  <c r="H716" i="6"/>
  <c r="H715" i="6"/>
  <c r="H714" i="6"/>
  <c r="H713" i="6"/>
  <c r="H712" i="6"/>
  <c r="H711" i="6"/>
  <c r="H710" i="6"/>
  <c r="H709" i="6"/>
  <c r="H708" i="6"/>
  <c r="H707" i="6"/>
  <c r="H706" i="6"/>
  <c r="H705" i="6"/>
  <c r="H704" i="6"/>
  <c r="H703" i="6"/>
  <c r="H700" i="6"/>
  <c r="H699" i="6"/>
  <c r="H698" i="6"/>
  <c r="H697" i="6"/>
  <c r="H696" i="6"/>
  <c r="H695" i="6"/>
  <c r="H692" i="6"/>
  <c r="H691" i="6"/>
  <c r="H690" i="6"/>
  <c r="H689" i="6"/>
  <c r="H686" i="6"/>
  <c r="H685" i="6"/>
  <c r="H684" i="6"/>
  <c r="H683" i="6"/>
  <c r="H682" i="6"/>
  <c r="H681" i="6"/>
  <c r="H676" i="6"/>
  <c r="H675" i="6"/>
  <c r="H674" i="6"/>
  <c r="I674" i="6"/>
  <c r="R61" i="15"/>
  <c r="H673" i="6"/>
  <c r="H672" i="6"/>
  <c r="H671" i="6"/>
  <c r="H670" i="6"/>
  <c r="H669" i="6"/>
  <c r="H662" i="6"/>
  <c r="H661" i="6"/>
  <c r="H660" i="6"/>
  <c r="H659" i="6"/>
  <c r="H658" i="6"/>
  <c r="H657" i="6"/>
  <c r="H656" i="6"/>
  <c r="H655" i="6"/>
  <c r="H654" i="6"/>
  <c r="H653" i="6"/>
  <c r="H652" i="6"/>
  <c r="H651" i="6"/>
  <c r="H650" i="6"/>
  <c r="H649" i="6"/>
  <c r="H648" i="6"/>
  <c r="H647" i="6"/>
  <c r="J852" i="6"/>
  <c r="J851" i="6"/>
  <c r="X119" i="15"/>
  <c r="Z119" i="15" s="1"/>
  <c r="J850" i="6"/>
  <c r="J849" i="6"/>
  <c r="X118" i="15"/>
  <c r="Z118" i="15" s="1"/>
  <c r="J848" i="6"/>
  <c r="J847" i="6"/>
  <c r="X117" i="15"/>
  <c r="Z117" i="15" s="1"/>
  <c r="J846" i="6"/>
  <c r="J845" i="6"/>
  <c r="X116" i="15"/>
  <c r="Z116" i="15"/>
  <c r="J844" i="6"/>
  <c r="J843" i="6"/>
  <c r="X115" i="15"/>
  <c r="Z115" i="15" s="1"/>
  <c r="J842" i="6"/>
  <c r="J841" i="6"/>
  <c r="Y114" i="15"/>
  <c r="J840" i="6"/>
  <c r="J839" i="6"/>
  <c r="X114" i="15"/>
  <c r="J838" i="6"/>
  <c r="J837" i="6"/>
  <c r="X113" i="15"/>
  <c r="Z113" i="15" s="1"/>
  <c r="J836" i="6"/>
  <c r="J835" i="6"/>
  <c r="X112" i="15"/>
  <c r="Z112" i="15" s="1"/>
  <c r="J834" i="6"/>
  <c r="J833" i="6"/>
  <c r="Y111" i="15"/>
  <c r="J832" i="6"/>
  <c r="J831" i="6"/>
  <c r="X111" i="15"/>
  <c r="J830" i="6"/>
  <c r="J829" i="6"/>
  <c r="Y110" i="15"/>
  <c r="J828" i="6"/>
  <c r="J827" i="6"/>
  <c r="X110" i="15"/>
  <c r="J826" i="6"/>
  <c r="J825" i="6"/>
  <c r="Y109" i="15"/>
  <c r="Z109" i="15" s="1"/>
  <c r="J824" i="6"/>
  <c r="J823" i="6"/>
  <c r="X109" i="15"/>
  <c r="J822" i="6"/>
  <c r="J821" i="6"/>
  <c r="X108" i="15"/>
  <c r="Z108" i="15" s="1"/>
  <c r="J820" i="6"/>
  <c r="J819" i="6"/>
  <c r="Y107" i="15"/>
  <c r="J818" i="6"/>
  <c r="J817" i="6"/>
  <c r="X107" i="15"/>
  <c r="J816" i="6"/>
  <c r="J815" i="6"/>
  <c r="Y106" i="15"/>
  <c r="J814" i="6"/>
  <c r="J813" i="6"/>
  <c r="X106" i="15"/>
  <c r="J812" i="6"/>
  <c r="J811" i="6"/>
  <c r="Y105" i="15"/>
  <c r="Z105" i="15" s="1"/>
  <c r="J810" i="6"/>
  <c r="J809" i="6"/>
  <c r="X105" i="15"/>
  <c r="J808" i="6"/>
  <c r="J807" i="6"/>
  <c r="Y104" i="15"/>
  <c r="Z104" i="15" s="1"/>
  <c r="J806" i="6"/>
  <c r="J805" i="6"/>
  <c r="X104" i="15"/>
  <c r="J804" i="6"/>
  <c r="J803" i="6"/>
  <c r="Y103" i="15"/>
  <c r="J802" i="6"/>
  <c r="J801" i="6"/>
  <c r="X103" i="15"/>
  <c r="J800" i="6"/>
  <c r="J799" i="6"/>
  <c r="Y102" i="15"/>
  <c r="Z102" i="15" s="1"/>
  <c r="J798" i="6"/>
  <c r="J797" i="6"/>
  <c r="X102" i="15"/>
  <c r="J796" i="6"/>
  <c r="J795" i="6"/>
  <c r="Y101" i="15"/>
  <c r="J794" i="6"/>
  <c r="J793" i="6"/>
  <c r="X101" i="15"/>
  <c r="Z101" i="15" s="1"/>
  <c r="J792" i="6"/>
  <c r="J791" i="6"/>
  <c r="Y100" i="15"/>
  <c r="J790" i="6"/>
  <c r="J789" i="6"/>
  <c r="X100" i="15"/>
  <c r="J788" i="6"/>
  <c r="J787" i="6"/>
  <c r="Y99" i="15"/>
  <c r="J786" i="6"/>
  <c r="J785" i="6"/>
  <c r="X99" i="15"/>
  <c r="Z99" i="15" s="1"/>
  <c r="J784" i="6"/>
  <c r="J783" i="6"/>
  <c r="Y98" i="15"/>
  <c r="Z98" i="15" s="1"/>
  <c r="J782" i="6"/>
  <c r="J781" i="6"/>
  <c r="X98" i="15"/>
  <c r="J780" i="6"/>
  <c r="J779" i="6"/>
  <c r="Y97" i="15"/>
  <c r="Z97" i="15" s="1"/>
  <c r="J778" i="6"/>
  <c r="J777" i="6"/>
  <c r="X97" i="15"/>
  <c r="J776" i="6"/>
  <c r="J771" i="6"/>
  <c r="Y95" i="15"/>
  <c r="J770" i="6"/>
  <c r="J769" i="6"/>
  <c r="X95" i="15"/>
  <c r="Z95" i="15" s="1"/>
  <c r="J768" i="6"/>
  <c r="J767" i="6"/>
  <c r="Y94" i="15"/>
  <c r="J766" i="6"/>
  <c r="J765" i="6"/>
  <c r="X94" i="15"/>
  <c r="J764" i="6"/>
  <c r="J763" i="6"/>
  <c r="X93" i="15"/>
  <c r="Z93" i="15" s="1"/>
  <c r="J762" i="6"/>
  <c r="J761" i="6"/>
  <c r="Y92" i="15"/>
  <c r="J760" i="6"/>
  <c r="J759" i="6"/>
  <c r="X92" i="15"/>
  <c r="J758" i="6"/>
  <c r="J757" i="6"/>
  <c r="X91" i="15"/>
  <c r="Z91" i="15" s="1"/>
  <c r="J756" i="6"/>
  <c r="J755" i="6"/>
  <c r="Y90" i="15"/>
  <c r="J754" i="6"/>
  <c r="J753" i="6"/>
  <c r="X90" i="15"/>
  <c r="Z90" i="15" s="1"/>
  <c r="J752" i="6"/>
  <c r="J751" i="6"/>
  <c r="X89" i="15"/>
  <c r="Z89" i="15" s="1"/>
  <c r="J750" i="6"/>
  <c r="J749" i="6"/>
  <c r="Y88" i="15"/>
  <c r="J748" i="6"/>
  <c r="J747" i="6"/>
  <c r="X88" i="15"/>
  <c r="Z88" i="15" s="1"/>
  <c r="J746" i="6"/>
  <c r="J745" i="6"/>
  <c r="X87" i="15"/>
  <c r="Z87" i="15" s="1"/>
  <c r="J744" i="6"/>
  <c r="J743" i="6"/>
  <c r="X86" i="15"/>
  <c r="Z86" i="15" s="1"/>
  <c r="J742" i="6"/>
  <c r="J741" i="6"/>
  <c r="Y85" i="15"/>
  <c r="J740" i="6"/>
  <c r="J739" i="6"/>
  <c r="X85" i="15"/>
  <c r="J738" i="6"/>
  <c r="J737" i="6"/>
  <c r="Y84" i="15"/>
  <c r="J736" i="6"/>
  <c r="J735" i="6"/>
  <c r="X84" i="15"/>
  <c r="J734" i="6"/>
  <c r="J733" i="6"/>
  <c r="Y83" i="15"/>
  <c r="Z83" i="15" s="1"/>
  <c r="J732" i="6"/>
  <c r="J731" i="6"/>
  <c r="X83" i="15"/>
  <c r="J730" i="6"/>
  <c r="J729" i="6"/>
  <c r="X82" i="15"/>
  <c r="Z82" i="15" s="1"/>
  <c r="J726" i="6"/>
  <c r="J725" i="6"/>
  <c r="X80" i="15"/>
  <c r="Z80" i="15"/>
  <c r="J720" i="6"/>
  <c r="J719" i="6"/>
  <c r="Y78" i="15"/>
  <c r="J718" i="6"/>
  <c r="J717" i="6"/>
  <c r="X78" i="15"/>
  <c r="J716" i="6"/>
  <c r="J715" i="6"/>
  <c r="Y77" i="15"/>
  <c r="J714" i="6"/>
  <c r="J713" i="6"/>
  <c r="X77" i="15"/>
  <c r="Z77" i="15" s="1"/>
  <c r="J712" i="6"/>
  <c r="J711" i="6"/>
  <c r="X76" i="15"/>
  <c r="Z76" i="15" s="1"/>
  <c r="J710" i="6"/>
  <c r="J709" i="6"/>
  <c r="X75" i="15"/>
  <c r="Z75" i="15" s="1"/>
  <c r="J708" i="6"/>
  <c r="J707" i="6"/>
  <c r="X74" i="15"/>
  <c r="Z74" i="15" s="1"/>
  <c r="J706" i="6"/>
  <c r="J705" i="6"/>
  <c r="X73" i="15"/>
  <c r="Z73" i="15" s="1"/>
  <c r="J704" i="6"/>
  <c r="J703" i="6"/>
  <c r="X72" i="15"/>
  <c r="Z72" i="15"/>
  <c r="J700" i="6"/>
  <c r="J699" i="6"/>
  <c r="X70" i="15"/>
  <c r="Z70" i="15" s="1"/>
  <c r="J698" i="6"/>
  <c r="J697" i="6"/>
  <c r="Y69" i="15"/>
  <c r="J696" i="6"/>
  <c r="J695" i="6"/>
  <c r="X69" i="15"/>
  <c r="J692" i="6"/>
  <c r="J691" i="6"/>
  <c r="X67" i="15"/>
  <c r="Z67" i="15" s="1"/>
  <c r="J690" i="6"/>
  <c r="J689" i="6"/>
  <c r="X66" i="15"/>
  <c r="Z66" i="15" s="1"/>
  <c r="J686" i="6"/>
  <c r="J685" i="6"/>
  <c r="X64" i="15"/>
  <c r="Z64" i="15"/>
  <c r="J684" i="6"/>
  <c r="J683" i="6"/>
  <c r="Y63" i="15"/>
  <c r="J682" i="6"/>
  <c r="J681" i="6"/>
  <c r="X63" i="15"/>
  <c r="J676" i="6"/>
  <c r="J675" i="6"/>
  <c r="Y61" i="15"/>
  <c r="J674" i="6"/>
  <c r="J673" i="6"/>
  <c r="X61" i="15"/>
  <c r="J672" i="6"/>
  <c r="J671" i="6"/>
  <c r="Y60" i="15"/>
  <c r="Z60" i="15" s="1"/>
  <c r="J670" i="6"/>
  <c r="J669" i="6"/>
  <c r="X60" i="15"/>
  <c r="J662" i="6"/>
  <c r="J661" i="6"/>
  <c r="X57" i="15"/>
  <c r="Z57" i="15"/>
  <c r="J660" i="6"/>
  <c r="J659" i="6"/>
  <c r="X56" i="15"/>
  <c r="Z56" i="15" s="1"/>
  <c r="J658" i="6"/>
  <c r="J657" i="6"/>
  <c r="Y55" i="15"/>
  <c r="Z55" i="15" s="1"/>
  <c r="J656" i="6"/>
  <c r="J655" i="6"/>
  <c r="X55" i="15"/>
  <c r="J654" i="6"/>
  <c r="J653" i="6"/>
  <c r="Y54" i="15"/>
  <c r="Z54" i="15" s="1"/>
  <c r="J652" i="6"/>
  <c r="J651" i="6"/>
  <c r="X54" i="15"/>
  <c r="J650" i="6"/>
  <c r="J649" i="6"/>
  <c r="Y53" i="15"/>
  <c r="J648" i="6"/>
  <c r="J647" i="6"/>
  <c r="X53" i="15"/>
  <c r="Z53" i="15" s="1"/>
  <c r="K586" i="6"/>
  <c r="K583" i="6"/>
  <c r="K581"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K255" i="6"/>
  <c r="J255" i="6"/>
  <c r="J254" i="6"/>
  <c r="K253" i="6"/>
  <c r="DJ253" i="6"/>
  <c r="J253" i="6"/>
  <c r="K252" i="6"/>
  <c r="DJ252" i="6"/>
  <c r="J252" i="6"/>
  <c r="Y43" i="15"/>
  <c r="K251" i="6"/>
  <c r="DJ251" i="6"/>
  <c r="J251" i="6"/>
  <c r="J250" i="6"/>
  <c r="X43" i="15"/>
  <c r="Z43" i="15" s="1"/>
  <c r="K249" i="6"/>
  <c r="DJ249" i="6"/>
  <c r="J249" i="6"/>
  <c r="J248" i="6"/>
  <c r="X42" i="15"/>
  <c r="Z42" i="15"/>
  <c r="K247" i="6"/>
  <c r="DJ247" i="6"/>
  <c r="J247" i="6"/>
  <c r="J246" i="6"/>
  <c r="X41" i="15"/>
  <c r="Z41" i="15" s="1"/>
  <c r="K245" i="6"/>
  <c r="DJ245" i="6"/>
  <c r="J245" i="6"/>
  <c r="K244" i="6"/>
  <c r="DJ244" i="6"/>
  <c r="J244" i="6"/>
  <c r="Y40" i="15"/>
  <c r="K243" i="6"/>
  <c r="DJ243" i="6"/>
  <c r="J243" i="6"/>
  <c r="J242" i="6"/>
  <c r="X40" i="15"/>
  <c r="Z40" i="15" s="1"/>
  <c r="K241" i="6"/>
  <c r="DJ241" i="6"/>
  <c r="J241" i="6"/>
  <c r="K240" i="6"/>
  <c r="DJ240" i="6"/>
  <c r="J240" i="6"/>
  <c r="Y39" i="15"/>
  <c r="K239" i="6"/>
  <c r="DJ239" i="6"/>
  <c r="J239" i="6"/>
  <c r="J238" i="6"/>
  <c r="X39" i="15"/>
  <c r="K237" i="6"/>
  <c r="DJ237" i="6"/>
  <c r="J237" i="6"/>
  <c r="J236" i="6"/>
  <c r="X38" i="15"/>
  <c r="Z38" i="15"/>
  <c r="K235" i="6"/>
  <c r="DJ235" i="6"/>
  <c r="J235" i="6"/>
  <c r="J234" i="6"/>
  <c r="X37" i="15"/>
  <c r="Z37" i="15" s="1"/>
  <c r="J233" i="6"/>
  <c r="X36" i="15"/>
  <c r="Z36" i="15" s="1"/>
  <c r="K232" i="6"/>
  <c r="DJ232" i="6"/>
  <c r="J232" i="6"/>
  <c r="Y35" i="15"/>
  <c r="J231" i="6"/>
  <c r="X35" i="15"/>
  <c r="Z35" i="15" s="1"/>
  <c r="L310" i="15"/>
  <c r="I154" i="6"/>
  <c r="I177" i="6"/>
  <c r="I201" i="6"/>
  <c r="I224" i="6"/>
  <c r="F62" i="6"/>
  <c r="F85" i="6"/>
  <c r="F108" i="6"/>
  <c r="F131" i="6"/>
  <c r="F154" i="6"/>
  <c r="F177" i="6"/>
  <c r="F201" i="6"/>
  <c r="F224" i="6"/>
  <c r="I151" i="6"/>
  <c r="I174" i="6"/>
  <c r="I198" i="6"/>
  <c r="I221" i="6"/>
  <c r="F59" i="6"/>
  <c r="F82" i="6"/>
  <c r="F105" i="6"/>
  <c r="F128" i="6"/>
  <c r="F151" i="6"/>
  <c r="F174" i="6"/>
  <c r="F198" i="6"/>
  <c r="F221" i="6"/>
  <c r="I148" i="6"/>
  <c r="I171" i="6"/>
  <c r="I195" i="6"/>
  <c r="I218" i="6"/>
  <c r="F56" i="6"/>
  <c r="F79" i="6"/>
  <c r="F102" i="6"/>
  <c r="F125" i="6"/>
  <c r="F148" i="6"/>
  <c r="F171" i="6"/>
  <c r="F195" i="6"/>
  <c r="F218" i="6"/>
  <c r="I145" i="6"/>
  <c r="I168" i="6"/>
  <c r="I192" i="6"/>
  <c r="I215" i="6"/>
  <c r="F53" i="6"/>
  <c r="F76" i="6"/>
  <c r="F99" i="6"/>
  <c r="F122" i="6"/>
  <c r="F145" i="6"/>
  <c r="F168" i="6"/>
  <c r="F192" i="6"/>
  <c r="F215" i="6"/>
  <c r="I142" i="6"/>
  <c r="I165" i="6"/>
  <c r="I189" i="6"/>
  <c r="I212" i="6"/>
  <c r="F50" i="6"/>
  <c r="F73" i="6"/>
  <c r="F96" i="6"/>
  <c r="F119" i="6"/>
  <c r="F142" i="6"/>
  <c r="F165" i="6"/>
  <c r="F189" i="6"/>
  <c r="F212" i="6"/>
  <c r="I140" i="6"/>
  <c r="I163" i="6"/>
  <c r="I187" i="6"/>
  <c r="I210" i="6"/>
  <c r="F48" i="6"/>
  <c r="F71" i="6"/>
  <c r="F94" i="6"/>
  <c r="F117" i="6"/>
  <c r="F140" i="6"/>
  <c r="F163" i="6"/>
  <c r="F187" i="6"/>
  <c r="F210" i="6"/>
  <c r="I137" i="6"/>
  <c r="I160" i="6"/>
  <c r="I184" i="6"/>
  <c r="I207" i="6"/>
  <c r="F45" i="6"/>
  <c r="F68" i="6"/>
  <c r="F91" i="6"/>
  <c r="F114" i="6"/>
  <c r="F137" i="6"/>
  <c r="F160" i="6"/>
  <c r="F184" i="6"/>
  <c r="F207" i="6"/>
  <c r="I134" i="6"/>
  <c r="I157" i="6"/>
  <c r="I181" i="6"/>
  <c r="I204" i="6"/>
  <c r="F42" i="6"/>
  <c r="F65" i="6"/>
  <c r="F88" i="6"/>
  <c r="F111" i="6"/>
  <c r="F134" i="6"/>
  <c r="F157" i="6"/>
  <c r="F181" i="6"/>
  <c r="F204" i="6"/>
  <c r="H30" i="6"/>
  <c r="H29" i="6"/>
  <c r="H28" i="6"/>
  <c r="H27" i="6"/>
  <c r="H26" i="6"/>
  <c r="H25" i="6"/>
  <c r="H24" i="6"/>
  <c r="H23" i="6"/>
  <c r="H22" i="6"/>
  <c r="H21" i="6"/>
  <c r="H20" i="6"/>
  <c r="H19" i="6"/>
  <c r="H18" i="6"/>
  <c r="H17" i="6"/>
  <c r="H16" i="6"/>
  <c r="H15" i="6"/>
  <c r="H14" i="6"/>
  <c r="H13" i="6"/>
  <c r="H12" i="6"/>
  <c r="H11" i="6"/>
  <c r="H10" i="6"/>
  <c r="H9" i="6"/>
  <c r="H8" i="6"/>
  <c r="J30" i="6"/>
  <c r="X34" i="15"/>
  <c r="Z34" i="15" s="1"/>
  <c r="K29" i="6"/>
  <c r="DJ29" i="6"/>
  <c r="J29" i="6"/>
  <c r="Y33" i="15"/>
  <c r="Z33" i="15" s="1"/>
  <c r="J28" i="6"/>
  <c r="X33" i="15"/>
  <c r="J27" i="6"/>
  <c r="X32" i="15"/>
  <c r="Z32" i="15"/>
  <c r="K26" i="6"/>
  <c r="DJ26" i="6"/>
  <c r="J26" i="6"/>
  <c r="Y31" i="15"/>
  <c r="J25" i="6"/>
  <c r="X31" i="15"/>
  <c r="J24" i="6"/>
  <c r="X30" i="15"/>
  <c r="Z30" i="15"/>
  <c r="K23" i="6"/>
  <c r="DJ23" i="6"/>
  <c r="J23" i="6"/>
  <c r="Y29" i="15"/>
  <c r="Z29" i="15" s="1"/>
  <c r="J22" i="6"/>
  <c r="X29" i="15"/>
  <c r="J21" i="6"/>
  <c r="X28" i="15"/>
  <c r="Z28" i="15" s="1"/>
  <c r="K20" i="6"/>
  <c r="DJ20" i="6"/>
  <c r="J20" i="6"/>
  <c r="Y27" i="15"/>
  <c r="Z27" i="15" s="1"/>
  <c r="J19" i="6"/>
  <c r="X27" i="15"/>
  <c r="J18" i="6"/>
  <c r="X26" i="15"/>
  <c r="Z26" i="15"/>
  <c r="K17" i="6"/>
  <c r="DJ17" i="6"/>
  <c r="J17" i="6"/>
  <c r="Y25" i="15"/>
  <c r="J16" i="6"/>
  <c r="X25" i="15"/>
  <c r="K15" i="6"/>
  <c r="DJ15" i="6"/>
  <c r="J15" i="6"/>
  <c r="Y24" i="15"/>
  <c r="J14" i="6"/>
  <c r="X24" i="15"/>
  <c r="Z24" i="15" s="1"/>
  <c r="J13" i="6"/>
  <c r="X23" i="15"/>
  <c r="Z23" i="15" s="1"/>
  <c r="K12" i="6"/>
  <c r="DJ12" i="6"/>
  <c r="J12" i="6"/>
  <c r="Y22" i="15"/>
  <c r="J11" i="6"/>
  <c r="X22" i="15"/>
  <c r="J10" i="6"/>
  <c r="X21" i="15"/>
  <c r="Z21" i="15"/>
  <c r="K9" i="6"/>
  <c r="DJ9" i="6"/>
  <c r="J9" i="6"/>
  <c r="J8" i="6"/>
  <c r="X20" i="15"/>
  <c r="Z20" i="15" s="1"/>
  <c r="DJ850" i="6"/>
  <c r="M2074" i="6"/>
  <c r="L2074" i="6"/>
  <c r="M2035" i="6"/>
  <c r="L2035" i="6"/>
  <c r="M2123" i="6"/>
  <c r="L2123" i="6"/>
  <c r="M2024" i="6"/>
  <c r="L2024" i="6"/>
  <c r="M48" i="2"/>
  <c r="F18" i="2"/>
  <c r="I260" i="15"/>
  <c r="M50" i="2"/>
  <c r="F20" i="2"/>
  <c r="M51" i="2"/>
  <c r="F21" i="2"/>
  <c r="M52" i="2"/>
  <c r="F22" i="2"/>
  <c r="M53" i="2"/>
  <c r="F23" i="2"/>
  <c r="M54" i="2"/>
  <c r="F24" i="2"/>
  <c r="DJ255" i="6"/>
  <c r="Z111" i="15"/>
  <c r="Z39" i="15"/>
  <c r="Z78" i="15"/>
  <c r="K76" i="15"/>
  <c r="I76" i="15" s="1"/>
  <c r="K77" i="15"/>
  <c r="M106" i="15"/>
  <c r="M107" i="15"/>
  <c r="L37" i="15"/>
  <c r="L40" i="15"/>
  <c r="K75" i="15"/>
  <c r="N103" i="15"/>
  <c r="K106" i="15"/>
  <c r="L1356" i="6"/>
  <c r="L74" i="15"/>
  <c r="K93" i="15"/>
  <c r="I93" i="15" s="1"/>
  <c r="N102" i="15"/>
  <c r="K118" i="15"/>
  <c r="L75" i="15"/>
  <c r="L107" i="15"/>
  <c r="M43" i="15"/>
  <c r="BC43" i="15" s="1"/>
  <c r="L93" i="15"/>
  <c r="L116" i="15"/>
  <c r="BB102" i="15" s="1"/>
  <c r="BB116" i="15" s="1"/>
  <c r="L38" i="15"/>
  <c r="I254" i="6"/>
  <c r="Q44" i="15"/>
  <c r="O44" i="15"/>
  <c r="M90" i="15"/>
  <c r="N104" i="15"/>
  <c r="BD76" i="15" s="1"/>
  <c r="BD104" i="15" s="1"/>
  <c r="BI104" i="15" s="1"/>
  <c r="Z107" i="15"/>
  <c r="K111" i="15"/>
  <c r="BA111" i="15" s="1"/>
  <c r="N40" i="15"/>
  <c r="BD42" i="15" s="1"/>
  <c r="BI42" i="15" s="1"/>
  <c r="N43" i="15"/>
  <c r="L76" i="15"/>
  <c r="L77" i="15"/>
  <c r="N83" i="15"/>
  <c r="K86" i="15"/>
  <c r="N106" i="15"/>
  <c r="N107" i="15"/>
  <c r="K56" i="15"/>
  <c r="BA53" i="15" s="1"/>
  <c r="BF53" i="15" s="1"/>
  <c r="N90" i="15"/>
  <c r="L94" i="15"/>
  <c r="L110" i="15"/>
  <c r="L111" i="15"/>
  <c r="BB111" i="15" s="1"/>
  <c r="BB112" i="15" s="1"/>
  <c r="BG112" i="15" s="1"/>
  <c r="K39" i="15"/>
  <c r="M53" i="15"/>
  <c r="J53" i="15"/>
  <c r="Z61" i="15"/>
  <c r="L86" i="15"/>
  <c r="I86" i="15" s="1"/>
  <c r="K108" i="15"/>
  <c r="L1345" i="6"/>
  <c r="I803" i="6"/>
  <c r="S103" i="15"/>
  <c r="K41" i="15"/>
  <c r="X44" i="15"/>
  <c r="Z44" i="15" s="1"/>
  <c r="W44" i="15" s="1"/>
  <c r="V44" i="15" s="1"/>
  <c r="U44" i="15" s="1"/>
  <c r="L56" i="15"/>
  <c r="N61" i="15"/>
  <c r="N77" i="15"/>
  <c r="J77" i="15" s="1"/>
  <c r="K88" i="15"/>
  <c r="K91" i="15"/>
  <c r="Z94" i="15"/>
  <c r="M110" i="15"/>
  <c r="M111" i="15"/>
  <c r="J111" i="15" s="1"/>
  <c r="L39" i="15"/>
  <c r="Y44" i="15"/>
  <c r="Z69" i="15"/>
  <c r="Z84" i="15"/>
  <c r="W84" i="15" s="1"/>
  <c r="V84" i="15" s="1"/>
  <c r="U84" i="15" s="1"/>
  <c r="K87" i="15"/>
  <c r="I87" i="15" s="1"/>
  <c r="N94" i="15"/>
  <c r="K98" i="15"/>
  <c r="L108" i="15"/>
  <c r="Z110" i="15"/>
  <c r="L1346" i="6"/>
  <c r="L98" i="15"/>
  <c r="M39" i="15"/>
  <c r="J39" i="15" s="1"/>
  <c r="M88" i="15"/>
  <c r="K92" i="15"/>
  <c r="I92" i="15" s="1"/>
  <c r="L115" i="15"/>
  <c r="L119" i="15"/>
  <c r="BD114" i="15" s="1"/>
  <c r="BI114" i="15" s="1"/>
  <c r="K42" i="15"/>
  <c r="Z63" i="15"/>
  <c r="L43" i="15"/>
  <c r="N100" i="15"/>
  <c r="K107" i="15"/>
  <c r="L23" i="6"/>
  <c r="K66" i="15"/>
  <c r="I66" i="15" s="1"/>
  <c r="K90" i="15"/>
  <c r="K116" i="15"/>
  <c r="I116" i="15" s="1"/>
  <c r="L1303" i="6"/>
  <c r="L106" i="15"/>
  <c r="L1357" i="6"/>
  <c r="K38" i="15"/>
  <c r="M40" i="15"/>
  <c r="J40" i="15" s="1"/>
  <c r="L66" i="15"/>
  <c r="L90" i="15"/>
  <c r="L118" i="15"/>
  <c r="K53" i="15"/>
  <c r="I53" i="15"/>
  <c r="K94" i="15"/>
  <c r="Z106" i="15"/>
  <c r="K110" i="15"/>
  <c r="K35" i="15"/>
  <c r="BA36" i="15" s="1"/>
  <c r="BK36" i="15" s="1"/>
  <c r="L41" i="15"/>
  <c r="K54" i="15"/>
  <c r="K57" i="15"/>
  <c r="N84" i="15"/>
  <c r="BD84" i="15" s="1"/>
  <c r="BI84" i="15" s="1"/>
  <c r="L88" i="15"/>
  <c r="L91" i="15"/>
  <c r="BB90" i="15" s="1"/>
  <c r="N110" i="15"/>
  <c r="N111" i="15"/>
  <c r="K115" i="15"/>
  <c r="K117" i="15"/>
  <c r="K119" i="15"/>
  <c r="I119" i="15" s="1"/>
  <c r="L87" i="15"/>
  <c r="I771" i="6"/>
  <c r="S95" i="15"/>
  <c r="L1365" i="6"/>
  <c r="M35" i="15"/>
  <c r="L54" i="15"/>
  <c r="L57" i="15"/>
  <c r="L70" i="15"/>
  <c r="K85" i="15"/>
  <c r="I85" i="15" s="1"/>
  <c r="K112" i="15"/>
  <c r="L117" i="15"/>
  <c r="M98" i="15"/>
  <c r="M54" i="15"/>
  <c r="L85" i="15"/>
  <c r="BB85" i="15" s="1"/>
  <c r="N88" i="15"/>
  <c r="L92" i="15"/>
  <c r="BB92" i="15" s="1"/>
  <c r="K102" i="15"/>
  <c r="K103" i="15"/>
  <c r="L112" i="15"/>
  <c r="L114" i="15"/>
  <c r="I114" i="15" s="1"/>
  <c r="L1298" i="6"/>
  <c r="L1319" i="6"/>
  <c r="I733" i="6"/>
  <c r="S83" i="15"/>
  <c r="P83" i="15" s="1"/>
  <c r="Z22" i="15"/>
  <c r="K36" i="15"/>
  <c r="I36" i="15"/>
  <c r="N39" i="15"/>
  <c r="L42" i="15"/>
  <c r="L72" i="15"/>
  <c r="K80" i="15"/>
  <c r="N98" i="15"/>
  <c r="N54" i="15"/>
  <c r="BD54" i="15" s="1"/>
  <c r="M85" i="15"/>
  <c r="K89" i="15"/>
  <c r="I89" i="15" s="1"/>
  <c r="M92" i="15"/>
  <c r="L102" i="15"/>
  <c r="L103" i="15"/>
  <c r="K113" i="15"/>
  <c r="Z114" i="15"/>
  <c r="L1299" i="6"/>
  <c r="K37" i="15"/>
  <c r="I37" i="15" s="1"/>
  <c r="K48" i="15"/>
  <c r="I48" i="15" s="1"/>
  <c r="Z85" i="15"/>
  <c r="N114" i="15"/>
  <c r="J114" i="15"/>
  <c r="Z31" i="15"/>
  <c r="K74" i="15"/>
  <c r="N85" i="15"/>
  <c r="L89" i="15"/>
  <c r="N92" i="15"/>
  <c r="Z100" i="15"/>
  <c r="M102" i="15"/>
  <c r="BC102" i="15" s="1"/>
  <c r="Z103" i="15"/>
  <c r="L113" i="15"/>
  <c r="I703" i="6"/>
  <c r="Q72" i="15"/>
  <c r="I231" i="6"/>
  <c r="Q35" i="15"/>
  <c r="O35" i="15" s="1"/>
  <c r="K585" i="6"/>
  <c r="I840" i="6"/>
  <c r="R114" i="15"/>
  <c r="I738" i="6"/>
  <c r="T84" i="15"/>
  <c r="P84" i="15" s="1"/>
  <c r="I676" i="6"/>
  <c r="T61" i="15"/>
  <c r="AJ66" i="15"/>
  <c r="I662" i="6"/>
  <c r="R57" i="15"/>
  <c r="I247" i="6"/>
  <c r="R41" i="15"/>
  <c r="I243" i="6"/>
  <c r="R40" i="15"/>
  <c r="O40" i="15" s="1"/>
  <c r="I244" i="6"/>
  <c r="S40" i="15"/>
  <c r="P40" i="15" s="1"/>
  <c r="I808" i="6"/>
  <c r="T104" i="15"/>
  <c r="I720" i="6"/>
  <c r="T78" i="15"/>
  <c r="I652" i="6"/>
  <c r="R54" i="15"/>
  <c r="I730" i="6"/>
  <c r="R82" i="15"/>
  <c r="I654" i="6"/>
  <c r="T54" i="15"/>
  <c r="P54" i="15" s="1"/>
  <c r="I739" i="6"/>
  <c r="Q85" i="15"/>
  <c r="I740" i="6"/>
  <c r="R85" i="15"/>
  <c r="I811" i="6"/>
  <c r="S105" i="15"/>
  <c r="I764" i="6"/>
  <c r="R93" i="15"/>
  <c r="I699" i="6"/>
  <c r="Q70" i="15"/>
  <c r="O70" i="15" s="1"/>
  <c r="I798" i="6"/>
  <c r="R102" i="15"/>
  <c r="I779" i="6"/>
  <c r="S97" i="15"/>
  <c r="I809" i="6"/>
  <c r="Q105" i="15"/>
  <c r="I685" i="6"/>
  <c r="Q64" i="15"/>
  <c r="I697" i="6"/>
  <c r="S69" i="15"/>
  <c r="I745" i="6"/>
  <c r="Q87" i="15"/>
  <c r="I760" i="6"/>
  <c r="R92" i="15"/>
  <c r="I799" i="6"/>
  <c r="S102" i="15"/>
  <c r="I819" i="6"/>
  <c r="S107" i="15"/>
  <c r="I838" i="6"/>
  <c r="R113" i="15"/>
  <c r="I839" i="6"/>
  <c r="Q114" i="15"/>
  <c r="O114" i="15" s="1"/>
  <c r="I810" i="6"/>
  <c r="R105" i="15"/>
  <c r="O105" i="15" s="1"/>
  <c r="I846" i="6"/>
  <c r="R116" i="15"/>
  <c r="I698" i="6"/>
  <c r="T69" i="15"/>
  <c r="I761" i="6"/>
  <c r="S92" i="15"/>
  <c r="P92" i="15" s="1"/>
  <c r="I782" i="6"/>
  <c r="R98" i="15"/>
  <c r="O98" i="15" s="1"/>
  <c r="I800" i="6"/>
  <c r="T102" i="15"/>
  <c r="P102" i="15" s="1"/>
  <c r="I753" i="6"/>
  <c r="Q90" i="15"/>
  <c r="I656" i="6"/>
  <c r="R55" i="15"/>
  <c r="I716" i="6"/>
  <c r="T77" i="15"/>
  <c r="I754" i="6"/>
  <c r="R90" i="15"/>
  <c r="I830" i="6"/>
  <c r="T110" i="15"/>
  <c r="I832" i="6"/>
  <c r="R111" i="15"/>
  <c r="O111" i="15" s="1"/>
  <c r="I747" i="6"/>
  <c r="Q88" i="15"/>
  <c r="I648" i="6"/>
  <c r="R53" i="15"/>
  <c r="I657" i="6"/>
  <c r="S55" i="15"/>
  <c r="I711" i="6"/>
  <c r="Q76" i="15"/>
  <c r="I748" i="6"/>
  <c r="R88" i="15"/>
  <c r="O88" i="15" s="1"/>
  <c r="I755" i="6"/>
  <c r="S90" i="15"/>
  <c r="I812" i="6"/>
  <c r="T105" i="15"/>
  <c r="I833" i="6"/>
  <c r="S111" i="15"/>
  <c r="I835" i="6"/>
  <c r="Q112" i="15"/>
  <c r="I696" i="6"/>
  <c r="R69" i="15"/>
  <c r="O69" i="15" s="1"/>
  <c r="I650" i="6"/>
  <c r="T53" i="15"/>
  <c r="P53" i="15" s="1"/>
  <c r="I813" i="6"/>
  <c r="Q106" i="15"/>
  <c r="I822" i="6"/>
  <c r="R108" i="15"/>
  <c r="I815" i="6"/>
  <c r="S106" i="15"/>
  <c r="I784" i="6"/>
  <c r="T98" i="15"/>
  <c r="I706" i="6"/>
  <c r="R73" i="15"/>
  <c r="O73" i="15" s="1"/>
  <c r="I757" i="6"/>
  <c r="Q91" i="15"/>
  <c r="I824" i="6"/>
  <c r="R109" i="15"/>
  <c r="I695" i="6"/>
  <c r="Q69" i="15"/>
  <c r="I734" i="6"/>
  <c r="T83" i="15"/>
  <c r="I743" i="6"/>
  <c r="Q86" i="15"/>
  <c r="O86" i="15" s="1"/>
  <c r="I836" i="6"/>
  <c r="R112" i="15"/>
  <c r="O112" i="15" s="1"/>
  <c r="I766" i="6"/>
  <c r="R94" i="15"/>
  <c r="I827" i="6"/>
  <c r="Q110" i="15"/>
  <c r="I684" i="6"/>
  <c r="T63" i="15"/>
  <c r="I826" i="6"/>
  <c r="T109" i="15"/>
  <c r="I768" i="6"/>
  <c r="T94" i="15"/>
  <c r="P94" i="15" s="1"/>
  <c r="I831" i="6"/>
  <c r="Q111" i="15"/>
  <c r="I658" i="6"/>
  <c r="T55" i="15"/>
  <c r="I756" i="6"/>
  <c r="T90" i="15"/>
  <c r="I814" i="6"/>
  <c r="R106" i="15"/>
  <c r="I834" i="6"/>
  <c r="T111" i="15"/>
  <c r="P111" i="15" s="1"/>
  <c r="I795" i="6"/>
  <c r="S101" i="15"/>
  <c r="P101" i="15" s="1"/>
  <c r="I741" i="6"/>
  <c r="S85" i="15"/>
  <c r="I750" i="6"/>
  <c r="T88" i="15"/>
  <c r="I788" i="6"/>
  <c r="T99" i="15"/>
  <c r="I797" i="6"/>
  <c r="Q102" i="15"/>
  <c r="I725" i="6"/>
  <c r="Q80" i="15"/>
  <c r="I653" i="6"/>
  <c r="S54" i="15"/>
  <c r="I778" i="6"/>
  <c r="R97" i="15"/>
  <c r="I825" i="6"/>
  <c r="S109" i="15"/>
  <c r="I744" i="6"/>
  <c r="R86" i="15"/>
  <c r="I655" i="6"/>
  <c r="Q55" i="15"/>
  <c r="O55" i="15" s="1"/>
  <c r="I780" i="6"/>
  <c r="T97" i="15"/>
  <c r="P97" i="15" s="1"/>
  <c r="I651" i="6"/>
  <c r="Q54" i="15"/>
  <c r="I823" i="6"/>
  <c r="Q109" i="15"/>
  <c r="I765" i="6"/>
  <c r="Q94" i="15"/>
  <c r="I726" i="6"/>
  <c r="R80" i="15"/>
  <c r="I729" i="6"/>
  <c r="Q82" i="15"/>
  <c r="O82" i="15" s="1"/>
  <c r="I781" i="6"/>
  <c r="Q98" i="15"/>
  <c r="I692" i="6"/>
  <c r="R67" i="15"/>
  <c r="I759" i="6"/>
  <c r="Q92" i="15"/>
  <c r="I659" i="6"/>
  <c r="Q56" i="15"/>
  <c r="L1347" i="6"/>
  <c r="L22" i="6"/>
  <c r="AJ29" i="15"/>
  <c r="K217" i="6"/>
  <c r="I700" i="6"/>
  <c r="R70" i="15"/>
  <c r="L1328" i="6"/>
  <c r="L1313" i="6"/>
  <c r="L1320" i="6"/>
  <c r="I742" i="6"/>
  <c r="T85" i="15"/>
  <c r="I802" i="6"/>
  <c r="R103" i="15"/>
  <c r="I232" i="6"/>
  <c r="S35" i="15"/>
  <c r="P35" i="15" s="1"/>
  <c r="I794" i="6"/>
  <c r="R101" i="15"/>
  <c r="I709" i="6"/>
  <c r="Q75" i="15"/>
  <c r="K582" i="6"/>
  <c r="I793" i="6"/>
  <c r="Q101" i="15"/>
  <c r="O101" i="15" s="1"/>
  <c r="I689" i="6"/>
  <c r="Q66" i="15"/>
  <c r="O66" i="15" s="1"/>
  <c r="I801" i="6"/>
  <c r="Q103" i="15"/>
  <c r="I816" i="6"/>
  <c r="T106" i="15"/>
  <c r="K584" i="6"/>
  <c r="L519" i="6"/>
  <c r="AJ50" i="15"/>
  <c r="I669" i="6"/>
  <c r="Q60" i="15"/>
  <c r="I818" i="6"/>
  <c r="R107" i="15"/>
  <c r="I672" i="6"/>
  <c r="T60" i="15"/>
  <c r="I828" i="6"/>
  <c r="R110" i="15"/>
  <c r="I710" i="6"/>
  <c r="R75" i="15"/>
  <c r="I763" i="6"/>
  <c r="Q93" i="15"/>
  <c r="I804" i="6"/>
  <c r="T103" i="15"/>
  <c r="I670" i="6"/>
  <c r="R60" i="15"/>
  <c r="I682" i="6"/>
  <c r="R63" i="15"/>
  <c r="I731" i="6"/>
  <c r="Q83" i="15"/>
  <c r="I841" i="6"/>
  <c r="S114" i="15"/>
  <c r="L1355" i="6"/>
  <c r="I691" i="6"/>
  <c r="Q67" i="15"/>
  <c r="I751" i="6"/>
  <c r="Q89" i="15"/>
  <c r="I851" i="6"/>
  <c r="Q119" i="15"/>
  <c r="I796" i="6"/>
  <c r="T101" i="15"/>
  <c r="I712" i="6"/>
  <c r="R76" i="15"/>
  <c r="I746" i="6"/>
  <c r="R87" i="15"/>
  <c r="I820" i="6"/>
  <c r="T107" i="15"/>
  <c r="P107" i="15" s="1"/>
  <c r="I842" i="6"/>
  <c r="T114" i="15"/>
  <c r="I843" i="6"/>
  <c r="Q115" i="15"/>
  <c r="I785" i="6"/>
  <c r="Q99" i="15"/>
  <c r="O99" i="15" s="1"/>
  <c r="I817" i="6"/>
  <c r="Q107" i="15"/>
  <c r="I704" i="6"/>
  <c r="R72" i="15"/>
  <c r="I758" i="6"/>
  <c r="R91" i="15"/>
  <c r="I792" i="6"/>
  <c r="T100" i="15"/>
  <c r="I762" i="6"/>
  <c r="T92" i="15"/>
  <c r="I783" i="6"/>
  <c r="S98" i="15"/>
  <c r="I821" i="6"/>
  <c r="Q108" i="15"/>
  <c r="I829" i="6"/>
  <c r="S110" i="15"/>
  <c r="P110" i="15" s="1"/>
  <c r="I844" i="6"/>
  <c r="R115" i="15"/>
  <c r="I649" i="6"/>
  <c r="S53" i="15"/>
  <c r="I777" i="6"/>
  <c r="Q97" i="15"/>
  <c r="I686" i="6"/>
  <c r="R64" i="15"/>
  <c r="I233" i="6"/>
  <c r="Q36" i="15"/>
  <c r="I245" i="6"/>
  <c r="T40" i="15"/>
  <c r="I240" i="6"/>
  <c r="S39" i="15"/>
  <c r="P39" i="15" s="1"/>
  <c r="I241" i="6"/>
  <c r="T39" i="15"/>
  <c r="I234" i="6"/>
  <c r="Q37" i="15"/>
  <c r="I246" i="6"/>
  <c r="Q41" i="15"/>
  <c r="I251" i="6"/>
  <c r="R43" i="15"/>
  <c r="O43" i="15" s="1"/>
  <c r="I237" i="6"/>
  <c r="R38" i="15"/>
  <c r="I252" i="6"/>
  <c r="S43" i="15"/>
  <c r="I238" i="6"/>
  <c r="Q39" i="15"/>
  <c r="I239" i="6"/>
  <c r="R39" i="15"/>
  <c r="I248" i="6"/>
  <c r="Q42" i="15"/>
  <c r="I249" i="6"/>
  <c r="R42" i="15"/>
  <c r="O42" i="15" s="1"/>
  <c r="I235" i="6"/>
  <c r="R37" i="15"/>
  <c r="I236" i="6"/>
  <c r="Q38" i="15"/>
  <c r="O38" i="15" s="1"/>
  <c r="I253" i="6"/>
  <c r="T43" i="15"/>
  <c r="M46" i="2"/>
  <c r="M45" i="2"/>
  <c r="M44" i="2"/>
  <c r="M43" i="2"/>
  <c r="F13" i="2"/>
  <c r="M42" i="2"/>
  <c r="F12" i="2"/>
  <c r="M41" i="2"/>
  <c r="F11" i="2"/>
  <c r="M40" i="2"/>
  <c r="M39" i="2"/>
  <c r="F9" i="2"/>
  <c r="M49" i="2"/>
  <c r="M47" i="2"/>
  <c r="I707" i="6"/>
  <c r="Q74" i="15"/>
  <c r="I708" i="6"/>
  <c r="R74" i="15"/>
  <c r="I776" i="6"/>
  <c r="T95" i="15"/>
  <c r="L1329" i="6"/>
  <c r="I660" i="6"/>
  <c r="R56" i="15"/>
  <c r="L1363" i="6"/>
  <c r="I732" i="6"/>
  <c r="R83" i="15"/>
  <c r="L1330" i="6"/>
  <c r="I661" i="6"/>
  <c r="Q57" i="15"/>
  <c r="L1297" i="6"/>
  <c r="I752" i="6"/>
  <c r="R89" i="15"/>
  <c r="L1321" i="6"/>
  <c r="I690" i="6"/>
  <c r="R66" i="15"/>
  <c r="L1364" i="6"/>
  <c r="I714" i="6"/>
  <c r="R77" i="15"/>
  <c r="I786" i="6"/>
  <c r="R99" i="15"/>
  <c r="I713" i="6"/>
  <c r="Q77" i="15"/>
  <c r="O77" i="15" s="1"/>
  <c r="I705" i="6"/>
  <c r="Q73" i="15"/>
  <c r="I749" i="6"/>
  <c r="S88" i="15"/>
  <c r="P88" i="15" s="1"/>
  <c r="I647" i="6"/>
  <c r="Q53" i="15"/>
  <c r="O53" i="15" s="1"/>
  <c r="I848" i="6"/>
  <c r="R117" i="15"/>
  <c r="I837" i="6"/>
  <c r="Q113" i="15"/>
  <c r="I852" i="6"/>
  <c r="R119" i="15"/>
  <c r="I845" i="6"/>
  <c r="Q116" i="15"/>
  <c r="O116" i="15" s="1"/>
  <c r="I850" i="6"/>
  <c r="R118" i="15"/>
  <c r="L1302" i="6"/>
  <c r="I849" i="6"/>
  <c r="Q118" i="15"/>
  <c r="I847" i="6"/>
  <c r="Q117" i="15"/>
  <c r="K219" i="6"/>
  <c r="L24" i="6"/>
  <c r="AJ30" i="15"/>
  <c r="I18" i="2"/>
  <c r="O260" i="15"/>
  <c r="DK18" i="2"/>
  <c r="AA260" i="15" s="1"/>
  <c r="I266" i="15"/>
  <c r="I24" i="2"/>
  <c r="O266" i="15"/>
  <c r="AE266" i="15"/>
  <c r="AC266" i="15" s="1"/>
  <c r="I265" i="15"/>
  <c r="I23" i="2"/>
  <c r="O265" i="15"/>
  <c r="I264" i="15"/>
  <c r="I22" i="2"/>
  <c r="O264" i="15"/>
  <c r="DK22" i="2"/>
  <c r="AA264" i="15" s="1"/>
  <c r="I263" i="15"/>
  <c r="I21" i="2"/>
  <c r="O263" i="15"/>
  <c r="I262" i="15"/>
  <c r="I20" i="2"/>
  <c r="O262" i="15"/>
  <c r="DK20" i="2"/>
  <c r="AA262" i="15" s="1"/>
  <c r="F10" i="2"/>
  <c r="O74" i="15"/>
  <c r="J43" i="15"/>
  <c r="J69" i="15"/>
  <c r="O109" i="15"/>
  <c r="I242" i="6"/>
  <c r="Q40" i="15"/>
  <c r="J106" i="15"/>
  <c r="O64" i="15"/>
  <c r="O39" i="15"/>
  <c r="I54" i="15"/>
  <c r="I115" i="15"/>
  <c r="P106" i="15"/>
  <c r="P114" i="15"/>
  <c r="P98" i="15"/>
  <c r="O83" i="15"/>
  <c r="I107" i="15"/>
  <c r="O92" i="15"/>
  <c r="I101" i="15"/>
  <c r="P105" i="15"/>
  <c r="P109" i="15"/>
  <c r="O106" i="15"/>
  <c r="I74" i="15"/>
  <c r="I98" i="15"/>
  <c r="J101" i="15"/>
  <c r="I82" i="15"/>
  <c r="J102" i="15"/>
  <c r="I41" i="15"/>
  <c r="O54" i="15"/>
  <c r="I113" i="15"/>
  <c r="J105" i="15"/>
  <c r="J90" i="15"/>
  <c r="O57" i="15"/>
  <c r="P69" i="15"/>
  <c r="O117" i="15"/>
  <c r="O91" i="15"/>
  <c r="I83" i="15"/>
  <c r="I111" i="15"/>
  <c r="I99" i="15"/>
  <c r="P103" i="15"/>
  <c r="I73" i="15"/>
  <c r="I38" i="15"/>
  <c r="I118" i="15"/>
  <c r="P43" i="15"/>
  <c r="P55" i="15"/>
  <c r="I95" i="15"/>
  <c r="J110" i="15"/>
  <c r="K61" i="15"/>
  <c r="I61" i="15"/>
  <c r="O103" i="15"/>
  <c r="M61" i="15"/>
  <c r="I683" i="6"/>
  <c r="S63" i="15"/>
  <c r="P63" i="15"/>
  <c r="I64" i="15"/>
  <c r="K104" i="15"/>
  <c r="I104" i="15" s="1"/>
  <c r="O90" i="15"/>
  <c r="I44" i="15"/>
  <c r="I791" i="6"/>
  <c r="S100" i="15"/>
  <c r="P100" i="15" s="1"/>
  <c r="M100" i="15"/>
  <c r="J100" i="15"/>
  <c r="K218" i="6"/>
  <c r="K50" i="15"/>
  <c r="J99" i="15"/>
  <c r="I108" i="15"/>
  <c r="O41" i="15"/>
  <c r="O108" i="15"/>
  <c r="O107" i="15"/>
  <c r="W107" i="15" s="1"/>
  <c r="V107" i="15" s="1"/>
  <c r="U107" i="15" s="1"/>
  <c r="M94" i="15"/>
  <c r="J94" i="15" s="1"/>
  <c r="M50" i="15"/>
  <c r="J78" i="15"/>
  <c r="J55" i="15"/>
  <c r="I106" i="15"/>
  <c r="I39" i="15"/>
  <c r="M104" i="15"/>
  <c r="O119" i="15"/>
  <c r="P90" i="15"/>
  <c r="I787" i="6"/>
  <c r="S99" i="15"/>
  <c r="P99" i="15"/>
  <c r="K647" i="6"/>
  <c r="I109" i="15"/>
  <c r="O113" i="15"/>
  <c r="O89" i="15"/>
  <c r="I719" i="6"/>
  <c r="S78" i="15"/>
  <c r="P78" i="15"/>
  <c r="O93" i="15"/>
  <c r="K72" i="15"/>
  <c r="I72" i="15" s="1"/>
  <c r="I69" i="15"/>
  <c r="K685" i="6"/>
  <c r="O56" i="15"/>
  <c r="I103" i="15"/>
  <c r="J95" i="15"/>
  <c r="I42" i="15"/>
  <c r="I63" i="15"/>
  <c r="O67" i="15"/>
  <c r="I715" i="6"/>
  <c r="S77" i="15"/>
  <c r="P77" i="15" s="1"/>
  <c r="M77" i="15"/>
  <c r="I80" i="15"/>
  <c r="M83" i="15"/>
  <c r="J83" i="15" s="1"/>
  <c r="M49" i="15"/>
  <c r="I789" i="6"/>
  <c r="Q100" i="15"/>
  <c r="O100" i="15" s="1"/>
  <c r="K100" i="15"/>
  <c r="I100" i="15"/>
  <c r="O36" i="15"/>
  <c r="P95" i="15"/>
  <c r="I255" i="6"/>
  <c r="S44" i="15"/>
  <c r="P44" i="15"/>
  <c r="J44" i="15"/>
  <c r="J60" i="15"/>
  <c r="O94" i="15"/>
  <c r="O85" i="15"/>
  <c r="I250" i="6"/>
  <c r="Q43" i="15"/>
  <c r="K43" i="15"/>
  <c r="I43" i="15" s="1"/>
  <c r="I60" i="15"/>
  <c r="K84" i="15"/>
  <c r="I84" i="15" s="1"/>
  <c r="I117" i="15"/>
  <c r="I110" i="15"/>
  <c r="M103" i="15"/>
  <c r="J103" i="15"/>
  <c r="K40" i="15"/>
  <c r="I102" i="15"/>
  <c r="P85" i="15"/>
  <c r="O72" i="15"/>
  <c r="W72" i="15"/>
  <c r="V72" i="15" s="1"/>
  <c r="U72" i="15" s="1"/>
  <c r="O80" i="15"/>
  <c r="I55" i="15"/>
  <c r="J109" i="15"/>
  <c r="I78" i="15"/>
  <c r="I112" i="15"/>
  <c r="O115" i="15"/>
  <c r="O75" i="15"/>
  <c r="O76" i="15"/>
  <c r="I735" i="6"/>
  <c r="Q84" i="15"/>
  <c r="O84" i="15"/>
  <c r="I94" i="15"/>
  <c r="O118" i="15"/>
  <c r="M84" i="15"/>
  <c r="J84" i="15"/>
  <c r="O37" i="15"/>
  <c r="O97" i="15"/>
  <c r="O110" i="15"/>
  <c r="I717" i="6"/>
  <c r="Q78" i="15"/>
  <c r="I97" i="15"/>
  <c r="I105" i="15"/>
  <c r="I77" i="15"/>
  <c r="I57" i="15"/>
  <c r="K11" i="15"/>
  <c r="K15" i="15"/>
  <c r="K14" i="15"/>
  <c r="K16" i="15"/>
  <c r="K10" i="15"/>
  <c r="K12" i="15"/>
  <c r="K13" i="15"/>
  <c r="K13" i="6"/>
  <c r="DJ13" i="6"/>
  <c r="K18" i="6"/>
  <c r="DJ18" i="6"/>
  <c r="K10" i="6"/>
  <c r="DJ10" i="6"/>
  <c r="K587" i="6"/>
  <c r="L525" i="6"/>
  <c r="AJ52" i="15"/>
  <c r="K588" i="6"/>
  <c r="I675" i="6"/>
  <c r="S61" i="15"/>
  <c r="P61" i="15" s="1"/>
  <c r="I769" i="6"/>
  <c r="Q95" i="15"/>
  <c r="O95" i="15" s="1"/>
  <c r="I673" i="6"/>
  <c r="Q61" i="15"/>
  <c r="O61" i="15" s="1"/>
  <c r="I805" i="6"/>
  <c r="Q104" i="15"/>
  <c r="I671" i="6"/>
  <c r="S60" i="15"/>
  <c r="P60" i="15" s="1"/>
  <c r="I737" i="6"/>
  <c r="S84" i="15"/>
  <c r="I767" i="6"/>
  <c r="S94" i="15"/>
  <c r="I681" i="6"/>
  <c r="Q63" i="15"/>
  <c r="O63" i="15"/>
  <c r="I807" i="6"/>
  <c r="S104" i="15"/>
  <c r="P104" i="15"/>
  <c r="DJ685" i="6"/>
  <c r="DJ647" i="6"/>
  <c r="K52" i="15"/>
  <c r="DI525" i="6"/>
  <c r="AE52" i="15"/>
  <c r="DI527" i="6"/>
  <c r="AB64" i="15"/>
  <c r="AB53" i="15"/>
  <c r="AB21" i="15"/>
  <c r="AB26" i="15"/>
  <c r="AB23" i="15"/>
  <c r="K691" i="6"/>
  <c r="K659" i="6"/>
  <c r="I527" i="6"/>
  <c r="I525" i="6"/>
  <c r="Q52" i="15"/>
  <c r="DJ691" i="6"/>
  <c r="DJ659" i="6"/>
  <c r="AB56" i="15"/>
  <c r="AB67" i="15"/>
  <c r="K790" i="7"/>
  <c r="DJ790" i="7" s="1"/>
  <c r="K788" i="7"/>
  <c r="AB213" i="15" s="1"/>
  <c r="K786" i="7"/>
  <c r="AB212" i="15" s="1"/>
  <c r="K784" i="7"/>
  <c r="K782" i="7"/>
  <c r="AB210" i="15" s="1"/>
  <c r="K780" i="7"/>
  <c r="AB209" i="15" s="1"/>
  <c r="AB214" i="15"/>
  <c r="F963" i="7"/>
  <c r="AF963" i="7"/>
  <c r="F964" i="7"/>
  <c r="AF964" i="7"/>
  <c r="F965" i="7"/>
  <c r="AF965" i="7"/>
  <c r="F962" i="7"/>
  <c r="AF962" i="7"/>
  <c r="F959" i="7"/>
  <c r="AF959" i="7" s="1"/>
  <c r="F298" i="7"/>
  <c r="AF298" i="7" s="1"/>
  <c r="F294" i="7"/>
  <c r="AF294" i="7" s="1"/>
  <c r="F321" i="7"/>
  <c r="F320" i="7"/>
  <c r="I130" i="7" s="1"/>
  <c r="F319" i="7"/>
  <c r="F318" i="7"/>
  <c r="I128" i="7" s="1"/>
  <c r="F317" i="7"/>
  <c r="AF317" i="7" s="1"/>
  <c r="F316" i="7"/>
  <c r="AF316" i="7" s="1"/>
  <c r="F315" i="7"/>
  <c r="I125" i="7" s="1"/>
  <c r="F314" i="7"/>
  <c r="I124" i="7" s="1"/>
  <c r="F313" i="7"/>
  <c r="I123" i="7" s="1"/>
  <c r="F312" i="7"/>
  <c r="I122" i="7" s="1"/>
  <c r="F311" i="7"/>
  <c r="AF311" i="7" s="1"/>
  <c r="F310" i="7"/>
  <c r="I120" i="7" s="1"/>
  <c r="F309" i="7"/>
  <c r="I119" i="7" s="1"/>
  <c r="F308" i="7"/>
  <c r="AF308" i="7" s="1"/>
  <c r="F307" i="7"/>
  <c r="I117" i="7" s="1"/>
  <c r="F306" i="7"/>
  <c r="I116" i="7" s="1"/>
  <c r="F305" i="7"/>
  <c r="F304" i="7"/>
  <c r="I114" i="7" s="1"/>
  <c r="F303" i="7"/>
  <c r="I113" i="7" s="1"/>
  <c r="F302" i="7"/>
  <c r="I112" i="7" s="1"/>
  <c r="F112" i="7" s="1"/>
  <c r="F301" i="7"/>
  <c r="I111" i="7" s="1"/>
  <c r="F300" i="7"/>
  <c r="F297" i="7"/>
  <c r="I107" i="7" s="1"/>
  <c r="F296" i="7"/>
  <c r="AF296" i="7" s="1"/>
  <c r="F295" i="7"/>
  <c r="I105" i="7" s="1"/>
  <c r="F293" i="7"/>
  <c r="I103" i="7" s="1"/>
  <c r="J106" i="7"/>
  <c r="J131" i="7"/>
  <c r="J130" i="7"/>
  <c r="J129" i="7"/>
  <c r="J128" i="7"/>
  <c r="J127" i="7"/>
  <c r="J126" i="7"/>
  <c r="J125" i="7"/>
  <c r="J124" i="7"/>
  <c r="J123" i="7"/>
  <c r="J122" i="7"/>
  <c r="J121" i="7"/>
  <c r="J120" i="7"/>
  <c r="J119" i="7"/>
  <c r="J118" i="7"/>
  <c r="J117" i="7"/>
  <c r="J116" i="7"/>
  <c r="J115" i="7"/>
  <c r="J114" i="7"/>
  <c r="J113" i="7"/>
  <c r="F113" i="7" s="1"/>
  <c r="I160" i="15" s="1"/>
  <c r="J112" i="7"/>
  <c r="J111" i="7"/>
  <c r="J110" i="7"/>
  <c r="J109" i="7"/>
  <c r="J108" i="7"/>
  <c r="J107" i="7"/>
  <c r="J105" i="7"/>
  <c r="J104" i="7"/>
  <c r="J103" i="7"/>
  <c r="J102" i="7"/>
  <c r="I421" i="7"/>
  <c r="I423" i="7"/>
  <c r="AF318" i="7"/>
  <c r="I129" i="7"/>
  <c r="F129" i="7" s="1"/>
  <c r="K129" i="7" s="1"/>
  <c r="O176" i="15" s="1"/>
  <c r="AF319" i="7"/>
  <c r="I127" i="7"/>
  <c r="AF295" i="7"/>
  <c r="K1001" i="7"/>
  <c r="AB233" i="15" s="1"/>
  <c r="K1002" i="7"/>
  <c r="AB234" i="15" s="1"/>
  <c r="K1003" i="7"/>
  <c r="DJ1003" i="7" s="1"/>
  <c r="K1004" i="7"/>
  <c r="DJ1004" i="7" s="1"/>
  <c r="J1001" i="7"/>
  <c r="X233" i="15" s="1"/>
  <c r="Z233" i="15" s="1"/>
  <c r="J1002" i="7"/>
  <c r="X234" i="15" s="1"/>
  <c r="Z234" i="15" s="1"/>
  <c r="J1003" i="7"/>
  <c r="J1004" i="7"/>
  <c r="X236" i="15" s="1"/>
  <c r="Z236" i="15" s="1"/>
  <c r="D1022" i="7"/>
  <c r="D1021" i="7"/>
  <c r="V1021" i="7" s="1"/>
  <c r="V1020" i="7"/>
  <c r="AE1013" i="7"/>
  <c r="AD1013" i="7"/>
  <c r="AC1013" i="7"/>
  <c r="AB1013" i="7"/>
  <c r="AA1013" i="7"/>
  <c r="Z1013" i="7"/>
  <c r="Y1013" i="7"/>
  <c r="X1013" i="7"/>
  <c r="W1013" i="7"/>
  <c r="H1004" i="7"/>
  <c r="B1004" i="7"/>
  <c r="H1003" i="7"/>
  <c r="B1003" i="7"/>
  <c r="H1002" i="7"/>
  <c r="I1002" i="7" s="1"/>
  <c r="O234" i="15" s="1"/>
  <c r="B1002" i="7"/>
  <c r="H1001" i="7"/>
  <c r="B1001" i="7"/>
  <c r="V998" i="7"/>
  <c r="G600" i="7"/>
  <c r="AF600" i="7"/>
  <c r="AF6" i="11"/>
  <c r="AF6" i="7"/>
  <c r="AF1013" i="7"/>
  <c r="AF8" i="2"/>
  <c r="AF6" i="16"/>
  <c r="AF6" i="5"/>
  <c r="G228" i="15"/>
  <c r="AX228" i="15" s="1"/>
  <c r="G227" i="15"/>
  <c r="AX227" i="15" s="1"/>
  <c r="B8" i="11"/>
  <c r="B9" i="11"/>
  <c r="B10" i="11"/>
  <c r="B7" i="11"/>
  <c r="B976" i="7"/>
  <c r="B977" i="7"/>
  <c r="B941" i="7"/>
  <c r="B942" i="7"/>
  <c r="B943" i="7"/>
  <c r="B940" i="7"/>
  <c r="B923" i="7"/>
  <c r="B924" i="7"/>
  <c r="B847" i="7"/>
  <c r="B848" i="7"/>
  <c r="B849" i="7"/>
  <c r="B850" i="7"/>
  <c r="B851" i="7"/>
  <c r="B852" i="7"/>
  <c r="B853" i="7"/>
  <c r="B854" i="7"/>
  <c r="B855" i="7"/>
  <c r="B856" i="7"/>
  <c r="B857" i="7"/>
  <c r="B846" i="7"/>
  <c r="B781" i="7"/>
  <c r="B782" i="7"/>
  <c r="B783" i="7"/>
  <c r="B784" i="7"/>
  <c r="B785" i="7"/>
  <c r="B786" i="7"/>
  <c r="B787" i="7"/>
  <c r="B788" i="7"/>
  <c r="B789" i="7"/>
  <c r="B790" i="7"/>
  <c r="B791" i="7"/>
  <c r="B780" i="7"/>
  <c r="B713" i="7"/>
  <c r="B752" i="7"/>
  <c r="B753" i="7"/>
  <c r="B712" i="7"/>
  <c r="B711" i="7"/>
  <c r="B710" i="7"/>
  <c r="B676" i="7"/>
  <c r="B675" i="7"/>
  <c r="B639" i="7"/>
  <c r="B640" i="7"/>
  <c r="B607" i="7"/>
  <c r="B608" i="7"/>
  <c r="B557" i="7"/>
  <c r="B558" i="7"/>
  <c r="B559" i="7"/>
  <c r="B560" i="7"/>
  <c r="B523" i="7"/>
  <c r="B524" i="7"/>
  <c r="B525" i="7"/>
  <c r="B526" i="7"/>
  <c r="B527" i="7"/>
  <c r="B522" i="7"/>
  <c r="B488" i="7"/>
  <c r="B489" i="7"/>
  <c r="B487" i="7"/>
  <c r="B459" i="7"/>
  <c r="B422" i="7"/>
  <c r="B423" i="7"/>
  <c r="B424" i="7"/>
  <c r="B425" i="7"/>
  <c r="B426" i="7"/>
  <c r="B421"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02" i="7"/>
  <c r="B35" i="7"/>
  <c r="B36" i="7"/>
  <c r="B37" i="7"/>
  <c r="B38" i="7"/>
  <c r="B39" i="7"/>
  <c r="B40" i="7"/>
  <c r="B41" i="7"/>
  <c r="B42" i="7"/>
  <c r="B34" i="7"/>
  <c r="B7" i="7"/>
  <c r="B8" i="7"/>
  <c r="B9" i="7"/>
  <c r="B2225" i="6"/>
  <c r="B2226" i="6"/>
  <c r="B2227" i="6"/>
  <c r="B2228" i="6"/>
  <c r="B2229" i="6"/>
  <c r="B2230" i="6"/>
  <c r="B2231" i="6"/>
  <c r="B2232" i="6"/>
  <c r="B2233" i="6"/>
  <c r="B2234" i="6"/>
  <c r="B2235" i="6"/>
  <c r="B2236" i="6"/>
  <c r="B2237" i="6"/>
  <c r="B2238" i="6"/>
  <c r="B2239" i="6"/>
  <c r="B2240" i="6"/>
  <c r="B2241" i="6"/>
  <c r="B2242" i="6"/>
  <c r="B2243" i="6"/>
  <c r="B2244" i="6"/>
  <c r="B2245" i="6"/>
  <c r="B2246" i="6"/>
  <c r="B2247" i="6"/>
  <c r="B2248" i="6"/>
  <c r="B2249" i="6"/>
  <c r="B2250" i="6"/>
  <c r="B2251" i="6"/>
  <c r="B2252" i="6"/>
  <c r="B2253" i="6"/>
  <c r="B2254" i="6"/>
  <c r="B2255" i="6"/>
  <c r="B2256" i="6"/>
  <c r="B2257" i="6"/>
  <c r="B2258" i="6"/>
  <c r="B2259" i="6"/>
  <c r="B2260" i="6"/>
  <c r="B2261" i="6"/>
  <c r="B2262" i="6"/>
  <c r="B2263" i="6"/>
  <c r="B2264" i="6"/>
  <c r="B2265" i="6"/>
  <c r="B2266" i="6"/>
  <c r="B2267" i="6"/>
  <c r="B2268" i="6"/>
  <c r="B2269" i="6"/>
  <c r="B2270" i="6"/>
  <c r="B2271" i="6"/>
  <c r="B2224" i="6"/>
  <c r="B648" i="6"/>
  <c r="B649" i="6"/>
  <c r="B650" i="6"/>
  <c r="B651" i="6"/>
  <c r="B652" i="6"/>
  <c r="B653" i="6"/>
  <c r="B654" i="6"/>
  <c r="B655" i="6"/>
  <c r="B656" i="6"/>
  <c r="B657" i="6"/>
  <c r="B658" i="6"/>
  <c r="B659" i="6"/>
  <c r="B660" i="6"/>
  <c r="B661" i="6"/>
  <c r="B662" i="6"/>
  <c r="B669" i="6"/>
  <c r="B670" i="6"/>
  <c r="B671" i="6"/>
  <c r="B672" i="6"/>
  <c r="B673" i="6"/>
  <c r="B674" i="6"/>
  <c r="B675" i="6"/>
  <c r="B676" i="6"/>
  <c r="B681" i="6"/>
  <c r="B682" i="6"/>
  <c r="B683" i="6"/>
  <c r="B684" i="6"/>
  <c r="B685" i="6"/>
  <c r="B686" i="6"/>
  <c r="B689" i="6"/>
  <c r="B690" i="6"/>
  <c r="B691" i="6"/>
  <c r="B692" i="6"/>
  <c r="B695" i="6"/>
  <c r="B696" i="6"/>
  <c r="B697" i="6"/>
  <c r="B698" i="6"/>
  <c r="B699" i="6"/>
  <c r="B700" i="6"/>
  <c r="B703" i="6"/>
  <c r="B704" i="6"/>
  <c r="B705" i="6"/>
  <c r="B706" i="6"/>
  <c r="B707" i="6"/>
  <c r="B708" i="6"/>
  <c r="B709" i="6"/>
  <c r="B710" i="6"/>
  <c r="B711" i="6"/>
  <c r="B712" i="6"/>
  <c r="B713" i="6"/>
  <c r="B714" i="6"/>
  <c r="B715" i="6"/>
  <c r="B716" i="6"/>
  <c r="B717" i="6"/>
  <c r="B718" i="6"/>
  <c r="B719" i="6"/>
  <c r="B720" i="6"/>
  <c r="B725" i="6"/>
  <c r="B726"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818" i="6"/>
  <c r="B819" i="6"/>
  <c r="B820" i="6"/>
  <c r="B821" i="6"/>
  <c r="B822" i="6"/>
  <c r="B823" i="6"/>
  <c r="B824" i="6"/>
  <c r="B825" i="6"/>
  <c r="B826" i="6"/>
  <c r="B827" i="6"/>
  <c r="B828" i="6"/>
  <c r="B829" i="6"/>
  <c r="B830" i="6"/>
  <c r="B831" i="6"/>
  <c r="B832" i="6"/>
  <c r="B833" i="6"/>
  <c r="B834" i="6"/>
  <c r="B835" i="6"/>
  <c r="B836" i="6"/>
  <c r="B850" i="6"/>
  <c r="B851" i="6"/>
  <c r="B852" i="6"/>
  <c r="B647" i="6"/>
  <c r="B514" i="6"/>
  <c r="B515" i="6"/>
  <c r="B516" i="6"/>
  <c r="B517" i="6"/>
  <c r="B518" i="6"/>
  <c r="B519" i="6"/>
  <c r="B520" i="6"/>
  <c r="B521" i="6"/>
  <c r="B522" i="6"/>
  <c r="B523" i="6"/>
  <c r="B524" i="6"/>
  <c r="B513" i="6"/>
  <c r="B449" i="6"/>
  <c r="B450" i="6"/>
  <c r="B451" i="6"/>
  <c r="B452" i="6"/>
  <c r="B453" i="6"/>
  <c r="B448" i="6"/>
  <c r="B232" i="6"/>
  <c r="B233" i="6"/>
  <c r="B234" i="6"/>
  <c r="B235" i="6"/>
  <c r="B236" i="6"/>
  <c r="B237" i="6"/>
  <c r="B238" i="6"/>
  <c r="B239" i="6"/>
  <c r="B240" i="6"/>
  <c r="B241" i="6"/>
  <c r="B242" i="6"/>
  <c r="B243" i="6"/>
  <c r="B244" i="6"/>
  <c r="B245" i="6"/>
  <c r="B246" i="6"/>
  <c r="B247" i="6"/>
  <c r="B248" i="6"/>
  <c r="B249" i="6"/>
  <c r="B250" i="6"/>
  <c r="B251" i="6"/>
  <c r="B252" i="6"/>
  <c r="B253" i="6"/>
  <c r="B254" i="6"/>
  <c r="B255" i="6"/>
  <c r="B231" i="6"/>
  <c r="B8" i="6"/>
  <c r="B9" i="6"/>
  <c r="B10" i="6"/>
  <c r="B11" i="6"/>
  <c r="B12" i="6"/>
  <c r="B13" i="6"/>
  <c r="B14" i="6"/>
  <c r="B15" i="6"/>
  <c r="B16" i="6"/>
  <c r="B17" i="6"/>
  <c r="B18" i="6"/>
  <c r="B19" i="6"/>
  <c r="B20" i="6"/>
  <c r="B21" i="6"/>
  <c r="B22" i="6"/>
  <c r="B23" i="6"/>
  <c r="B24" i="6"/>
  <c r="B25" i="6"/>
  <c r="B26" i="6"/>
  <c r="B27" i="6"/>
  <c r="B28" i="6"/>
  <c r="B29" i="6"/>
  <c r="B30" i="6"/>
  <c r="B7" i="5"/>
  <c r="B49" i="16"/>
  <c r="B50" i="16"/>
  <c r="B51" i="16"/>
  <c r="B52" i="16"/>
  <c r="B53" i="16"/>
  <c r="B54" i="16"/>
  <c r="B55" i="16"/>
  <c r="B56" i="16"/>
  <c r="B57" i="16"/>
  <c r="B58" i="16"/>
  <c r="B59" i="16"/>
  <c r="B60" i="16"/>
  <c r="B61" i="16"/>
  <c r="B48" i="16"/>
  <c r="B7" i="16"/>
  <c r="B507" i="2"/>
  <c r="B491" i="2"/>
  <c r="B490" i="2"/>
  <c r="B489" i="2"/>
  <c r="B471" i="2"/>
  <c r="B453" i="2"/>
  <c r="B452" i="2"/>
  <c r="B451" i="2"/>
  <c r="B435" i="2"/>
  <c r="B364" i="2"/>
  <c r="B365" i="2"/>
  <c r="B366" i="2"/>
  <c r="B367" i="2"/>
  <c r="B368" i="2"/>
  <c r="B369" i="2"/>
  <c r="B389" i="2"/>
  <c r="B390" i="2"/>
  <c r="B391" i="2"/>
  <c r="B392" i="2"/>
  <c r="B393" i="2"/>
  <c r="B394" i="2"/>
  <c r="B395" i="2"/>
  <c r="B415" i="2"/>
  <c r="B416" i="2"/>
  <c r="B417" i="2"/>
  <c r="B363" i="2"/>
  <c r="B343" i="2"/>
  <c r="B342" i="2"/>
  <c r="B320" i="2"/>
  <c r="B314" i="2"/>
  <c r="B317" i="2"/>
  <c r="B318" i="2"/>
  <c r="B319" i="2"/>
  <c r="B292" i="2"/>
  <c r="B293" i="2"/>
  <c r="B294" i="2"/>
  <c r="B295" i="2"/>
  <c r="B291" i="2"/>
  <c r="B261" i="2"/>
  <c r="B242" i="2"/>
  <c r="B243" i="2"/>
  <c r="B244" i="2"/>
  <c r="B241" i="2"/>
  <c r="B226" i="2"/>
  <c r="B207" i="2"/>
  <c r="B208" i="2"/>
  <c r="B206" i="2"/>
  <c r="B184" i="2"/>
  <c r="B185" i="2"/>
  <c r="B186" i="2"/>
  <c r="B183" i="2"/>
  <c r="B167" i="2"/>
  <c r="B140" i="2"/>
  <c r="B141" i="2"/>
  <c r="B142" i="2"/>
  <c r="B143" i="2"/>
  <c r="B139" i="2"/>
  <c r="B121" i="2"/>
  <c r="B120" i="2"/>
  <c r="B83" i="2"/>
  <c r="B84" i="2"/>
  <c r="B85" i="2"/>
  <c r="B86" i="2"/>
  <c r="B87" i="2"/>
  <c r="B88" i="2"/>
  <c r="B89" i="2"/>
  <c r="B82" i="2"/>
  <c r="B61" i="2"/>
  <c r="B60" i="2"/>
  <c r="B10" i="2"/>
  <c r="B11" i="2"/>
  <c r="B12" i="2"/>
  <c r="B13" i="2"/>
  <c r="B14" i="2"/>
  <c r="B15" i="2"/>
  <c r="B16" i="2"/>
  <c r="B17" i="2"/>
  <c r="B19" i="2"/>
  <c r="B21" i="2"/>
  <c r="B23" i="2"/>
  <c r="B9" i="2"/>
  <c r="B4" i="23"/>
  <c r="DG7" i="11"/>
  <c r="AA244" i="15" s="1"/>
  <c r="BF236" i="2"/>
  <c r="AS217" i="2"/>
  <c r="BF217" i="2"/>
  <c r="BS312" i="2"/>
  <c r="BS304" i="2"/>
  <c r="CG330" i="2"/>
  <c r="AS236" i="2"/>
  <c r="CG236" i="2"/>
  <c r="AS196" i="2"/>
  <c r="CG312" i="2"/>
  <c r="AF236" i="2"/>
  <c r="BF205" i="2"/>
  <c r="BS236" i="2"/>
  <c r="AS205" i="2"/>
  <c r="BS330" i="2"/>
  <c r="AS253" i="2"/>
  <c r="AF217" i="2"/>
  <c r="BF196" i="2"/>
  <c r="AF240" i="2"/>
  <c r="AF225" i="2"/>
  <c r="AF304" i="2"/>
  <c r="G579" i="7"/>
  <c r="AF579" i="7" s="1"/>
  <c r="AF578" i="7"/>
  <c r="BF154" i="2"/>
  <c r="AS404" i="2"/>
  <c r="AF330" i="2"/>
  <c r="DT330" i="2"/>
  <c r="BS154" i="2"/>
  <c r="BF330" i="2"/>
  <c r="BF404" i="2"/>
  <c r="AS330" i="2"/>
  <c r="AF154" i="2"/>
  <c r="DG330" i="2"/>
  <c r="CT330" i="2"/>
  <c r="AF253" i="2"/>
  <c r="AS154" i="2"/>
  <c r="AF404" i="2"/>
  <c r="AF196" i="2"/>
  <c r="AF102" i="2"/>
  <c r="AF138" i="16"/>
  <c r="AF131" i="16"/>
  <c r="AF27" i="11"/>
  <c r="AF414" i="2"/>
  <c r="BF362" i="2"/>
  <c r="AF312" i="2"/>
  <c r="BS225" i="2"/>
  <c r="AS182" i="2"/>
  <c r="CG225" i="2"/>
  <c r="AS414" i="2"/>
  <c r="AF341" i="2"/>
  <c r="BF260" i="2"/>
  <c r="AF486" i="2"/>
  <c r="AF388" i="2"/>
  <c r="AS312" i="2"/>
  <c r="AF290" i="2"/>
  <c r="AS341" i="2"/>
  <c r="AS225" i="2"/>
  <c r="BF182" i="2"/>
  <c r="AS486" i="2"/>
  <c r="AS388" i="2"/>
  <c r="AS240" i="2"/>
  <c r="BF414" i="2"/>
  <c r="AF362" i="2"/>
  <c r="AS290" i="2"/>
  <c r="AF205" i="2"/>
  <c r="BF312" i="2"/>
  <c r="BF486" i="2"/>
  <c r="AS362" i="2"/>
  <c r="BF341" i="2"/>
  <c r="AF260" i="2"/>
  <c r="BF225" i="2"/>
  <c r="BF388" i="2"/>
  <c r="BF240" i="2"/>
  <c r="BF290" i="2"/>
  <c r="AS260" i="2"/>
  <c r="AF1000" i="7"/>
  <c r="B21" i="12"/>
  <c r="BI44" i="15"/>
  <c r="BG21" i="15"/>
  <c r="BI21" i="15"/>
  <c r="BG22" i="15"/>
  <c r="BI22" i="15"/>
  <c r="BG23" i="15"/>
  <c r="BI23" i="15"/>
  <c r="BG24" i="15"/>
  <c r="BI24" i="15"/>
  <c r="BG25" i="15"/>
  <c r="BI25" i="15"/>
  <c r="BG26" i="15"/>
  <c r="BI26" i="15"/>
  <c r="BG27" i="15"/>
  <c r="BI27" i="15"/>
  <c r="BG28" i="15"/>
  <c r="BI28" i="15"/>
  <c r="BG29" i="15"/>
  <c r="BI29" i="15"/>
  <c r="BG30" i="15"/>
  <c r="BI30" i="15"/>
  <c r="BG31" i="15"/>
  <c r="BI31" i="15"/>
  <c r="BG32" i="15"/>
  <c r="BI32" i="15"/>
  <c r="BG33" i="15"/>
  <c r="BI33" i="15"/>
  <c r="BG34" i="15"/>
  <c r="BI34" i="15"/>
  <c r="BG35" i="15"/>
  <c r="BI35" i="15"/>
  <c r="BG36" i="15"/>
  <c r="BI36" i="15"/>
  <c r="BI20" i="15"/>
  <c r="BG20" i="15"/>
  <c r="BD47" i="15"/>
  <c r="BI47" i="15" s="1"/>
  <c r="BC47" i="15"/>
  <c r="BD46" i="15"/>
  <c r="BI46" i="15" s="1"/>
  <c r="BC46" i="15"/>
  <c r="BL46" i="15" s="1"/>
  <c r="BD45" i="15"/>
  <c r="BI45" i="15" s="1"/>
  <c r="BC45" i="15"/>
  <c r="AX335" i="15"/>
  <c r="AX334" i="15"/>
  <c r="AX247" i="15"/>
  <c r="AB22" i="23"/>
  <c r="AA22" i="23"/>
  <c r="Z22" i="23"/>
  <c r="Y22" i="23"/>
  <c r="X22" i="23"/>
  <c r="W22" i="23"/>
  <c r="V22" i="23"/>
  <c r="U22" i="23"/>
  <c r="T22" i="23"/>
  <c r="S22" i="23"/>
  <c r="R22" i="23"/>
  <c r="Q22" i="23"/>
  <c r="P22" i="23"/>
  <c r="L22" i="23"/>
  <c r="K22" i="23"/>
  <c r="J22" i="23"/>
  <c r="I22" i="23"/>
  <c r="H22" i="23"/>
  <c r="G22" i="23"/>
  <c r="F22" i="23"/>
  <c r="E22" i="23"/>
  <c r="D22" i="23"/>
  <c r="C22" i="23"/>
  <c r="I242" i="15"/>
  <c r="DG8" i="11"/>
  <c r="AA245" i="15" s="1"/>
  <c r="DG9" i="11"/>
  <c r="AA246" i="15" s="1"/>
  <c r="DG10" i="11"/>
  <c r="AA247" i="15" s="1"/>
  <c r="V10" i="11"/>
  <c r="V8" i="11"/>
  <c r="DM471" i="2"/>
  <c r="DM227" i="2"/>
  <c r="DK227" i="2"/>
  <c r="AA298" i="15"/>
  <c r="AE298" i="15"/>
  <c r="AC298" i="15" s="1"/>
  <c r="DI132" i="16"/>
  <c r="DM90" i="2"/>
  <c r="DM92" i="2"/>
  <c r="DM144" i="2"/>
  <c r="DM145" i="2"/>
  <c r="DM452" i="2"/>
  <c r="DM451" i="2"/>
  <c r="DM453" i="2"/>
  <c r="DM490" i="2"/>
  <c r="DM491" i="2"/>
  <c r="DM489" i="2"/>
  <c r="DK471" i="2"/>
  <c r="AA340" i="15"/>
  <c r="AE340" i="15"/>
  <c r="AC340" i="15"/>
  <c r="DM487" i="2"/>
  <c r="DL416" i="2"/>
  <c r="F416" i="2"/>
  <c r="AG416" i="2"/>
  <c r="E428" i="2"/>
  <c r="D428" i="2"/>
  <c r="H416" i="2"/>
  <c r="E429" i="2"/>
  <c r="D429" i="2"/>
  <c r="DL417" i="2"/>
  <c r="H417" i="2"/>
  <c r="F417" i="2"/>
  <c r="AG417" i="2"/>
  <c r="DK487" i="2"/>
  <c r="AA341" i="15"/>
  <c r="AE341" i="15"/>
  <c r="AC341" i="15"/>
  <c r="AE288" i="15"/>
  <c r="AC288" i="15"/>
  <c r="AE287" i="15"/>
  <c r="AC287" i="15" s="1"/>
  <c r="DK92" i="2"/>
  <c r="AA279" i="15"/>
  <c r="AE279" i="15"/>
  <c r="AC279" i="15"/>
  <c r="DK90" i="2"/>
  <c r="AA277" i="15"/>
  <c r="AE277" i="15"/>
  <c r="AC277" i="15" s="1"/>
  <c r="DG132" i="16"/>
  <c r="AA17" i="15"/>
  <c r="AE17" i="15"/>
  <c r="AC17" i="15" s="1"/>
  <c r="I335" i="15"/>
  <c r="I334" i="15"/>
  <c r="AE343" i="15"/>
  <c r="AC343" i="15" s="1"/>
  <c r="DK489" i="2"/>
  <c r="AA343" i="15"/>
  <c r="DK491" i="2"/>
  <c r="AA345" i="15"/>
  <c r="AE345" i="15"/>
  <c r="AC345" i="15" s="1"/>
  <c r="DK490" i="2"/>
  <c r="AA344" i="15"/>
  <c r="AE344" i="15"/>
  <c r="AC344" i="15"/>
  <c r="AE339" i="15"/>
  <c r="AC339" i="15"/>
  <c r="DK453" i="2"/>
  <c r="DK451" i="2"/>
  <c r="AE337" i="15"/>
  <c r="AC337" i="15"/>
  <c r="AE338" i="15"/>
  <c r="AC338" i="15"/>
  <c r="DK452" i="2"/>
  <c r="DM417" i="2"/>
  <c r="AE335" i="15"/>
  <c r="AC335" i="15" s="1"/>
  <c r="DM416" i="2"/>
  <c r="AE334" i="15"/>
  <c r="AC334" i="15" s="1"/>
  <c r="I416" i="2"/>
  <c r="O334" i="15"/>
  <c r="I417" i="2"/>
  <c r="O335" i="15"/>
  <c r="DK416" i="2"/>
  <c r="AA334" i="15"/>
  <c r="DK417" i="2"/>
  <c r="AA335" i="15"/>
  <c r="G353" i="2"/>
  <c r="J353" i="2"/>
  <c r="DN342" i="2"/>
  <c r="AB317" i="15"/>
  <c r="BE434" i="2"/>
  <c r="W27" i="11"/>
  <c r="X27" i="11"/>
  <c r="Y27" i="11"/>
  <c r="Z27" i="11"/>
  <c r="AA27" i="11"/>
  <c r="AB27" i="11"/>
  <c r="AC27" i="11"/>
  <c r="AD27" i="11"/>
  <c r="AE27" i="11"/>
  <c r="AE453" i="7"/>
  <c r="AE445" i="7"/>
  <c r="AE440" i="7"/>
  <c r="AE435" i="7"/>
  <c r="AB242" i="15"/>
  <c r="O242" i="15"/>
  <c r="K21" i="6"/>
  <c r="DJ21" i="6"/>
  <c r="AB28" i="15"/>
  <c r="K27" i="6"/>
  <c r="DJ27" i="6"/>
  <c r="K24" i="6"/>
  <c r="DJ24" i="6"/>
  <c r="AB30" i="15"/>
  <c r="AB32" i="15"/>
  <c r="K30" i="6"/>
  <c r="DJ30" i="6"/>
  <c r="AB34" i="15"/>
  <c r="I24" i="6"/>
  <c r="Q30" i="15"/>
  <c r="K30" i="15"/>
  <c r="BC29" i="15" s="1"/>
  <c r="BH29" i="15" s="1"/>
  <c r="I22" i="6"/>
  <c r="Q29" i="15"/>
  <c r="O29" i="15" s="1"/>
  <c r="K29" i="15"/>
  <c r="I29" i="15"/>
  <c r="V25" i="11"/>
  <c r="AX134" i="15"/>
  <c r="AZ134" i="15"/>
  <c r="AX126" i="15"/>
  <c r="AX122" i="15"/>
  <c r="J2233" i="6"/>
  <c r="DH2233" i="6"/>
  <c r="J2232" i="6"/>
  <c r="H2232" i="6"/>
  <c r="H2245" i="6"/>
  <c r="J2244" i="6"/>
  <c r="H2244" i="6"/>
  <c r="J2269" i="6"/>
  <c r="DH2269" i="6"/>
  <c r="H2269" i="6"/>
  <c r="J2268" i="6"/>
  <c r="X134" i="15"/>
  <c r="Z134" i="15" s="1"/>
  <c r="H2268" i="6"/>
  <c r="J2257" i="6"/>
  <c r="DH2257" i="6"/>
  <c r="H2257" i="6"/>
  <c r="J2256" i="6"/>
  <c r="H2256" i="6"/>
  <c r="BW37" i="2"/>
  <c r="DH704" i="6"/>
  <c r="DI704" i="6"/>
  <c r="DH703" i="6"/>
  <c r="DI703" i="6"/>
  <c r="DH708" i="6"/>
  <c r="DI708" i="6"/>
  <c r="DH707" i="6"/>
  <c r="DI707" i="6"/>
  <c r="DH712" i="6"/>
  <c r="DI712" i="6"/>
  <c r="DH730" i="6"/>
  <c r="DI730" i="6"/>
  <c r="DH729" i="6"/>
  <c r="DI729" i="6"/>
  <c r="DH746" i="6"/>
  <c r="DI746" i="6"/>
  <c r="DH745" i="6"/>
  <c r="DI745"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59" i="6"/>
  <c r="F1758" i="6"/>
  <c r="F1757" i="6"/>
  <c r="F1756" i="6"/>
  <c r="F1755" i="6"/>
  <c r="F1754" i="6"/>
  <c r="F1753" i="6"/>
  <c r="F1752" i="6"/>
  <c r="F1751" i="6"/>
  <c r="F1750" i="6"/>
  <c r="F1749" i="6"/>
  <c r="F1748" i="6"/>
  <c r="F1747" i="6"/>
  <c r="F1746" i="6"/>
  <c r="F1745" i="6"/>
  <c r="F1744" i="6"/>
  <c r="F1743" i="6"/>
  <c r="F1742" i="6"/>
  <c r="F1741" i="6"/>
  <c r="F1740" i="6"/>
  <c r="F1739" i="6"/>
  <c r="F1738" i="6"/>
  <c r="F1736" i="6"/>
  <c r="F1733" i="6"/>
  <c r="F1732" i="6"/>
  <c r="F1731" i="6"/>
  <c r="F1730" i="6"/>
  <c r="F1729" i="6"/>
  <c r="F1728" i="6"/>
  <c r="F1727" i="6"/>
  <c r="F1726" i="6"/>
  <c r="F1725" i="6"/>
  <c r="F1723" i="6"/>
  <c r="F1722" i="6"/>
  <c r="F1721" i="6"/>
  <c r="F1719" i="6"/>
  <c r="F1718" i="6"/>
  <c r="F1716" i="6"/>
  <c r="F1715" i="6"/>
  <c r="F1714" i="6"/>
  <c r="F1711" i="6"/>
  <c r="F1710" i="6"/>
  <c r="F1709" i="6"/>
  <c r="F1708"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6" i="6"/>
  <c r="F1655" i="6"/>
  <c r="F1654" i="6"/>
  <c r="F1653" i="6"/>
  <c r="F1652" i="6"/>
  <c r="F1651" i="6"/>
  <c r="F1650" i="6"/>
  <c r="F1649" i="6"/>
  <c r="F1648" i="6"/>
  <c r="F1647" i="6"/>
  <c r="F1646" i="6"/>
  <c r="F1645" i="6"/>
  <c r="F1644" i="6"/>
  <c r="F1643" i="6"/>
  <c r="F1642" i="6"/>
  <c r="F1641" i="6"/>
  <c r="F1640" i="6"/>
  <c r="F1639" i="6"/>
  <c r="F1638" i="6"/>
  <c r="F1637" i="6"/>
  <c r="F1636" i="6"/>
  <c r="F1635" i="6"/>
  <c r="F1633" i="6"/>
  <c r="F1630" i="6"/>
  <c r="F1629" i="6"/>
  <c r="F1628" i="6"/>
  <c r="F1627" i="6"/>
  <c r="F1626" i="6"/>
  <c r="F1625" i="6"/>
  <c r="F1624" i="6"/>
  <c r="F1623" i="6"/>
  <c r="F1622" i="6"/>
  <c r="F1620" i="6"/>
  <c r="F1619" i="6"/>
  <c r="F1618" i="6"/>
  <c r="F1616" i="6"/>
  <c r="F1615" i="6"/>
  <c r="F1613" i="6"/>
  <c r="F1612" i="6"/>
  <c r="F1611" i="6"/>
  <c r="F1608" i="6"/>
  <c r="F1607" i="6"/>
  <c r="F1606" i="6"/>
  <c r="F1605"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3" i="6"/>
  <c r="F1552" i="6"/>
  <c r="F1551" i="6"/>
  <c r="F1550" i="6"/>
  <c r="F1549" i="6"/>
  <c r="F1548" i="6"/>
  <c r="F1547" i="6"/>
  <c r="F1546" i="6"/>
  <c r="F1545" i="6"/>
  <c r="F1544" i="6"/>
  <c r="F1543" i="6"/>
  <c r="F1542" i="6"/>
  <c r="F1541" i="6"/>
  <c r="F1540" i="6"/>
  <c r="F1539" i="6"/>
  <c r="F1538" i="6"/>
  <c r="F1537" i="6"/>
  <c r="F1536" i="6"/>
  <c r="F1535" i="6"/>
  <c r="F1534" i="6"/>
  <c r="F1533" i="6"/>
  <c r="F1532" i="6"/>
  <c r="F1530" i="6"/>
  <c r="F1527" i="6"/>
  <c r="F1526" i="6"/>
  <c r="F1525" i="6"/>
  <c r="F1524" i="6"/>
  <c r="F1523" i="6"/>
  <c r="F1522" i="6"/>
  <c r="F1521" i="6"/>
  <c r="F1520" i="6"/>
  <c r="F1519" i="6"/>
  <c r="F1517" i="6"/>
  <c r="F1516" i="6"/>
  <c r="F1515" i="6"/>
  <c r="F1513" i="6"/>
  <c r="F1512" i="6"/>
  <c r="F1510" i="6"/>
  <c r="F1509" i="6"/>
  <c r="F1508" i="6"/>
  <c r="F1505" i="6"/>
  <c r="F1504" i="6"/>
  <c r="F1503" i="6"/>
  <c r="F1502"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0" i="6"/>
  <c r="F1449" i="6"/>
  <c r="F1448" i="6"/>
  <c r="F1447" i="6"/>
  <c r="F1446" i="6"/>
  <c r="F1445" i="6"/>
  <c r="F1444" i="6"/>
  <c r="F1443" i="6"/>
  <c r="F1442" i="6"/>
  <c r="F1441" i="6"/>
  <c r="F1440" i="6"/>
  <c r="F1439" i="6"/>
  <c r="F1438" i="6"/>
  <c r="F1437" i="6"/>
  <c r="F1436" i="6"/>
  <c r="F1435" i="6"/>
  <c r="F1434" i="6"/>
  <c r="F1433" i="6"/>
  <c r="F1432" i="6"/>
  <c r="F1431" i="6"/>
  <c r="F1430" i="6"/>
  <c r="F1429" i="6"/>
  <c r="F1427" i="6"/>
  <c r="F1424" i="6"/>
  <c r="F1423" i="6"/>
  <c r="F1422" i="6"/>
  <c r="F1421" i="6"/>
  <c r="F1420" i="6"/>
  <c r="F1419" i="6"/>
  <c r="F1418" i="6"/>
  <c r="F1417" i="6"/>
  <c r="F1416" i="6"/>
  <c r="F1414" i="6"/>
  <c r="F1413" i="6"/>
  <c r="F1412" i="6"/>
  <c r="F1410" i="6"/>
  <c r="F1409" i="6"/>
  <c r="F1407" i="6"/>
  <c r="F1406" i="6"/>
  <c r="F1405" i="6"/>
  <c r="F1402" i="6"/>
  <c r="F1401" i="6"/>
  <c r="F1400" i="6"/>
  <c r="F1399"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7" i="6"/>
  <c r="F1346" i="6"/>
  <c r="F1345" i="6"/>
  <c r="F1344" i="6"/>
  <c r="F1343" i="6"/>
  <c r="F1342" i="6"/>
  <c r="F1341" i="6"/>
  <c r="F1340" i="6"/>
  <c r="F1339" i="6"/>
  <c r="F1338" i="6"/>
  <c r="F1337" i="6"/>
  <c r="F1336" i="6"/>
  <c r="F1335" i="6"/>
  <c r="F1334" i="6"/>
  <c r="F1333" i="6"/>
  <c r="F1332" i="6"/>
  <c r="F1331" i="6"/>
  <c r="F1330" i="6"/>
  <c r="F1329" i="6"/>
  <c r="F1328" i="6"/>
  <c r="F1327" i="6"/>
  <c r="F1326" i="6"/>
  <c r="F1324" i="6"/>
  <c r="F1321" i="6"/>
  <c r="F1320" i="6"/>
  <c r="F1319" i="6"/>
  <c r="F1318" i="6"/>
  <c r="F1317" i="6"/>
  <c r="F1316" i="6"/>
  <c r="F1315" i="6"/>
  <c r="F1314" i="6"/>
  <c r="F1313" i="6"/>
  <c r="F1311" i="6"/>
  <c r="F1310" i="6"/>
  <c r="F1309" i="6"/>
  <c r="F1307" i="6"/>
  <c r="F1306" i="6"/>
  <c r="F1304" i="6"/>
  <c r="F1303" i="6"/>
  <c r="F1302" i="6"/>
  <c r="F1299" i="6"/>
  <c r="F1298" i="6"/>
  <c r="F1297" i="6"/>
  <c r="F1296" i="6"/>
  <c r="F1292" i="6"/>
  <c r="F1291" i="6"/>
  <c r="F1290" i="6"/>
  <c r="F1289" i="6"/>
  <c r="F1288" i="6"/>
  <c r="F1287" i="6"/>
  <c r="F1286" i="6"/>
  <c r="F1285" i="6"/>
  <c r="F1284" i="6"/>
  <c r="F1283" i="6"/>
  <c r="F1282" i="6"/>
  <c r="F1281" i="6"/>
  <c r="F1280" i="6"/>
  <c r="F1279" i="6"/>
  <c r="F1278" i="6"/>
  <c r="F1277" i="6"/>
  <c r="F1276" i="6"/>
  <c r="F1275" i="6"/>
  <c r="F1274" i="6"/>
  <c r="F1273" i="6"/>
  <c r="F1272"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4" i="6"/>
  <c r="F1243" i="6"/>
  <c r="F1242" i="6"/>
  <c r="F1241" i="6"/>
  <c r="F1240" i="6"/>
  <c r="F1239" i="6"/>
  <c r="F1238" i="6"/>
  <c r="F1237" i="6"/>
  <c r="F1236" i="6"/>
  <c r="F1235" i="6"/>
  <c r="F1234" i="6"/>
  <c r="F1233" i="6"/>
  <c r="F1232" i="6"/>
  <c r="F1231" i="6"/>
  <c r="F1230" i="6"/>
  <c r="F1229" i="6"/>
  <c r="F1228" i="6"/>
  <c r="F1227" i="6"/>
  <c r="F1226" i="6"/>
  <c r="F1225" i="6"/>
  <c r="F1224" i="6"/>
  <c r="F1223" i="6"/>
  <c r="F1221" i="6"/>
  <c r="F1218" i="6"/>
  <c r="F1217" i="6"/>
  <c r="F1216" i="6"/>
  <c r="F1215" i="6"/>
  <c r="F1214" i="6"/>
  <c r="F1213" i="6"/>
  <c r="F1212" i="6"/>
  <c r="F1211" i="6"/>
  <c r="F1210" i="6"/>
  <c r="F1208" i="6"/>
  <c r="F1207" i="6"/>
  <c r="F1206" i="6"/>
  <c r="F1204" i="6"/>
  <c r="F1203" i="6"/>
  <c r="F1201" i="6"/>
  <c r="F1200" i="6"/>
  <c r="F1199" i="6"/>
  <c r="F1196" i="6"/>
  <c r="F1195" i="6"/>
  <c r="F1194" i="6"/>
  <c r="F1193"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1" i="6"/>
  <c r="F1140" i="6"/>
  <c r="F1139" i="6"/>
  <c r="F1138" i="6"/>
  <c r="F1137" i="6"/>
  <c r="F1136" i="6"/>
  <c r="F1135" i="6"/>
  <c r="F1134" i="6"/>
  <c r="F1133" i="6"/>
  <c r="F1132" i="6"/>
  <c r="F1131" i="6"/>
  <c r="F1130" i="6"/>
  <c r="F1129" i="6"/>
  <c r="F1128" i="6"/>
  <c r="F1127" i="6"/>
  <c r="F1126" i="6"/>
  <c r="F1125" i="6"/>
  <c r="F1124" i="6"/>
  <c r="F1123" i="6"/>
  <c r="F1122" i="6"/>
  <c r="F1121" i="6"/>
  <c r="F1120" i="6"/>
  <c r="F1118" i="6"/>
  <c r="F1115" i="6"/>
  <c r="F1114" i="6"/>
  <c r="F1113" i="6"/>
  <c r="F1112" i="6"/>
  <c r="F1111" i="6"/>
  <c r="F1110" i="6"/>
  <c r="F1109" i="6"/>
  <c r="F1108" i="6"/>
  <c r="F1107" i="6"/>
  <c r="F1105" i="6"/>
  <c r="F1104" i="6"/>
  <c r="F1103" i="6"/>
  <c r="F1101" i="6"/>
  <c r="F1100" i="6"/>
  <c r="F1098" i="6"/>
  <c r="F1097" i="6"/>
  <c r="F1096" i="6"/>
  <c r="F1093" i="6"/>
  <c r="F1092" i="6"/>
  <c r="F1091" i="6"/>
  <c r="F1090"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38" i="6"/>
  <c r="F1037" i="6"/>
  <c r="F1036" i="6"/>
  <c r="F1035" i="6"/>
  <c r="F1034" i="6"/>
  <c r="F1033" i="6"/>
  <c r="F1032" i="6"/>
  <c r="F1031" i="6"/>
  <c r="F1030" i="6"/>
  <c r="F1029" i="6"/>
  <c r="F1028" i="6"/>
  <c r="F1027" i="6"/>
  <c r="F1026" i="6"/>
  <c r="F1025" i="6"/>
  <c r="F1024" i="6"/>
  <c r="F1023" i="6"/>
  <c r="F1022" i="6"/>
  <c r="F1021" i="6"/>
  <c r="F1020" i="6"/>
  <c r="F1019" i="6"/>
  <c r="F1018" i="6"/>
  <c r="F1017" i="6"/>
  <c r="F1015" i="6"/>
  <c r="F1012" i="6"/>
  <c r="F1011" i="6"/>
  <c r="F1010" i="6"/>
  <c r="F1009" i="6"/>
  <c r="F1008" i="6"/>
  <c r="F1007" i="6"/>
  <c r="F1006" i="6"/>
  <c r="F1005" i="6"/>
  <c r="F1004" i="6"/>
  <c r="F1002" i="6"/>
  <c r="F1001" i="6"/>
  <c r="F1000" i="6"/>
  <c r="F998" i="6"/>
  <c r="F997" i="6"/>
  <c r="F995" i="6"/>
  <c r="F994" i="6"/>
  <c r="F993" i="6"/>
  <c r="F990" i="6"/>
  <c r="F989" i="6"/>
  <c r="F988" i="6"/>
  <c r="F987" i="6"/>
  <c r="F983" i="6"/>
  <c r="F982" i="6"/>
  <c r="F981" i="6"/>
  <c r="F980" i="6"/>
  <c r="F979" i="6"/>
  <c r="F978" i="6"/>
  <c r="F977" i="6"/>
  <c r="F976" i="6"/>
  <c r="F1801" i="6"/>
  <c r="F1802" i="6"/>
  <c r="F1803" i="6"/>
  <c r="F1804" i="6"/>
  <c r="F1805" i="6"/>
  <c r="F1806" i="6"/>
  <c r="F1807" i="6"/>
  <c r="F1808" i="6"/>
  <c r="F1809" i="6"/>
  <c r="F1810" i="6"/>
  <c r="F1811" i="6"/>
  <c r="F1812" i="6"/>
  <c r="F1813" i="6"/>
  <c r="F1814" i="6"/>
  <c r="F1815" i="6"/>
  <c r="F1816" i="6"/>
  <c r="F1823" i="6"/>
  <c r="F1824" i="6"/>
  <c r="F1825" i="6"/>
  <c r="F1826" i="6"/>
  <c r="F1827" i="6"/>
  <c r="F1828" i="6"/>
  <c r="F1829" i="6"/>
  <c r="F1830" i="6"/>
  <c r="F1835" i="6"/>
  <c r="F1836" i="6"/>
  <c r="F1837" i="6"/>
  <c r="F1838" i="6"/>
  <c r="F1839" i="6"/>
  <c r="F1840" i="6"/>
  <c r="F1843" i="6"/>
  <c r="F1844" i="6"/>
  <c r="F1845" i="6"/>
  <c r="F1846" i="6"/>
  <c r="F1849" i="6"/>
  <c r="F1850" i="6"/>
  <c r="F1851" i="6"/>
  <c r="F1852" i="6"/>
  <c r="F1853" i="6"/>
  <c r="F1854" i="6"/>
  <c r="F1857" i="6"/>
  <c r="F1858" i="6"/>
  <c r="F1859" i="6"/>
  <c r="F1860" i="6"/>
  <c r="F1861" i="6"/>
  <c r="F1862" i="6"/>
  <c r="F1863" i="6"/>
  <c r="F1864" i="6"/>
  <c r="F1865" i="6"/>
  <c r="F1866" i="6"/>
  <c r="F1867" i="6"/>
  <c r="F1868" i="6"/>
  <c r="F1869" i="6"/>
  <c r="F1870" i="6"/>
  <c r="F1871" i="6"/>
  <c r="F1872" i="6"/>
  <c r="F1873" i="6"/>
  <c r="F1878" i="6"/>
  <c r="F1879" i="6"/>
  <c r="F1880" i="6"/>
  <c r="F1883" i="6"/>
  <c r="F1884" i="6"/>
  <c r="F1885" i="6"/>
  <c r="F1886" i="6"/>
  <c r="F1887" i="6"/>
  <c r="F1888" i="6"/>
  <c r="F1889" i="6"/>
  <c r="F1890" i="6"/>
  <c r="F1891" i="6"/>
  <c r="F1892" i="6"/>
  <c r="F1893" i="6"/>
  <c r="F1894" i="6"/>
  <c r="F1895" i="6"/>
  <c r="F1896" i="6"/>
  <c r="F1897" i="6"/>
  <c r="F1898" i="6"/>
  <c r="F1899" i="6"/>
  <c r="F1900" i="6"/>
  <c r="F2095" i="6"/>
  <c r="F2094" i="6"/>
  <c r="F2079" i="6"/>
  <c r="F2078" i="6"/>
  <c r="F2064" i="6"/>
  <c r="F2063" i="6"/>
  <c r="F2060" i="6"/>
  <c r="F2059" i="6"/>
  <c r="F2056" i="6"/>
  <c r="F2055" i="6"/>
  <c r="F921" i="6"/>
  <c r="F913" i="6"/>
  <c r="F905" i="6"/>
  <c r="F903" i="6"/>
  <c r="F901" i="6"/>
  <c r="AX76" i="15"/>
  <c r="AX82" i="15"/>
  <c r="AX87" i="15"/>
  <c r="AX74" i="15"/>
  <c r="AX72" i="15"/>
  <c r="AX66" i="15"/>
  <c r="F2044" i="6"/>
  <c r="F2043" i="6"/>
  <c r="F894" i="6"/>
  <c r="DH690" i="6"/>
  <c r="DI690" i="6"/>
  <c r="J36" i="7"/>
  <c r="I37" i="7"/>
  <c r="AD69" i="7"/>
  <c r="AD78" i="7"/>
  <c r="F90" i="7"/>
  <c r="AF90" i="7"/>
  <c r="E51" i="7"/>
  <c r="E60" i="7" s="1"/>
  <c r="E69" i="7" s="1"/>
  <c r="L36" i="7"/>
  <c r="DH36" i="7" s="1"/>
  <c r="M36" i="7"/>
  <c r="AB142" i="15" s="1"/>
  <c r="N36" i="7"/>
  <c r="H36" i="7"/>
  <c r="AX135" i="15"/>
  <c r="AX133" i="15"/>
  <c r="AX132" i="15"/>
  <c r="AX131" i="15"/>
  <c r="AX129" i="15"/>
  <c r="AX128" i="15"/>
  <c r="AX125" i="15"/>
  <c r="AZ124" i="15"/>
  <c r="AX123" i="15"/>
  <c r="AX121" i="15"/>
  <c r="AZ121" i="15"/>
  <c r="AX42" i="15"/>
  <c r="AX40" i="15"/>
  <c r="CG37" i="2"/>
  <c r="CF37" i="2"/>
  <c r="CE37" i="2"/>
  <c r="CD37" i="2"/>
  <c r="CC37" i="2"/>
  <c r="CA37" i="2"/>
  <c r="BZ37" i="2"/>
  <c r="BY37" i="2"/>
  <c r="BX37" i="2"/>
  <c r="CF72" i="2"/>
  <c r="CE72" i="2"/>
  <c r="CD72" i="2"/>
  <c r="CC72" i="2"/>
  <c r="CA72" i="2"/>
  <c r="BZ72" i="2"/>
  <c r="BY72" i="2"/>
  <c r="BX72" i="2"/>
  <c r="BW72" i="2"/>
  <c r="DG37" i="2"/>
  <c r="DF37" i="2"/>
  <c r="DE37" i="2"/>
  <c r="DD37" i="2"/>
  <c r="DB37" i="2"/>
  <c r="DA37" i="2"/>
  <c r="CZ37" i="2"/>
  <c r="CY37" i="2"/>
  <c r="CX37" i="2"/>
  <c r="CS37" i="2"/>
  <c r="CR37" i="2"/>
  <c r="CQ37" i="2"/>
  <c r="CP37" i="2"/>
  <c r="CN37" i="2"/>
  <c r="CM37" i="2"/>
  <c r="CL37" i="2"/>
  <c r="CK37" i="2"/>
  <c r="CJ37" i="2"/>
  <c r="BS37" i="2"/>
  <c r="BR37" i="2"/>
  <c r="BQ37" i="2"/>
  <c r="BP37" i="2"/>
  <c r="BN37" i="2"/>
  <c r="BM37" i="2"/>
  <c r="BL37" i="2"/>
  <c r="BK37" i="2"/>
  <c r="BJ37" i="2"/>
  <c r="BF37" i="2"/>
  <c r="BE37" i="2"/>
  <c r="BD37" i="2"/>
  <c r="BC37" i="2"/>
  <c r="BA37" i="2"/>
  <c r="AZ37" i="2"/>
  <c r="AY37" i="2"/>
  <c r="AX37" i="2"/>
  <c r="AW37" i="2"/>
  <c r="AS37" i="2"/>
  <c r="AR37" i="2"/>
  <c r="AQ37" i="2"/>
  <c r="AP37" i="2"/>
  <c r="AN37" i="2"/>
  <c r="AM37" i="2"/>
  <c r="AL37" i="2"/>
  <c r="AK37" i="2"/>
  <c r="AJ37" i="2"/>
  <c r="AD453" i="7"/>
  <c r="AD445" i="7"/>
  <c r="AD440" i="7"/>
  <c r="AD435" i="7"/>
  <c r="L523" i="6"/>
  <c r="AJ51" i="15"/>
  <c r="L515" i="6"/>
  <c r="AJ49" i="15"/>
  <c r="X135" i="15"/>
  <c r="Z135" i="15"/>
  <c r="J2267" i="6"/>
  <c r="DH2267" i="6"/>
  <c r="J2266" i="6"/>
  <c r="Y133" i="15"/>
  <c r="J2265" i="6"/>
  <c r="DH2265" i="6"/>
  <c r="J2264" i="6"/>
  <c r="X133" i="15"/>
  <c r="J2263" i="6"/>
  <c r="DH2263" i="6"/>
  <c r="J2262" i="6"/>
  <c r="Y132" i="15"/>
  <c r="J2261" i="6"/>
  <c r="DH2261" i="6"/>
  <c r="J2260" i="6"/>
  <c r="X132" i="15"/>
  <c r="Z132" i="15" s="1"/>
  <c r="J2255" i="6"/>
  <c r="DH2255" i="6"/>
  <c r="J2254" i="6"/>
  <c r="Y129" i="15"/>
  <c r="J2253" i="6"/>
  <c r="DH2253" i="6"/>
  <c r="J2252" i="6"/>
  <c r="X129" i="15"/>
  <c r="J2251" i="6"/>
  <c r="DH2251" i="6"/>
  <c r="J2250" i="6"/>
  <c r="J2249" i="6"/>
  <c r="DH2249" i="6"/>
  <c r="J2248" i="6"/>
  <c r="J2243" i="6"/>
  <c r="DH2243" i="6"/>
  <c r="J2242" i="6"/>
  <c r="Y125" i="15"/>
  <c r="J2241" i="6"/>
  <c r="DH2241" i="6"/>
  <c r="J2240" i="6"/>
  <c r="J2239" i="6"/>
  <c r="DH2239" i="6"/>
  <c r="J2238" i="6"/>
  <c r="Y124" i="15"/>
  <c r="J2237" i="6"/>
  <c r="DH2237" i="6"/>
  <c r="J2236" i="6"/>
  <c r="J2231" i="6"/>
  <c r="DH2231" i="6"/>
  <c r="J2230" i="6"/>
  <c r="Y121" i="15"/>
  <c r="J2229" i="6"/>
  <c r="DH2229" i="6"/>
  <c r="J2228" i="6"/>
  <c r="J2227" i="6"/>
  <c r="DH2227" i="6"/>
  <c r="J2226" i="6"/>
  <c r="J2225" i="6"/>
  <c r="DH2225" i="6"/>
  <c r="J2224" i="6"/>
  <c r="X120" i="15"/>
  <c r="H2267" i="6"/>
  <c r="H2266" i="6"/>
  <c r="H2265" i="6"/>
  <c r="H2264" i="6"/>
  <c r="H2263" i="6"/>
  <c r="H2262" i="6"/>
  <c r="H2261" i="6"/>
  <c r="H2260" i="6"/>
  <c r="H2255" i="6"/>
  <c r="H2254" i="6"/>
  <c r="H2253" i="6"/>
  <c r="H2252" i="6"/>
  <c r="H2251" i="6"/>
  <c r="H2250" i="6"/>
  <c r="H2249" i="6"/>
  <c r="H2248" i="6"/>
  <c r="H2243" i="6"/>
  <c r="H2242" i="6"/>
  <c r="H2241" i="6"/>
  <c r="H2240" i="6"/>
  <c r="H2239" i="6"/>
  <c r="H2238" i="6"/>
  <c r="H2237" i="6"/>
  <c r="H2236" i="6"/>
  <c r="H2231" i="6"/>
  <c r="H2230" i="6"/>
  <c r="H2229" i="6"/>
  <c r="H2228" i="6"/>
  <c r="H2227" i="6"/>
  <c r="H2226" i="6"/>
  <c r="H2225" i="6"/>
  <c r="H2224" i="6"/>
  <c r="I379" i="6"/>
  <c r="I378" i="6"/>
  <c r="I377" i="6"/>
  <c r="I375" i="6"/>
  <c r="I365" i="6"/>
  <c r="V2221" i="6"/>
  <c r="DH249" i="6"/>
  <c r="DI249" i="6"/>
  <c r="DH250" i="6"/>
  <c r="DI250" i="6"/>
  <c r="DH251" i="6"/>
  <c r="DI251" i="6"/>
  <c r="DH243" i="6"/>
  <c r="DI243" i="6"/>
  <c r="DH245" i="6"/>
  <c r="DI245" i="6"/>
  <c r="DH247" i="6"/>
  <c r="DI247" i="6"/>
  <c r="K319" i="6"/>
  <c r="L238" i="6"/>
  <c r="AJ39" i="15"/>
  <c r="I383" i="6"/>
  <c r="F383" i="6"/>
  <c r="F409" i="6"/>
  <c r="F434" i="6"/>
  <c r="F377" i="6"/>
  <c r="F403" i="6"/>
  <c r="F428" i="6"/>
  <c r="F378" i="6"/>
  <c r="F404" i="6"/>
  <c r="F429" i="6"/>
  <c r="F379" i="6"/>
  <c r="F405" i="6"/>
  <c r="F430" i="6"/>
  <c r="F272" i="6"/>
  <c r="F282" i="6"/>
  <c r="F292" i="6"/>
  <c r="F302" i="6"/>
  <c r="F312" i="6"/>
  <c r="F322" i="6"/>
  <c r="F332" i="6"/>
  <c r="F342" i="6"/>
  <c r="F352" i="6"/>
  <c r="F362" i="6"/>
  <c r="F271" i="6"/>
  <c r="F281" i="6"/>
  <c r="F291" i="6"/>
  <c r="F301" i="6"/>
  <c r="F311" i="6"/>
  <c r="F321" i="6"/>
  <c r="F331" i="6"/>
  <c r="F341" i="6"/>
  <c r="F351" i="6"/>
  <c r="F361" i="6"/>
  <c r="K48" i="16"/>
  <c r="DJ48" i="16"/>
  <c r="V48" i="16"/>
  <c r="I557" i="7"/>
  <c r="DH856" i="7"/>
  <c r="AX226" i="15"/>
  <c r="AX104" i="15"/>
  <c r="AX100" i="15"/>
  <c r="AX95" i="15"/>
  <c r="AX78" i="15"/>
  <c r="AZ78" i="15"/>
  <c r="AX61" i="15"/>
  <c r="AX57" i="15"/>
  <c r="AX54" i="15"/>
  <c r="AX55" i="15"/>
  <c r="AC618" i="7"/>
  <c r="AC623" i="7"/>
  <c r="AC624" i="7"/>
  <c r="AC625" i="7"/>
  <c r="AC626" i="7"/>
  <c r="AC631" i="7"/>
  <c r="AC617" i="7"/>
  <c r="DL261" i="2"/>
  <c r="DM260" i="2"/>
  <c r="DL260" i="2"/>
  <c r="DK260" i="2"/>
  <c r="DL343" i="2"/>
  <c r="K607" i="7"/>
  <c r="DJ607" i="7" s="1"/>
  <c r="V607" i="7"/>
  <c r="V639" i="7" s="1"/>
  <c r="V608" i="7"/>
  <c r="J607" i="7"/>
  <c r="X197" i="15" s="1"/>
  <c r="Z197" i="15" s="1"/>
  <c r="W197" i="15" s="1"/>
  <c r="V197" i="15" s="1"/>
  <c r="J608" i="7"/>
  <c r="DH608" i="7" s="1"/>
  <c r="H607" i="7"/>
  <c r="H608" i="7"/>
  <c r="J9" i="7"/>
  <c r="X138" i="15" s="1"/>
  <c r="Z138" i="15" s="1"/>
  <c r="W138" i="15" s="1"/>
  <c r="V138" i="15" s="1"/>
  <c r="J8" i="7"/>
  <c r="X137" i="15" s="1"/>
  <c r="Z137" i="15" s="1"/>
  <c r="W137" i="15" s="1"/>
  <c r="V137" i="15" s="1"/>
  <c r="H9" i="7"/>
  <c r="I9" i="7" s="1"/>
  <c r="Q138" i="15" s="1"/>
  <c r="O138" i="15" s="1"/>
  <c r="H8" i="7"/>
  <c r="I389" i="6"/>
  <c r="I388" i="6"/>
  <c r="I387" i="6"/>
  <c r="I386" i="6"/>
  <c r="I385" i="6"/>
  <c r="I384" i="6"/>
  <c r="I381" i="6"/>
  <c r="I380" i="6"/>
  <c r="I374" i="6"/>
  <c r="I373" i="6"/>
  <c r="I372" i="6"/>
  <c r="I371" i="6"/>
  <c r="I370" i="6"/>
  <c r="I369" i="6"/>
  <c r="I368" i="6"/>
  <c r="I367" i="6"/>
  <c r="I366" i="6"/>
  <c r="K265" i="6"/>
  <c r="K266" i="6"/>
  <c r="H354" i="2"/>
  <c r="E354" i="2"/>
  <c r="D354" i="2"/>
  <c r="H343" i="2"/>
  <c r="E40" i="2"/>
  <c r="E41" i="2"/>
  <c r="E42" i="2"/>
  <c r="E43" i="2"/>
  <c r="E44" i="2"/>
  <c r="E45" i="2"/>
  <c r="E46" i="2"/>
  <c r="E47" i="2"/>
  <c r="J10" i="2"/>
  <c r="X252" i="15"/>
  <c r="Z252" i="15" s="1"/>
  <c r="W252" i="15" s="1"/>
  <c r="V252" i="15" s="1"/>
  <c r="U252" i="15" s="1"/>
  <c r="J11" i="2"/>
  <c r="J12" i="2"/>
  <c r="J13" i="2"/>
  <c r="X255" i="15"/>
  <c r="Z255" i="15"/>
  <c r="W255" i="15" s="1"/>
  <c r="J14" i="2"/>
  <c r="X256" i="15"/>
  <c r="Z256" i="15" s="1"/>
  <c r="J15" i="2"/>
  <c r="X257" i="15"/>
  <c r="Z257" i="15" s="1"/>
  <c r="W257" i="15" s="1"/>
  <c r="V257" i="15" s="1"/>
  <c r="U257" i="15" s="1"/>
  <c r="J16" i="2"/>
  <c r="J17" i="2"/>
  <c r="J19" i="2"/>
  <c r="X261" i="15"/>
  <c r="Z261" i="15"/>
  <c r="W261" i="15" s="1"/>
  <c r="V261" i="15" s="1"/>
  <c r="U261" i="15" s="1"/>
  <c r="J9" i="2"/>
  <c r="X251" i="15"/>
  <c r="Z251" i="15"/>
  <c r="W251" i="15" s="1"/>
  <c r="V9" i="11"/>
  <c r="K560" i="7"/>
  <c r="J560" i="7"/>
  <c r="K558" i="7"/>
  <c r="J558" i="7"/>
  <c r="I560" i="7"/>
  <c r="I558" i="7"/>
  <c r="AC453" i="7"/>
  <c r="AC445" i="7"/>
  <c r="AC440" i="7"/>
  <c r="AC435" i="7"/>
  <c r="AC1687" i="6"/>
  <c r="AC1680" i="6"/>
  <c r="AC1674" i="6"/>
  <c r="AC1672" i="6"/>
  <c r="AC1670" i="6"/>
  <c r="AC1668" i="6"/>
  <c r="AC1666" i="6"/>
  <c r="AC1664" i="6"/>
  <c r="AC1656" i="6"/>
  <c r="AC1654" i="6"/>
  <c r="AC1651" i="6"/>
  <c r="AC1648" i="6"/>
  <c r="AC1645" i="6"/>
  <c r="AC1639" i="6"/>
  <c r="AC1637" i="6"/>
  <c r="AC1630" i="6"/>
  <c r="AC1628" i="6"/>
  <c r="AC1619" i="6"/>
  <c r="AC1612" i="6"/>
  <c r="AC1608" i="6"/>
  <c r="AC1606" i="6"/>
  <c r="AC1599" i="6"/>
  <c r="AC1597" i="6"/>
  <c r="AC1595" i="6"/>
  <c r="AC1378" i="6"/>
  <c r="AC1371" i="6"/>
  <c r="AC1365" i="6"/>
  <c r="AC1363" i="6"/>
  <c r="AC1361" i="6"/>
  <c r="AC1359" i="6"/>
  <c r="AC1357" i="6"/>
  <c r="AC1355" i="6"/>
  <c r="AC1342" i="6"/>
  <c r="AC1339" i="6"/>
  <c r="AC1336" i="6"/>
  <c r="AC1330" i="6"/>
  <c r="AC1328" i="6"/>
  <c r="AC1321" i="6"/>
  <c r="AC1319" i="6"/>
  <c r="AC1310" i="6"/>
  <c r="AC1303" i="6"/>
  <c r="AC1299" i="6"/>
  <c r="AC1297" i="6"/>
  <c r="AC1290" i="6"/>
  <c r="AC1288" i="6"/>
  <c r="AC1286" i="6"/>
  <c r="AC1275" i="6"/>
  <c r="AC1268" i="6"/>
  <c r="AC1262" i="6"/>
  <c r="AC1260" i="6"/>
  <c r="AC1258" i="6"/>
  <c r="AC1256" i="6"/>
  <c r="AC1254" i="6"/>
  <c r="AC1252" i="6"/>
  <c r="AC1244" i="6"/>
  <c r="AC1242" i="6"/>
  <c r="AC1239" i="6"/>
  <c r="AC1236" i="6"/>
  <c r="AC1233" i="6"/>
  <c r="AC1227" i="6"/>
  <c r="AC1225" i="6"/>
  <c r="AC1218" i="6"/>
  <c r="AC1216" i="6"/>
  <c r="AC1207" i="6"/>
  <c r="AC1200" i="6"/>
  <c r="AC1196" i="6"/>
  <c r="AC1194" i="6"/>
  <c r="AC1187" i="6"/>
  <c r="AC1185" i="6"/>
  <c r="AC1183" i="6"/>
  <c r="AC965" i="6"/>
  <c r="AC958" i="6"/>
  <c r="AC952" i="6"/>
  <c r="AC950" i="6"/>
  <c r="AC948" i="6"/>
  <c r="AC946" i="6"/>
  <c r="AC944" i="6"/>
  <c r="AC942" i="6"/>
  <c r="AC929" i="6"/>
  <c r="AC926" i="6"/>
  <c r="AC923" i="6"/>
  <c r="AC917" i="6"/>
  <c r="AC915" i="6"/>
  <c r="AC909" i="6"/>
  <c r="AC907" i="6"/>
  <c r="AC898" i="6"/>
  <c r="AC891" i="6"/>
  <c r="AC887" i="6"/>
  <c r="AC885" i="6"/>
  <c r="AC878" i="6"/>
  <c r="AC876" i="6"/>
  <c r="AC874" i="6"/>
  <c r="DH852" i="6"/>
  <c r="DH850" i="6"/>
  <c r="DI850" i="6"/>
  <c r="DH848" i="6"/>
  <c r="DI848" i="6"/>
  <c r="DH847" i="6"/>
  <c r="DI847" i="6"/>
  <c r="DH846" i="6"/>
  <c r="DI846" i="6"/>
  <c r="DH845" i="6"/>
  <c r="DI845" i="6"/>
  <c r="DH844" i="6"/>
  <c r="DI844" i="6"/>
  <c r="DH842" i="6"/>
  <c r="DI842" i="6"/>
  <c r="DH841" i="6"/>
  <c r="DI841" i="6"/>
  <c r="DH840" i="6"/>
  <c r="DI840" i="6"/>
  <c r="DH839" i="6"/>
  <c r="DI839" i="6"/>
  <c r="DH838" i="6"/>
  <c r="DI838" i="6"/>
  <c r="DH837" i="6"/>
  <c r="DI837" i="6"/>
  <c r="DH836" i="6"/>
  <c r="DI836" i="6"/>
  <c r="DH835" i="6"/>
  <c r="DI835" i="6"/>
  <c r="DH834" i="6"/>
  <c r="DI834" i="6"/>
  <c r="DH833" i="6"/>
  <c r="DI833" i="6"/>
  <c r="DH832" i="6"/>
  <c r="DI832" i="6"/>
  <c r="DH831" i="6"/>
  <c r="DI831" i="6"/>
  <c r="DH830" i="6"/>
  <c r="DI830" i="6"/>
  <c r="DH829" i="6"/>
  <c r="DI829" i="6"/>
  <c r="DH828" i="6"/>
  <c r="DI828" i="6"/>
  <c r="DH826" i="6"/>
  <c r="DI826" i="6"/>
  <c r="DH825" i="6"/>
  <c r="DI825" i="6"/>
  <c r="DH824" i="6"/>
  <c r="DI824" i="6"/>
  <c r="DH823" i="6"/>
  <c r="DI823" i="6"/>
  <c r="DH822" i="6"/>
  <c r="DI822" i="6"/>
  <c r="DH821" i="6"/>
  <c r="DI821" i="6"/>
  <c r="DH820" i="6"/>
  <c r="DI820" i="6"/>
  <c r="DH818" i="6"/>
  <c r="DI818" i="6"/>
  <c r="DH817" i="6"/>
  <c r="DI817" i="6"/>
  <c r="DH816" i="6"/>
  <c r="DI816" i="6"/>
  <c r="DH815" i="6"/>
  <c r="DI815" i="6"/>
  <c r="DH814" i="6"/>
  <c r="DI814" i="6"/>
  <c r="DH813" i="6"/>
  <c r="DI813" i="6"/>
  <c r="DH812" i="6"/>
  <c r="DI812" i="6"/>
  <c r="DH811" i="6"/>
  <c r="DI811" i="6"/>
  <c r="DH810" i="6"/>
  <c r="DI810" i="6"/>
  <c r="DH809" i="6"/>
  <c r="DI809" i="6"/>
  <c r="DH808" i="6"/>
  <c r="DI808" i="6"/>
  <c r="DH807" i="6"/>
  <c r="DI807" i="6"/>
  <c r="DH806" i="6"/>
  <c r="DH804" i="6"/>
  <c r="DI804" i="6"/>
  <c r="DH803" i="6"/>
  <c r="DI803" i="6"/>
  <c r="DH802" i="6"/>
  <c r="DI802" i="6"/>
  <c r="DH800" i="6"/>
  <c r="DI800" i="6"/>
  <c r="DH798" i="6"/>
  <c r="DI798" i="6"/>
  <c r="DH797" i="6"/>
  <c r="DI797" i="6"/>
  <c r="DH796" i="6"/>
  <c r="DI796" i="6"/>
  <c r="DH795" i="6"/>
  <c r="DI795" i="6"/>
  <c r="DH794" i="6"/>
  <c r="DI794" i="6"/>
  <c r="DH793" i="6"/>
  <c r="DI793" i="6"/>
  <c r="DH792" i="6"/>
  <c r="DI792" i="6"/>
  <c r="DH790" i="6"/>
  <c r="DH788" i="6"/>
  <c r="DI788" i="6"/>
  <c r="DH787" i="6"/>
  <c r="DI787" i="6"/>
  <c r="DH786" i="6"/>
  <c r="DI786" i="6"/>
  <c r="DH785" i="6"/>
  <c r="DI785" i="6"/>
  <c r="DH784" i="6"/>
  <c r="DI784" i="6"/>
  <c r="DH783" i="6"/>
  <c r="DI783" i="6"/>
  <c r="DH782" i="6"/>
  <c r="DI782" i="6"/>
  <c r="DH781" i="6"/>
  <c r="DI781" i="6"/>
  <c r="DH780" i="6"/>
  <c r="DI780" i="6"/>
  <c r="DH779" i="6"/>
  <c r="DI779" i="6"/>
  <c r="DH778" i="6"/>
  <c r="DI778" i="6"/>
  <c r="DH777" i="6"/>
  <c r="DI777" i="6"/>
  <c r="DH776" i="6"/>
  <c r="DI776" i="6"/>
  <c r="DH771" i="6"/>
  <c r="DI771" i="6"/>
  <c r="DH770" i="6"/>
  <c r="DH769" i="6"/>
  <c r="DI769" i="6"/>
  <c r="DH768" i="6"/>
  <c r="DI768" i="6"/>
  <c r="DH767" i="6"/>
  <c r="DI767" i="6"/>
  <c r="DH766" i="6"/>
  <c r="DI766" i="6"/>
  <c r="DH765" i="6"/>
  <c r="DI765" i="6"/>
  <c r="DH764" i="6"/>
  <c r="DI764" i="6"/>
  <c r="DH763" i="6"/>
  <c r="DI763" i="6"/>
  <c r="DH762" i="6"/>
  <c r="DI762" i="6"/>
  <c r="DH761" i="6"/>
  <c r="DI761" i="6"/>
  <c r="DH760" i="6"/>
  <c r="DI760" i="6"/>
  <c r="DH759" i="6"/>
  <c r="DI759" i="6"/>
  <c r="DH758" i="6"/>
  <c r="DI758" i="6"/>
  <c r="DH757" i="6"/>
  <c r="DI757" i="6"/>
  <c r="DH756" i="6"/>
  <c r="DI756" i="6"/>
  <c r="DH755" i="6"/>
  <c r="DI755" i="6"/>
  <c r="DH754" i="6"/>
  <c r="DI754" i="6"/>
  <c r="DH753" i="6"/>
  <c r="DI753" i="6"/>
  <c r="DH752" i="6"/>
  <c r="DI752" i="6"/>
  <c r="DH751" i="6"/>
  <c r="DI751" i="6"/>
  <c r="DH750" i="6"/>
  <c r="DI750" i="6"/>
  <c r="DH749" i="6"/>
  <c r="DI749" i="6"/>
  <c r="DH748" i="6"/>
  <c r="DI748" i="6"/>
  <c r="DH744" i="6"/>
  <c r="DI744" i="6"/>
  <c r="DH743" i="6"/>
  <c r="DI743" i="6"/>
  <c r="DH742" i="6"/>
  <c r="DI742" i="6"/>
  <c r="DH741" i="6"/>
  <c r="DI741" i="6"/>
  <c r="DH740" i="6"/>
  <c r="DI740" i="6"/>
  <c r="DH739" i="6"/>
  <c r="DI739" i="6"/>
  <c r="DH738" i="6"/>
  <c r="DI738" i="6"/>
  <c r="DH737" i="6"/>
  <c r="DI737" i="6"/>
  <c r="DH736" i="6"/>
  <c r="DH735" i="6"/>
  <c r="DI735" i="6"/>
  <c r="DH734" i="6"/>
  <c r="DI734" i="6"/>
  <c r="DH733" i="6"/>
  <c r="DI733" i="6"/>
  <c r="DH732" i="6"/>
  <c r="DI732" i="6"/>
  <c r="DH731" i="6"/>
  <c r="DI731" i="6"/>
  <c r="DH726" i="6"/>
  <c r="DI726" i="6"/>
  <c r="DH725" i="6"/>
  <c r="DI725" i="6"/>
  <c r="DH720" i="6"/>
  <c r="DI720" i="6"/>
  <c r="DH719" i="6"/>
  <c r="DI719" i="6"/>
  <c r="DH718" i="6"/>
  <c r="DH716" i="6"/>
  <c r="DI716" i="6"/>
  <c r="DH715" i="6"/>
  <c r="DI715" i="6"/>
  <c r="DH714" i="6"/>
  <c r="DI714" i="6"/>
  <c r="DH713" i="6"/>
  <c r="DI713" i="6"/>
  <c r="DH710" i="6"/>
  <c r="DI710" i="6"/>
  <c r="DH706" i="6"/>
  <c r="DI706" i="6"/>
  <c r="DH705" i="6"/>
  <c r="DI705" i="6"/>
  <c r="DH700" i="6"/>
  <c r="DI700" i="6"/>
  <c r="DH698" i="6"/>
  <c r="DI698" i="6"/>
  <c r="DH696" i="6"/>
  <c r="DI696" i="6"/>
  <c r="DH695" i="6"/>
  <c r="DI695" i="6"/>
  <c r="DH692" i="6"/>
  <c r="DI692" i="6"/>
  <c r="DH686" i="6"/>
  <c r="DI686" i="6"/>
  <c r="DH685" i="6"/>
  <c r="DI685" i="6"/>
  <c r="DH684" i="6"/>
  <c r="DI684" i="6"/>
  <c r="DH682" i="6"/>
  <c r="DI682" i="6"/>
  <c r="DH676" i="6"/>
  <c r="DI676" i="6"/>
  <c r="DH675" i="6"/>
  <c r="DI675" i="6"/>
  <c r="DH674" i="6"/>
  <c r="DH672" i="6"/>
  <c r="DI672" i="6"/>
  <c r="DH671" i="6"/>
  <c r="DI671" i="6"/>
  <c r="DH670" i="6"/>
  <c r="DI670" i="6"/>
  <c r="DH669" i="6"/>
  <c r="DI669" i="6"/>
  <c r="DH662" i="6"/>
  <c r="DI662" i="6"/>
  <c r="DH660" i="6"/>
  <c r="DI660" i="6"/>
  <c r="DH659" i="6"/>
  <c r="DI659" i="6"/>
  <c r="DH658" i="6"/>
  <c r="DI658" i="6"/>
  <c r="DH656" i="6"/>
  <c r="DI656" i="6"/>
  <c r="DH655" i="6"/>
  <c r="DI655" i="6"/>
  <c r="DH654" i="6"/>
  <c r="DI654" i="6"/>
  <c r="DH652" i="6"/>
  <c r="DI652" i="6"/>
  <c r="DH650" i="6"/>
  <c r="DI650" i="6"/>
  <c r="DH649" i="6"/>
  <c r="DI649" i="6"/>
  <c r="DH648" i="6"/>
  <c r="DI648" i="6"/>
  <c r="F2015" i="6"/>
  <c r="F2016" i="6"/>
  <c r="F2017" i="6"/>
  <c r="F2018" i="6"/>
  <c r="F2019" i="6"/>
  <c r="F2020" i="6"/>
  <c r="F2021" i="6"/>
  <c r="F2022" i="6"/>
  <c r="F2026" i="6"/>
  <c r="F2027" i="6"/>
  <c r="F2028" i="6"/>
  <c r="F2029" i="6"/>
  <c r="F2030" i="6"/>
  <c r="F2031" i="6"/>
  <c r="F2032" i="6"/>
  <c r="F2033" i="6"/>
  <c r="F2036" i="6"/>
  <c r="F2037" i="6"/>
  <c r="F2038" i="6"/>
  <c r="F2039" i="6"/>
  <c r="F2040" i="6"/>
  <c r="F2041" i="6"/>
  <c r="F2045" i="6"/>
  <c r="F2046" i="6"/>
  <c r="F2048" i="6"/>
  <c r="F2049" i="6"/>
  <c r="F2050" i="6"/>
  <c r="F2051" i="6"/>
  <c r="F2052" i="6"/>
  <c r="F2053" i="6"/>
  <c r="F2057" i="6"/>
  <c r="F2058" i="6"/>
  <c r="F2061" i="6"/>
  <c r="F2062" i="6"/>
  <c r="F2065" i="6"/>
  <c r="F2066" i="6"/>
  <c r="F2067" i="6"/>
  <c r="F2068" i="6"/>
  <c r="F2069" i="6"/>
  <c r="F2070" i="6"/>
  <c r="F2071" i="6"/>
  <c r="F2072" i="6"/>
  <c r="F2075" i="6"/>
  <c r="F2076" i="6"/>
  <c r="F2080" i="6"/>
  <c r="F2081" i="6"/>
  <c r="F2082" i="6"/>
  <c r="F2083" i="6"/>
  <c r="F2084" i="6"/>
  <c r="F2085" i="6"/>
  <c r="F2086" i="6"/>
  <c r="F2087" i="6"/>
  <c r="F2088" i="6"/>
  <c r="F2089" i="6"/>
  <c r="F2090" i="6"/>
  <c r="F2091" i="6"/>
  <c r="F2092" i="6"/>
  <c r="F2093" i="6"/>
  <c r="F2096" i="6"/>
  <c r="F2097" i="6"/>
  <c r="F2098" i="6"/>
  <c r="F2099" i="6"/>
  <c r="F2100" i="6"/>
  <c r="F2101" i="6"/>
  <c r="F2102" i="6"/>
  <c r="F2103" i="6"/>
  <c r="F2104" i="6"/>
  <c r="F2105" i="6"/>
  <c r="F2106" i="6"/>
  <c r="F2107" i="6"/>
  <c r="F2108" i="6"/>
  <c r="F2109" i="6"/>
  <c r="F2110" i="6"/>
  <c r="F2111" i="6"/>
  <c r="F2112" i="6"/>
  <c r="F2113" i="6"/>
  <c r="F2114" i="6"/>
  <c r="F2115" i="6"/>
  <c r="F2116" i="6"/>
  <c r="F2117" i="6"/>
  <c r="F2118" i="6"/>
  <c r="F2119" i="6"/>
  <c r="F2120" i="6"/>
  <c r="F2121" i="6"/>
  <c r="F2124" i="6"/>
  <c r="F2125" i="6"/>
  <c r="F2126" i="6"/>
  <c r="F2127" i="6"/>
  <c r="F2128" i="6"/>
  <c r="F2129" i="6"/>
  <c r="F2130" i="6"/>
  <c r="F2131" i="6"/>
  <c r="F2132" i="6"/>
  <c r="F2133" i="6"/>
  <c r="F2134" i="6"/>
  <c r="F2135" i="6"/>
  <c r="F2136" i="6"/>
  <c r="F2137" i="6"/>
  <c r="F2138" i="6"/>
  <c r="F2139" i="6"/>
  <c r="F2140" i="6"/>
  <c r="F2141" i="6"/>
  <c r="F2142" i="6"/>
  <c r="F2143" i="6"/>
  <c r="F2144" i="6"/>
  <c r="F2145" i="6"/>
  <c r="F2146" i="6"/>
  <c r="F2147" i="6"/>
  <c r="F2148" i="6"/>
  <c r="F2149" i="6"/>
  <c r="F2150" i="6"/>
  <c r="F2151" i="6"/>
  <c r="F2152" i="6"/>
  <c r="F2153" i="6"/>
  <c r="F2154" i="6"/>
  <c r="F2155" i="6"/>
  <c r="F2156" i="6"/>
  <c r="F2157" i="6"/>
  <c r="F2158" i="6"/>
  <c r="F2159" i="6"/>
  <c r="F2160" i="6"/>
  <c r="F2161" i="6"/>
  <c r="F2162" i="6"/>
  <c r="F2163" i="6"/>
  <c r="F2164" i="6"/>
  <c r="F2165" i="6"/>
  <c r="F2166" i="6"/>
  <c r="F2167" i="6"/>
  <c r="F2168" i="6"/>
  <c r="F2169" i="6"/>
  <c r="F2170" i="6"/>
  <c r="F2171" i="6"/>
  <c r="F2172" i="6"/>
  <c r="F2173" i="6"/>
  <c r="F2174" i="6"/>
  <c r="F2175" i="6"/>
  <c r="F2176" i="6"/>
  <c r="F2177" i="6"/>
  <c r="F2178" i="6"/>
  <c r="F2179" i="6"/>
  <c r="F2180" i="6"/>
  <c r="F2181" i="6"/>
  <c r="F2182" i="6"/>
  <c r="F2183" i="6"/>
  <c r="F2184" i="6"/>
  <c r="F2185" i="6"/>
  <c r="F2186" i="6"/>
  <c r="F2187" i="6"/>
  <c r="F2188" i="6"/>
  <c r="F2189" i="6"/>
  <c r="F2190" i="6"/>
  <c r="F2191" i="6"/>
  <c r="F2192" i="6"/>
  <c r="F2193" i="6"/>
  <c r="F2194" i="6"/>
  <c r="F2195" i="6"/>
  <c r="F2196" i="6"/>
  <c r="F2197" i="6"/>
  <c r="F2198" i="6"/>
  <c r="F2199" i="6"/>
  <c r="F2011" i="6"/>
  <c r="F2012" i="6"/>
  <c r="F2013" i="6"/>
  <c r="F2014" i="6"/>
  <c r="F1901" i="6"/>
  <c r="F1902" i="6"/>
  <c r="F1903" i="6"/>
  <c r="F1904" i="6"/>
  <c r="F1905" i="6"/>
  <c r="F1906" i="6"/>
  <c r="F1907" i="6"/>
  <c r="F1908" i="6"/>
  <c r="F1909" i="6"/>
  <c r="F1910" i="6"/>
  <c r="F1911" i="6"/>
  <c r="F1912" i="6"/>
  <c r="F1913" i="6"/>
  <c r="F1914" i="6"/>
  <c r="F1915" i="6"/>
  <c r="F1916" i="6"/>
  <c r="F1917" i="6"/>
  <c r="F1918" i="6"/>
  <c r="F1919" i="6"/>
  <c r="F1920" i="6"/>
  <c r="F1921" i="6"/>
  <c r="F1922" i="6"/>
  <c r="F1923" i="6"/>
  <c r="F1924" i="6"/>
  <c r="F1925" i="6"/>
  <c r="F1926" i="6"/>
  <c r="F1931" i="6"/>
  <c r="F1932" i="6"/>
  <c r="F1933" i="6"/>
  <c r="F1934" i="6"/>
  <c r="F1935" i="6"/>
  <c r="F1936" i="6"/>
  <c r="F1937" i="6"/>
  <c r="F1938" i="6"/>
  <c r="F1939" i="6"/>
  <c r="F1940" i="6"/>
  <c r="F1941" i="6"/>
  <c r="F1942" i="6"/>
  <c r="F1943" i="6"/>
  <c r="F1944" i="6"/>
  <c r="F1945" i="6"/>
  <c r="F1946" i="6"/>
  <c r="F1947" i="6"/>
  <c r="F1948" i="6"/>
  <c r="F1949" i="6"/>
  <c r="F1950" i="6"/>
  <c r="F1951" i="6"/>
  <c r="F1952" i="6"/>
  <c r="F1953" i="6"/>
  <c r="F1954" i="6"/>
  <c r="F1955" i="6"/>
  <c r="F1956" i="6"/>
  <c r="F1957" i="6"/>
  <c r="F1958" i="6"/>
  <c r="F1959" i="6"/>
  <c r="F1960" i="6"/>
  <c r="F1961" i="6"/>
  <c r="F1962" i="6"/>
  <c r="F1963" i="6"/>
  <c r="F1964" i="6"/>
  <c r="F1965" i="6"/>
  <c r="F1966" i="6"/>
  <c r="F1967" i="6"/>
  <c r="F1968" i="6"/>
  <c r="F1969" i="6"/>
  <c r="F1970" i="6"/>
  <c r="F1971" i="6"/>
  <c r="F1972" i="6"/>
  <c r="F1973" i="6"/>
  <c r="F1974" i="6"/>
  <c r="F1975" i="6"/>
  <c r="F1976" i="6"/>
  <c r="F1977" i="6"/>
  <c r="F1978" i="6"/>
  <c r="F1979" i="6"/>
  <c r="F1980" i="6"/>
  <c r="F1981" i="6"/>
  <c r="F1982" i="6"/>
  <c r="F1983" i="6"/>
  <c r="F1984" i="6"/>
  <c r="F1985" i="6"/>
  <c r="F1986" i="6"/>
  <c r="F1987" i="6"/>
  <c r="F1988" i="6"/>
  <c r="F1989" i="6"/>
  <c r="F1990" i="6"/>
  <c r="F1991" i="6"/>
  <c r="F1992" i="6"/>
  <c r="F1993" i="6"/>
  <c r="F1994" i="6"/>
  <c r="F1995" i="6"/>
  <c r="F1996" i="6"/>
  <c r="F1997" i="6"/>
  <c r="F1998" i="6"/>
  <c r="F1999" i="6"/>
  <c r="F2000" i="6"/>
  <c r="F2001" i="6"/>
  <c r="F2002" i="6"/>
  <c r="F2003" i="6"/>
  <c r="F2004" i="6"/>
  <c r="F2005" i="6"/>
  <c r="F2006" i="6"/>
  <c r="F2007" i="6"/>
  <c r="F2008" i="6"/>
  <c r="F2009" i="6"/>
  <c r="F2010"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4" i="6"/>
  <c r="F933" i="6"/>
  <c r="F932" i="6"/>
  <c r="F931" i="6"/>
  <c r="F930" i="6"/>
  <c r="F929" i="6"/>
  <c r="F928" i="6"/>
  <c r="F927" i="6"/>
  <c r="F926" i="6"/>
  <c r="F925" i="6"/>
  <c r="F924" i="6"/>
  <c r="F923" i="6"/>
  <c r="F922" i="6"/>
  <c r="F920" i="6"/>
  <c r="F919" i="6"/>
  <c r="F918" i="6"/>
  <c r="F917" i="6"/>
  <c r="F916" i="6"/>
  <c r="F915" i="6"/>
  <c r="F914" i="6"/>
  <c r="F912" i="6"/>
  <c r="F909" i="6"/>
  <c r="F908" i="6"/>
  <c r="F907" i="6"/>
  <c r="F906" i="6"/>
  <c r="F904" i="6"/>
  <c r="F902" i="6"/>
  <c r="F899" i="6"/>
  <c r="F898" i="6"/>
  <c r="F897" i="6"/>
  <c r="F895" i="6"/>
  <c r="F892" i="6"/>
  <c r="F891" i="6"/>
  <c r="F890" i="6"/>
  <c r="F887" i="6"/>
  <c r="F886" i="6"/>
  <c r="F885" i="6"/>
  <c r="F884" i="6"/>
  <c r="F880" i="6"/>
  <c r="F879" i="6"/>
  <c r="F878" i="6"/>
  <c r="F877" i="6"/>
  <c r="F876" i="6"/>
  <c r="F875" i="6"/>
  <c r="F874" i="6"/>
  <c r="F873" i="6"/>
  <c r="BC72" i="15"/>
  <c r="BC95" i="15" s="1"/>
  <c r="F597" i="6"/>
  <c r="F598" i="6"/>
  <c r="F599" i="6"/>
  <c r="F600" i="6"/>
  <c r="F601" i="6"/>
  <c r="F602" i="6"/>
  <c r="F578" i="6"/>
  <c r="F577" i="6"/>
  <c r="F576" i="6"/>
  <c r="F575" i="6"/>
  <c r="F574" i="6"/>
  <c r="F573" i="6"/>
  <c r="F570" i="6"/>
  <c r="F569" i="6"/>
  <c r="F568" i="6"/>
  <c r="F567" i="6"/>
  <c r="F566" i="6"/>
  <c r="F565" i="6"/>
  <c r="F562" i="6"/>
  <c r="F561" i="6"/>
  <c r="F560" i="6"/>
  <c r="F559" i="6"/>
  <c r="F558" i="6"/>
  <c r="F557" i="6"/>
  <c r="AC92" i="16"/>
  <c r="J856" i="7"/>
  <c r="J857" i="7"/>
  <c r="H857" i="7"/>
  <c r="J527" i="7"/>
  <c r="J850" i="7"/>
  <c r="L713" i="7"/>
  <c r="DJ713" i="7" s="1"/>
  <c r="J526" i="7"/>
  <c r="N523" i="7"/>
  <c r="N524" i="7"/>
  <c r="N525" i="7"/>
  <c r="N526" i="7"/>
  <c r="N527" i="7"/>
  <c r="N522" i="7"/>
  <c r="L7" i="5"/>
  <c r="X18" i="15"/>
  <c r="Z18" i="15" s="1"/>
  <c r="W18" i="15" s="1"/>
  <c r="V18" i="15" s="1"/>
  <c r="U18" i="15" s="1"/>
  <c r="G41" i="5"/>
  <c r="V57" i="2"/>
  <c r="W72" i="2"/>
  <c r="X72" i="2"/>
  <c r="Y72" i="2"/>
  <c r="AY72" i="2"/>
  <c r="Z72" i="2"/>
  <c r="AA72" i="2"/>
  <c r="AN72" i="2"/>
  <c r="AC72" i="2"/>
  <c r="BC72" i="2"/>
  <c r="AD72" i="2"/>
  <c r="AE72" i="2"/>
  <c r="AR72" i="2"/>
  <c r="AF72" i="2"/>
  <c r="AS72" i="2"/>
  <c r="AG72" i="2"/>
  <c r="AO72" i="2"/>
  <c r="BJ72" i="2"/>
  <c r="BK72" i="2"/>
  <c r="BL72" i="2"/>
  <c r="BM72" i="2"/>
  <c r="BN72" i="2"/>
  <c r="BP72" i="2"/>
  <c r="BQ72" i="2"/>
  <c r="BR72" i="2"/>
  <c r="BS72" i="2"/>
  <c r="AO8" i="2"/>
  <c r="BB8" i="2"/>
  <c r="DH923" i="7"/>
  <c r="DI923" i="7" s="1"/>
  <c r="DG923" i="7" s="1"/>
  <c r="AA227" i="15" s="1"/>
  <c r="DH924" i="7"/>
  <c r="DJ924" i="7"/>
  <c r="DH850" i="7"/>
  <c r="AX225" i="15"/>
  <c r="L675" i="7"/>
  <c r="DJ675" i="7" s="1"/>
  <c r="L676" i="7"/>
  <c r="AB202" i="15" s="1"/>
  <c r="K675" i="7"/>
  <c r="X201" i="15" s="1"/>
  <c r="Z201" i="15" s="1"/>
  <c r="W201" i="15" s="1"/>
  <c r="K676" i="7"/>
  <c r="X202" i="15" s="1"/>
  <c r="Z202" i="15" s="1"/>
  <c r="W202" i="15" s="1"/>
  <c r="AX192" i="15"/>
  <c r="AX191" i="15"/>
  <c r="DM312" i="2"/>
  <c r="H676" i="7"/>
  <c r="H675" i="7"/>
  <c r="H850" i="7"/>
  <c r="H856" i="7"/>
  <c r="V505" i="6"/>
  <c r="V502" i="6"/>
  <c r="AX244" i="15"/>
  <c r="F92" i="16"/>
  <c r="AG92" i="16"/>
  <c r="BN39" i="2"/>
  <c r="V924" i="7"/>
  <c r="H923" i="7"/>
  <c r="I923" i="7" s="1"/>
  <c r="O227" i="15" s="1"/>
  <c r="H924" i="7"/>
  <c r="AN916" i="7"/>
  <c r="V703" i="7"/>
  <c r="AF685" i="7"/>
  <c r="AE685" i="7"/>
  <c r="AD685" i="7"/>
  <c r="AC685" i="7"/>
  <c r="AB685" i="7"/>
  <c r="AA685" i="7"/>
  <c r="Z685" i="7"/>
  <c r="Y685" i="7"/>
  <c r="X685" i="7"/>
  <c r="W685" i="7"/>
  <c r="AF674" i="7"/>
  <c r="AE674" i="7"/>
  <c r="AD674" i="7"/>
  <c r="AC674" i="7"/>
  <c r="AB674" i="7"/>
  <c r="AA674" i="7"/>
  <c r="Z674" i="7"/>
  <c r="Y674" i="7"/>
  <c r="X674" i="7"/>
  <c r="W674" i="7"/>
  <c r="V672" i="7"/>
  <c r="K559" i="7"/>
  <c r="K557" i="7"/>
  <c r="J557" i="7"/>
  <c r="I559" i="7"/>
  <c r="V524" i="7"/>
  <c r="V525" i="7"/>
  <c r="L524" i="7"/>
  <c r="X191" i="15" s="1"/>
  <c r="Z191" i="15" s="1"/>
  <c r="L525" i="7"/>
  <c r="X192" i="15" s="1"/>
  <c r="Z192" i="15" s="1"/>
  <c r="I525" i="7"/>
  <c r="F525" i="7" s="1"/>
  <c r="AF525" i="7" s="1"/>
  <c r="J524" i="7"/>
  <c r="I524" i="7"/>
  <c r="H524" i="7"/>
  <c r="H525" i="7"/>
  <c r="AA600" i="7"/>
  <c r="Z600" i="7"/>
  <c r="AA598" i="7"/>
  <c r="Z598" i="7"/>
  <c r="AA516" i="7"/>
  <c r="Z516" i="7"/>
  <c r="AA499" i="7"/>
  <c r="Z499" i="7"/>
  <c r="AA498" i="7"/>
  <c r="Z498" i="7"/>
  <c r="Z48" i="7"/>
  <c r="V42" i="7"/>
  <c r="V41" i="7"/>
  <c r="V40" i="7"/>
  <c r="V39" i="7"/>
  <c r="V38" i="7"/>
  <c r="V37" i="7"/>
  <c r="V35" i="7"/>
  <c r="AA22" i="7"/>
  <c r="Z22" i="7"/>
  <c r="F609" i="6"/>
  <c r="F593" i="6"/>
  <c r="L513" i="6"/>
  <c r="AJ48" i="15"/>
  <c r="F585" i="6"/>
  <c r="K323" i="6"/>
  <c r="L250" i="6"/>
  <c r="AJ43" i="15"/>
  <c r="K320" i="6"/>
  <c r="K318" i="6"/>
  <c r="K317" i="6"/>
  <c r="K315" i="6"/>
  <c r="AA578" i="6"/>
  <c r="Z578" i="6"/>
  <c r="AA577" i="6"/>
  <c r="Z577" i="6"/>
  <c r="AA575" i="6"/>
  <c r="Z575" i="6"/>
  <c r="AA574" i="6"/>
  <c r="Z574" i="6"/>
  <c r="AA573" i="6"/>
  <c r="Z573" i="6"/>
  <c r="AA554" i="6"/>
  <c r="AA586" i="6"/>
  <c r="Z554" i="6"/>
  <c r="Z586" i="6"/>
  <c r="AA553" i="6"/>
  <c r="AA584" i="6"/>
  <c r="Z553" i="6"/>
  <c r="Z584" i="6"/>
  <c r="AA549" i="6"/>
  <c r="AA583" i="6"/>
  <c r="Z549" i="6"/>
  <c r="Z583" i="6"/>
  <c r="AA551" i="6"/>
  <c r="AA582" i="6"/>
  <c r="Z551" i="6"/>
  <c r="Z582" i="6"/>
  <c r="AA550" i="6"/>
  <c r="AA581" i="6"/>
  <c r="Z550" i="6"/>
  <c r="Z581" i="6"/>
  <c r="V7" i="5"/>
  <c r="X845" i="7"/>
  <c r="Y845" i="7"/>
  <c r="Z845" i="7"/>
  <c r="AA845" i="7"/>
  <c r="AB845" i="7"/>
  <c r="AC845" i="7"/>
  <c r="AD845" i="7"/>
  <c r="AE845" i="7"/>
  <c r="AF845" i="7"/>
  <c r="W845" i="7"/>
  <c r="V646" i="6"/>
  <c r="V7" i="11"/>
  <c r="AM506" i="2"/>
  <c r="AN506" i="2"/>
  <c r="DC38" i="2"/>
  <c r="CO38" i="2"/>
  <c r="AO38" i="2"/>
  <c r="DO320" i="2"/>
  <c r="DO319" i="2"/>
  <c r="DO318" i="2"/>
  <c r="DO317" i="2"/>
  <c r="DO314" i="2"/>
  <c r="DP312" i="2"/>
  <c r="DO312" i="2"/>
  <c r="DK312" i="2"/>
  <c r="DL312" i="2"/>
  <c r="DL314" i="2"/>
  <c r="H317" i="2"/>
  <c r="BG317" i="2"/>
  <c r="DL317" i="2"/>
  <c r="H318" i="2"/>
  <c r="BG318" i="2"/>
  <c r="DL318" i="2"/>
  <c r="H19" i="2"/>
  <c r="G318" i="2"/>
  <c r="G319" i="2"/>
  <c r="G320" i="2"/>
  <c r="AT320" i="2"/>
  <c r="G317" i="2"/>
  <c r="H243" i="2"/>
  <c r="H244" i="2"/>
  <c r="H60" i="2"/>
  <c r="H61" i="2"/>
  <c r="H435" i="2"/>
  <c r="AX345" i="15"/>
  <c r="AX344" i="15"/>
  <c r="V484" i="2"/>
  <c r="D501" i="2"/>
  <c r="D500" i="2"/>
  <c r="D499" i="2"/>
  <c r="D445" i="2"/>
  <c r="E445" i="2"/>
  <c r="AX336" i="15"/>
  <c r="F435" i="2"/>
  <c r="I336" i="15"/>
  <c r="DL435" i="2"/>
  <c r="L316" i="15"/>
  <c r="H319" i="2"/>
  <c r="BG319" i="2"/>
  <c r="K308" i="15"/>
  <c r="I308" i="15"/>
  <c r="K307" i="15"/>
  <c r="I307" i="15" s="1"/>
  <c r="K306" i="15"/>
  <c r="I306" i="15"/>
  <c r="K305" i="15"/>
  <c r="I305" i="15" s="1"/>
  <c r="K304" i="15"/>
  <c r="I304" i="15" s="1"/>
  <c r="AX302" i="15"/>
  <c r="F244" i="2"/>
  <c r="F243" i="2"/>
  <c r="E257" i="2"/>
  <c r="E256" i="2"/>
  <c r="D257" i="2"/>
  <c r="D256" i="2"/>
  <c r="DL244" i="2"/>
  <c r="DL243" i="2"/>
  <c r="AX268" i="15"/>
  <c r="DL61" i="2"/>
  <c r="F61" i="2"/>
  <c r="DL60" i="2"/>
  <c r="E75" i="2"/>
  <c r="D75" i="2"/>
  <c r="E74" i="2"/>
  <c r="D74" i="2"/>
  <c r="AX346" i="15"/>
  <c r="AX340" i="15"/>
  <c r="AX339" i="15"/>
  <c r="AZ339" i="15"/>
  <c r="AX337" i="15"/>
  <c r="AX333" i="15"/>
  <c r="AX332" i="15"/>
  <c r="AX331" i="15"/>
  <c r="AX330" i="15"/>
  <c r="AZ330" i="15"/>
  <c r="AX329" i="15"/>
  <c r="AX328" i="15"/>
  <c r="AX326" i="15"/>
  <c r="AX325" i="15"/>
  <c r="AX324" i="15"/>
  <c r="AX323" i="15"/>
  <c r="AX322" i="15"/>
  <c r="AX320" i="15"/>
  <c r="AX316" i="15"/>
  <c r="AX315" i="15"/>
  <c r="AX314" i="15"/>
  <c r="AZ314" i="15"/>
  <c r="AX313" i="15"/>
  <c r="AX310" i="15"/>
  <c r="AX309" i="15"/>
  <c r="AX308" i="15"/>
  <c r="AX307" i="15"/>
  <c r="AX306" i="15"/>
  <c r="AX305" i="15"/>
  <c r="AX304" i="15"/>
  <c r="AX303" i="15"/>
  <c r="AX300" i="15"/>
  <c r="AX299" i="15"/>
  <c r="AX297" i="15"/>
  <c r="AX295" i="15"/>
  <c r="AX294" i="15"/>
  <c r="AX293" i="15"/>
  <c r="AX292" i="15"/>
  <c r="AX291" i="15"/>
  <c r="AX290" i="15"/>
  <c r="AX286" i="15"/>
  <c r="AX284" i="15"/>
  <c r="AX283" i="15"/>
  <c r="AX282" i="15"/>
  <c r="AX281" i="15"/>
  <c r="AX278" i="15"/>
  <c r="AX276" i="15"/>
  <c r="AX275" i="15"/>
  <c r="AX273" i="15"/>
  <c r="AX271" i="15"/>
  <c r="AX270" i="15"/>
  <c r="AX269" i="15"/>
  <c r="AX259" i="15"/>
  <c r="AZ259" i="15"/>
  <c r="AX257" i="15"/>
  <c r="AX256" i="15"/>
  <c r="AX254" i="15"/>
  <c r="AX253" i="15"/>
  <c r="AX252" i="15"/>
  <c r="AX251" i="15"/>
  <c r="F435" i="7"/>
  <c r="J426" i="7" s="1"/>
  <c r="AX33" i="15"/>
  <c r="AX34" i="15"/>
  <c r="AX32" i="15"/>
  <c r="AX29" i="15"/>
  <c r="AX30" i="15"/>
  <c r="AX27" i="15"/>
  <c r="DH29" i="6"/>
  <c r="DH26" i="6"/>
  <c r="DH25" i="6"/>
  <c r="DH23" i="6"/>
  <c r="DH21" i="6"/>
  <c r="DH20" i="6"/>
  <c r="DH19" i="6"/>
  <c r="W475" i="6"/>
  <c r="V426" i="7"/>
  <c r="N426" i="7"/>
  <c r="L426" i="7"/>
  <c r="DH426" i="7" s="1"/>
  <c r="H426" i="7"/>
  <c r="V425" i="7"/>
  <c r="N425" i="7"/>
  <c r="L425" i="7"/>
  <c r="DH425" i="7" s="1"/>
  <c r="H425" i="7"/>
  <c r="V424" i="7"/>
  <c r="N424" i="7"/>
  <c r="L424" i="7"/>
  <c r="X182" i="15" s="1"/>
  <c r="Z182" i="15" s="1"/>
  <c r="H424" i="7"/>
  <c r="AX218" i="15"/>
  <c r="AX222" i="15"/>
  <c r="AZ217" i="15"/>
  <c r="AX211" i="15"/>
  <c r="AX212" i="15"/>
  <c r="AZ209" i="15"/>
  <c r="AX203" i="15"/>
  <c r="AX204" i="15"/>
  <c r="AX205" i="15"/>
  <c r="AX194" i="15"/>
  <c r="AX186" i="15"/>
  <c r="AX181" i="15"/>
  <c r="AX179" i="15"/>
  <c r="AX150" i="15"/>
  <c r="AX151" i="15"/>
  <c r="AX153" i="15"/>
  <c r="AX159" i="15"/>
  <c r="AX162" i="15"/>
  <c r="AX165" i="15"/>
  <c r="AX166" i="15"/>
  <c r="AX168" i="15"/>
  <c r="AX172" i="15"/>
  <c r="AX175" i="15"/>
  <c r="AZ169" i="15"/>
  <c r="AX143" i="15"/>
  <c r="AX145" i="15"/>
  <c r="AX147" i="15"/>
  <c r="AX148" i="15"/>
  <c r="AX140" i="15"/>
  <c r="AZ147" i="15"/>
  <c r="AX56" i="15"/>
  <c r="AZ60" i="15"/>
  <c r="AX63" i="15"/>
  <c r="AX67" i="15"/>
  <c r="AX69" i="15"/>
  <c r="AX70" i="15"/>
  <c r="AZ73" i="15"/>
  <c r="AX73" i="15"/>
  <c r="AX75" i="15"/>
  <c r="AX77" i="15"/>
  <c r="AX80" i="15"/>
  <c r="AX83" i="15"/>
  <c r="AZ85" i="15"/>
  <c r="AX85" i="15"/>
  <c r="AX86" i="15"/>
  <c r="AX88" i="15"/>
  <c r="AX90" i="15"/>
  <c r="AX91" i="15"/>
  <c r="AX92" i="15"/>
  <c r="AX93" i="15"/>
  <c r="AZ94" i="15"/>
  <c r="AX97" i="15"/>
  <c r="AX99" i="15"/>
  <c r="AX101" i="15"/>
  <c r="AX102" i="15"/>
  <c r="AX103" i="15"/>
  <c r="AX105" i="15"/>
  <c r="AZ107" i="15"/>
  <c r="AX107" i="15"/>
  <c r="AX108" i="15"/>
  <c r="AX109" i="15"/>
  <c r="AX110" i="15"/>
  <c r="AX112" i="15"/>
  <c r="AX113" i="15"/>
  <c r="AX114" i="15"/>
  <c r="AZ115" i="15"/>
  <c r="AX115" i="15"/>
  <c r="AX116" i="15"/>
  <c r="AX117" i="15"/>
  <c r="AX118" i="15"/>
  <c r="AX53" i="15"/>
  <c r="AX49" i="15"/>
  <c r="AX50" i="15"/>
  <c r="AX51" i="15"/>
  <c r="AX48" i="15"/>
  <c r="AX46" i="15"/>
  <c r="AX47" i="15"/>
  <c r="AX45" i="15"/>
  <c r="AX36" i="15"/>
  <c r="AX37" i="15"/>
  <c r="AX38" i="15"/>
  <c r="AX39" i="15"/>
  <c r="AX41" i="15"/>
  <c r="AX43" i="15"/>
  <c r="AX44" i="15"/>
  <c r="AX35" i="15"/>
  <c r="AZ36" i="15"/>
  <c r="AZ41" i="15"/>
  <c r="AX20" i="15"/>
  <c r="AX21" i="15"/>
  <c r="AX22" i="15"/>
  <c r="AX23" i="15"/>
  <c r="AX24" i="15"/>
  <c r="AX25" i="15"/>
  <c r="AX26" i="15"/>
  <c r="AZ26" i="15"/>
  <c r="AX18" i="15"/>
  <c r="V4" i="16"/>
  <c r="H7" i="16"/>
  <c r="I7" i="16"/>
  <c r="F7" i="16"/>
  <c r="AG7" i="16"/>
  <c r="N7" i="16"/>
  <c r="O7" i="16"/>
  <c r="DJ7" i="16"/>
  <c r="V7" i="16"/>
  <c r="X15" i="16"/>
  <c r="Y15" i="16"/>
  <c r="Z15" i="16"/>
  <c r="AA15" i="16"/>
  <c r="AB15" i="16"/>
  <c r="AC15" i="16"/>
  <c r="AD15" i="16"/>
  <c r="AE15" i="16"/>
  <c r="AF15" i="16"/>
  <c r="V16" i="16"/>
  <c r="V17" i="16"/>
  <c r="V18" i="16"/>
  <c r="W18" i="16"/>
  <c r="V19" i="16"/>
  <c r="V20" i="16"/>
  <c r="V21" i="16"/>
  <c r="V22" i="16"/>
  <c r="V23" i="16"/>
  <c r="V24" i="16"/>
  <c r="V25" i="16"/>
  <c r="V26" i="16"/>
  <c r="V27" i="16"/>
  <c r="V28" i="16"/>
  <c r="V29" i="16"/>
  <c r="V35" i="16"/>
  <c r="V36" i="16"/>
  <c r="V38" i="16"/>
  <c r="V39" i="16"/>
  <c r="V40" i="16"/>
  <c r="D41" i="16"/>
  <c r="V41" i="16"/>
  <c r="E41" i="16"/>
  <c r="D42" i="16"/>
  <c r="V45" i="16"/>
  <c r="X47" i="16"/>
  <c r="Y47" i="16"/>
  <c r="Z47" i="16"/>
  <c r="AA47" i="16"/>
  <c r="AB47" i="16"/>
  <c r="AC47" i="16"/>
  <c r="AD47" i="16"/>
  <c r="AE47" i="16"/>
  <c r="AF47" i="16"/>
  <c r="DG47" i="16"/>
  <c r="DH47" i="16"/>
  <c r="DI47" i="16"/>
  <c r="H48" i="16"/>
  <c r="J48" i="16"/>
  <c r="H49" i="16"/>
  <c r="J49" i="16"/>
  <c r="DH49" i="16"/>
  <c r="V49" i="16"/>
  <c r="H50" i="16"/>
  <c r="J50" i="16"/>
  <c r="K50" i="16"/>
  <c r="DJ50" i="16"/>
  <c r="V50" i="16"/>
  <c r="H51" i="16"/>
  <c r="J51" i="16"/>
  <c r="DH51" i="16"/>
  <c r="V51" i="16"/>
  <c r="H52" i="16"/>
  <c r="J52" i="16"/>
  <c r="X12" i="15"/>
  <c r="Z12" i="15" s="1"/>
  <c r="W12" i="15" s="1"/>
  <c r="K52" i="16"/>
  <c r="DJ52" i="16"/>
  <c r="V52" i="16"/>
  <c r="H53" i="16"/>
  <c r="J53" i="16"/>
  <c r="DH53" i="16"/>
  <c r="V53" i="16"/>
  <c r="H54" i="16"/>
  <c r="J54" i="16"/>
  <c r="X13" i="15"/>
  <c r="Z13" i="15" s="1"/>
  <c r="W13" i="15" s="1"/>
  <c r="K54" i="16"/>
  <c r="DJ54" i="16"/>
  <c r="V54" i="16"/>
  <c r="H55" i="16"/>
  <c r="J55" i="16"/>
  <c r="DH55" i="16"/>
  <c r="V55" i="16"/>
  <c r="H56" i="16"/>
  <c r="J56" i="16"/>
  <c r="K56" i="16"/>
  <c r="DJ56" i="16"/>
  <c r="V56" i="16"/>
  <c r="H57" i="16"/>
  <c r="J57" i="16"/>
  <c r="DH57" i="16"/>
  <c r="V57" i="16"/>
  <c r="H58" i="16"/>
  <c r="J58" i="16"/>
  <c r="X15" i="15"/>
  <c r="Z15" i="15"/>
  <c r="W15" i="15" s="1"/>
  <c r="K58" i="16"/>
  <c r="DJ58" i="16"/>
  <c r="V58" i="16"/>
  <c r="H59" i="16"/>
  <c r="J59" i="16"/>
  <c r="DH59" i="16"/>
  <c r="V59" i="16"/>
  <c r="H60" i="16"/>
  <c r="J60" i="16"/>
  <c r="K60" i="16"/>
  <c r="DJ60" i="16"/>
  <c r="V60" i="16"/>
  <c r="H61" i="16"/>
  <c r="J61" i="16"/>
  <c r="DH61" i="16"/>
  <c r="V61" i="16"/>
  <c r="X70" i="16"/>
  <c r="Y70" i="16"/>
  <c r="Z70" i="16"/>
  <c r="AA70" i="16"/>
  <c r="AB70" i="16"/>
  <c r="AC70" i="16"/>
  <c r="AD70" i="16"/>
  <c r="AE70" i="16"/>
  <c r="AF70" i="16"/>
  <c r="V71" i="16"/>
  <c r="V78" i="16"/>
  <c r="X78" i="16"/>
  <c r="W80" i="16"/>
  <c r="X81" i="16"/>
  <c r="X80" i="16"/>
  <c r="V85" i="16"/>
  <c r="V92" i="16"/>
  <c r="V96" i="16"/>
  <c r="V97" i="16"/>
  <c r="W97" i="16"/>
  <c r="X97" i="16"/>
  <c r="W99" i="16"/>
  <c r="X99" i="16"/>
  <c r="W100" i="16"/>
  <c r="X100" i="16"/>
  <c r="W101" i="16"/>
  <c r="X101" i="16"/>
  <c r="W103" i="16"/>
  <c r="X103" i="16"/>
  <c r="V104" i="16"/>
  <c r="V105" i="16"/>
  <c r="V112" i="16"/>
  <c r="V113" i="16"/>
  <c r="V114" i="16"/>
  <c r="X114" i="16"/>
  <c r="V115" i="16"/>
  <c r="V116" i="16"/>
  <c r="V117" i="16"/>
  <c r="V124" i="16"/>
  <c r="AX11" i="15"/>
  <c r="AX12" i="15"/>
  <c r="AX13" i="15"/>
  <c r="AX15" i="15"/>
  <c r="AX16" i="15"/>
  <c r="AX10" i="15"/>
  <c r="AX9" i="15"/>
  <c r="AZ15" i="15"/>
  <c r="L711" i="7"/>
  <c r="DJ711" i="7" s="1"/>
  <c r="L712" i="7"/>
  <c r="DJ712" i="7" s="1"/>
  <c r="L710" i="7"/>
  <c r="DJ710" i="7" s="1"/>
  <c r="V4" i="11"/>
  <c r="AR982" i="7"/>
  <c r="AQ982" i="7"/>
  <c r="AP982" i="7"/>
  <c r="AO982" i="7"/>
  <c r="AN982" i="7"/>
  <c r="AM982" i="7"/>
  <c r="AL982" i="7"/>
  <c r="AK982" i="7"/>
  <c r="AJ982" i="7"/>
  <c r="AF982" i="7"/>
  <c r="AE982" i="7"/>
  <c r="AD982" i="7"/>
  <c r="AC982" i="7"/>
  <c r="AB982" i="7"/>
  <c r="AA982" i="7"/>
  <c r="Z982" i="7"/>
  <c r="Y982" i="7"/>
  <c r="X982" i="7"/>
  <c r="K977" i="7"/>
  <c r="DJ977" i="7" s="1"/>
  <c r="J977" i="7"/>
  <c r="X232" i="15" s="1"/>
  <c r="Z232" i="15" s="1"/>
  <c r="W232" i="15" s="1"/>
  <c r="H977" i="7"/>
  <c r="K976" i="7"/>
  <c r="AB231" i="15" s="1"/>
  <c r="J976" i="7"/>
  <c r="X231" i="15" s="1"/>
  <c r="Z231" i="15" s="1"/>
  <c r="W231" i="15" s="1"/>
  <c r="H976" i="7"/>
  <c r="DI975" i="7"/>
  <c r="DH975" i="7"/>
  <c r="DG975" i="7"/>
  <c r="AF975" i="7"/>
  <c r="AE975" i="7"/>
  <c r="AD975" i="7"/>
  <c r="AC975" i="7"/>
  <c r="AB975" i="7"/>
  <c r="AA975" i="7"/>
  <c r="Z975" i="7"/>
  <c r="Y975" i="7"/>
  <c r="X975" i="7"/>
  <c r="V973" i="7"/>
  <c r="E969" i="7"/>
  <c r="E968" i="7"/>
  <c r="V967" i="7"/>
  <c r="V966" i="7"/>
  <c r="V965" i="7"/>
  <c r="V964" i="7"/>
  <c r="V963" i="7"/>
  <c r="V962" i="7"/>
  <c r="X961" i="7"/>
  <c r="V961" i="7"/>
  <c r="F961" i="7"/>
  <c r="AF961" i="7"/>
  <c r="X960" i="7"/>
  <c r="V960" i="7"/>
  <c r="F960" i="7"/>
  <c r="AF960" i="7" s="1"/>
  <c r="X959" i="7"/>
  <c r="V959" i="7"/>
  <c r="X958" i="7"/>
  <c r="V958" i="7"/>
  <c r="F958" i="7"/>
  <c r="AF958" i="7" s="1"/>
  <c r="X957" i="7"/>
  <c r="V957" i="7"/>
  <c r="F957" i="7"/>
  <c r="AF957" i="7" s="1"/>
  <c r="X956" i="7"/>
  <c r="V956" i="7"/>
  <c r="V955" i="7"/>
  <c r="AF950" i="7"/>
  <c r="AE950" i="7"/>
  <c r="AD950" i="7"/>
  <c r="AC950" i="7"/>
  <c r="AB950" i="7"/>
  <c r="AA950" i="7"/>
  <c r="Z950" i="7"/>
  <c r="Y950" i="7"/>
  <c r="X950" i="7"/>
  <c r="W950" i="7"/>
  <c r="J943" i="7"/>
  <c r="DH943" i="7" s="1"/>
  <c r="H943" i="7"/>
  <c r="K942" i="7"/>
  <c r="DJ942" i="7" s="1"/>
  <c r="J942" i="7"/>
  <c r="X230" i="15" s="1"/>
  <c r="H942" i="7"/>
  <c r="J941" i="7"/>
  <c r="Y229" i="15" s="1"/>
  <c r="H941" i="7"/>
  <c r="V940" i="7"/>
  <c r="V941" i="7"/>
  <c r="V942" i="7" s="1"/>
  <c r="V943" i="7" s="1"/>
  <c r="K940" i="7"/>
  <c r="DJ940" i="7" s="1"/>
  <c r="J940" i="7"/>
  <c r="DH940" i="7" s="1"/>
  <c r="H940" i="7"/>
  <c r="DI939" i="7"/>
  <c r="DH939" i="7"/>
  <c r="DG939" i="7"/>
  <c r="AF939" i="7"/>
  <c r="AE939" i="7"/>
  <c r="AD939" i="7"/>
  <c r="AC939" i="7"/>
  <c r="AB939" i="7"/>
  <c r="AA939" i="7"/>
  <c r="Z939" i="7"/>
  <c r="Y939" i="7"/>
  <c r="X939" i="7"/>
  <c r="V937" i="7"/>
  <c r="V923" i="7"/>
  <c r="DI922" i="7"/>
  <c r="DH922" i="7"/>
  <c r="DG922" i="7"/>
  <c r="AG922" i="7"/>
  <c r="AF922" i="7"/>
  <c r="AE922" i="7"/>
  <c r="AD922" i="7"/>
  <c r="AC922" i="7"/>
  <c r="AB922" i="7"/>
  <c r="AA922" i="7"/>
  <c r="Z922" i="7"/>
  <c r="Y922" i="7"/>
  <c r="X922" i="7"/>
  <c r="V920" i="7"/>
  <c r="AS905" i="7"/>
  <c r="AR905" i="7"/>
  <c r="AQ905" i="7"/>
  <c r="AP905" i="7"/>
  <c r="AO905" i="7"/>
  <c r="AN905" i="7"/>
  <c r="AM905" i="7"/>
  <c r="AL905" i="7"/>
  <c r="AK905" i="7"/>
  <c r="AJ905" i="7"/>
  <c r="AI905" i="7"/>
  <c r="AS904" i="7"/>
  <c r="AR904" i="7"/>
  <c r="AQ904" i="7"/>
  <c r="AP904" i="7"/>
  <c r="AO904" i="7"/>
  <c r="AN904" i="7"/>
  <c r="AM904" i="7"/>
  <c r="AL904" i="7"/>
  <c r="AK904" i="7"/>
  <c r="AJ904" i="7"/>
  <c r="AI904" i="7"/>
  <c r="AF862" i="7"/>
  <c r="AE862" i="7"/>
  <c r="AD862" i="7"/>
  <c r="AC862" i="7"/>
  <c r="AB862" i="7"/>
  <c r="AA862" i="7"/>
  <c r="Z862" i="7"/>
  <c r="Y862" i="7"/>
  <c r="X862" i="7"/>
  <c r="W862" i="7"/>
  <c r="V861" i="7"/>
  <c r="V860" i="7"/>
  <c r="J855" i="7"/>
  <c r="H855" i="7"/>
  <c r="J854" i="7"/>
  <c r="H854" i="7"/>
  <c r="DH853" i="7"/>
  <c r="DI853" i="7" s="1"/>
  <c r="AE222" i="15" s="1"/>
  <c r="AC222" i="15" s="1"/>
  <c r="J853" i="7"/>
  <c r="H853" i="7"/>
  <c r="DH852" i="7"/>
  <c r="J852" i="7"/>
  <c r="H852" i="7"/>
  <c r="J851" i="7"/>
  <c r="H851" i="7"/>
  <c r="J849" i="7"/>
  <c r="H849" i="7"/>
  <c r="J848" i="7"/>
  <c r="H848" i="7"/>
  <c r="J847" i="7"/>
  <c r="H847" i="7"/>
  <c r="V846" i="7"/>
  <c r="V847" i="7" s="1"/>
  <c r="V848" i="7" s="1"/>
  <c r="V849" i="7" s="1"/>
  <c r="V850" i="7" s="1"/>
  <c r="V851" i="7" s="1"/>
  <c r="V852" i="7" s="1"/>
  <c r="V853" i="7" s="1"/>
  <c r="V854" i="7" s="1"/>
  <c r="V855" i="7" s="1"/>
  <c r="V856" i="7" s="1"/>
  <c r="V857" i="7" s="1"/>
  <c r="Q846" i="7"/>
  <c r="P846" i="7"/>
  <c r="AB215" i="15" s="1"/>
  <c r="J846" i="7"/>
  <c r="H846" i="7"/>
  <c r="V842" i="7"/>
  <c r="V838" i="7"/>
  <c r="E837" i="7"/>
  <c r="E835" i="7"/>
  <c r="V834" i="7"/>
  <c r="V833" i="7"/>
  <c r="V832" i="7"/>
  <c r="X829" i="7"/>
  <c r="X828" i="7"/>
  <c r="V826" i="7"/>
  <c r="V820" i="7"/>
  <c r="V819" i="7"/>
  <c r="V813" i="7"/>
  <c r="V812" i="7"/>
  <c r="V811" i="7"/>
  <c r="V810" i="7"/>
  <c r="V809" i="7"/>
  <c r="W807" i="7"/>
  <c r="W805" i="7"/>
  <c r="W803" i="7"/>
  <c r="V803" i="7"/>
  <c r="V802" i="7"/>
  <c r="AF801" i="7"/>
  <c r="AE801" i="7"/>
  <c r="AD801" i="7"/>
  <c r="AC801" i="7"/>
  <c r="AB801" i="7"/>
  <c r="AA801" i="7"/>
  <c r="Z801" i="7"/>
  <c r="Y801" i="7"/>
  <c r="X801" i="7"/>
  <c r="W801" i="7"/>
  <c r="V800" i="7"/>
  <c r="V799" i="7"/>
  <c r="V798" i="7"/>
  <c r="V797" i="7"/>
  <c r="V796" i="7"/>
  <c r="V795" i="7"/>
  <c r="V794" i="7"/>
  <c r="J791" i="7"/>
  <c r="DH791" i="7" s="1"/>
  <c r="DI791" i="7" s="1"/>
  <c r="AF214" i="15" s="1"/>
  <c r="H791" i="7"/>
  <c r="I791" i="7" s="1"/>
  <c r="R214" i="15" s="1"/>
  <c r="J790" i="7"/>
  <c r="DH790" i="7" s="1"/>
  <c r="DI790" i="7" s="1"/>
  <c r="H790" i="7"/>
  <c r="J789" i="7"/>
  <c r="DH789" i="7" s="1"/>
  <c r="DI789" i="7" s="1"/>
  <c r="AF213" i="15" s="1"/>
  <c r="H789" i="7"/>
  <c r="I789" i="7" s="1"/>
  <c r="R213" i="15" s="1"/>
  <c r="J788" i="7"/>
  <c r="X213" i="15" s="1"/>
  <c r="Z213" i="15" s="1"/>
  <c r="W213" i="15" s="1"/>
  <c r="H788" i="7"/>
  <c r="I788" i="7" s="1"/>
  <c r="Q213" i="15" s="1"/>
  <c r="J787" i="7"/>
  <c r="DH787" i="7" s="1"/>
  <c r="H787" i="7"/>
  <c r="J786" i="7"/>
  <c r="X212" i="15" s="1"/>
  <c r="Z212" i="15" s="1"/>
  <c r="W212" i="15" s="1"/>
  <c r="H786" i="7"/>
  <c r="J785" i="7"/>
  <c r="DH785" i="7" s="1"/>
  <c r="H785" i="7"/>
  <c r="J784" i="7"/>
  <c r="X211" i="15" s="1"/>
  <c r="Z211" i="15" s="1"/>
  <c r="W211" i="15" s="1"/>
  <c r="H784" i="7"/>
  <c r="J783" i="7"/>
  <c r="DH783" i="7" s="1"/>
  <c r="H783" i="7"/>
  <c r="J782" i="7"/>
  <c r="X210" i="15" s="1"/>
  <c r="Z210" i="15" s="1"/>
  <c r="W210" i="15" s="1"/>
  <c r="H782" i="7"/>
  <c r="I782" i="7" s="1"/>
  <c r="Q210" i="15" s="1"/>
  <c r="J781" i="7"/>
  <c r="DH781" i="7" s="1"/>
  <c r="DI781" i="7" s="1"/>
  <c r="AF209" i="15" s="1"/>
  <c r="H781" i="7"/>
  <c r="I781" i="7" s="1"/>
  <c r="R209" i="15" s="1"/>
  <c r="V780" i="7"/>
  <c r="V781" i="7" s="1"/>
  <c r="V782" i="7" s="1"/>
  <c r="V783" i="7" s="1"/>
  <c r="V784" i="7" s="1"/>
  <c r="V785" i="7" s="1"/>
  <c r="V786" i="7" s="1"/>
  <c r="V787" i="7" s="1"/>
  <c r="V788" i="7" s="1"/>
  <c r="V789" i="7" s="1"/>
  <c r="V790" i="7" s="1"/>
  <c r="V791" i="7" s="1"/>
  <c r="J780" i="7"/>
  <c r="X209" i="15" s="1"/>
  <c r="Z209" i="15" s="1"/>
  <c r="W209" i="15" s="1"/>
  <c r="H780" i="7"/>
  <c r="I780" i="7" s="1"/>
  <c r="Q209" i="15" s="1"/>
  <c r="AF779" i="7"/>
  <c r="AE779" i="7"/>
  <c r="AD779" i="7"/>
  <c r="AC779" i="7"/>
  <c r="AB779" i="7"/>
  <c r="AA779" i="7"/>
  <c r="Z779" i="7"/>
  <c r="Y779" i="7"/>
  <c r="X779" i="7"/>
  <c r="W779" i="7"/>
  <c r="V777" i="7"/>
  <c r="V772" i="7"/>
  <c r="V771" i="7"/>
  <c r="V770" i="7"/>
  <c r="V769" i="7"/>
  <c r="V768" i="7"/>
  <c r="V767" i="7"/>
  <c r="V766" i="7"/>
  <c r="V765" i="7"/>
  <c r="V764" i="7"/>
  <c r="V763" i="7"/>
  <c r="W762" i="7"/>
  <c r="V762" i="7"/>
  <c r="X761" i="7"/>
  <c r="W761" i="7"/>
  <c r="V761" i="7"/>
  <c r="V760" i="7"/>
  <c r="X759" i="7"/>
  <c r="W759" i="7"/>
  <c r="V759" i="7"/>
  <c r="AF758" i="7"/>
  <c r="AE758" i="7"/>
  <c r="AD758" i="7"/>
  <c r="AC758" i="7"/>
  <c r="AB758" i="7"/>
  <c r="AA758" i="7"/>
  <c r="Z758" i="7"/>
  <c r="Y758" i="7"/>
  <c r="X758" i="7"/>
  <c r="W758" i="7"/>
  <c r="K753" i="7"/>
  <c r="DJ753" i="7" s="1"/>
  <c r="J753" i="7"/>
  <c r="DH753" i="7" s="1"/>
  <c r="H753" i="7"/>
  <c r="K752" i="7"/>
  <c r="AB207" i="15" s="1"/>
  <c r="J752" i="7"/>
  <c r="X207" i="15" s="1"/>
  <c r="Z207" i="15" s="1"/>
  <c r="W207" i="15" s="1"/>
  <c r="H752" i="7"/>
  <c r="AF751" i="7"/>
  <c r="AE751" i="7"/>
  <c r="AD751" i="7"/>
  <c r="AC751" i="7"/>
  <c r="AB751" i="7"/>
  <c r="AA751" i="7"/>
  <c r="Z751" i="7"/>
  <c r="Y751" i="7"/>
  <c r="X751" i="7"/>
  <c r="W751" i="7"/>
  <c r="V749" i="7"/>
  <c r="V740" i="7"/>
  <c r="V739" i="7"/>
  <c r="V738" i="7"/>
  <c r="V737" i="7"/>
  <c r="V736" i="7"/>
  <c r="V735" i="7"/>
  <c r="V734" i="7"/>
  <c r="V732" i="7"/>
  <c r="V731" i="7"/>
  <c r="V730" i="7"/>
  <c r="V728" i="7"/>
  <c r="V727" i="7"/>
  <c r="V726" i="7"/>
  <c r="V725" i="7"/>
  <c r="X724" i="7"/>
  <c r="X726" i="7"/>
  <c r="V724" i="7"/>
  <c r="AF722" i="7"/>
  <c r="AE722" i="7"/>
  <c r="AD722" i="7"/>
  <c r="AC722" i="7"/>
  <c r="AB722" i="7"/>
  <c r="AA722" i="7"/>
  <c r="Z722" i="7"/>
  <c r="Y722" i="7"/>
  <c r="X722" i="7"/>
  <c r="W722" i="7"/>
  <c r="K713" i="7"/>
  <c r="DH713" i="7" s="1"/>
  <c r="H713" i="7"/>
  <c r="K712" i="7"/>
  <c r="X205" i="15" s="1"/>
  <c r="Z205" i="15" s="1"/>
  <c r="W205" i="15" s="1"/>
  <c r="H712" i="7"/>
  <c r="K711" i="7"/>
  <c r="X204" i="15" s="1"/>
  <c r="Z204" i="15" s="1"/>
  <c r="W204" i="15" s="1"/>
  <c r="H711" i="7"/>
  <c r="K710" i="7"/>
  <c r="X203" i="15" s="1"/>
  <c r="Z203" i="15" s="1"/>
  <c r="W203" i="15" s="1"/>
  <c r="H710" i="7"/>
  <c r="AF709" i="7"/>
  <c r="AE709" i="7"/>
  <c r="AD709" i="7"/>
  <c r="AC709" i="7"/>
  <c r="AB709" i="7"/>
  <c r="AA709" i="7"/>
  <c r="Z709" i="7"/>
  <c r="Y709" i="7"/>
  <c r="X709" i="7"/>
  <c r="W709" i="7"/>
  <c r="V707" i="7"/>
  <c r="AG650" i="7"/>
  <c r="AF650" i="7"/>
  <c r="AE650" i="7"/>
  <c r="AD650" i="7"/>
  <c r="AC650" i="7"/>
  <c r="AB650" i="7"/>
  <c r="AA650" i="7"/>
  <c r="Z650" i="7"/>
  <c r="Y650" i="7"/>
  <c r="X650" i="7"/>
  <c r="W650" i="7"/>
  <c r="L640" i="7"/>
  <c r="AB200" i="15" s="1"/>
  <c r="K640" i="7"/>
  <c r="X200" i="15" s="1"/>
  <c r="Z200" i="15" s="1"/>
  <c r="W200" i="15" s="1"/>
  <c r="H640" i="7"/>
  <c r="L639" i="7"/>
  <c r="DJ639" i="7" s="1"/>
  <c r="K639" i="7"/>
  <c r="X199" i="15" s="1"/>
  <c r="Z199" i="15" s="1"/>
  <c r="W199" i="15" s="1"/>
  <c r="H639" i="7"/>
  <c r="AF638" i="7"/>
  <c r="AE638" i="7"/>
  <c r="AD638" i="7"/>
  <c r="AC638" i="7"/>
  <c r="AB638" i="7"/>
  <c r="AA638" i="7"/>
  <c r="Z638" i="7"/>
  <c r="Y638" i="7"/>
  <c r="X638" i="7"/>
  <c r="W638" i="7"/>
  <c r="V636" i="7"/>
  <c r="W618" i="7"/>
  <c r="AF616" i="7"/>
  <c r="AE616" i="7"/>
  <c r="AD616" i="7"/>
  <c r="AC616" i="7"/>
  <c r="AB616" i="7"/>
  <c r="AA616" i="7"/>
  <c r="Z616" i="7"/>
  <c r="Y616" i="7"/>
  <c r="X616" i="7"/>
  <c r="W616" i="7"/>
  <c r="AF606" i="7"/>
  <c r="AE606" i="7"/>
  <c r="AD606" i="7"/>
  <c r="AC606" i="7"/>
  <c r="AB606" i="7"/>
  <c r="AA606" i="7"/>
  <c r="Z606" i="7"/>
  <c r="Y606" i="7"/>
  <c r="X606" i="7"/>
  <c r="W606" i="7"/>
  <c r="V604" i="7"/>
  <c r="Y600" i="7"/>
  <c r="Y598" i="7"/>
  <c r="O557" i="7"/>
  <c r="AB195" i="15" s="1"/>
  <c r="F581" i="7"/>
  <c r="F580" i="7"/>
  <c r="F579" i="7"/>
  <c r="F578" i="7"/>
  <c r="AG570" i="7"/>
  <c r="AF570" i="7"/>
  <c r="AE570" i="7"/>
  <c r="AD570" i="7"/>
  <c r="AC570" i="7"/>
  <c r="AB570" i="7"/>
  <c r="AA570" i="7"/>
  <c r="Z570" i="7"/>
  <c r="Y570" i="7"/>
  <c r="X570" i="7"/>
  <c r="W570" i="7"/>
  <c r="V560" i="7"/>
  <c r="O560" i="7"/>
  <c r="DJ560" i="7" s="1"/>
  <c r="N560" i="7"/>
  <c r="Y196" i="15" s="1"/>
  <c r="G560" i="7"/>
  <c r="V559" i="7"/>
  <c r="N559" i="7"/>
  <c r="X196" i="15" s="1"/>
  <c r="H559" i="7"/>
  <c r="V558" i="7"/>
  <c r="O558" i="7"/>
  <c r="DJ558" i="7" s="1"/>
  <c r="N558" i="7"/>
  <c r="DH558" i="7" s="1"/>
  <c r="G558" i="7"/>
  <c r="D195" i="15"/>
  <c r="V557" i="7"/>
  <c r="N557" i="7"/>
  <c r="X195" i="15" s="1"/>
  <c r="H557" i="7"/>
  <c r="DI556" i="7"/>
  <c r="DH556" i="7"/>
  <c r="DG556" i="7"/>
  <c r="AG556" i="7"/>
  <c r="AF556" i="7"/>
  <c r="AE556" i="7"/>
  <c r="AD556" i="7"/>
  <c r="AC556" i="7"/>
  <c r="AB556" i="7"/>
  <c r="AA556" i="7"/>
  <c r="Z556" i="7"/>
  <c r="Y556" i="7"/>
  <c r="X556" i="7"/>
  <c r="W556" i="7"/>
  <c r="G551" i="7"/>
  <c r="V549" i="7"/>
  <c r="V548" i="7"/>
  <c r="V547" i="7"/>
  <c r="V546" i="7"/>
  <c r="V545" i="7"/>
  <c r="V539" i="7"/>
  <c r="W538" i="7"/>
  <c r="V538" i="7"/>
  <c r="V535" i="7"/>
  <c r="AG534" i="7"/>
  <c r="AF534" i="7"/>
  <c r="AE534" i="7"/>
  <c r="AD534" i="7"/>
  <c r="AC534" i="7"/>
  <c r="AB534" i="7"/>
  <c r="AA534" i="7"/>
  <c r="Z534" i="7"/>
  <c r="Y534" i="7"/>
  <c r="X534" i="7"/>
  <c r="W534" i="7"/>
  <c r="V527" i="7"/>
  <c r="L527" i="7"/>
  <c r="DH527" i="7" s="1"/>
  <c r="I527" i="7"/>
  <c r="H527" i="7"/>
  <c r="V526" i="7"/>
  <c r="L526" i="7"/>
  <c r="DH526" i="7" s="1"/>
  <c r="I526" i="7"/>
  <c r="H526" i="7"/>
  <c r="V523" i="7"/>
  <c r="L523" i="7"/>
  <c r="X190" i="15" s="1"/>
  <c r="Z190" i="15" s="1"/>
  <c r="I523" i="7"/>
  <c r="F523" i="7" s="1"/>
  <c r="H523" i="7"/>
  <c r="V522" i="7"/>
  <c r="L522" i="7"/>
  <c r="DH522" i="7" s="1"/>
  <c r="X189" i="15"/>
  <c r="Z189" i="15" s="1"/>
  <c r="J522" i="7"/>
  <c r="H522" i="7"/>
  <c r="DI521" i="7"/>
  <c r="DH521" i="7"/>
  <c r="DG521" i="7"/>
  <c r="AF521" i="7"/>
  <c r="AE521" i="7"/>
  <c r="AD521" i="7"/>
  <c r="AC521" i="7"/>
  <c r="AB521" i="7"/>
  <c r="AA521" i="7"/>
  <c r="Z521" i="7"/>
  <c r="Y521" i="7"/>
  <c r="X521" i="7"/>
  <c r="W521" i="7"/>
  <c r="V519" i="7"/>
  <c r="Y516" i="7"/>
  <c r="G516" i="7"/>
  <c r="V514" i="7"/>
  <c r="V513" i="7"/>
  <c r="V512" i="7"/>
  <c r="V511" i="7"/>
  <c r="V510" i="7"/>
  <c r="V509" i="7"/>
  <c r="V508" i="7"/>
  <c r="V507" i="7"/>
  <c r="V506" i="7"/>
  <c r="V505" i="7"/>
  <c r="V504" i="7"/>
  <c r="V503" i="7"/>
  <c r="V502" i="7"/>
  <c r="V501" i="7"/>
  <c r="V500" i="7"/>
  <c r="Y499" i="7"/>
  <c r="X499" i="7"/>
  <c r="V499" i="7"/>
  <c r="G499" i="7"/>
  <c r="J488" i="7" s="1"/>
  <c r="Y498" i="7"/>
  <c r="X498" i="7"/>
  <c r="W498" i="7"/>
  <c r="V498" i="7"/>
  <c r="G498" i="7"/>
  <c r="I487" i="7" s="1"/>
  <c r="V497" i="7"/>
  <c r="V496" i="7"/>
  <c r="AF495" i="7"/>
  <c r="AE495" i="7"/>
  <c r="AD495" i="7"/>
  <c r="AC495" i="7"/>
  <c r="AB495" i="7"/>
  <c r="AA495" i="7"/>
  <c r="Z495" i="7"/>
  <c r="Y495" i="7"/>
  <c r="X495" i="7"/>
  <c r="W495" i="7"/>
  <c r="V489" i="7"/>
  <c r="M489" i="7"/>
  <c r="X188" i="15" s="1"/>
  <c r="Z188" i="15" s="1"/>
  <c r="H489" i="7"/>
  <c r="V488" i="7"/>
  <c r="M488" i="7"/>
  <c r="DH488" i="7" s="1"/>
  <c r="H488" i="7"/>
  <c r="V487" i="7"/>
  <c r="M487" i="7"/>
  <c r="X186" i="15" s="1"/>
  <c r="Z186" i="15" s="1"/>
  <c r="H487" i="7"/>
  <c r="DI486" i="7"/>
  <c r="DH486" i="7"/>
  <c r="DG486" i="7"/>
  <c r="AF486" i="7"/>
  <c r="AE486" i="7"/>
  <c r="AD486" i="7"/>
  <c r="AC486" i="7"/>
  <c r="AB486" i="7"/>
  <c r="AA486" i="7"/>
  <c r="Z486" i="7"/>
  <c r="Y486" i="7"/>
  <c r="X486" i="7"/>
  <c r="W486" i="7"/>
  <c r="V484" i="7"/>
  <c r="V479" i="7"/>
  <c r="AF469" i="7"/>
  <c r="AE469" i="7"/>
  <c r="AD469" i="7"/>
  <c r="AC469" i="7"/>
  <c r="AB469" i="7"/>
  <c r="AA469" i="7"/>
  <c r="Z469" i="7"/>
  <c r="Y469" i="7"/>
  <c r="X469" i="7"/>
  <c r="W469" i="7"/>
  <c r="V459" i="7"/>
  <c r="M459" i="7"/>
  <c r="DJ459" i="7" s="1"/>
  <c r="L459" i="7"/>
  <c r="X185" i="15" s="1"/>
  <c r="Z185" i="15" s="1"/>
  <c r="W185" i="15" s="1"/>
  <c r="V185" i="15" s="1"/>
  <c r="H459" i="7"/>
  <c r="DI458" i="7"/>
  <c r="DH458" i="7"/>
  <c r="DG458" i="7"/>
  <c r="AF458" i="7"/>
  <c r="AE458" i="7"/>
  <c r="AD458" i="7"/>
  <c r="AC458" i="7"/>
  <c r="AB458" i="7"/>
  <c r="Z458" i="7"/>
  <c r="Y458" i="7"/>
  <c r="X458" i="7"/>
  <c r="W458" i="7"/>
  <c r="V456" i="7"/>
  <c r="F453" i="7"/>
  <c r="E516" i="7"/>
  <c r="E551" i="7" s="1"/>
  <c r="D453" i="7"/>
  <c r="D481" i="7" s="1"/>
  <c r="V481" i="7" s="1"/>
  <c r="E452" i="7"/>
  <c r="E480" i="7" s="1"/>
  <c r="E515" i="7" s="1"/>
  <c r="E550" i="7" s="1"/>
  <c r="E631" i="7" s="1"/>
  <c r="E668" i="7" s="1"/>
  <c r="E743" i="7" s="1"/>
  <c r="D452" i="7"/>
  <c r="V452" i="7" s="1"/>
  <c r="V451" i="7"/>
  <c r="V450" i="7"/>
  <c r="E449" i="7"/>
  <c r="E448" i="7"/>
  <c r="V447" i="7"/>
  <c r="E447" i="7"/>
  <c r="E446" i="7"/>
  <c r="E445" i="7"/>
  <c r="V444" i="7"/>
  <c r="E444" i="7"/>
  <c r="V442" i="7"/>
  <c r="E441" i="7"/>
  <c r="F440" i="7"/>
  <c r="I425" i="7" s="1"/>
  <c r="E440" i="7"/>
  <c r="V439" i="7"/>
  <c r="E439" i="7"/>
  <c r="V438" i="7"/>
  <c r="W437" i="7"/>
  <c r="V437" i="7"/>
  <c r="V436" i="7"/>
  <c r="V434" i="7"/>
  <c r="AF433" i="7"/>
  <c r="AE433" i="7"/>
  <c r="AD433" i="7"/>
  <c r="AC433" i="7"/>
  <c r="AB433" i="7"/>
  <c r="AA433" i="7"/>
  <c r="Z433" i="7"/>
  <c r="Y433" i="7"/>
  <c r="X433" i="7"/>
  <c r="W433" i="7"/>
  <c r="V423" i="7"/>
  <c r="N423" i="7"/>
  <c r="L423" i="7"/>
  <c r="DH423" i="7" s="1"/>
  <c r="J423" i="7"/>
  <c r="H423" i="7"/>
  <c r="V422" i="7"/>
  <c r="N422" i="7"/>
  <c r="L422" i="7"/>
  <c r="X180" i="15" s="1"/>
  <c r="Z180" i="15" s="1"/>
  <c r="J422" i="7"/>
  <c r="H422" i="7"/>
  <c r="V421" i="7"/>
  <c r="N421" i="7"/>
  <c r="L421" i="7"/>
  <c r="X179" i="15" s="1"/>
  <c r="Z179" i="15" s="1"/>
  <c r="J421" i="7"/>
  <c r="H421" i="7"/>
  <c r="DI420" i="7"/>
  <c r="DH420" i="7"/>
  <c r="DG420" i="7"/>
  <c r="AF420" i="7"/>
  <c r="AE420" i="7"/>
  <c r="AD420" i="7"/>
  <c r="AC420" i="7"/>
  <c r="AB420" i="7"/>
  <c r="AA420" i="7"/>
  <c r="Z420" i="7"/>
  <c r="Y420" i="7"/>
  <c r="X420" i="7"/>
  <c r="W420" i="7"/>
  <c r="V418" i="7"/>
  <c r="F415" i="7"/>
  <c r="F414" i="7"/>
  <c r="F413" i="7"/>
  <c r="I412" i="7"/>
  <c r="F412" i="7"/>
  <c r="I411" i="7"/>
  <c r="F411" i="7"/>
  <c r="I410" i="7"/>
  <c r="F410" i="7"/>
  <c r="F409" i="7"/>
  <c r="F408" i="7"/>
  <c r="F407" i="7"/>
  <c r="I406" i="7"/>
  <c r="F406" i="7"/>
  <c r="I405" i="7"/>
  <c r="F405" i="7"/>
  <c r="I404" i="7"/>
  <c r="F404" i="7"/>
  <c r="F403" i="7"/>
  <c r="F402" i="7"/>
  <c r="F401" i="7"/>
  <c r="I400" i="7"/>
  <c r="F400" i="7"/>
  <c r="I399" i="7"/>
  <c r="M115" i="7"/>
  <c r="DJ115" i="7" s="1"/>
  <c r="I398" i="7"/>
  <c r="F398" i="7"/>
  <c r="F397" i="7"/>
  <c r="F396" i="7"/>
  <c r="F395" i="7"/>
  <c r="I394" i="7"/>
  <c r="F394" i="7"/>
  <c r="I393" i="7"/>
  <c r="F393" i="7"/>
  <c r="I392" i="7"/>
  <c r="F392" i="7"/>
  <c r="F391" i="7"/>
  <c r="F390" i="7"/>
  <c r="F389" i="7"/>
  <c r="I388" i="7"/>
  <c r="F388" i="7"/>
  <c r="I387" i="7"/>
  <c r="F387" i="7"/>
  <c r="I386" i="7"/>
  <c r="F386" i="7"/>
  <c r="V355" i="7"/>
  <c r="V325" i="7"/>
  <c r="V324" i="7"/>
  <c r="V323" i="7"/>
  <c r="V322" i="7"/>
  <c r="W321" i="7"/>
  <c r="W319" i="7"/>
  <c r="W315" i="7"/>
  <c r="W313" i="7"/>
  <c r="W309" i="7"/>
  <c r="W307" i="7"/>
  <c r="W303" i="7"/>
  <c r="W301" i="7"/>
  <c r="W297" i="7"/>
  <c r="W295" i="7"/>
  <c r="V292" i="7"/>
  <c r="W290" i="7"/>
  <c r="W320" i="7"/>
  <c r="W287" i="7"/>
  <c r="W284" i="7"/>
  <c r="W314" i="7"/>
  <c r="W281" i="7"/>
  <c r="W278" i="7"/>
  <c r="W308" i="7"/>
  <c r="W275" i="7"/>
  <c r="W272" i="7"/>
  <c r="W302" i="7"/>
  <c r="W269" i="7"/>
  <c r="W266" i="7"/>
  <c r="W296" i="7"/>
  <c r="W263" i="7"/>
  <c r="V262" i="7"/>
  <c r="V260" i="7"/>
  <c r="V259" i="7"/>
  <c r="V258" i="7"/>
  <c r="W254" i="7"/>
  <c r="W318" i="7"/>
  <c r="W253" i="7"/>
  <c r="W252" i="7"/>
  <c r="W316" i="7"/>
  <c r="W248" i="7"/>
  <c r="W312" i="7"/>
  <c r="W247" i="7"/>
  <c r="W246" i="7"/>
  <c r="W310" i="7"/>
  <c r="W242" i="7"/>
  <c r="W306" i="7"/>
  <c r="W241" i="7"/>
  <c r="W240" i="7"/>
  <c r="W304" i="7"/>
  <c r="W236" i="7"/>
  <c r="W300" i="7"/>
  <c r="W235" i="7"/>
  <c r="W234" i="7"/>
  <c r="W298" i="7"/>
  <c r="W230" i="7"/>
  <c r="W294" i="7"/>
  <c r="W229" i="7"/>
  <c r="W228" i="7"/>
  <c r="W292" i="7"/>
  <c r="V228" i="7"/>
  <c r="V198" i="7"/>
  <c r="V168" i="7"/>
  <c r="V138" i="7"/>
  <c r="AF137" i="7"/>
  <c r="AE137" i="7"/>
  <c r="AD137" i="7"/>
  <c r="AC137" i="7"/>
  <c r="AB137" i="7"/>
  <c r="AA137" i="7"/>
  <c r="Z137" i="7"/>
  <c r="Y137" i="7"/>
  <c r="X137" i="7"/>
  <c r="W137" i="7"/>
  <c r="V131" i="7"/>
  <c r="N131" i="7"/>
  <c r="L131" i="7"/>
  <c r="H131" i="7"/>
  <c r="V130" i="7"/>
  <c r="N130" i="7"/>
  <c r="L130" i="7"/>
  <c r="H130" i="7"/>
  <c r="V129" i="7"/>
  <c r="N129" i="7"/>
  <c r="L129" i="7"/>
  <c r="H129" i="7"/>
  <c r="V128" i="7"/>
  <c r="N128" i="7"/>
  <c r="L128" i="7"/>
  <c r="X175" i="15" s="1"/>
  <c r="Z175" i="15" s="1"/>
  <c r="H128" i="7"/>
  <c r="V127" i="7"/>
  <c r="N127" i="7"/>
  <c r="L127" i="7"/>
  <c r="H127" i="7"/>
  <c r="V126" i="7"/>
  <c r="N126" i="7"/>
  <c r="L126" i="7"/>
  <c r="X173" i="15" s="1"/>
  <c r="Z173" i="15" s="1"/>
  <c r="H126" i="7"/>
  <c r="V125" i="7"/>
  <c r="N125" i="7"/>
  <c r="L125" i="7"/>
  <c r="DH125" i="7" s="1"/>
  <c r="H125" i="7"/>
  <c r="V124" i="7"/>
  <c r="N124" i="7"/>
  <c r="L124" i="7"/>
  <c r="DH124" i="7" s="1"/>
  <c r="H124" i="7"/>
  <c r="V123" i="7"/>
  <c r="N123" i="7"/>
  <c r="L123" i="7"/>
  <c r="X170" i="15" s="1"/>
  <c r="Z170" i="15" s="1"/>
  <c r="H123" i="7"/>
  <c r="V122" i="7"/>
  <c r="N122" i="7"/>
  <c r="L122" i="7"/>
  <c r="X169" i="15" s="1"/>
  <c r="Z169" i="15" s="1"/>
  <c r="H122" i="7"/>
  <c r="V121" i="7"/>
  <c r="N121" i="7"/>
  <c r="L121" i="7"/>
  <c r="DH121" i="7" s="1"/>
  <c r="H121" i="7"/>
  <c r="V120" i="7"/>
  <c r="N120" i="7"/>
  <c r="L120" i="7"/>
  <c r="DH120" i="7" s="1"/>
  <c r="H120" i="7"/>
  <c r="V119" i="7"/>
  <c r="N119" i="7"/>
  <c r="L119" i="7"/>
  <c r="DH119" i="7" s="1"/>
  <c r="H119" i="7"/>
  <c r="V118" i="7"/>
  <c r="N118" i="7"/>
  <c r="L118" i="7"/>
  <c r="DH118" i="7" s="1"/>
  <c r="H118" i="7"/>
  <c r="V117" i="7"/>
  <c r="N117" i="7"/>
  <c r="L117" i="7"/>
  <c r="DH117" i="7" s="1"/>
  <c r="H117" i="7"/>
  <c r="V116" i="7"/>
  <c r="N116" i="7"/>
  <c r="L116" i="7"/>
  <c r="DH116" i="7" s="1"/>
  <c r="H116" i="7"/>
  <c r="V115" i="7"/>
  <c r="N115" i="7"/>
  <c r="L115" i="7"/>
  <c r="DH115" i="7" s="1"/>
  <c r="H115" i="7"/>
  <c r="V114" i="7"/>
  <c r="N114" i="7"/>
  <c r="L114" i="7"/>
  <c r="X161" i="15" s="1"/>
  <c r="Z161" i="15" s="1"/>
  <c r="H114" i="7"/>
  <c r="V113" i="7"/>
  <c r="N113" i="7"/>
  <c r="L113" i="7"/>
  <c r="H113" i="7"/>
  <c r="V112" i="7"/>
  <c r="N112" i="7"/>
  <c r="L112" i="7"/>
  <c r="X159" i="15" s="1"/>
  <c r="Z159" i="15" s="1"/>
  <c r="H112" i="7"/>
  <c r="K112" i="7" s="1"/>
  <c r="O159" i="15" s="1"/>
  <c r="V111" i="7"/>
  <c r="N111" i="7"/>
  <c r="L111" i="7"/>
  <c r="DH111" i="7" s="1"/>
  <c r="H111" i="7"/>
  <c r="V110" i="7"/>
  <c r="N110" i="7"/>
  <c r="L110" i="7"/>
  <c r="H110" i="7"/>
  <c r="V109" i="7"/>
  <c r="N109" i="7"/>
  <c r="L109" i="7"/>
  <c r="DH109" i="7" s="1"/>
  <c r="H109" i="7"/>
  <c r="V108" i="7"/>
  <c r="N108" i="7"/>
  <c r="L108" i="7"/>
  <c r="DH108" i="7" s="1"/>
  <c r="H108" i="7"/>
  <c r="V107" i="7"/>
  <c r="N107" i="7"/>
  <c r="L107" i="7"/>
  <c r="H107" i="7"/>
  <c r="V106" i="7"/>
  <c r="N106" i="7"/>
  <c r="L106" i="7"/>
  <c r="X153" i="15" s="1"/>
  <c r="Z153" i="15" s="1"/>
  <c r="H106" i="7"/>
  <c r="V105" i="7"/>
  <c r="N105" i="7"/>
  <c r="L105" i="7"/>
  <c r="X152" i="15" s="1"/>
  <c r="Z152" i="15" s="1"/>
  <c r="H105" i="7"/>
  <c r="V104" i="7"/>
  <c r="N104" i="7"/>
  <c r="L104" i="7"/>
  <c r="DH104" i="7" s="1"/>
  <c r="H104" i="7"/>
  <c r="V103" i="7"/>
  <c r="N103" i="7"/>
  <c r="L103" i="7"/>
  <c r="X150" i="15" s="1"/>
  <c r="Z150" i="15" s="1"/>
  <c r="H103" i="7"/>
  <c r="V102" i="7"/>
  <c r="N102" i="7"/>
  <c r="L102" i="7"/>
  <c r="X149" i="15" s="1"/>
  <c r="Z149" i="15" s="1"/>
  <c r="H102" i="7"/>
  <c r="DI101" i="7"/>
  <c r="DH101" i="7"/>
  <c r="DG101" i="7"/>
  <c r="AF101" i="7"/>
  <c r="AE101" i="7"/>
  <c r="AD101" i="7"/>
  <c r="AC101" i="7"/>
  <c r="AB101" i="7"/>
  <c r="AA101" i="7"/>
  <c r="Z101" i="7"/>
  <c r="Y101" i="7"/>
  <c r="X101" i="7"/>
  <c r="W101" i="7"/>
  <c r="V99" i="7"/>
  <c r="F96" i="7"/>
  <c r="AF96" i="7"/>
  <c r="F95" i="7"/>
  <c r="AF95" i="7"/>
  <c r="F94" i="7"/>
  <c r="AF94" i="7"/>
  <c r="F93" i="7"/>
  <c r="AF93" i="7"/>
  <c r="F92" i="7"/>
  <c r="AF92" i="7"/>
  <c r="F91" i="7"/>
  <c r="AF91" i="7"/>
  <c r="F89" i="7"/>
  <c r="AF89" i="7"/>
  <c r="F88" i="7"/>
  <c r="AF88" i="7"/>
  <c r="D88" i="7"/>
  <c r="V88" i="7" s="1"/>
  <c r="D87" i="7"/>
  <c r="V87" i="7" s="1"/>
  <c r="V86" i="7"/>
  <c r="V85" i="7"/>
  <c r="F74" i="7"/>
  <c r="F75" i="7" s="1"/>
  <c r="F71" i="7"/>
  <c r="V67" i="7"/>
  <c r="W64" i="7"/>
  <c r="W499" i="7"/>
  <c r="W59" i="7"/>
  <c r="W58" i="7"/>
  <c r="V58" i="7"/>
  <c r="E57" i="7"/>
  <c r="E66" i="7"/>
  <c r="E75" i="7" s="1"/>
  <c r="E56" i="7"/>
  <c r="E65" i="7" s="1"/>
  <c r="E74" i="7" s="1"/>
  <c r="E55" i="7"/>
  <c r="E64" i="7" s="1"/>
  <c r="E73" i="7" s="1"/>
  <c r="E94" i="7" s="1"/>
  <c r="E54" i="7"/>
  <c r="E63" i="7" s="1"/>
  <c r="E72" i="7" s="1"/>
  <c r="E53" i="7"/>
  <c r="E62" i="7" s="1"/>
  <c r="E71" i="7" s="1"/>
  <c r="E92" i="7" s="1"/>
  <c r="E52" i="7"/>
  <c r="E61" i="7" s="1"/>
  <c r="E70" i="7" s="1"/>
  <c r="E91" i="7" s="1"/>
  <c r="E50" i="7"/>
  <c r="E59" i="7" s="1"/>
  <c r="E68" i="7" s="1"/>
  <c r="V49" i="7"/>
  <c r="E49" i="7"/>
  <c r="E58" i="7" s="1"/>
  <c r="E67" i="7" s="1"/>
  <c r="E88" i="7" s="1"/>
  <c r="AF48" i="7"/>
  <c r="AE48" i="7"/>
  <c r="AD48" i="7"/>
  <c r="AC48" i="7"/>
  <c r="AB48" i="7"/>
  <c r="AA48" i="7"/>
  <c r="Y48" i="7"/>
  <c r="X48" i="7"/>
  <c r="W48" i="7"/>
  <c r="N42" i="7"/>
  <c r="M42" i="7"/>
  <c r="AB148" i="15" s="1"/>
  <c r="L42" i="7"/>
  <c r="X148" i="15" s="1"/>
  <c r="Z148" i="15" s="1"/>
  <c r="I42" i="7"/>
  <c r="H42" i="7"/>
  <c r="N41" i="7"/>
  <c r="M41" i="7"/>
  <c r="DJ41" i="7" s="1"/>
  <c r="L41" i="7"/>
  <c r="X147" i="15" s="1"/>
  <c r="Z147" i="15" s="1"/>
  <c r="I41" i="7"/>
  <c r="H41" i="7"/>
  <c r="N40" i="7"/>
  <c r="M40" i="7"/>
  <c r="AB146" i="15" s="1"/>
  <c r="L40" i="7"/>
  <c r="X146" i="15" s="1"/>
  <c r="Z146" i="15" s="1"/>
  <c r="J40" i="7"/>
  <c r="I40" i="7"/>
  <c r="H40" i="7"/>
  <c r="N39" i="7"/>
  <c r="M39" i="7"/>
  <c r="DJ39" i="7" s="1"/>
  <c r="L39" i="7"/>
  <c r="DH39" i="7" s="1"/>
  <c r="J39" i="7"/>
  <c r="I39" i="7"/>
  <c r="H39" i="7"/>
  <c r="N38" i="7"/>
  <c r="M38" i="7"/>
  <c r="AB144" i="15" s="1"/>
  <c r="L38" i="7"/>
  <c r="DH38" i="7" s="1"/>
  <c r="I38" i="7"/>
  <c r="H38" i="7"/>
  <c r="N37" i="7"/>
  <c r="M37" i="7"/>
  <c r="DJ37" i="7"/>
  <c r="L37" i="7"/>
  <c r="DH37" i="7" s="1"/>
  <c r="J37" i="7"/>
  <c r="H37" i="7"/>
  <c r="N35" i="7"/>
  <c r="M35" i="7"/>
  <c r="AB141" i="15" s="1"/>
  <c r="L35" i="7"/>
  <c r="J35" i="7"/>
  <c r="I35" i="7"/>
  <c r="F35" i="7" s="1"/>
  <c r="H35" i="7"/>
  <c r="V34" i="7"/>
  <c r="N34" i="7"/>
  <c r="M34" i="7"/>
  <c r="DJ34" i="7" s="1"/>
  <c r="L34" i="7"/>
  <c r="X140" i="15" s="1"/>
  <c r="Z140" i="15" s="1"/>
  <c r="J34" i="7"/>
  <c r="I34" i="7"/>
  <c r="H34" i="7"/>
  <c r="DI33" i="7"/>
  <c r="DH33" i="7"/>
  <c r="DG33" i="7"/>
  <c r="AF33" i="7"/>
  <c r="AE33" i="7"/>
  <c r="AD33" i="7"/>
  <c r="AC33" i="7"/>
  <c r="AB33" i="7"/>
  <c r="AA33" i="7"/>
  <c r="Z33" i="7"/>
  <c r="Y33" i="7"/>
  <c r="X33" i="7"/>
  <c r="W33" i="7"/>
  <c r="V31" i="7"/>
  <c r="D25" i="7"/>
  <c r="V25" i="7" s="1"/>
  <c r="V24" i="7"/>
  <c r="Y22" i="7"/>
  <c r="X22" i="7"/>
  <c r="V18" i="7"/>
  <c r="V17" i="7"/>
  <c r="AG16" i="7"/>
  <c r="AF16" i="7"/>
  <c r="AE16" i="7"/>
  <c r="AD16" i="7"/>
  <c r="AC16" i="7"/>
  <c r="AB16" i="7"/>
  <c r="AA16" i="7"/>
  <c r="Z16" i="7"/>
  <c r="Y16" i="7"/>
  <c r="X16" i="7"/>
  <c r="W16" i="7"/>
  <c r="J7" i="7"/>
  <c r="X136" i="15" s="1"/>
  <c r="Z136" i="15" s="1"/>
  <c r="W136" i="15" s="1"/>
  <c r="V136" i="15" s="1"/>
  <c r="H7" i="7"/>
  <c r="V4" i="7"/>
  <c r="X1307" i="6"/>
  <c r="X1304" i="6"/>
  <c r="X1303" i="6"/>
  <c r="X1302" i="6"/>
  <c r="X1297" i="6"/>
  <c r="X1296" i="6"/>
  <c r="X1291" i="6"/>
  <c r="X1290" i="6"/>
  <c r="X1289" i="6"/>
  <c r="X1286" i="6"/>
  <c r="X1285" i="6"/>
  <c r="X895" i="6"/>
  <c r="X892" i="6"/>
  <c r="X891" i="6"/>
  <c r="X890" i="6"/>
  <c r="X885" i="6"/>
  <c r="X884" i="6"/>
  <c r="X879" i="6"/>
  <c r="X878" i="6"/>
  <c r="X877" i="6"/>
  <c r="X874" i="6"/>
  <c r="X873" i="6"/>
  <c r="V644" i="6"/>
  <c r="F639" i="6"/>
  <c r="F637" i="6"/>
  <c r="F636" i="6"/>
  <c r="F635" i="6"/>
  <c r="F633" i="6"/>
  <c r="F632" i="6"/>
  <c r="F631" i="6"/>
  <c r="F629" i="6"/>
  <c r="F625" i="6"/>
  <c r="F624" i="6"/>
  <c r="F623" i="6"/>
  <c r="F622" i="6"/>
  <c r="F621" i="6"/>
  <c r="F620" i="6"/>
  <c r="F619" i="6"/>
  <c r="F618" i="6"/>
  <c r="F617" i="6"/>
  <c r="F616" i="6"/>
  <c r="F615" i="6"/>
  <c r="F614" i="6"/>
  <c r="F610" i="6"/>
  <c r="F608" i="6"/>
  <c r="F607" i="6"/>
  <c r="F606" i="6"/>
  <c r="F605" i="6"/>
  <c r="F594" i="6"/>
  <c r="F592" i="6"/>
  <c r="F591" i="6"/>
  <c r="F590" i="6"/>
  <c r="F589" i="6"/>
  <c r="X586" i="6"/>
  <c r="F586" i="6"/>
  <c r="X584" i="6"/>
  <c r="F584" i="6"/>
  <c r="X583" i="6"/>
  <c r="F583" i="6"/>
  <c r="X582" i="6"/>
  <c r="F582" i="6"/>
  <c r="X581" i="6"/>
  <c r="F581" i="6"/>
  <c r="Y578" i="6"/>
  <c r="W578" i="6"/>
  <c r="Y577" i="6"/>
  <c r="W577" i="6"/>
  <c r="Y575" i="6"/>
  <c r="W575" i="6"/>
  <c r="Y574" i="6"/>
  <c r="W574" i="6"/>
  <c r="Y573" i="6"/>
  <c r="W573" i="6"/>
  <c r="Y554" i="6"/>
  <c r="Y586" i="6"/>
  <c r="X554" i="6"/>
  <c r="Y553" i="6"/>
  <c r="Y584" i="6"/>
  <c r="X553" i="6"/>
  <c r="Y549" i="6"/>
  <c r="Y583" i="6"/>
  <c r="X549" i="6"/>
  <c r="Y551" i="6"/>
  <c r="Y582" i="6"/>
  <c r="X551" i="6"/>
  <c r="Y550" i="6"/>
  <c r="Y581" i="6"/>
  <c r="X550" i="6"/>
  <c r="DH524" i="6"/>
  <c r="H524" i="6"/>
  <c r="DH523" i="6"/>
  <c r="DI523" i="6"/>
  <c r="H523" i="6"/>
  <c r="DH522" i="6"/>
  <c r="H522" i="6"/>
  <c r="DH521" i="6"/>
  <c r="DI521" i="6"/>
  <c r="H521" i="6"/>
  <c r="DH520" i="6"/>
  <c r="H520" i="6"/>
  <c r="DH519" i="6"/>
  <c r="DI519" i="6"/>
  <c r="H519" i="6"/>
  <c r="DH518" i="6"/>
  <c r="H518" i="6"/>
  <c r="DH517" i="6"/>
  <c r="DI517" i="6"/>
  <c r="H517" i="6"/>
  <c r="DH516" i="6"/>
  <c r="DI516" i="6"/>
  <c r="H516" i="6"/>
  <c r="DH515" i="6"/>
  <c r="DI515" i="6"/>
  <c r="H515" i="6"/>
  <c r="DH514" i="6"/>
  <c r="DI514" i="6"/>
  <c r="H514" i="6"/>
  <c r="DH513" i="6"/>
  <c r="DI513" i="6"/>
  <c r="H513" i="6"/>
  <c r="V510" i="6"/>
  <c r="K489" i="6"/>
  <c r="K488" i="6"/>
  <c r="K487" i="6"/>
  <c r="W487" i="6"/>
  <c r="W477" i="6"/>
  <c r="F504" i="6"/>
  <c r="W476" i="6"/>
  <c r="F500" i="6"/>
  <c r="H453" i="6"/>
  <c r="F453" i="6"/>
  <c r="J452" i="6"/>
  <c r="H452" i="6"/>
  <c r="F452" i="6"/>
  <c r="AG452" i="6"/>
  <c r="H451" i="6"/>
  <c r="F451" i="6"/>
  <c r="J450" i="6"/>
  <c r="H450" i="6"/>
  <c r="F450" i="6"/>
  <c r="AG450" i="6"/>
  <c r="H449" i="6"/>
  <c r="F449" i="6"/>
  <c r="AG449" i="6"/>
  <c r="J448" i="6"/>
  <c r="X45" i="15"/>
  <c r="Z45" i="15"/>
  <c r="W45" i="15" s="1"/>
  <c r="V45" i="15" s="1"/>
  <c r="U45" i="15" s="1"/>
  <c r="H448" i="6"/>
  <c r="K45" i="15"/>
  <c r="V445" i="6"/>
  <c r="Y439" i="6"/>
  <c r="Y435" i="6"/>
  <c r="Y431" i="6"/>
  <c r="Y423" i="6"/>
  <c r="Y421" i="6"/>
  <c r="Y419" i="6"/>
  <c r="Y418" i="6"/>
  <c r="Y416" i="6"/>
  <c r="Y389" i="6"/>
  <c r="F389" i="6"/>
  <c r="F415" i="6"/>
  <c r="F440" i="6"/>
  <c r="F388" i="6"/>
  <c r="F414" i="6"/>
  <c r="F439" i="6"/>
  <c r="F387" i="6"/>
  <c r="F413" i="6"/>
  <c r="F438" i="6"/>
  <c r="F386" i="6"/>
  <c r="F412" i="6"/>
  <c r="F437" i="6"/>
  <c r="F385" i="6"/>
  <c r="F411" i="6"/>
  <c r="F436" i="6"/>
  <c r="F381" i="6"/>
  <c r="F407" i="6"/>
  <c r="F432" i="6"/>
  <c r="F375" i="6"/>
  <c r="F401" i="6"/>
  <c r="F426" i="6"/>
  <c r="F374" i="6"/>
  <c r="F400" i="6"/>
  <c r="F425" i="6"/>
  <c r="F373" i="6"/>
  <c r="F399" i="6"/>
  <c r="F424" i="6"/>
  <c r="F371" i="6"/>
  <c r="F397" i="6"/>
  <c r="F422" i="6"/>
  <c r="F369" i="6"/>
  <c r="F395" i="6"/>
  <c r="F420" i="6"/>
  <c r="F366" i="6"/>
  <c r="F392" i="6"/>
  <c r="F417" i="6"/>
  <c r="X323" i="6"/>
  <c r="X435" i="6"/>
  <c r="X320" i="6"/>
  <c r="X431" i="6"/>
  <c r="X319" i="6"/>
  <c r="X423" i="6"/>
  <c r="X318" i="6"/>
  <c r="X317" i="6"/>
  <c r="X419" i="6"/>
  <c r="X316" i="6"/>
  <c r="X418" i="6"/>
  <c r="X315" i="6"/>
  <c r="X416" i="6"/>
  <c r="F274" i="6"/>
  <c r="F284" i="6"/>
  <c r="F294" i="6"/>
  <c r="F304" i="6"/>
  <c r="F314" i="6"/>
  <c r="F324" i="6"/>
  <c r="F334" i="6"/>
  <c r="F344" i="6"/>
  <c r="F354" i="6"/>
  <c r="F364" i="6"/>
  <c r="X273" i="6"/>
  <c r="F273" i="6"/>
  <c r="F283" i="6"/>
  <c r="F293" i="6"/>
  <c r="F303" i="6"/>
  <c r="F313" i="6"/>
  <c r="F323" i="6"/>
  <c r="F333" i="6"/>
  <c r="F343" i="6"/>
  <c r="F353" i="6"/>
  <c r="F363" i="6"/>
  <c r="X270" i="6"/>
  <c r="F270" i="6"/>
  <c r="F280" i="6"/>
  <c r="F290" i="6"/>
  <c r="F300" i="6"/>
  <c r="F310" i="6"/>
  <c r="F320" i="6"/>
  <c r="F330" i="6"/>
  <c r="F340" i="6"/>
  <c r="F350" i="6"/>
  <c r="F360" i="6"/>
  <c r="X269" i="6"/>
  <c r="F269" i="6"/>
  <c r="F279" i="6"/>
  <c r="F289" i="6"/>
  <c r="F299" i="6"/>
  <c r="F309" i="6"/>
  <c r="F319" i="6"/>
  <c r="F329" i="6"/>
  <c r="F339" i="6"/>
  <c r="F349" i="6"/>
  <c r="F359" i="6"/>
  <c r="X268" i="6"/>
  <c r="F268" i="6"/>
  <c r="F278" i="6"/>
  <c r="F288" i="6"/>
  <c r="F298" i="6"/>
  <c r="F308" i="6"/>
  <c r="F318" i="6"/>
  <c r="F328" i="6"/>
  <c r="F338" i="6"/>
  <c r="F348" i="6"/>
  <c r="F358" i="6"/>
  <c r="X267" i="6"/>
  <c r="F267" i="6"/>
  <c r="F277" i="6"/>
  <c r="F287" i="6"/>
  <c r="F297" i="6"/>
  <c r="F307" i="6"/>
  <c r="F317" i="6"/>
  <c r="F327" i="6"/>
  <c r="F337" i="6"/>
  <c r="F347" i="6"/>
  <c r="F357" i="6"/>
  <c r="F266" i="6"/>
  <c r="F276" i="6"/>
  <c r="F286" i="6"/>
  <c r="F296" i="6"/>
  <c r="F306" i="6"/>
  <c r="F316" i="6"/>
  <c r="F326" i="6"/>
  <c r="F336" i="6"/>
  <c r="F346" i="6"/>
  <c r="F356" i="6"/>
  <c r="F265" i="6"/>
  <c r="F275" i="6"/>
  <c r="F285" i="6"/>
  <c r="F295" i="6"/>
  <c r="F305" i="6"/>
  <c r="F315" i="6"/>
  <c r="F325" i="6"/>
  <c r="F335" i="6"/>
  <c r="F345" i="6"/>
  <c r="F355" i="6"/>
  <c r="DH254" i="6"/>
  <c r="DI254" i="6"/>
  <c r="DH253" i="6"/>
  <c r="DI253" i="6"/>
  <c r="DH241" i="6"/>
  <c r="DI241" i="6"/>
  <c r="DH240" i="6"/>
  <c r="DI240" i="6"/>
  <c r="DH239" i="6"/>
  <c r="DI239" i="6"/>
  <c r="DH238" i="6"/>
  <c r="DI238" i="6"/>
  <c r="DH237" i="6"/>
  <c r="DI237" i="6"/>
  <c r="DH235" i="6"/>
  <c r="DI235" i="6"/>
  <c r="DH233" i="6"/>
  <c r="DI233" i="6"/>
  <c r="DH232" i="6"/>
  <c r="DI232" i="6"/>
  <c r="V228" i="6"/>
  <c r="V391" i="6"/>
  <c r="X166" i="6"/>
  <c r="X165" i="6"/>
  <c r="X164" i="6"/>
  <c r="X161" i="6"/>
  <c r="X160" i="6"/>
  <c r="X159" i="6"/>
  <c r="X158" i="6"/>
  <c r="X157" i="6"/>
  <c r="X156" i="6"/>
  <c r="X120" i="6"/>
  <c r="X119" i="6"/>
  <c r="X118" i="6"/>
  <c r="X74" i="6"/>
  <c r="X73" i="6"/>
  <c r="X72" i="6"/>
  <c r="X69" i="6"/>
  <c r="X68" i="6"/>
  <c r="X67" i="6"/>
  <c r="X66" i="6"/>
  <c r="X65" i="6"/>
  <c r="X64" i="6"/>
  <c r="X51" i="6"/>
  <c r="X50" i="6"/>
  <c r="X49" i="6"/>
  <c r="X46" i="6"/>
  <c r="X45" i="6"/>
  <c r="X44" i="6"/>
  <c r="X43" i="6"/>
  <c r="X42" i="6"/>
  <c r="X41" i="6"/>
  <c r="DH18" i="6"/>
  <c r="DH16" i="6"/>
  <c r="DH11" i="6"/>
  <c r="DH9" i="6"/>
  <c r="V5" i="6"/>
  <c r="AG38" i="5"/>
  <c r="AF38" i="5"/>
  <c r="AE38" i="5"/>
  <c r="AD38" i="5"/>
  <c r="AC38" i="5"/>
  <c r="AB38" i="5"/>
  <c r="AA38" i="5"/>
  <c r="Z38" i="5"/>
  <c r="Y38" i="5"/>
  <c r="X38" i="5"/>
  <c r="W38" i="5"/>
  <c r="AG31" i="5"/>
  <c r="AF31" i="5"/>
  <c r="AE31" i="5"/>
  <c r="AD31" i="5"/>
  <c r="AC31" i="5"/>
  <c r="AB31" i="5"/>
  <c r="AA31" i="5"/>
  <c r="Z31" i="5"/>
  <c r="Y31" i="5"/>
  <c r="X31" i="5"/>
  <c r="W31" i="5"/>
  <c r="V29" i="5"/>
  <c r="W23" i="5"/>
  <c r="W16" i="5"/>
  <c r="AG15" i="5"/>
  <c r="AF15" i="5"/>
  <c r="AE15" i="5"/>
  <c r="AD15" i="5"/>
  <c r="AC15" i="5"/>
  <c r="AB15" i="5"/>
  <c r="AA15" i="5"/>
  <c r="Z15" i="5"/>
  <c r="Y15" i="5"/>
  <c r="X15" i="5"/>
  <c r="W15" i="5"/>
  <c r="H7" i="5"/>
  <c r="V4" i="5"/>
  <c r="DL507" i="2"/>
  <c r="DM506" i="2"/>
  <c r="DL506" i="2"/>
  <c r="DK506" i="2"/>
  <c r="BF506" i="2"/>
  <c r="BE506" i="2"/>
  <c r="BD506" i="2"/>
  <c r="BC506" i="2"/>
  <c r="BA506" i="2"/>
  <c r="AZ506" i="2"/>
  <c r="AY506" i="2"/>
  <c r="AX506" i="2"/>
  <c r="AS506" i="2"/>
  <c r="AR506" i="2"/>
  <c r="AQ506" i="2"/>
  <c r="AP506" i="2"/>
  <c r="AO506" i="2"/>
  <c r="AL506" i="2"/>
  <c r="AK506" i="2"/>
  <c r="AG506" i="2"/>
  <c r="AF506" i="2"/>
  <c r="AE506" i="2"/>
  <c r="AD506" i="2"/>
  <c r="AC506" i="2"/>
  <c r="AA506" i="2"/>
  <c r="Z506" i="2"/>
  <c r="Y506" i="2"/>
  <c r="X506" i="2"/>
  <c r="W506" i="2"/>
  <c r="V504" i="2"/>
  <c r="E481" i="2"/>
  <c r="D481" i="2"/>
  <c r="DM470" i="2"/>
  <c r="DL470" i="2"/>
  <c r="DK470" i="2"/>
  <c r="BF470" i="2"/>
  <c r="BE470" i="2"/>
  <c r="BD470" i="2"/>
  <c r="BC470" i="2"/>
  <c r="BA470" i="2"/>
  <c r="AZ470" i="2"/>
  <c r="AY470" i="2"/>
  <c r="AX470" i="2"/>
  <c r="AS470" i="2"/>
  <c r="AR470" i="2"/>
  <c r="AQ470" i="2"/>
  <c r="AP470" i="2"/>
  <c r="AO470" i="2"/>
  <c r="AN470" i="2"/>
  <c r="AM470" i="2"/>
  <c r="AL470" i="2"/>
  <c r="AK470" i="2"/>
  <c r="AG470" i="2"/>
  <c r="AF470" i="2"/>
  <c r="AE470" i="2"/>
  <c r="AD470" i="2"/>
  <c r="AC470" i="2"/>
  <c r="AA470" i="2"/>
  <c r="Z470" i="2"/>
  <c r="Y470" i="2"/>
  <c r="X470" i="2"/>
  <c r="W470" i="2"/>
  <c r="V468" i="2"/>
  <c r="E465" i="2"/>
  <c r="D465" i="2"/>
  <c r="E464" i="2"/>
  <c r="D464" i="2"/>
  <c r="E463" i="2"/>
  <c r="D463" i="2"/>
  <c r="DM450" i="2"/>
  <c r="DL450" i="2"/>
  <c r="DK450" i="2"/>
  <c r="BF450" i="2"/>
  <c r="BE450" i="2"/>
  <c r="BD450" i="2"/>
  <c r="BC450" i="2"/>
  <c r="BA450" i="2"/>
  <c r="AZ450" i="2"/>
  <c r="AY450" i="2"/>
  <c r="AX450" i="2"/>
  <c r="AS450" i="2"/>
  <c r="AR450" i="2"/>
  <c r="AQ450" i="2"/>
  <c r="AP450" i="2"/>
  <c r="AO450" i="2"/>
  <c r="AN450" i="2"/>
  <c r="AM450" i="2"/>
  <c r="AL450" i="2"/>
  <c r="AK450" i="2"/>
  <c r="AG450" i="2"/>
  <c r="AF450" i="2"/>
  <c r="AE450" i="2"/>
  <c r="AD450" i="2"/>
  <c r="AC450" i="2"/>
  <c r="AA450" i="2"/>
  <c r="Z450" i="2"/>
  <c r="Y450" i="2"/>
  <c r="X450" i="2"/>
  <c r="W450" i="2"/>
  <c r="V448" i="2"/>
  <c r="DM434" i="2"/>
  <c r="DL434" i="2"/>
  <c r="DK434" i="2"/>
  <c r="BF434" i="2"/>
  <c r="BD434" i="2"/>
  <c r="BC434" i="2"/>
  <c r="BA434" i="2"/>
  <c r="AZ434" i="2"/>
  <c r="AY434" i="2"/>
  <c r="AX434" i="2"/>
  <c r="AS434" i="2"/>
  <c r="AR434" i="2"/>
  <c r="AQ434" i="2"/>
  <c r="AP434" i="2"/>
  <c r="AO434" i="2"/>
  <c r="AN434" i="2"/>
  <c r="AM434" i="2"/>
  <c r="AL434" i="2"/>
  <c r="AK434" i="2"/>
  <c r="AG434" i="2"/>
  <c r="AF434" i="2"/>
  <c r="AE434" i="2"/>
  <c r="AD434" i="2"/>
  <c r="AC434" i="2"/>
  <c r="AA434" i="2"/>
  <c r="Z434" i="2"/>
  <c r="Y434" i="2"/>
  <c r="X434" i="2"/>
  <c r="W434" i="2"/>
  <c r="V432" i="2"/>
  <c r="E427" i="2"/>
  <c r="D427" i="2"/>
  <c r="DL415" i="2"/>
  <c r="H415" i="2"/>
  <c r="F415" i="2"/>
  <c r="AG415" i="2"/>
  <c r="DM414" i="2"/>
  <c r="DL414" i="2"/>
  <c r="DK414" i="2"/>
  <c r="E411" i="2"/>
  <c r="D411" i="2"/>
  <c r="E410" i="2"/>
  <c r="D410" i="2"/>
  <c r="E409" i="2"/>
  <c r="D409" i="2"/>
  <c r="E408" i="2"/>
  <c r="D408" i="2"/>
  <c r="E407" i="2"/>
  <c r="D407" i="2"/>
  <c r="E406" i="2"/>
  <c r="D406" i="2"/>
  <c r="E405" i="2"/>
  <c r="D405" i="2"/>
  <c r="DL395" i="2"/>
  <c r="H395" i="2"/>
  <c r="F395" i="2"/>
  <c r="AG395" i="2"/>
  <c r="DL394" i="2"/>
  <c r="H394" i="2"/>
  <c r="F394" i="2"/>
  <c r="AG394" i="2"/>
  <c r="DL393" i="2"/>
  <c r="H393" i="2"/>
  <c r="F393" i="2"/>
  <c r="AG393" i="2"/>
  <c r="DL392" i="2"/>
  <c r="H392" i="2"/>
  <c r="F392" i="2"/>
  <c r="AG392" i="2"/>
  <c r="DL391" i="2"/>
  <c r="H391" i="2"/>
  <c r="F391" i="2"/>
  <c r="AG391" i="2"/>
  <c r="DL390" i="2"/>
  <c r="H390" i="2"/>
  <c r="F390" i="2"/>
  <c r="AG390" i="2"/>
  <c r="DL389" i="2"/>
  <c r="H389" i="2"/>
  <c r="I326" i="15"/>
  <c r="DM388" i="2"/>
  <c r="DL388" i="2"/>
  <c r="DK388" i="2"/>
  <c r="E385" i="2"/>
  <c r="D385" i="2"/>
  <c r="E384" i="2"/>
  <c r="D384" i="2"/>
  <c r="E383" i="2"/>
  <c r="D383" i="2"/>
  <c r="E382" i="2"/>
  <c r="D382" i="2"/>
  <c r="E381" i="2"/>
  <c r="D381" i="2"/>
  <c r="E380" i="2"/>
  <c r="D380" i="2"/>
  <c r="E379" i="2"/>
  <c r="D379" i="2"/>
  <c r="DL369" i="2"/>
  <c r="H369" i="2"/>
  <c r="F369" i="2"/>
  <c r="AG369" i="2"/>
  <c r="DL368" i="2"/>
  <c r="H368" i="2"/>
  <c r="F368" i="2"/>
  <c r="AG368" i="2"/>
  <c r="DL367" i="2"/>
  <c r="H367" i="2"/>
  <c r="F367" i="2"/>
  <c r="AG367" i="2"/>
  <c r="DL366" i="2"/>
  <c r="H366" i="2"/>
  <c r="F366" i="2"/>
  <c r="AG366" i="2"/>
  <c r="DL365" i="2"/>
  <c r="H365" i="2"/>
  <c r="F365" i="2"/>
  <c r="AG365" i="2"/>
  <c r="DL364" i="2"/>
  <c r="H364" i="2"/>
  <c r="F364" i="2"/>
  <c r="AG364" i="2"/>
  <c r="DL363" i="2"/>
  <c r="H363" i="2"/>
  <c r="F363" i="2"/>
  <c r="AG363" i="2"/>
  <c r="DM362" i="2"/>
  <c r="DL362" i="2"/>
  <c r="DK362" i="2"/>
  <c r="F342" i="2"/>
  <c r="AG342" i="2"/>
  <c r="E353" i="2"/>
  <c r="D353" i="2"/>
  <c r="DL342" i="2"/>
  <c r="H342" i="2"/>
  <c r="DM341" i="2"/>
  <c r="DL341" i="2"/>
  <c r="DK341" i="2"/>
  <c r="DL320" i="2"/>
  <c r="DL319" i="2"/>
  <c r="D309" i="2"/>
  <c r="E308" i="2"/>
  <c r="D308" i="2"/>
  <c r="E307" i="2"/>
  <c r="D307" i="2"/>
  <c r="E306" i="2"/>
  <c r="D306" i="2"/>
  <c r="E305" i="2"/>
  <c r="D305" i="2"/>
  <c r="DL295" i="2"/>
  <c r="H295" i="2"/>
  <c r="DL294" i="2"/>
  <c r="H294" i="2"/>
  <c r="DL293" i="2"/>
  <c r="H293" i="2"/>
  <c r="DL292" i="2"/>
  <c r="H292" i="2"/>
  <c r="DL291" i="2"/>
  <c r="H291" i="2"/>
  <c r="DM290" i="2"/>
  <c r="DL290" i="2"/>
  <c r="DK290" i="2"/>
  <c r="E287" i="2"/>
  <c r="D287" i="2"/>
  <c r="H261" i="2"/>
  <c r="F261" i="2"/>
  <c r="AG261" i="2"/>
  <c r="E255" i="2"/>
  <c r="D255" i="2"/>
  <c r="E254" i="2"/>
  <c r="D254" i="2"/>
  <c r="DL242" i="2"/>
  <c r="H242" i="2"/>
  <c r="F242" i="2"/>
  <c r="DL241" i="2"/>
  <c r="H241" i="2"/>
  <c r="F241" i="2"/>
  <c r="DM240" i="2"/>
  <c r="DL240" i="2"/>
  <c r="DK240" i="2"/>
  <c r="E237" i="2"/>
  <c r="D237" i="2"/>
  <c r="DL226" i="2"/>
  <c r="DM225" i="2"/>
  <c r="DL225" i="2"/>
  <c r="DK225" i="2"/>
  <c r="I220" i="2"/>
  <c r="E220" i="2"/>
  <c r="D220" i="2"/>
  <c r="E219" i="2"/>
  <c r="D219" i="2"/>
  <c r="I218" i="2"/>
  <c r="E218" i="2"/>
  <c r="D218" i="2"/>
  <c r="DL208" i="2"/>
  <c r="H208" i="2"/>
  <c r="DL207" i="2"/>
  <c r="H207" i="2"/>
  <c r="DL206" i="2"/>
  <c r="H206" i="2"/>
  <c r="DM205" i="2"/>
  <c r="DL205" i="2"/>
  <c r="DK205" i="2"/>
  <c r="G200" i="2"/>
  <c r="E200" i="2"/>
  <c r="D200" i="2"/>
  <c r="G199" i="2"/>
  <c r="E199" i="2"/>
  <c r="D199" i="2"/>
  <c r="G198" i="2"/>
  <c r="F198" i="2"/>
  <c r="AG198" i="2"/>
  <c r="E198" i="2"/>
  <c r="D198" i="2"/>
  <c r="G197" i="2"/>
  <c r="F197" i="2"/>
  <c r="AG197" i="2"/>
  <c r="E197" i="2"/>
  <c r="D197" i="2"/>
  <c r="DL186" i="2"/>
  <c r="H186" i="2"/>
  <c r="DL185" i="2"/>
  <c r="H185" i="2"/>
  <c r="DL184" i="2"/>
  <c r="H184" i="2"/>
  <c r="DL183" i="2"/>
  <c r="H183" i="2"/>
  <c r="DM182" i="2"/>
  <c r="DL182" i="2"/>
  <c r="DK182" i="2"/>
  <c r="E177" i="2"/>
  <c r="D177" i="2"/>
  <c r="DL167" i="2"/>
  <c r="K167" i="2"/>
  <c r="DN167" i="2"/>
  <c r="H167" i="2"/>
  <c r="F167" i="2"/>
  <c r="DM166" i="2"/>
  <c r="DL166" i="2"/>
  <c r="DK166" i="2"/>
  <c r="BF166" i="2"/>
  <c r="BE166" i="2"/>
  <c r="BD166" i="2"/>
  <c r="BC166" i="2"/>
  <c r="BA166" i="2"/>
  <c r="AZ166" i="2"/>
  <c r="AY166" i="2"/>
  <c r="AX166" i="2"/>
  <c r="AS166" i="2"/>
  <c r="AR166" i="2"/>
  <c r="AQ166" i="2"/>
  <c r="AP166" i="2"/>
  <c r="AO166" i="2"/>
  <c r="AN166" i="2"/>
  <c r="AM166" i="2"/>
  <c r="AL166" i="2"/>
  <c r="AK166" i="2"/>
  <c r="AG166" i="2"/>
  <c r="AF166" i="2"/>
  <c r="AE166" i="2"/>
  <c r="AD166" i="2"/>
  <c r="AC166" i="2"/>
  <c r="AA166" i="2"/>
  <c r="Z166" i="2"/>
  <c r="Y166" i="2"/>
  <c r="X166" i="2"/>
  <c r="W166" i="2"/>
  <c r="V164" i="2"/>
  <c r="H159" i="2"/>
  <c r="N159" i="2"/>
  <c r="E159" i="2"/>
  <c r="D159" i="2"/>
  <c r="H158" i="2"/>
  <c r="N158" i="2"/>
  <c r="E158" i="2"/>
  <c r="D158" i="2"/>
  <c r="H157" i="2"/>
  <c r="N157" i="2"/>
  <c r="E157" i="2"/>
  <c r="D157" i="2"/>
  <c r="H156" i="2"/>
  <c r="N156" i="2"/>
  <c r="E156" i="2"/>
  <c r="D156" i="2"/>
  <c r="H155" i="2"/>
  <c r="N155" i="2"/>
  <c r="E155" i="2"/>
  <c r="D155" i="2"/>
  <c r="DL143" i="2"/>
  <c r="H143" i="2"/>
  <c r="DL142" i="2"/>
  <c r="H142" i="2"/>
  <c r="DL141" i="2"/>
  <c r="H141" i="2"/>
  <c r="DL140" i="2"/>
  <c r="H140" i="2"/>
  <c r="DL139" i="2"/>
  <c r="H139" i="2"/>
  <c r="DM138" i="2"/>
  <c r="DL138" i="2"/>
  <c r="DK138" i="2"/>
  <c r="BF138" i="2"/>
  <c r="BE138" i="2"/>
  <c r="BD138" i="2"/>
  <c r="BC138" i="2"/>
  <c r="BA138" i="2"/>
  <c r="AZ138" i="2"/>
  <c r="AY138" i="2"/>
  <c r="AX138" i="2"/>
  <c r="AS138" i="2"/>
  <c r="AR138" i="2"/>
  <c r="AQ138" i="2"/>
  <c r="AP138" i="2"/>
  <c r="AO138" i="2"/>
  <c r="AN138" i="2"/>
  <c r="AM138" i="2"/>
  <c r="AL138" i="2"/>
  <c r="AK138" i="2"/>
  <c r="AG138" i="2"/>
  <c r="AF138" i="2"/>
  <c r="AE138" i="2"/>
  <c r="AD138" i="2"/>
  <c r="AC138" i="2"/>
  <c r="AA138" i="2"/>
  <c r="Z138" i="2"/>
  <c r="Y138" i="2"/>
  <c r="X138" i="2"/>
  <c r="W138" i="2"/>
  <c r="V136" i="2"/>
  <c r="E133" i="2"/>
  <c r="E132" i="2"/>
  <c r="DL121" i="2"/>
  <c r="H121" i="2"/>
  <c r="F121" i="2"/>
  <c r="DL120" i="2"/>
  <c r="AV120" i="2"/>
  <c r="AV121" i="2"/>
  <c r="V120" i="2"/>
  <c r="V121" i="2"/>
  <c r="H120" i="2"/>
  <c r="F120" i="2"/>
  <c r="DM119" i="2"/>
  <c r="DL119" i="2"/>
  <c r="DK119" i="2"/>
  <c r="BF119" i="2"/>
  <c r="BE119" i="2"/>
  <c r="BD119" i="2"/>
  <c r="BC119" i="2"/>
  <c r="BA119" i="2"/>
  <c r="AZ119" i="2"/>
  <c r="AY119" i="2"/>
  <c r="AX119" i="2"/>
  <c r="AS119" i="2"/>
  <c r="AR119" i="2"/>
  <c r="AQ119" i="2"/>
  <c r="AP119" i="2"/>
  <c r="AO119" i="2"/>
  <c r="AN119" i="2"/>
  <c r="AM119" i="2"/>
  <c r="AL119" i="2"/>
  <c r="AK119" i="2"/>
  <c r="AF119" i="2"/>
  <c r="AE119" i="2"/>
  <c r="AD119" i="2"/>
  <c r="AC119" i="2"/>
  <c r="AA119" i="2"/>
  <c r="Z119" i="2"/>
  <c r="Y119" i="2"/>
  <c r="X119" i="2"/>
  <c r="W119" i="2"/>
  <c r="DL91" i="2"/>
  <c r="H91" i="2"/>
  <c r="I91" i="2"/>
  <c r="I278" i="15"/>
  <c r="DL89" i="2"/>
  <c r="H89" i="2"/>
  <c r="I89" i="2"/>
  <c r="I276" i="15"/>
  <c r="DL88" i="2"/>
  <c r="H88" i="2"/>
  <c r="I88" i="2"/>
  <c r="I275" i="15"/>
  <c r="DL87" i="2"/>
  <c r="H87" i="2"/>
  <c r="I274" i="15"/>
  <c r="DL86" i="2"/>
  <c r="H86" i="2"/>
  <c r="I273" i="15"/>
  <c r="DL85" i="2"/>
  <c r="H85" i="2"/>
  <c r="I272" i="15"/>
  <c r="DL84" i="2"/>
  <c r="H84" i="2"/>
  <c r="I271" i="15"/>
  <c r="DL83" i="2"/>
  <c r="H83" i="2"/>
  <c r="I270" i="15"/>
  <c r="DL82" i="2"/>
  <c r="H82" i="2"/>
  <c r="I269" i="15"/>
  <c r="DM81" i="2"/>
  <c r="DL81" i="2"/>
  <c r="DK81" i="2"/>
  <c r="BF81" i="2"/>
  <c r="BE81" i="2"/>
  <c r="BD81" i="2"/>
  <c r="BC81" i="2"/>
  <c r="BA81" i="2"/>
  <c r="AZ81" i="2"/>
  <c r="AY81" i="2"/>
  <c r="AX81" i="2"/>
  <c r="AS81" i="2"/>
  <c r="AR81" i="2"/>
  <c r="AQ81" i="2"/>
  <c r="AP81" i="2"/>
  <c r="AO81" i="2"/>
  <c r="AN81" i="2"/>
  <c r="AM81" i="2"/>
  <c r="AL81" i="2"/>
  <c r="AK81" i="2"/>
  <c r="AG81" i="2"/>
  <c r="AF81" i="2"/>
  <c r="AE81" i="2"/>
  <c r="AD81" i="2"/>
  <c r="AC81" i="2"/>
  <c r="AA81" i="2"/>
  <c r="Z81" i="2"/>
  <c r="Y81" i="2"/>
  <c r="X81" i="2"/>
  <c r="W81" i="2"/>
  <c r="V79" i="2"/>
  <c r="BS73" i="2"/>
  <c r="BR73" i="2"/>
  <c r="BQ73" i="2"/>
  <c r="BP73" i="2"/>
  <c r="BN73" i="2"/>
  <c r="BM73" i="2"/>
  <c r="BL73" i="2"/>
  <c r="BK73" i="2"/>
  <c r="BJ73" i="2"/>
  <c r="BF73" i="2"/>
  <c r="BE73" i="2"/>
  <c r="BD73" i="2"/>
  <c r="BC73" i="2"/>
  <c r="BA73" i="2"/>
  <c r="AZ73" i="2"/>
  <c r="AY73" i="2"/>
  <c r="AX73" i="2"/>
  <c r="AW73" i="2"/>
  <c r="AS73" i="2"/>
  <c r="AR73" i="2"/>
  <c r="AQ73" i="2"/>
  <c r="AP73" i="2"/>
  <c r="AO73" i="2"/>
  <c r="AN73" i="2"/>
  <c r="AM73" i="2"/>
  <c r="AL73" i="2"/>
  <c r="AK73" i="2"/>
  <c r="AJ73" i="2"/>
  <c r="AG73" i="2"/>
  <c r="AF73" i="2"/>
  <c r="AE73" i="2"/>
  <c r="AD73" i="2"/>
  <c r="AC73" i="2"/>
  <c r="AA73" i="2"/>
  <c r="Z73" i="2"/>
  <c r="Y73" i="2"/>
  <c r="X73" i="2"/>
  <c r="W73" i="2"/>
  <c r="DM59" i="2"/>
  <c r="DL59" i="2"/>
  <c r="DK59" i="2"/>
  <c r="AF59" i="2"/>
  <c r="AS59" i="2"/>
  <c r="AE59" i="2"/>
  <c r="BE59" i="2"/>
  <c r="AD59" i="2"/>
  <c r="BD59" i="2"/>
  <c r="AC59" i="2"/>
  <c r="BC59" i="2"/>
  <c r="AA59" i="2"/>
  <c r="AN59" i="2"/>
  <c r="Z59" i="2"/>
  <c r="AM59" i="2"/>
  <c r="Y59" i="2"/>
  <c r="AL59" i="2"/>
  <c r="X59" i="2"/>
  <c r="AK59" i="2"/>
  <c r="W59" i="2"/>
  <c r="AW59" i="2"/>
  <c r="D47" i="2"/>
  <c r="D46" i="2"/>
  <c r="D45" i="2"/>
  <c r="D44" i="2"/>
  <c r="D43" i="2"/>
  <c r="D42" i="2"/>
  <c r="D41" i="2"/>
  <c r="D40" i="2"/>
  <c r="E39" i="2"/>
  <c r="D39" i="2"/>
  <c r="DG38" i="2"/>
  <c r="DF38" i="2"/>
  <c r="DE38" i="2"/>
  <c r="DD38" i="2"/>
  <c r="DB38" i="2"/>
  <c r="DA38" i="2"/>
  <c r="CZ38" i="2"/>
  <c r="CY38" i="2"/>
  <c r="CX38" i="2"/>
  <c r="CS38" i="2"/>
  <c r="CR38" i="2"/>
  <c r="CQ38" i="2"/>
  <c r="CP38" i="2"/>
  <c r="CN38" i="2"/>
  <c r="CM38" i="2"/>
  <c r="CL38" i="2"/>
  <c r="CK38" i="2"/>
  <c r="CJ38" i="2"/>
  <c r="BS38" i="2"/>
  <c r="BR38" i="2"/>
  <c r="BQ38" i="2"/>
  <c r="BP38" i="2"/>
  <c r="BN38" i="2"/>
  <c r="BM38" i="2"/>
  <c r="BL38" i="2"/>
  <c r="BK38" i="2"/>
  <c r="BJ38" i="2"/>
  <c r="BF38" i="2"/>
  <c r="BE38" i="2"/>
  <c r="BD38" i="2"/>
  <c r="BC38" i="2"/>
  <c r="BA38" i="2"/>
  <c r="AZ38" i="2"/>
  <c r="AY38" i="2"/>
  <c r="AX38" i="2"/>
  <c r="AW38" i="2"/>
  <c r="AS38" i="2"/>
  <c r="AR38" i="2"/>
  <c r="AQ38" i="2"/>
  <c r="AP38" i="2"/>
  <c r="AN38" i="2"/>
  <c r="AM38" i="2"/>
  <c r="AL38" i="2"/>
  <c r="AK38" i="2"/>
  <c r="AJ38" i="2"/>
  <c r="AG38" i="2"/>
  <c r="AF38" i="2"/>
  <c r="AE38" i="2"/>
  <c r="AD38" i="2"/>
  <c r="AC38" i="2"/>
  <c r="AA38" i="2"/>
  <c r="Z38" i="2"/>
  <c r="Y38" i="2"/>
  <c r="X38" i="2"/>
  <c r="W38" i="2"/>
  <c r="CT37" i="2"/>
  <c r="AF37" i="2"/>
  <c r="AE37" i="2"/>
  <c r="AD37" i="2"/>
  <c r="AC37" i="2"/>
  <c r="AA37" i="2"/>
  <c r="Z37" i="2"/>
  <c r="Y37" i="2"/>
  <c r="X37" i="2"/>
  <c r="W37" i="2"/>
  <c r="H17" i="2"/>
  <c r="H16" i="2"/>
  <c r="H15" i="2"/>
  <c r="H14" i="2"/>
  <c r="H13" i="2"/>
  <c r="H12" i="2"/>
  <c r="H11" i="2"/>
  <c r="H10" i="2"/>
  <c r="H9" i="2"/>
  <c r="BF8" i="2"/>
  <c r="BE8" i="2"/>
  <c r="BD8" i="2"/>
  <c r="BC8" i="2"/>
  <c r="BA8" i="2"/>
  <c r="AZ8" i="2"/>
  <c r="AY8" i="2"/>
  <c r="AX8" i="2"/>
  <c r="AW8" i="2"/>
  <c r="AS8" i="2"/>
  <c r="AR8" i="2"/>
  <c r="AQ8" i="2"/>
  <c r="AP8" i="2"/>
  <c r="AN8" i="2"/>
  <c r="AM8" i="2"/>
  <c r="AL8" i="2"/>
  <c r="AK8" i="2"/>
  <c r="AJ8" i="2"/>
  <c r="V6" i="2"/>
  <c r="V416" i="6"/>
  <c r="AO59" i="2"/>
  <c r="D993" i="7"/>
  <c r="V993" i="7" s="1"/>
  <c r="V968" i="7"/>
  <c r="L47" i="15"/>
  <c r="I47" i="15" s="1"/>
  <c r="AG453" i="6"/>
  <c r="L46" i="15"/>
  <c r="I46" i="15" s="1"/>
  <c r="AG451" i="6"/>
  <c r="AI319" i="2"/>
  <c r="AT318" i="2"/>
  <c r="AI320" i="2"/>
  <c r="AT319" i="2"/>
  <c r="AI318" i="2"/>
  <c r="AT317" i="2"/>
  <c r="M110" i="7"/>
  <c r="AB157" i="15" s="1"/>
  <c r="AF394" i="7"/>
  <c r="L212" i="15"/>
  <c r="AF829" i="7"/>
  <c r="M103" i="7"/>
  <c r="AB150" i="15" s="1"/>
  <c r="AF387" i="7"/>
  <c r="M119" i="7"/>
  <c r="DJ119" i="7" s="1"/>
  <c r="AF403" i="7"/>
  <c r="H560" i="7"/>
  <c r="D196" i="15"/>
  <c r="M105" i="7"/>
  <c r="DJ105" i="7" s="1"/>
  <c r="AF389" i="7"/>
  <c r="M114" i="7"/>
  <c r="AB161" i="15" s="1"/>
  <c r="AF398" i="7"/>
  <c r="M129" i="7"/>
  <c r="AB176" i="15" s="1"/>
  <c r="AF413" i="7"/>
  <c r="M106" i="7"/>
  <c r="AB153" i="15" s="1"/>
  <c r="AF390" i="7"/>
  <c r="M122" i="7"/>
  <c r="AB169" i="15" s="1"/>
  <c r="AF406" i="7"/>
  <c r="M130" i="7"/>
  <c r="AB177" i="15" s="1"/>
  <c r="AF414" i="7"/>
  <c r="N489" i="7"/>
  <c r="AB188" i="15" s="1"/>
  <c r="AF516" i="7"/>
  <c r="M107" i="7"/>
  <c r="AB154" i="15" s="1"/>
  <c r="AF391" i="7"/>
  <c r="M131" i="7"/>
  <c r="AB178" i="15" s="1"/>
  <c r="AF415" i="7"/>
  <c r="M113" i="7"/>
  <c r="DJ113" i="7" s="1"/>
  <c r="AF397" i="7"/>
  <c r="M116" i="7"/>
  <c r="AB163" i="15" s="1"/>
  <c r="AF400" i="7"/>
  <c r="M109" i="7"/>
  <c r="AB156" i="15" s="1"/>
  <c r="AF393" i="7"/>
  <c r="M125" i="7"/>
  <c r="AB172" i="15" s="1"/>
  <c r="AF409" i="7"/>
  <c r="AF828" i="7"/>
  <c r="M118" i="7"/>
  <c r="AB165" i="15" s="1"/>
  <c r="AF402" i="7"/>
  <c r="M527" i="7"/>
  <c r="AB194" i="15" s="1"/>
  <c r="AF551" i="7"/>
  <c r="M127" i="7"/>
  <c r="AB174" i="15" s="1"/>
  <c r="AF411" i="7"/>
  <c r="M111" i="7"/>
  <c r="DJ111" i="7" s="1"/>
  <c r="AF395" i="7"/>
  <c r="M120" i="7"/>
  <c r="DJ120" i="7" s="1"/>
  <c r="AF404" i="7"/>
  <c r="M104" i="7"/>
  <c r="AB151" i="15" s="1"/>
  <c r="AF388" i="7"/>
  <c r="M112" i="7"/>
  <c r="AB159" i="15" s="1"/>
  <c r="AF396" i="7"/>
  <c r="M128" i="7"/>
  <c r="AB175" i="15" s="1"/>
  <c r="AF412" i="7"/>
  <c r="M421" i="7"/>
  <c r="DJ421" i="7" s="1"/>
  <c r="AF453" i="7"/>
  <c r="M121" i="7"/>
  <c r="AB168" i="15" s="1"/>
  <c r="AF405" i="7"/>
  <c r="M108" i="7"/>
  <c r="DJ108" i="7" s="1"/>
  <c r="AF392" i="7"/>
  <c r="M123" i="7"/>
  <c r="DJ123" i="7" s="1"/>
  <c r="AF407" i="7"/>
  <c r="M124" i="7"/>
  <c r="AB171" i="15" s="1"/>
  <c r="AF408" i="7"/>
  <c r="M102" i="7"/>
  <c r="DJ102" i="7" s="1"/>
  <c r="AF386" i="7"/>
  <c r="M117" i="7"/>
  <c r="AB164" i="15" s="1"/>
  <c r="AF401" i="7"/>
  <c r="M126" i="7"/>
  <c r="AB173" i="15" s="1"/>
  <c r="AF410" i="7"/>
  <c r="DI718" i="6"/>
  <c r="AF78" i="15"/>
  <c r="DI806" i="6"/>
  <c r="AF104" i="15"/>
  <c r="DI790" i="6"/>
  <c r="AF100" i="15"/>
  <c r="DI770" i="6"/>
  <c r="AF95" i="15"/>
  <c r="DI852" i="6"/>
  <c r="AF119" i="15"/>
  <c r="DI674" i="6"/>
  <c r="AF61" i="15"/>
  <c r="AC61" i="15" s="1"/>
  <c r="DI736" i="6"/>
  <c r="AF84" i="15"/>
  <c r="DH35" i="7"/>
  <c r="X141" i="15"/>
  <c r="Z141" i="15" s="1"/>
  <c r="AB143" i="15"/>
  <c r="AB147" i="15"/>
  <c r="X163" i="15"/>
  <c r="Z163" i="15" s="1"/>
  <c r="DH129" i="7"/>
  <c r="X176" i="15"/>
  <c r="Z176" i="15" s="1"/>
  <c r="DH131" i="7"/>
  <c r="X178" i="15"/>
  <c r="Z178" i="15" s="1"/>
  <c r="K489" i="7"/>
  <c r="J489" i="7" s="1"/>
  <c r="AB199" i="15"/>
  <c r="K209" i="15"/>
  <c r="L209" i="15"/>
  <c r="K210" i="15"/>
  <c r="K213" i="15"/>
  <c r="I213" i="15" s="1"/>
  <c r="K214" i="15"/>
  <c r="I214" i="15" s="1"/>
  <c r="I201" i="15"/>
  <c r="AB228" i="15"/>
  <c r="F8" i="7"/>
  <c r="K513" i="6"/>
  <c r="DJ513" i="6"/>
  <c r="I281" i="15"/>
  <c r="AG121" i="2"/>
  <c r="F183" i="2"/>
  <c r="I289" i="15"/>
  <c r="F184" i="2"/>
  <c r="I280" i="15"/>
  <c r="AG120" i="2"/>
  <c r="I321" i="15"/>
  <c r="I268" i="15"/>
  <c r="I322" i="15"/>
  <c r="I319" i="15"/>
  <c r="I323" i="15"/>
  <c r="I325" i="15"/>
  <c r="I320" i="15"/>
  <c r="I324" i="15"/>
  <c r="I303" i="15"/>
  <c r="I327" i="15"/>
  <c r="I331" i="15"/>
  <c r="I333" i="15"/>
  <c r="I328" i="15"/>
  <c r="I332" i="15"/>
  <c r="I329" i="15"/>
  <c r="F343" i="2"/>
  <c r="AG343" i="2"/>
  <c r="J354" i="2"/>
  <c r="K313" i="15"/>
  <c r="L314" i="15"/>
  <c r="K317" i="15"/>
  <c r="I317" i="15"/>
  <c r="K316" i="15"/>
  <c r="I316" i="15"/>
  <c r="I330" i="15"/>
  <c r="L313" i="15"/>
  <c r="K314" i="15"/>
  <c r="L315" i="15"/>
  <c r="K315" i="15"/>
  <c r="I301" i="15"/>
  <c r="I302" i="15"/>
  <c r="I299" i="15"/>
  <c r="I300" i="15"/>
  <c r="L297" i="15"/>
  <c r="K297" i="15"/>
  <c r="I297" i="15" s="1"/>
  <c r="F186" i="2"/>
  <c r="F185" i="2"/>
  <c r="Z133" i="15"/>
  <c r="W133" i="15" s="1"/>
  <c r="V133" i="15" s="1"/>
  <c r="U133" i="15" s="1"/>
  <c r="K47" i="15"/>
  <c r="L122" i="15"/>
  <c r="L133" i="15"/>
  <c r="X127" i="15"/>
  <c r="Z127" i="15"/>
  <c r="L45" i="15"/>
  <c r="BB45" i="15" s="1"/>
  <c r="BG45" i="15" s="1"/>
  <c r="I45" i="15"/>
  <c r="X123" i="15"/>
  <c r="Z123" i="15" s="1"/>
  <c r="O30" i="15"/>
  <c r="DH2232" i="6"/>
  <c r="X122" i="15"/>
  <c r="Z122" i="15"/>
  <c r="DH2226" i="6"/>
  <c r="Y120" i="15"/>
  <c r="K46" i="15"/>
  <c r="DH2236" i="6"/>
  <c r="X124" i="15"/>
  <c r="Z124" i="15"/>
  <c r="DH2248" i="6"/>
  <c r="X128" i="15"/>
  <c r="Z128" i="15" s="1"/>
  <c r="DH2250" i="6"/>
  <c r="Y128" i="15"/>
  <c r="DH2240" i="6"/>
  <c r="X125" i="15"/>
  <c r="Z125" i="15" s="1"/>
  <c r="DH2228" i="6"/>
  <c r="X121" i="15"/>
  <c r="Z121" i="15" s="1"/>
  <c r="K551" i="6"/>
  <c r="X131" i="15"/>
  <c r="Z131" i="15" s="1"/>
  <c r="DH452" i="6"/>
  <c r="X47" i="15"/>
  <c r="Z47" i="15" s="1"/>
  <c r="J451" i="6"/>
  <c r="DH451" i="6"/>
  <c r="X46" i="15"/>
  <c r="Z46" i="15" s="1"/>
  <c r="DH2256" i="6"/>
  <c r="X130" i="15"/>
  <c r="Z130" i="15"/>
  <c r="Z129" i="15"/>
  <c r="DH2244" i="6"/>
  <c r="X126" i="15"/>
  <c r="Z126" i="15"/>
  <c r="DL12" i="2"/>
  <c r="X254" i="15"/>
  <c r="Z254" i="15" s="1"/>
  <c r="W254" i="15" s="1"/>
  <c r="V254" i="15" s="1"/>
  <c r="U254" i="15" s="1"/>
  <c r="DL17" i="2"/>
  <c r="X259" i="15"/>
  <c r="Z259" i="15" s="1"/>
  <c r="W259" i="15" s="1"/>
  <c r="V259" i="15" s="1"/>
  <c r="U259" i="15" s="1"/>
  <c r="DL11" i="2"/>
  <c r="X253" i="15"/>
  <c r="Z253" i="15"/>
  <c r="W253" i="15" s="1"/>
  <c r="V253" i="15" s="1"/>
  <c r="U253" i="15" s="1"/>
  <c r="DL16" i="2"/>
  <c r="X258" i="15"/>
  <c r="Z258" i="15" s="1"/>
  <c r="W258" i="15" s="1"/>
  <c r="V258" i="15" s="1"/>
  <c r="U258" i="15" s="1"/>
  <c r="L314" i="2"/>
  <c r="Q310" i="15"/>
  <c r="O310" i="15" s="1"/>
  <c r="K310" i="15"/>
  <c r="I310" i="15" s="1"/>
  <c r="AB289" i="15"/>
  <c r="AB300" i="15"/>
  <c r="AB16" i="15"/>
  <c r="DH60" i="16"/>
  <c r="DI60" i="16"/>
  <c r="AE16" i="15"/>
  <c r="X16" i="15"/>
  <c r="Z16" i="15" s="1"/>
  <c r="W16" i="15" s="1"/>
  <c r="AB15" i="15"/>
  <c r="AB14" i="15"/>
  <c r="DH56" i="16"/>
  <c r="DI56" i="16"/>
  <c r="AE14" i="15"/>
  <c r="X14" i="15"/>
  <c r="Z14" i="15" s="1"/>
  <c r="W14" i="15" s="1"/>
  <c r="AB13" i="15"/>
  <c r="AB12" i="15"/>
  <c r="AB11" i="15"/>
  <c r="DH50" i="16"/>
  <c r="DI50" i="16"/>
  <c r="AE11" i="15"/>
  <c r="AC11" i="15" s="1"/>
  <c r="X11" i="15"/>
  <c r="Z11" i="15"/>
  <c r="W11" i="15" s="1"/>
  <c r="DH48" i="16"/>
  <c r="DI48" i="16"/>
  <c r="AE10" i="15"/>
  <c r="X10" i="15"/>
  <c r="Z10" i="15" s="1"/>
  <c r="W10" i="15" s="1"/>
  <c r="AB9" i="15"/>
  <c r="DH7" i="16"/>
  <c r="X9" i="15"/>
  <c r="Z9" i="15"/>
  <c r="W9" i="15" s="1"/>
  <c r="I9" i="15"/>
  <c r="AB10" i="15"/>
  <c r="AB18" i="15"/>
  <c r="BB77" i="15"/>
  <c r="BG77" i="15" s="1"/>
  <c r="BA77" i="15"/>
  <c r="BK77" i="15" s="1"/>
  <c r="BA48" i="15"/>
  <c r="BF48" i="15" s="1"/>
  <c r="DI522" i="6"/>
  <c r="DI520" i="6"/>
  <c r="K669" i="6"/>
  <c r="BB76" i="15"/>
  <c r="BG76" i="15" s="1"/>
  <c r="DI518" i="6"/>
  <c r="DI524" i="6"/>
  <c r="BD74" i="15"/>
  <c r="BI74" i="15" s="1"/>
  <c r="F100" i="16"/>
  <c r="AG100" i="16"/>
  <c r="F102" i="16"/>
  <c r="AG102" i="16"/>
  <c r="F101" i="16"/>
  <c r="AG101" i="16"/>
  <c r="F103" i="16"/>
  <c r="AG103" i="16"/>
  <c r="F99" i="16"/>
  <c r="AG99" i="16"/>
  <c r="F98" i="16"/>
  <c r="AG98" i="16"/>
  <c r="F97" i="16"/>
  <c r="AG97" i="16"/>
  <c r="L254" i="6"/>
  <c r="AJ44" i="15"/>
  <c r="L231" i="6"/>
  <c r="AJ35" i="15"/>
  <c r="L234" i="6"/>
  <c r="AJ37" i="15"/>
  <c r="L236" i="6"/>
  <c r="AJ38" i="15"/>
  <c r="L246" i="6"/>
  <c r="AJ41" i="15"/>
  <c r="L233" i="6"/>
  <c r="AJ36" i="15"/>
  <c r="BD61" i="15"/>
  <c r="BI61" i="15" s="1"/>
  <c r="BB54" i="15"/>
  <c r="BC111" i="15"/>
  <c r="BC112" i="15" s="1"/>
  <c r="BH112" i="15" s="1"/>
  <c r="BD111" i="15"/>
  <c r="BD112" i="15" s="1"/>
  <c r="BI112" i="15" s="1"/>
  <c r="W317" i="7"/>
  <c r="M426" i="7"/>
  <c r="DJ426" i="7" s="1"/>
  <c r="M423" i="7"/>
  <c r="AB181" i="15" s="1"/>
  <c r="M425" i="7"/>
  <c r="DJ425" i="7"/>
  <c r="M424" i="7"/>
  <c r="DJ424" i="7" s="1"/>
  <c r="M422" i="7"/>
  <c r="AB180" i="15" s="1"/>
  <c r="DJ422" i="7"/>
  <c r="K126" i="15"/>
  <c r="K120" i="15"/>
  <c r="I120" i="15" s="1"/>
  <c r="L226" i="2"/>
  <c r="Q297" i="15"/>
  <c r="O297" i="15" s="1"/>
  <c r="BB107" i="15"/>
  <c r="BG107" i="15" s="1"/>
  <c r="BC83" i="15"/>
  <c r="BC86" i="15" s="1"/>
  <c r="BA84" i="15"/>
  <c r="BA107" i="15"/>
  <c r="BF107" i="15" s="1"/>
  <c r="BD107" i="15"/>
  <c r="BD108" i="15" s="1"/>
  <c r="BI108" i="15" s="1"/>
  <c r="I48" i="16"/>
  <c r="Q10" i="15"/>
  <c r="BA74" i="15"/>
  <c r="BF74" i="15" s="1"/>
  <c r="BB72" i="15"/>
  <c r="BB95" i="15" s="1"/>
  <c r="BA72" i="15"/>
  <c r="BA95" i="15" s="1"/>
  <c r="BF95" i="15" s="1"/>
  <c r="BB43" i="15"/>
  <c r="BB38" i="15" s="1"/>
  <c r="BD40" i="15"/>
  <c r="BI40" i="15" s="1"/>
  <c r="BB75" i="15"/>
  <c r="BB42" i="15"/>
  <c r="BD75" i="15"/>
  <c r="BD103" i="15" s="1"/>
  <c r="BI103" i="15" s="1"/>
  <c r="BC76" i="15"/>
  <c r="BH76" i="15" s="1"/>
  <c r="BC90" i="15"/>
  <c r="BH90" i="15" s="1"/>
  <c r="BB84" i="15"/>
  <c r="BB87" i="15" s="1"/>
  <c r="BG87" i="15" s="1"/>
  <c r="BA39" i="15"/>
  <c r="BA41" i="15"/>
  <c r="BF41" i="15" s="1"/>
  <c r="BC41" i="15"/>
  <c r="BH41" i="15" s="1"/>
  <c r="BC39" i="15"/>
  <c r="BB74" i="15"/>
  <c r="BD43" i="15"/>
  <c r="BD38" i="15" s="1"/>
  <c r="BD85" i="15"/>
  <c r="BD113" i="15" s="1"/>
  <c r="BI113" i="15" s="1"/>
  <c r="BA76" i="15"/>
  <c r="BF76" i="15" s="1"/>
  <c r="BD72" i="15"/>
  <c r="BI72" i="15" s="1"/>
  <c r="BB61" i="15"/>
  <c r="BB66" i="15" s="1"/>
  <c r="BB39" i="15"/>
  <c r="BG39" i="15" s="1"/>
  <c r="BB41" i="15"/>
  <c r="BG41" i="15" s="1"/>
  <c r="BD41" i="15"/>
  <c r="BI41" i="15" s="1"/>
  <c r="BD39" i="15"/>
  <c r="BI39" i="15" s="1"/>
  <c r="BB48" i="15"/>
  <c r="BA30" i="15"/>
  <c r="BF30" i="15" s="1"/>
  <c r="BA29" i="15"/>
  <c r="BF29" i="15" s="1"/>
  <c r="AH61" i="15"/>
  <c r="DP314" i="2"/>
  <c r="DP317" i="2"/>
  <c r="DP318" i="2"/>
  <c r="DP319" i="2"/>
  <c r="DP320" i="2"/>
  <c r="I54" i="16"/>
  <c r="Q13" i="15"/>
  <c r="AF40" i="15"/>
  <c r="BD110" i="15"/>
  <c r="BD118" i="15" s="1"/>
  <c r="BI118" i="15" s="1"/>
  <c r="BA114" i="15"/>
  <c r="BA98" i="15"/>
  <c r="BF98" i="15" s="1"/>
  <c r="BB98" i="15"/>
  <c r="BC106" i="15"/>
  <c r="BC117" i="15" s="1"/>
  <c r="BB106" i="15"/>
  <c r="BC110" i="15"/>
  <c r="M157" i="2"/>
  <c r="F141" i="2"/>
  <c r="AQ59" i="2"/>
  <c r="DL21" i="2"/>
  <c r="DL15" i="2"/>
  <c r="D125" i="16"/>
  <c r="V125" i="16"/>
  <c r="DH7" i="5"/>
  <c r="DH42" i="7"/>
  <c r="AZ59" i="2"/>
  <c r="I82" i="2"/>
  <c r="O269" i="15"/>
  <c r="O276" i="15"/>
  <c r="I395" i="2"/>
  <c r="O332" i="15"/>
  <c r="AX59" i="2"/>
  <c r="I391" i="2"/>
  <c r="O328" i="15"/>
  <c r="I415" i="2"/>
  <c r="O333" i="15"/>
  <c r="I369" i="2"/>
  <c r="O325" i="15"/>
  <c r="I367" i="2"/>
  <c r="O323" i="15"/>
  <c r="M158" i="2"/>
  <c r="F142" i="2"/>
  <c r="I363" i="2"/>
  <c r="O319" i="15"/>
  <c r="DL19" i="2"/>
  <c r="F207" i="2"/>
  <c r="I406" i="6"/>
  <c r="I431" i="6"/>
  <c r="I403" i="6"/>
  <c r="I428" i="6"/>
  <c r="I407" i="6"/>
  <c r="I432" i="6"/>
  <c r="I404" i="6"/>
  <c r="I410" i="6"/>
  <c r="I435" i="6"/>
  <c r="I405" i="6"/>
  <c r="I430" i="6"/>
  <c r="I392" i="6"/>
  <c r="I417" i="6"/>
  <c r="I411" i="6"/>
  <c r="I436" i="6"/>
  <c r="I393" i="6"/>
  <c r="I418" i="6"/>
  <c r="I412" i="6"/>
  <c r="I437" i="6"/>
  <c r="I400" i="6"/>
  <c r="I425" i="6"/>
  <c r="I394" i="6"/>
  <c r="I419" i="6"/>
  <c r="I413" i="6"/>
  <c r="I438" i="6"/>
  <c r="I395" i="6"/>
  <c r="I420" i="6"/>
  <c r="I414" i="6"/>
  <c r="I439" i="6"/>
  <c r="I396" i="6"/>
  <c r="I421" i="6"/>
  <c r="I415" i="6"/>
  <c r="I440" i="6"/>
  <c r="I397" i="6"/>
  <c r="I422" i="6"/>
  <c r="I409" i="6"/>
  <c r="I434" i="6"/>
  <c r="I398" i="6"/>
  <c r="I423" i="6"/>
  <c r="I391" i="6"/>
  <c r="I416" i="6"/>
  <c r="I399" i="6"/>
  <c r="I424" i="6"/>
  <c r="I401" i="6"/>
  <c r="I426" i="6"/>
  <c r="DH252" i="6"/>
  <c r="AH43" i="15"/>
  <c r="DH236" i="6"/>
  <c r="AG39" i="15"/>
  <c r="AF37" i="15"/>
  <c r="AC37" i="15" s="1"/>
  <c r="DH52" i="16"/>
  <c r="DI52" i="16"/>
  <c r="AE12" i="15"/>
  <c r="I293" i="2"/>
  <c r="Q306" i="15"/>
  <c r="O306" i="15"/>
  <c r="I366" i="2"/>
  <c r="O322" i="15"/>
  <c r="I85" i="2"/>
  <c r="O272" i="15"/>
  <c r="AJ59" i="2"/>
  <c r="F206" i="2"/>
  <c r="BA72" i="2"/>
  <c r="I292" i="2"/>
  <c r="Q305" i="15"/>
  <c r="O305" i="15" s="1"/>
  <c r="DL23" i="2"/>
  <c r="I393" i="2"/>
  <c r="O330" i="15"/>
  <c r="I390" i="2"/>
  <c r="O327" i="15"/>
  <c r="I394" i="2"/>
  <c r="O331" i="15"/>
  <c r="I365" i="2"/>
  <c r="O321" i="15"/>
  <c r="I121" i="2"/>
  <c r="O281" i="15"/>
  <c r="M156" i="2"/>
  <c r="F140" i="2"/>
  <c r="DL10" i="2"/>
  <c r="I295" i="2"/>
  <c r="Q308" i="15"/>
  <c r="O308" i="15"/>
  <c r="L320" i="2"/>
  <c r="Q316" i="15"/>
  <c r="O316" i="15"/>
  <c r="I167" i="2"/>
  <c r="O289" i="15"/>
  <c r="I242" i="2"/>
  <c r="O300" i="15"/>
  <c r="DM295" i="2"/>
  <c r="AE308" i="15"/>
  <c r="AC308" i="15" s="1"/>
  <c r="I364" i="2"/>
  <c r="O320" i="15"/>
  <c r="I368" i="2"/>
  <c r="O324" i="15"/>
  <c r="M159" i="2"/>
  <c r="F143" i="2"/>
  <c r="E125" i="16"/>
  <c r="D126" i="16"/>
  <c r="V126" i="16"/>
  <c r="V42" i="16"/>
  <c r="I56" i="16"/>
  <c r="Q14" i="15"/>
  <c r="I50" i="16"/>
  <c r="Q11" i="15"/>
  <c r="AC103" i="16"/>
  <c r="I61" i="2"/>
  <c r="O268" i="15"/>
  <c r="I84" i="2"/>
  <c r="O271" i="15"/>
  <c r="I389" i="2"/>
  <c r="O326" i="15"/>
  <c r="I244" i="2"/>
  <c r="O302" i="15"/>
  <c r="O275" i="15"/>
  <c r="V275" i="15" s="1"/>
  <c r="U275" i="15" s="1"/>
  <c r="I243" i="2"/>
  <c r="O301" i="15"/>
  <c r="BF59" i="2"/>
  <c r="M155" i="2"/>
  <c r="F139" i="2"/>
  <c r="I261" i="2"/>
  <c r="O303" i="15"/>
  <c r="I86" i="2"/>
  <c r="O273" i="15"/>
  <c r="F208" i="2"/>
  <c r="I60" i="2"/>
  <c r="O267" i="15"/>
  <c r="DM435" i="2"/>
  <c r="AE336" i="15"/>
  <c r="AC336" i="15"/>
  <c r="F319" i="2"/>
  <c r="AG319" i="2"/>
  <c r="L319" i="2"/>
  <c r="Q315" i="15"/>
  <c r="O315" i="15"/>
  <c r="W315" i="15" s="1"/>
  <c r="V315" i="15" s="1"/>
  <c r="U315" i="15" s="1"/>
  <c r="DM241" i="2"/>
  <c r="AE299" i="15"/>
  <c r="AC299" i="15" s="1"/>
  <c r="I120" i="2"/>
  <c r="O280" i="15"/>
  <c r="DL9" i="2"/>
  <c r="AY59" i="2"/>
  <c r="BA59" i="2"/>
  <c r="DM291" i="2"/>
  <c r="AE304" i="15"/>
  <c r="AC304" i="15" s="1"/>
  <c r="AP59" i="2"/>
  <c r="DM292" i="2"/>
  <c r="AE305" i="15"/>
  <c r="AC305" i="15"/>
  <c r="DM314" i="2"/>
  <c r="AE310" i="15"/>
  <c r="AC310" i="15" s="1"/>
  <c r="I342" i="2"/>
  <c r="Q317" i="15"/>
  <c r="O317" i="15"/>
  <c r="BF72" i="2"/>
  <c r="I392" i="2"/>
  <c r="O329" i="15"/>
  <c r="AP72" i="2"/>
  <c r="F7" i="5"/>
  <c r="F317" i="2"/>
  <c r="AG317" i="2"/>
  <c r="DM261" i="2"/>
  <c r="AE303" i="15"/>
  <c r="AC303" i="15" s="1"/>
  <c r="AE306" i="15"/>
  <c r="AC306" i="15" s="1"/>
  <c r="DM243" i="2"/>
  <c r="AE301" i="15"/>
  <c r="AC301" i="15" s="1"/>
  <c r="I294" i="2"/>
  <c r="Q307" i="15"/>
  <c r="O307" i="15" s="1"/>
  <c r="DM244" i="2"/>
  <c r="AE302" i="15"/>
  <c r="AC302" i="15" s="1"/>
  <c r="I83" i="2"/>
  <c r="O270" i="15"/>
  <c r="I87" i="2"/>
  <c r="O274" i="15"/>
  <c r="DM294" i="2"/>
  <c r="AE307" i="15"/>
  <c r="AC307" i="15" s="1"/>
  <c r="DM167" i="2"/>
  <c r="AE289" i="15"/>
  <c r="AC289" i="15"/>
  <c r="I291" i="2"/>
  <c r="Q304" i="15"/>
  <c r="O304" i="15"/>
  <c r="DM61" i="2"/>
  <c r="DM242" i="2"/>
  <c r="AE300" i="15"/>
  <c r="AC300" i="15" s="1"/>
  <c r="DM365" i="2"/>
  <c r="AE321" i="15"/>
  <c r="AC321" i="15"/>
  <c r="DM369" i="2"/>
  <c r="AE325" i="15"/>
  <c r="AC325" i="15"/>
  <c r="DM389" i="2"/>
  <c r="AE326" i="15"/>
  <c r="AC326" i="15" s="1"/>
  <c r="DM393" i="2"/>
  <c r="AE330" i="15"/>
  <c r="AC330" i="15" s="1"/>
  <c r="AL72" i="2"/>
  <c r="I241" i="2"/>
  <c r="O299" i="15"/>
  <c r="DM82" i="2"/>
  <c r="AE269" i="15"/>
  <c r="AC269" i="15"/>
  <c r="DM85" i="2"/>
  <c r="AE272" i="15"/>
  <c r="AC272" i="15" s="1"/>
  <c r="DM89" i="2"/>
  <c r="AE276" i="15"/>
  <c r="AC276" i="15" s="1"/>
  <c r="I60" i="16"/>
  <c r="Q16" i="15"/>
  <c r="W293" i="7"/>
  <c r="W299" i="7"/>
  <c r="I58" i="16"/>
  <c r="Q15" i="15"/>
  <c r="O15" i="15" s="1"/>
  <c r="AC99" i="16"/>
  <c r="M523" i="7"/>
  <c r="DJ523" i="7"/>
  <c r="I52" i="16"/>
  <c r="Q12" i="15"/>
  <c r="O12" i="15" s="1"/>
  <c r="DH54" i="16"/>
  <c r="DI54" i="16"/>
  <c r="AE13" i="15"/>
  <c r="DH58" i="16"/>
  <c r="DI58" i="16"/>
  <c r="AE15" i="15"/>
  <c r="AC15" i="15" s="1"/>
  <c r="AC98" i="16"/>
  <c r="DH942" i="7"/>
  <c r="AC102" i="16"/>
  <c r="DH560" i="7"/>
  <c r="W305" i="7"/>
  <c r="J424" i="7"/>
  <c r="AC100" i="16"/>
  <c r="AC101" i="16"/>
  <c r="AC97" i="16"/>
  <c r="M522" i="7"/>
  <c r="AB189" i="15" s="1"/>
  <c r="DH424" i="7"/>
  <c r="N488" i="7"/>
  <c r="AB187" i="15" s="1"/>
  <c r="N487" i="7"/>
  <c r="DJ487" i="7" s="1"/>
  <c r="M525" i="7"/>
  <c r="DJ525" i="7" s="1"/>
  <c r="M524" i="7"/>
  <c r="DJ524" i="7" s="1"/>
  <c r="M526" i="7"/>
  <c r="AB193" i="15" s="1"/>
  <c r="F558" i="7"/>
  <c r="AF558" i="7" s="1"/>
  <c r="DH711" i="7"/>
  <c r="H558" i="7"/>
  <c r="M558" i="7" s="1"/>
  <c r="P195" i="15" s="1"/>
  <c r="O559" i="7"/>
  <c r="DJ559" i="7" s="1"/>
  <c r="DH976" i="7"/>
  <c r="W311" i="7"/>
  <c r="J713" i="7"/>
  <c r="O206" i="15"/>
  <c r="F560" i="7"/>
  <c r="M560" i="7" s="1"/>
  <c r="P196" i="15" s="1"/>
  <c r="X951" i="7"/>
  <c r="F557" i="7"/>
  <c r="AF557" i="7" s="1"/>
  <c r="J675" i="7"/>
  <c r="O201" i="15" s="1"/>
  <c r="AC619" i="7"/>
  <c r="DI787" i="7"/>
  <c r="AF212" i="15" s="1"/>
  <c r="AC627" i="7"/>
  <c r="X2015" i="6"/>
  <c r="AR59" i="2"/>
  <c r="DL14" i="2"/>
  <c r="DL13" i="2"/>
  <c r="F16" i="2"/>
  <c r="F17" i="2"/>
  <c r="I252" i="15"/>
  <c r="DI23" i="6"/>
  <c r="K324" i="6"/>
  <c r="DH30" i="6"/>
  <c r="AE84" i="15"/>
  <c r="AC84" i="15" s="1"/>
  <c r="AE86" i="15"/>
  <c r="AE87" i="15"/>
  <c r="AE64" i="15"/>
  <c r="AE48" i="15"/>
  <c r="DH231" i="6"/>
  <c r="F320" i="2"/>
  <c r="AG320" i="2"/>
  <c r="AQ72" i="2"/>
  <c r="BD72" i="2"/>
  <c r="L318" i="2"/>
  <c r="Q314" i="15"/>
  <c r="O314" i="15" s="1"/>
  <c r="F318" i="2"/>
  <c r="AG318" i="2"/>
  <c r="DM318" i="2"/>
  <c r="AE314" i="15"/>
  <c r="AC314" i="15"/>
  <c r="DM363" i="2"/>
  <c r="AE319" i="15"/>
  <c r="AC319" i="15"/>
  <c r="DM367" i="2"/>
  <c r="AE323" i="15"/>
  <c r="AC323" i="15"/>
  <c r="DM391" i="2"/>
  <c r="AE328" i="15"/>
  <c r="AC328" i="15" s="1"/>
  <c r="DM395" i="2"/>
  <c r="AE332" i="15"/>
  <c r="AC332" i="15" s="1"/>
  <c r="DM83" i="2"/>
  <c r="AE270" i="15"/>
  <c r="AC270" i="15"/>
  <c r="DM87" i="2"/>
  <c r="AE274" i="15"/>
  <c r="AC274" i="15"/>
  <c r="DM120" i="2"/>
  <c r="AE280" i="15"/>
  <c r="AC280" i="15"/>
  <c r="DM226" i="2"/>
  <c r="AE297" i="15"/>
  <c r="AC297" i="15" s="1"/>
  <c r="DM60" i="2"/>
  <c r="AE267" i="15"/>
  <c r="AC267" i="15"/>
  <c r="O278" i="15"/>
  <c r="DM84" i="2"/>
  <c r="AE271" i="15"/>
  <c r="AC271" i="15" s="1"/>
  <c r="DM88" i="2"/>
  <c r="AE275" i="15"/>
  <c r="AC275" i="15" s="1"/>
  <c r="DM121" i="2"/>
  <c r="AE281" i="15"/>
  <c r="AC281" i="15"/>
  <c r="DM415" i="2"/>
  <c r="AE333" i="15"/>
  <c r="AC333" i="15"/>
  <c r="DM364" i="2"/>
  <c r="AE320" i="15"/>
  <c r="AC320" i="15"/>
  <c r="DM368" i="2"/>
  <c r="AE324" i="15"/>
  <c r="AC324" i="15" s="1"/>
  <c r="DM392" i="2"/>
  <c r="AE329" i="15"/>
  <c r="AC329" i="15"/>
  <c r="DM317" i="2"/>
  <c r="AE313" i="15"/>
  <c r="AC313" i="15"/>
  <c r="AZ72" i="2"/>
  <c r="AM72" i="2"/>
  <c r="L317" i="2"/>
  <c r="Q313" i="15"/>
  <c r="O313" i="15"/>
  <c r="DM319" i="2"/>
  <c r="AE315" i="15"/>
  <c r="AC315" i="15" s="1"/>
  <c r="BE72" i="2"/>
  <c r="AX72" i="2"/>
  <c r="AK72" i="2"/>
  <c r="AJ72" i="2"/>
  <c r="AW72" i="2"/>
  <c r="F314" i="2"/>
  <c r="AG314" i="2"/>
  <c r="DM86" i="2"/>
  <c r="AE273" i="15"/>
  <c r="AC273" i="15" s="1"/>
  <c r="DM91" i="2"/>
  <c r="DM320" i="2"/>
  <c r="AE316" i="15"/>
  <c r="AC316" i="15"/>
  <c r="DM342" i="2"/>
  <c r="AE317" i="15"/>
  <c r="AC317" i="15"/>
  <c r="DM366" i="2"/>
  <c r="AE322" i="15"/>
  <c r="AC322" i="15" s="1"/>
  <c r="DM390" i="2"/>
  <c r="AE327" i="15"/>
  <c r="AC327" i="15" s="1"/>
  <c r="DM394" i="2"/>
  <c r="AE331" i="15"/>
  <c r="AC331" i="15" s="1"/>
  <c r="I435" i="2"/>
  <c r="O336" i="15"/>
  <c r="F14" i="2"/>
  <c r="F19" i="2"/>
  <c r="I261" i="15"/>
  <c r="F15" i="2"/>
  <c r="BA43" i="15"/>
  <c r="BA38" i="15" s="1"/>
  <c r="BA37" i="15" s="1"/>
  <c r="BF37" i="15" s="1"/>
  <c r="AH100" i="15"/>
  <c r="AD100" i="15" s="1"/>
  <c r="AE72" i="15"/>
  <c r="BC48" i="15"/>
  <c r="BH48" i="15" s="1"/>
  <c r="J453" i="6"/>
  <c r="DH453" i="6"/>
  <c r="DH28" i="6"/>
  <c r="DH27" i="6"/>
  <c r="AF38" i="15"/>
  <c r="I449" i="6"/>
  <c r="R45" i="15"/>
  <c r="AE39" i="15"/>
  <c r="I513" i="6"/>
  <c r="Q48" i="15"/>
  <c r="I516" i="6"/>
  <c r="R49" i="15"/>
  <c r="AF49" i="15"/>
  <c r="X487" i="6"/>
  <c r="L448" i="6"/>
  <c r="AJ45" i="15"/>
  <c r="DH843" i="6"/>
  <c r="DH851" i="6"/>
  <c r="F479" i="6"/>
  <c r="F503" i="6"/>
  <c r="I452" i="6"/>
  <c r="Q47" i="15"/>
  <c r="F497" i="6"/>
  <c r="F482" i="6"/>
  <c r="DH805" i="6"/>
  <c r="F491" i="6"/>
  <c r="F494" i="6"/>
  <c r="DI2241" i="6"/>
  <c r="F485" i="6"/>
  <c r="F488" i="6"/>
  <c r="AF39" i="15"/>
  <c r="AH39" i="15"/>
  <c r="BA88" i="15"/>
  <c r="BF88" i="15" s="1"/>
  <c r="DH8" i="6"/>
  <c r="DH647" i="6"/>
  <c r="AF53" i="15"/>
  <c r="DH12" i="6"/>
  <c r="DH683" i="6"/>
  <c r="AH78" i="15"/>
  <c r="E126" i="16"/>
  <c r="DH234" i="6"/>
  <c r="AF54" i="15"/>
  <c r="DH246" i="6"/>
  <c r="X421" i="6"/>
  <c r="AG35" i="15"/>
  <c r="AD35" i="15"/>
  <c r="I515" i="6"/>
  <c r="Q49" i="15"/>
  <c r="X439" i="6"/>
  <c r="AE49" i="15"/>
  <c r="AC49" i="15" s="1"/>
  <c r="AE117" i="15"/>
  <c r="DH15" i="6"/>
  <c r="DH22" i="6"/>
  <c r="BC77" i="15"/>
  <c r="AH95" i="15"/>
  <c r="AF41" i="15"/>
  <c r="AF57" i="15"/>
  <c r="I453" i="6"/>
  <c r="R47" i="15"/>
  <c r="AF115" i="15"/>
  <c r="AF117" i="15"/>
  <c r="AE73" i="15"/>
  <c r="AF67" i="15"/>
  <c r="DH681" i="6"/>
  <c r="DH2252" i="6"/>
  <c r="DH13" i="6"/>
  <c r="AF64" i="15"/>
  <c r="DH651" i="6"/>
  <c r="DH10" i="6"/>
  <c r="AE116" i="15"/>
  <c r="AC116" i="15" s="1"/>
  <c r="F496" i="6"/>
  <c r="F487" i="6"/>
  <c r="V554" i="7"/>
  <c r="F490" i="6"/>
  <c r="F499" i="6"/>
  <c r="F484" i="6"/>
  <c r="AF118" i="15"/>
  <c r="F493" i="6"/>
  <c r="DH653" i="6"/>
  <c r="K135" i="15"/>
  <c r="F502" i="6"/>
  <c r="AF66" i="15"/>
  <c r="F478" i="6"/>
  <c r="F481" i="6"/>
  <c r="AH104" i="15"/>
  <c r="DH691" i="6"/>
  <c r="F489" i="6"/>
  <c r="DH849" i="6"/>
  <c r="F501" i="6"/>
  <c r="F495" i="6"/>
  <c r="F480" i="6"/>
  <c r="F486" i="6"/>
  <c r="F483" i="6"/>
  <c r="F492" i="6"/>
  <c r="DH14" i="6"/>
  <c r="DH248" i="6"/>
  <c r="DI248" i="6"/>
  <c r="I514" i="6"/>
  <c r="R48" i="15"/>
  <c r="AH84" i="15"/>
  <c r="F498" i="6"/>
  <c r="AF48" i="15"/>
  <c r="DH450" i="6"/>
  <c r="AH53" i="15"/>
  <c r="DI2249" i="6"/>
  <c r="AF43" i="15"/>
  <c r="DH661" i="6"/>
  <c r="BD77" i="15"/>
  <c r="BD80" i="15" s="1"/>
  <c r="BI80" i="15" s="1"/>
  <c r="N121" i="15"/>
  <c r="BD121" i="15" s="1"/>
  <c r="BI121" i="15" s="1"/>
  <c r="DH24" i="6"/>
  <c r="AF63" i="15"/>
  <c r="AE82" i="15"/>
  <c r="K322" i="6"/>
  <c r="I450" i="6"/>
  <c r="Q46" i="15"/>
  <c r="DH2242" i="6"/>
  <c r="BC92" i="15"/>
  <c r="BH92" i="15" s="1"/>
  <c r="L452" i="6"/>
  <c r="AJ47" i="15"/>
  <c r="W489" i="6"/>
  <c r="X489" i="6"/>
  <c r="DH747" i="6"/>
  <c r="DH789" i="6"/>
  <c r="J449" i="6"/>
  <c r="DH449" i="6"/>
  <c r="DH448" i="6"/>
  <c r="I451" i="6"/>
  <c r="R46" i="15"/>
  <c r="O46" i="15" s="1"/>
  <c r="DH709" i="6"/>
  <c r="DH255" i="6"/>
  <c r="DI255" i="6"/>
  <c r="DH699" i="6"/>
  <c r="DH689" i="6"/>
  <c r="K553" i="6"/>
  <c r="DH2254" i="6"/>
  <c r="AE36" i="15"/>
  <c r="AC36" i="15"/>
  <c r="AE74" i="15"/>
  <c r="AF116" i="15"/>
  <c r="I448" i="6"/>
  <c r="Q45" i="15"/>
  <c r="BA45" i="15"/>
  <c r="BF45" i="15" s="1"/>
  <c r="BA83" i="15"/>
  <c r="BA86" i="15" s="1"/>
  <c r="BF86" i="15" s="1"/>
  <c r="DH717" i="6"/>
  <c r="DH2230" i="6"/>
  <c r="DH697" i="6"/>
  <c r="DH801" i="6"/>
  <c r="DH819" i="6"/>
  <c r="DH827" i="6"/>
  <c r="DH799" i="6"/>
  <c r="DH791" i="6"/>
  <c r="DH657" i="6"/>
  <c r="DH17" i="6"/>
  <c r="X488" i="6"/>
  <c r="W488" i="6"/>
  <c r="L450" i="6"/>
  <c r="AJ46" i="15"/>
  <c r="DI2227" i="6"/>
  <c r="DI2253" i="6"/>
  <c r="AF74" i="15"/>
  <c r="K321" i="6"/>
  <c r="DI2229" i="6"/>
  <c r="DI2267" i="6"/>
  <c r="AH54" i="15"/>
  <c r="DI2225" i="6"/>
  <c r="DI2255" i="6"/>
  <c r="DI2261" i="6"/>
  <c r="AG53" i="15"/>
  <c r="DI2243" i="6"/>
  <c r="N132" i="15"/>
  <c r="DH2266" i="6"/>
  <c r="N128" i="15"/>
  <c r="BD128" i="15" s="1"/>
  <c r="BD130" i="15" s="1"/>
  <c r="BI130" i="15" s="1"/>
  <c r="AH40" i="15"/>
  <c r="DI2237" i="6"/>
  <c r="DI2239" i="6"/>
  <c r="DH2260" i="6"/>
  <c r="DH244" i="6"/>
  <c r="DI244" i="6"/>
  <c r="DH673" i="6"/>
  <c r="AH63" i="15"/>
  <c r="AH55" i="15"/>
  <c r="DH2268" i="6"/>
  <c r="DH2262" i="6"/>
  <c r="K132" i="15"/>
  <c r="M121" i="15"/>
  <c r="J121" i="15" s="1"/>
  <c r="M124" i="15"/>
  <c r="K133" i="15"/>
  <c r="BA133" i="15" s="1"/>
  <c r="BF133" i="15" s="1"/>
  <c r="M132" i="15"/>
  <c r="K125" i="15"/>
  <c r="K134" i="15"/>
  <c r="K121" i="15"/>
  <c r="K129" i="15"/>
  <c r="M129" i="15"/>
  <c r="M133" i="15"/>
  <c r="J133" i="15" s="1"/>
  <c r="DH711" i="6"/>
  <c r="AF76" i="15"/>
  <c r="AE56" i="15"/>
  <c r="AF86" i="15"/>
  <c r="AE95" i="15"/>
  <c r="AG61" i="15"/>
  <c r="AF85" i="15"/>
  <c r="AG97" i="15"/>
  <c r="AF87" i="15"/>
  <c r="L130" i="15"/>
  <c r="AF89" i="15"/>
  <c r="AF91" i="15"/>
  <c r="AF42" i="15"/>
  <c r="AC42" i="15" s="1"/>
  <c r="AG95" i="15"/>
  <c r="AE55" i="15"/>
  <c r="AG60" i="15"/>
  <c r="AD60" i="15" s="1"/>
  <c r="AE77" i="15"/>
  <c r="AE90" i="15"/>
  <c r="AH69" i="15"/>
  <c r="K2285" i="6"/>
  <c r="AF82" i="15"/>
  <c r="AG84" i="15"/>
  <c r="AD84" i="15" s="1"/>
  <c r="AH60" i="15"/>
  <c r="AF72" i="15"/>
  <c r="AG78" i="15"/>
  <c r="AF60" i="15"/>
  <c r="AE94" i="15"/>
  <c r="AF102" i="15"/>
  <c r="AF110" i="15"/>
  <c r="AF112" i="15"/>
  <c r="AH88" i="15"/>
  <c r="AG90" i="15"/>
  <c r="AG92" i="15"/>
  <c r="AF94" i="15"/>
  <c r="AG98" i="15"/>
  <c r="AD98" i="15" s="1"/>
  <c r="AE99" i="15"/>
  <c r="AH105" i="15"/>
  <c r="AE106" i="15"/>
  <c r="AF77" i="15"/>
  <c r="AC77" i="15" s="1"/>
  <c r="AF106" i="15"/>
  <c r="AE108" i="15"/>
  <c r="AC108" i="15" s="1"/>
  <c r="AG110" i="15"/>
  <c r="AD110" i="15" s="1"/>
  <c r="AE111" i="15"/>
  <c r="AE113" i="15"/>
  <c r="AE83" i="15"/>
  <c r="AE89" i="15"/>
  <c r="AF99" i="15"/>
  <c r="AC99" i="15" s="1"/>
  <c r="AF103" i="15"/>
  <c r="AC103" i="15" s="1"/>
  <c r="AF108" i="15"/>
  <c r="AF111" i="15"/>
  <c r="AF113" i="15"/>
  <c r="AE114" i="15"/>
  <c r="AC114" i="15" s="1"/>
  <c r="AG77" i="15"/>
  <c r="AD77" i="15" s="1"/>
  <c r="AH90" i="15"/>
  <c r="AH92" i="15"/>
  <c r="AG94" i="15"/>
  <c r="AH98" i="15"/>
  <c r="AH102" i="15"/>
  <c r="AE107" i="15"/>
  <c r="AH110" i="15"/>
  <c r="AE69" i="15"/>
  <c r="AF83" i="15"/>
  <c r="AC83" i="15" s="1"/>
  <c r="AE97" i="15"/>
  <c r="AG99" i="15"/>
  <c r="AE101" i="15"/>
  <c r="AG106" i="15"/>
  <c r="AE109" i="15"/>
  <c r="AF56" i="15"/>
  <c r="AE60" i="15"/>
  <c r="AC60" i="15" s="1"/>
  <c r="AF69" i="15"/>
  <c r="AC69" i="15" s="1"/>
  <c r="AF75" i="15"/>
  <c r="AH85" i="15"/>
  <c r="AE91" i="15"/>
  <c r="AF97" i="15"/>
  <c r="AF101" i="15"/>
  <c r="AC101" i="15" s="1"/>
  <c r="AG103" i="15"/>
  <c r="AF107" i="15"/>
  <c r="AF109" i="15"/>
  <c r="AG111" i="15"/>
  <c r="AD111" i="15" s="1"/>
  <c r="AF55" i="15"/>
  <c r="AH77" i="15"/>
  <c r="AE80" i="15"/>
  <c r="AG83" i="15"/>
  <c r="AD83" i="15" s="1"/>
  <c r="AF88" i="15"/>
  <c r="AH94" i="15"/>
  <c r="AD94" i="15" s="1"/>
  <c r="AH99" i="15"/>
  <c r="AE105" i="15"/>
  <c r="AH106" i="15"/>
  <c r="AG114" i="15"/>
  <c r="AG104" i="15"/>
  <c r="AG101" i="15"/>
  <c r="AD101" i="15" s="1"/>
  <c r="AF105" i="15"/>
  <c r="AC105" i="15" s="1"/>
  <c r="AG109" i="15"/>
  <c r="AF80" i="15"/>
  <c r="AC80" i="15" s="1"/>
  <c r="AF93" i="15"/>
  <c r="AH103" i="15"/>
  <c r="AH111" i="15"/>
  <c r="AH114" i="15"/>
  <c r="AD114" i="15" s="1"/>
  <c r="AF73" i="15"/>
  <c r="AC73" i="15" s="1"/>
  <c r="AH83" i="15"/>
  <c r="AE85" i="15"/>
  <c r="AG88" i="15"/>
  <c r="AF90" i="15"/>
  <c r="AE92" i="15"/>
  <c r="AE98" i="15"/>
  <c r="AC98" i="15" s="1"/>
  <c r="AH101" i="15"/>
  <c r="AH109" i="15"/>
  <c r="AF70" i="15"/>
  <c r="AF92" i="15"/>
  <c r="AH97" i="15"/>
  <c r="AF98" i="15"/>
  <c r="AE102" i="15"/>
  <c r="AG105" i="15"/>
  <c r="AD105" i="15" s="1"/>
  <c r="AH107" i="15"/>
  <c r="AD107" i="15" s="1"/>
  <c r="AE112" i="15"/>
  <c r="AF114" i="15"/>
  <c r="AG85" i="15"/>
  <c r="AE93" i="15"/>
  <c r="AC93" i="15" s="1"/>
  <c r="DH242" i="6"/>
  <c r="DI242" i="6"/>
  <c r="DH2224" i="6"/>
  <c r="DH2238" i="6"/>
  <c r="DH2264" i="6"/>
  <c r="F55" i="16"/>
  <c r="AG55" i="16"/>
  <c r="F61" i="16"/>
  <c r="AG61" i="16"/>
  <c r="F57" i="16"/>
  <c r="AG57" i="16"/>
  <c r="AF142" i="2"/>
  <c r="AG142" i="2"/>
  <c r="AF141" i="2"/>
  <c r="AG141" i="2"/>
  <c r="DN343" i="2"/>
  <c r="DK343" i="2" s="1"/>
  <c r="AA318" i="15" s="1"/>
  <c r="BG343" i="2"/>
  <c r="AF139" i="2"/>
  <c r="AG139" i="2"/>
  <c r="AF143" i="2"/>
  <c r="AG143" i="2"/>
  <c r="AF140" i="2"/>
  <c r="AG140" i="2"/>
  <c r="AG9" i="7"/>
  <c r="V318" i="2"/>
  <c r="V320" i="2"/>
  <c r="V315" i="2"/>
  <c r="V319" i="2"/>
  <c r="F53" i="16"/>
  <c r="AG53" i="16"/>
  <c r="F49" i="16"/>
  <c r="AG49" i="16"/>
  <c r="F51" i="16"/>
  <c r="F59" i="16"/>
  <c r="I32" i="5"/>
  <c r="O19" i="15"/>
  <c r="I19" i="15"/>
  <c r="DI32" i="5"/>
  <c r="I787" i="7"/>
  <c r="R212" i="15" s="1"/>
  <c r="AB149" i="15"/>
  <c r="AC102" i="15"/>
  <c r="DI2260" i="6"/>
  <c r="AE132" i="15"/>
  <c r="DI2240" i="6"/>
  <c r="AE125" i="15"/>
  <c r="DI2251" i="6"/>
  <c r="AH128" i="15"/>
  <c r="AD128" i="15" s="1"/>
  <c r="I290" i="15"/>
  <c r="DI2263" i="6"/>
  <c r="AH132" i="15"/>
  <c r="DI2250" i="6"/>
  <c r="AG128" i="15"/>
  <c r="DI2265" i="6"/>
  <c r="AF133" i="15"/>
  <c r="DI2256" i="6"/>
  <c r="AE130" i="15"/>
  <c r="DI2248" i="6"/>
  <c r="AE128" i="15"/>
  <c r="DI2264" i="6"/>
  <c r="AE133" i="15"/>
  <c r="AC133" i="15" s="1"/>
  <c r="DI2232" i="6"/>
  <c r="AE122" i="15"/>
  <c r="DI2238" i="6"/>
  <c r="AG124" i="15"/>
  <c r="DI2230" i="6"/>
  <c r="AG121" i="15"/>
  <c r="AD121" i="15" s="1"/>
  <c r="DI2257" i="6"/>
  <c r="AF130" i="15"/>
  <c r="AC130" i="15" s="1"/>
  <c r="DI2262" i="6"/>
  <c r="AG132" i="15"/>
  <c r="DI2224" i="6"/>
  <c r="AE120" i="15"/>
  <c r="DI2254" i="6"/>
  <c r="AG129" i="15"/>
  <c r="I313" i="15"/>
  <c r="DI452" i="6"/>
  <c r="AE47" i="15"/>
  <c r="DI246" i="6"/>
  <c r="AE41" i="15"/>
  <c r="AC41" i="15" s="1"/>
  <c r="DI657" i="6"/>
  <c r="AG55" i="15"/>
  <c r="DI691" i="6"/>
  <c r="DG691" i="6"/>
  <c r="AA67" i="15"/>
  <c r="DI453" i="6"/>
  <c r="AF47" i="15"/>
  <c r="AC47" i="15" s="1"/>
  <c r="L126" i="15"/>
  <c r="I126" i="15" s="1"/>
  <c r="DI709" i="6"/>
  <c r="AE75" i="15"/>
  <c r="AC75" i="15" s="1"/>
  <c r="DI791" i="6"/>
  <c r="AG100" i="15"/>
  <c r="DI717" i="6"/>
  <c r="AE78" i="15"/>
  <c r="AC78" i="15"/>
  <c r="DI252" i="6"/>
  <c r="AG43" i="15"/>
  <c r="AD43" i="15" s="1"/>
  <c r="AC95" i="15"/>
  <c r="DI22" i="6"/>
  <c r="AE29" i="15"/>
  <c r="AC29" i="15"/>
  <c r="L134" i="15"/>
  <c r="I134" i="15"/>
  <c r="DI2269" i="6"/>
  <c r="AF134" i="15"/>
  <c r="AC134" i="15" s="1"/>
  <c r="DI651" i="6"/>
  <c r="AE54" i="15"/>
  <c r="AC54" i="15"/>
  <c r="DI24" i="6"/>
  <c r="AE30" i="15"/>
  <c r="AC30" i="15"/>
  <c r="DI805" i="6"/>
  <c r="AE104" i="15"/>
  <c r="AC104" i="15" s="1"/>
  <c r="DI799" i="6"/>
  <c r="AG102" i="15"/>
  <c r="AD102" i="15"/>
  <c r="DI653" i="6"/>
  <c r="AG54" i="15"/>
  <c r="AD54" i="15" s="1"/>
  <c r="DI234" i="6"/>
  <c r="AE37" i="15"/>
  <c r="AE123" i="15"/>
  <c r="DI827" i="6"/>
  <c r="AE110" i="15"/>
  <c r="AC110" i="15" s="1"/>
  <c r="DI2252" i="6"/>
  <c r="AE129" i="15"/>
  <c r="DI231" i="6"/>
  <c r="AE35" i="15"/>
  <c r="AC35" i="15" s="1"/>
  <c r="DI2231" i="6"/>
  <c r="AH121" i="15"/>
  <c r="DI711" i="6"/>
  <c r="AE76" i="15"/>
  <c r="AC76" i="15" s="1"/>
  <c r="DI819" i="6"/>
  <c r="AG107" i="15"/>
  <c r="DI448" i="6"/>
  <c r="AE45" i="15"/>
  <c r="DI451" i="6"/>
  <c r="AF46" i="15"/>
  <c r="DI2266" i="6"/>
  <c r="AG133" i="15"/>
  <c r="DI801" i="6"/>
  <c r="AE103" i="15"/>
  <c r="DI449" i="6"/>
  <c r="AF45" i="15"/>
  <c r="DI661" i="6"/>
  <c r="AE57" i="15"/>
  <c r="AC57" i="15" s="1"/>
  <c r="DI697" i="6"/>
  <c r="AG69" i="15"/>
  <c r="AD69" i="15"/>
  <c r="DI450" i="6"/>
  <c r="AE46" i="15"/>
  <c r="DI681" i="6"/>
  <c r="AE63" i="15"/>
  <c r="AC63" i="15" s="1"/>
  <c r="DI647" i="6"/>
  <c r="AE53" i="15"/>
  <c r="AC53" i="15" s="1"/>
  <c r="DI2236" i="6"/>
  <c r="AE124" i="15"/>
  <c r="DI2226" i="6"/>
  <c r="AG120" i="15"/>
  <c r="DI2233" i="6"/>
  <c r="AF122" i="15"/>
  <c r="AC122" i="15" s="1"/>
  <c r="DI2242" i="6"/>
  <c r="AG125" i="15"/>
  <c r="DI683" i="6"/>
  <c r="AG63" i="15"/>
  <c r="AD63" i="15"/>
  <c r="DI2268" i="6"/>
  <c r="AE134" i="15"/>
  <c r="DI789" i="6"/>
  <c r="AE100" i="15"/>
  <c r="AC100" i="15" s="1"/>
  <c r="DI2228" i="6"/>
  <c r="AE121" i="15"/>
  <c r="DI747" i="6"/>
  <c r="AE88" i="15"/>
  <c r="AC88" i="15" s="1"/>
  <c r="DI673" i="6"/>
  <c r="AE61" i="15"/>
  <c r="DI689" i="6"/>
  <c r="AE66" i="15"/>
  <c r="AC66" i="15" s="1"/>
  <c r="DI851" i="6"/>
  <c r="AE119" i="15"/>
  <c r="DI699" i="6"/>
  <c r="AE70" i="15"/>
  <c r="AC70" i="15"/>
  <c r="DI849" i="6"/>
  <c r="AE118" i="15"/>
  <c r="AC118" i="15"/>
  <c r="DI843" i="6"/>
  <c r="AE115" i="15"/>
  <c r="AC115" i="15"/>
  <c r="DI236" i="6"/>
  <c r="AE38" i="15"/>
  <c r="AC38" i="15" s="1"/>
  <c r="DI2244" i="6"/>
  <c r="AE126" i="15"/>
  <c r="K448" i="6"/>
  <c r="DJ448" i="6"/>
  <c r="AG608" i="7"/>
  <c r="K138" i="15"/>
  <c r="I138" i="15"/>
  <c r="I217" i="15"/>
  <c r="J195" i="15"/>
  <c r="AB190" i="15"/>
  <c r="I223" i="15"/>
  <c r="AB183" i="15"/>
  <c r="M427" i="6"/>
  <c r="AC112" i="15"/>
  <c r="M423" i="6"/>
  <c r="O48" i="15"/>
  <c r="M416" i="6"/>
  <c r="I343" i="2"/>
  <c r="Q318" i="15"/>
  <c r="O318" i="15" s="1"/>
  <c r="I293" i="15"/>
  <c r="I292" i="15"/>
  <c r="DM343" i="2"/>
  <c r="AE318" i="15"/>
  <c r="AC318" i="15"/>
  <c r="I314" i="15"/>
  <c r="I315" i="15"/>
  <c r="I258" i="15"/>
  <c r="I251" i="15"/>
  <c r="I259" i="15"/>
  <c r="I255" i="15"/>
  <c r="I256" i="15"/>
  <c r="I253" i="15"/>
  <c r="I257" i="15"/>
  <c r="I254" i="15"/>
  <c r="AC74" i="15"/>
  <c r="I291" i="15"/>
  <c r="AB318" i="15"/>
  <c r="K318" i="15"/>
  <c r="I318" i="15"/>
  <c r="I295" i="15"/>
  <c r="I294" i="15"/>
  <c r="I286" i="15"/>
  <c r="I283" i="15"/>
  <c r="I285" i="15"/>
  <c r="I284" i="15"/>
  <c r="I282" i="15"/>
  <c r="AE278" i="15"/>
  <c r="AC278" i="15" s="1"/>
  <c r="DK91" i="2"/>
  <c r="AA278" i="15"/>
  <c r="AD95" i="15"/>
  <c r="O47" i="15"/>
  <c r="AC90" i="15"/>
  <c r="AD61" i="15"/>
  <c r="AC89" i="15"/>
  <c r="AD53" i="15"/>
  <c r="O49" i="15"/>
  <c r="AC91" i="15"/>
  <c r="AD88" i="15"/>
  <c r="AD104" i="15"/>
  <c r="AD92" i="15"/>
  <c r="I133" i="15"/>
  <c r="BA47" i="15"/>
  <c r="BF47" i="15" s="1"/>
  <c r="BA46" i="15"/>
  <c r="BF46" i="15" s="1"/>
  <c r="AC85" i="15"/>
  <c r="O45" i="15"/>
  <c r="W46" i="15"/>
  <c r="V46" i="15" s="1"/>
  <c r="U46" i="15" s="1"/>
  <c r="AD106" i="15"/>
  <c r="I2236" i="6"/>
  <c r="Q124" i="15"/>
  <c r="K124" i="15"/>
  <c r="K128" i="15"/>
  <c r="K130" i="15"/>
  <c r="I130" i="15"/>
  <c r="M120" i="15"/>
  <c r="BC120" i="15" s="1"/>
  <c r="BH120" i="15" s="1"/>
  <c r="M128" i="15"/>
  <c r="J128" i="15" s="1"/>
  <c r="K123" i="15"/>
  <c r="I123" i="15" s="1"/>
  <c r="K127" i="15"/>
  <c r="BA125" i="15"/>
  <c r="K122" i="15"/>
  <c r="I122" i="15" s="1"/>
  <c r="AH124" i="15"/>
  <c r="AD124" i="15" s="1"/>
  <c r="N124" i="15"/>
  <c r="J124" i="15"/>
  <c r="I2237" i="6"/>
  <c r="R124" i="15"/>
  <c r="L124" i="15"/>
  <c r="BB124" i="15" s="1"/>
  <c r="BB126" i="15" s="1"/>
  <c r="BG126" i="15" s="1"/>
  <c r="L135" i="15"/>
  <c r="I135" i="15" s="1"/>
  <c r="L131" i="15"/>
  <c r="I2243" i="6"/>
  <c r="T125" i="15"/>
  <c r="N125" i="15"/>
  <c r="L127" i="15"/>
  <c r="AF132" i="15"/>
  <c r="L132" i="15"/>
  <c r="BB132" i="15" s="1"/>
  <c r="BG132" i="15" s="1"/>
  <c r="I132" i="15"/>
  <c r="AH129" i="15"/>
  <c r="AD129" i="15" s="1"/>
  <c r="N129" i="15"/>
  <c r="BD129" i="15" s="1"/>
  <c r="BD131" i="15" s="1"/>
  <c r="BI131" i="15" s="1"/>
  <c r="AF120" i="15"/>
  <c r="L120" i="15"/>
  <c r="AH133" i="15"/>
  <c r="AD133" i="15" s="1"/>
  <c r="N133" i="15"/>
  <c r="AF121" i="15"/>
  <c r="L121" i="15"/>
  <c r="I121" i="15"/>
  <c r="AF129" i="15"/>
  <c r="L129" i="15"/>
  <c r="BB129" i="15" s="1"/>
  <c r="BB131" i="15" s="1"/>
  <c r="BG131" i="15" s="1"/>
  <c r="I129" i="15"/>
  <c r="I2227" i="6"/>
  <c r="T120" i="15"/>
  <c r="P120" i="15" s="1"/>
  <c r="N120" i="15"/>
  <c r="BD120" i="15" s="1"/>
  <c r="I2242" i="6"/>
  <c r="S125" i="15"/>
  <c r="M125" i="15"/>
  <c r="I2249" i="6"/>
  <c r="R128" i="15"/>
  <c r="L128" i="15"/>
  <c r="AF123" i="15"/>
  <c r="L123" i="15"/>
  <c r="K452" i="6"/>
  <c r="DJ452" i="6"/>
  <c r="K131" i="15"/>
  <c r="I131" i="15" s="1"/>
  <c r="BA129" i="15"/>
  <c r="BF129" i="15" s="1"/>
  <c r="I2241" i="6"/>
  <c r="R125" i="15"/>
  <c r="L125" i="15"/>
  <c r="I125" i="15"/>
  <c r="K450" i="6"/>
  <c r="DJ450" i="6"/>
  <c r="I23" i="6"/>
  <c r="S29" i="15"/>
  <c r="P29" i="15" s="1"/>
  <c r="M29" i="15"/>
  <c r="J29" i="15"/>
  <c r="L51" i="15"/>
  <c r="I51" i="15" s="1"/>
  <c r="N49" i="15"/>
  <c r="J49" i="15" s="1"/>
  <c r="DJ669" i="6"/>
  <c r="K681" i="6"/>
  <c r="K655" i="6"/>
  <c r="L50" i="15"/>
  <c r="BB50" i="15" s="1"/>
  <c r="N50" i="15"/>
  <c r="BD50" i="15" s="1"/>
  <c r="BD51" i="15" s="1"/>
  <c r="BI51" i="15" s="1"/>
  <c r="J50" i="15"/>
  <c r="K525" i="6"/>
  <c r="DJ525" i="6"/>
  <c r="K519" i="6"/>
  <c r="DJ519" i="6"/>
  <c r="K523" i="6"/>
  <c r="DJ523" i="6"/>
  <c r="K515" i="6"/>
  <c r="DJ515" i="6"/>
  <c r="DG513" i="6"/>
  <c r="AA48" i="15"/>
  <c r="AB48" i="15"/>
  <c r="DM208" i="2"/>
  <c r="AE296" i="15"/>
  <c r="AC296" i="15" s="1"/>
  <c r="I296" i="15"/>
  <c r="O16" i="15"/>
  <c r="O11" i="15"/>
  <c r="O14" i="15"/>
  <c r="O13" i="15"/>
  <c r="O10" i="15"/>
  <c r="AB227" i="15"/>
  <c r="DI61" i="16"/>
  <c r="AF16" i="15"/>
  <c r="AC16" i="15"/>
  <c r="DI55" i="16"/>
  <c r="AF13" i="15"/>
  <c r="AC13" i="15"/>
  <c r="AC72" i="15"/>
  <c r="AD85" i="15"/>
  <c r="AD39" i="15"/>
  <c r="AC94" i="15"/>
  <c r="AG7" i="5"/>
  <c r="I18" i="15"/>
  <c r="AC92" i="15"/>
  <c r="AD78" i="15"/>
  <c r="AC64" i="15"/>
  <c r="AC107" i="15"/>
  <c r="AC109" i="15"/>
  <c r="AC113" i="15"/>
  <c r="AC106" i="15"/>
  <c r="AC55" i="15"/>
  <c r="AD97" i="15"/>
  <c r="AC117" i="15"/>
  <c r="AD99" i="15"/>
  <c r="AC86" i="15"/>
  <c r="AC111" i="15"/>
  <c r="AC97" i="15"/>
  <c r="AD90" i="15"/>
  <c r="AC48" i="15"/>
  <c r="AC56" i="15"/>
  <c r="AC39" i="15"/>
  <c r="DK61" i="2"/>
  <c r="AA268" i="15"/>
  <c r="AE268" i="15"/>
  <c r="AC268" i="15" s="1"/>
  <c r="K556" i="6"/>
  <c r="L52" i="15"/>
  <c r="I52" i="15" s="1"/>
  <c r="K19" i="6"/>
  <c r="DJ19" i="6"/>
  <c r="K16" i="6"/>
  <c r="DJ16" i="6"/>
  <c r="K14" i="6"/>
  <c r="DJ14" i="6"/>
  <c r="K8" i="6"/>
  <c r="DJ8" i="6"/>
  <c r="K11" i="6"/>
  <c r="DJ11" i="6"/>
  <c r="K25" i="6"/>
  <c r="DJ25" i="6"/>
  <c r="K22" i="6"/>
  <c r="DJ22" i="6"/>
  <c r="K28" i="6"/>
  <c r="DJ28" i="6"/>
  <c r="L242" i="6"/>
  <c r="AJ40" i="15"/>
  <c r="L248" i="6"/>
  <c r="AJ42" i="15"/>
  <c r="I2244" i="6"/>
  <c r="Q126" i="15"/>
  <c r="O126" i="15" s="1"/>
  <c r="DM17" i="2"/>
  <c r="AE259" i="15"/>
  <c r="AC259" i="15"/>
  <c r="DM12" i="2"/>
  <c r="DM16" i="2"/>
  <c r="I183" i="2"/>
  <c r="O290" i="15"/>
  <c r="V290" i="15"/>
  <c r="U290" i="15" s="1"/>
  <c r="I142" i="2"/>
  <c r="O285" i="15"/>
  <c r="W285" i="15"/>
  <c r="V285" i="15" s="1"/>
  <c r="U285" i="15" s="1"/>
  <c r="BF97" i="15"/>
  <c r="DI7" i="16"/>
  <c r="BA100" i="15"/>
  <c r="BC38" i="15"/>
  <c r="BC37" i="15" s="1"/>
  <c r="I57" i="16"/>
  <c r="DI57" i="16"/>
  <c r="AF14" i="15"/>
  <c r="AC14" i="15"/>
  <c r="DI7" i="5"/>
  <c r="BA92" i="15"/>
  <c r="BA93" i="15" s="1"/>
  <c r="BB110" i="15"/>
  <c r="BG110" i="15" s="1"/>
  <c r="BC114" i="15"/>
  <c r="BH114" i="15" s="1"/>
  <c r="BA106" i="15"/>
  <c r="BA110" i="15"/>
  <c r="BA118" i="15" s="1"/>
  <c r="BF118" i="15" s="1"/>
  <c r="BG98" i="15"/>
  <c r="BB115" i="15"/>
  <c r="BG115" i="15" s="1"/>
  <c r="BC98" i="15"/>
  <c r="BC88" i="15"/>
  <c r="BC89" i="15" s="1"/>
  <c r="BD83" i="15"/>
  <c r="BD86" i="15" s="1"/>
  <c r="BI86" i="15" s="1"/>
  <c r="BB70" i="15"/>
  <c r="BB94" i="15" s="1"/>
  <c r="BG94" i="15" s="1"/>
  <c r="BB53" i="15"/>
  <c r="BB56" i="15" s="1"/>
  <c r="BG56" i="15" s="1"/>
  <c r="BA54" i="15"/>
  <c r="BA82" i="15"/>
  <c r="BF82" i="15" s="1"/>
  <c r="BB114" i="15"/>
  <c r="BG114" i="15" s="1"/>
  <c r="BI109" i="15"/>
  <c r="BB83" i="15"/>
  <c r="BG83" i="15" s="1"/>
  <c r="BC50" i="15"/>
  <c r="BD53" i="15"/>
  <c r="BA85" i="15"/>
  <c r="BA113" i="15" s="1"/>
  <c r="BC74" i="15"/>
  <c r="BC100" i="15" s="1"/>
  <c r="BH100" i="15" s="1"/>
  <c r="BC54" i="15"/>
  <c r="BC57" i="15" s="1"/>
  <c r="BH57" i="15" s="1"/>
  <c r="BI77" i="15"/>
  <c r="BG61" i="15"/>
  <c r="BG73" i="15"/>
  <c r="BD102" i="15"/>
  <c r="BD116" i="15" s="1"/>
  <c r="BI116" i="15" s="1"/>
  <c r="BD106" i="15"/>
  <c r="BI106" i="15" s="1"/>
  <c r="BA61" i="15"/>
  <c r="BA66" i="15" s="1"/>
  <c r="BF66" i="15" s="1"/>
  <c r="BA50" i="15"/>
  <c r="BF50" i="15" s="1"/>
  <c r="DM207" i="2"/>
  <c r="AE295" i="15"/>
  <c r="AC295" i="15" s="1"/>
  <c r="DM206" i="2"/>
  <c r="AE294" i="15"/>
  <c r="AC294" i="15"/>
  <c r="DM142" i="2"/>
  <c r="AE285" i="15"/>
  <c r="AC285" i="15"/>
  <c r="DM185" i="2"/>
  <c r="I207" i="2"/>
  <c r="O295" i="15"/>
  <c r="DM186" i="2"/>
  <c r="I186" i="2"/>
  <c r="O293" i="15"/>
  <c r="DM141" i="2"/>
  <c r="AE284" i="15"/>
  <c r="AC284" i="15"/>
  <c r="I206" i="2"/>
  <c r="O294" i="15"/>
  <c r="I141" i="2"/>
  <c r="O284" i="15"/>
  <c r="DK241" i="2"/>
  <c r="AA299" i="15"/>
  <c r="DK314" i="2"/>
  <c r="AA310" i="15"/>
  <c r="AH120" i="15"/>
  <c r="AF128" i="15"/>
  <c r="AC128" i="15" s="1"/>
  <c r="I429" i="6"/>
  <c r="AG44" i="15"/>
  <c r="AD44" i="15" s="1"/>
  <c r="AE44" i="15"/>
  <c r="AC44" i="15"/>
  <c r="AF125" i="15"/>
  <c r="I2251" i="6"/>
  <c r="T128" i="15"/>
  <c r="AE42" i="15"/>
  <c r="AF124" i="15"/>
  <c r="AC124" i="15" s="1"/>
  <c r="DM140" i="2"/>
  <c r="I140" i="2"/>
  <c r="O283" i="15"/>
  <c r="W283" i="15"/>
  <c r="V283" i="15" s="1"/>
  <c r="U283" i="15" s="1"/>
  <c r="I184" i="2"/>
  <c r="O291" i="15"/>
  <c r="DM183" i="2"/>
  <c r="DM184" i="2"/>
  <c r="AE291" i="15"/>
  <c r="AC291" i="15" s="1"/>
  <c r="I139" i="2"/>
  <c r="O282" i="15"/>
  <c r="DM139" i="2"/>
  <c r="AE282" i="15"/>
  <c r="AC282" i="15"/>
  <c r="I143" i="2"/>
  <c r="O286" i="15"/>
  <c r="DM143" i="2"/>
  <c r="AE286" i="15"/>
  <c r="AC286" i="15" s="1"/>
  <c r="DK295" i="2"/>
  <c r="AA308" i="15"/>
  <c r="K7" i="5"/>
  <c r="O18" i="15"/>
  <c r="M7" i="16"/>
  <c r="O9" i="15"/>
  <c r="DM14" i="2"/>
  <c r="DK435" i="2"/>
  <c r="AA336" i="15"/>
  <c r="I208" i="2"/>
  <c r="O296" i="15"/>
  <c r="I185" i="2"/>
  <c r="O292" i="15"/>
  <c r="DK242" i="2"/>
  <c r="AA300" i="15"/>
  <c r="DK291" i="2"/>
  <c r="AA304" i="15"/>
  <c r="DM9" i="2"/>
  <c r="DK292" i="2"/>
  <c r="AA305" i="15"/>
  <c r="AF51" i="15"/>
  <c r="I524" i="6"/>
  <c r="R51" i="15"/>
  <c r="DK89" i="2"/>
  <c r="AA276" i="15"/>
  <c r="DK243" i="2"/>
  <c r="AA301" i="15"/>
  <c r="DK85" i="2"/>
  <c r="AA272" i="15"/>
  <c r="DK294" i="2"/>
  <c r="AA307" i="15"/>
  <c r="DK167" i="2"/>
  <c r="AA289" i="15"/>
  <c r="DK82" i="2"/>
  <c r="AA269" i="15"/>
  <c r="DK393" i="2"/>
  <c r="AA330" i="15"/>
  <c r="DK389" i="2"/>
  <c r="AA326" i="15"/>
  <c r="AA306" i="15"/>
  <c r="DK369" i="2"/>
  <c r="DK365" i="2"/>
  <c r="DK261" i="2"/>
  <c r="DK244" i="2"/>
  <c r="AA302" i="15"/>
  <c r="DM11" i="2"/>
  <c r="I16" i="2"/>
  <c r="O258" i="15"/>
  <c r="I11" i="2"/>
  <c r="O253" i="15"/>
  <c r="I15" i="2"/>
  <c r="O257" i="15"/>
  <c r="I10" i="2"/>
  <c r="O252" i="15"/>
  <c r="I13" i="2"/>
  <c r="O255" i="15"/>
  <c r="DM21" i="2"/>
  <c r="AE263" i="15"/>
  <c r="AC263" i="15"/>
  <c r="DM19" i="2"/>
  <c r="AE261" i="15"/>
  <c r="AC261" i="15" s="1"/>
  <c r="I17" i="2"/>
  <c r="O259" i="15"/>
  <c r="DM10" i="2"/>
  <c r="AE252" i="15"/>
  <c r="AC252" i="15"/>
  <c r="DM13" i="2"/>
  <c r="AE255" i="15"/>
  <c r="AC255" i="15"/>
  <c r="I12" i="2"/>
  <c r="O254" i="15"/>
  <c r="AG40" i="15"/>
  <c r="AD40" i="15" s="1"/>
  <c r="I517" i="6"/>
  <c r="S49" i="15"/>
  <c r="AH49" i="15"/>
  <c r="I518" i="6"/>
  <c r="T49" i="15"/>
  <c r="I2263" i="6"/>
  <c r="T132" i="15"/>
  <c r="AE51" i="15"/>
  <c r="AE43" i="15"/>
  <c r="AC43" i="15" s="1"/>
  <c r="I523" i="6"/>
  <c r="Q51" i="15"/>
  <c r="O51" i="15" s="1"/>
  <c r="I19" i="2"/>
  <c r="O261" i="15"/>
  <c r="DK121" i="2"/>
  <c r="AA281" i="15"/>
  <c r="DM15" i="2"/>
  <c r="AE257" i="15"/>
  <c r="AC257" i="15" s="1"/>
  <c r="DK395" i="2"/>
  <c r="AA332" i="15"/>
  <c r="I14" i="2"/>
  <c r="O256" i="15"/>
  <c r="DK317" i="2"/>
  <c r="AA313" i="15"/>
  <c r="DK60" i="2"/>
  <c r="AA267" i="15"/>
  <c r="DK363" i="2"/>
  <c r="DM23" i="2"/>
  <c r="AE265" i="15"/>
  <c r="AC265" i="15"/>
  <c r="DK391" i="2"/>
  <c r="AA328" i="15"/>
  <c r="DK84" i="2"/>
  <c r="AA271" i="15"/>
  <c r="DK367" i="2"/>
  <c r="DK318" i="2"/>
  <c r="AA314" i="15"/>
  <c r="DK319" i="2"/>
  <c r="AA315" i="15"/>
  <c r="DK88" i="2"/>
  <c r="AA275" i="15"/>
  <c r="DK394" i="2"/>
  <c r="AA331" i="15"/>
  <c r="DK392" i="2"/>
  <c r="AA329" i="15"/>
  <c r="DK226" i="2"/>
  <c r="AA297" i="15"/>
  <c r="DK86" i="2"/>
  <c r="AA273" i="15"/>
  <c r="DK390" i="2"/>
  <c r="AA327" i="15"/>
  <c r="DK368" i="2"/>
  <c r="I9" i="2"/>
  <c r="O251" i="15"/>
  <c r="DK366" i="2"/>
  <c r="DK364" i="2"/>
  <c r="DK120" i="2"/>
  <c r="AA280" i="15"/>
  <c r="DK87" i="2"/>
  <c r="AA274" i="15"/>
  <c r="DK83" i="2"/>
  <c r="AA270" i="15"/>
  <c r="DK342" i="2"/>
  <c r="AA317" i="15" s="1"/>
  <c r="DK320" i="2"/>
  <c r="AA316" i="15"/>
  <c r="DK415" i="2"/>
  <c r="AA333" i="15"/>
  <c r="AH125" i="15"/>
  <c r="AD125" i="15" s="1"/>
  <c r="I2231" i="6"/>
  <c r="T121" i="15"/>
  <c r="AG49" i="15"/>
  <c r="AD49" i="15" s="1"/>
  <c r="AG50" i="15"/>
  <c r="I2240" i="6"/>
  <c r="Q125" i="15"/>
  <c r="O125" i="15" s="1"/>
  <c r="AH50" i="15"/>
  <c r="X2007" i="6"/>
  <c r="I521" i="6"/>
  <c r="S50" i="15"/>
  <c r="DG685" i="6"/>
  <c r="AA64" i="15"/>
  <c r="AF50" i="15"/>
  <c r="I519" i="6"/>
  <c r="Q50" i="15"/>
  <c r="I522" i="6"/>
  <c r="T50" i="15"/>
  <c r="I520" i="6"/>
  <c r="R50" i="15"/>
  <c r="O50" i="15" s="1"/>
  <c r="AE50" i="15"/>
  <c r="AC50" i="15" s="1"/>
  <c r="I2245" i="6"/>
  <c r="R126" i="15"/>
  <c r="I2264" i="6"/>
  <c r="Q133" i="15"/>
  <c r="O133" i="15" s="1"/>
  <c r="I2260" i="6"/>
  <c r="Q132" i="15"/>
  <c r="I2261" i="6"/>
  <c r="R132" i="15"/>
  <c r="I2265" i="6"/>
  <c r="R133" i="15"/>
  <c r="I2255" i="6"/>
  <c r="T129" i="15"/>
  <c r="I2225" i="6"/>
  <c r="R120" i="15"/>
  <c r="O120" i="15" s="1"/>
  <c r="AG29" i="15"/>
  <c r="AD29" i="15"/>
  <c r="I2253" i="6"/>
  <c r="R129" i="15"/>
  <c r="I2250" i="6"/>
  <c r="S128" i="15"/>
  <c r="I2267" i="6"/>
  <c r="T133" i="15"/>
  <c r="P133" i="15" s="1"/>
  <c r="I2239" i="6"/>
  <c r="T124" i="15"/>
  <c r="P124" i="15" s="1"/>
  <c r="I2229" i="6"/>
  <c r="R121" i="15"/>
  <c r="I2252" i="6"/>
  <c r="Q129" i="15"/>
  <c r="I2238" i="6"/>
  <c r="S124" i="15"/>
  <c r="BC124" i="15"/>
  <c r="I2228" i="6"/>
  <c r="Q121" i="15"/>
  <c r="I2230" i="6"/>
  <c r="S121" i="15"/>
  <c r="I2269" i="6"/>
  <c r="R134" i="15"/>
  <c r="I2226" i="6"/>
  <c r="S120" i="15"/>
  <c r="I2257" i="6"/>
  <c r="R130" i="15"/>
  <c r="I2248" i="6"/>
  <c r="Q128" i="15"/>
  <c r="O128" i="15" s="1"/>
  <c r="BA132" i="15"/>
  <c r="I2268" i="6"/>
  <c r="Q134" i="15"/>
  <c r="I2232" i="6"/>
  <c r="Q122" i="15"/>
  <c r="I2266" i="6"/>
  <c r="S133" i="15"/>
  <c r="I2254" i="6"/>
  <c r="S129" i="15"/>
  <c r="P129" i="15" s="1"/>
  <c r="I2262" i="6"/>
  <c r="S132" i="15"/>
  <c r="I2256" i="6"/>
  <c r="Q130" i="15"/>
  <c r="O130" i="15" s="1"/>
  <c r="L2234" i="6"/>
  <c r="AJ123" i="15"/>
  <c r="L2236" i="6"/>
  <c r="AJ124" i="15"/>
  <c r="L2246" i="6"/>
  <c r="AJ127" i="15"/>
  <c r="L2264" i="6"/>
  <c r="AJ133" i="15"/>
  <c r="L2252" i="6"/>
  <c r="AJ129" i="15"/>
  <c r="L2240" i="6"/>
  <c r="AJ125" i="15"/>
  <c r="L2228" i="6"/>
  <c r="AJ121" i="15"/>
  <c r="L2232" i="6"/>
  <c r="AJ122" i="15"/>
  <c r="L2224" i="6"/>
  <c r="AJ120" i="15"/>
  <c r="L2268" i="6"/>
  <c r="AJ134" i="15"/>
  <c r="L2260" i="6"/>
  <c r="AJ132" i="15"/>
  <c r="L2256" i="6"/>
  <c r="AJ130" i="15"/>
  <c r="L2270" i="6"/>
  <c r="AJ135" i="15"/>
  <c r="L2258" i="6"/>
  <c r="AJ131" i="15"/>
  <c r="L2244" i="6"/>
  <c r="AJ126" i="15"/>
  <c r="L2248" i="6"/>
  <c r="AJ128" i="15"/>
  <c r="I2224" i="6"/>
  <c r="Q120" i="15"/>
  <c r="DG659" i="6"/>
  <c r="AA56" i="15"/>
  <c r="AE40" i="15"/>
  <c r="AC40" i="15"/>
  <c r="DJ655" i="6"/>
  <c r="DJ681" i="6"/>
  <c r="I59" i="16"/>
  <c r="AG59" i="16"/>
  <c r="DI51" i="16"/>
  <c r="AF11" i="15"/>
  <c r="AG51" i="16"/>
  <c r="DG32" i="5"/>
  <c r="AA19" i="15"/>
  <c r="AE19" i="15"/>
  <c r="AC19" i="15" s="1"/>
  <c r="AB45" i="15"/>
  <c r="DG448" i="6"/>
  <c r="AA45" i="15"/>
  <c r="AB52" i="15"/>
  <c r="BD132" i="15"/>
  <c r="BI132" i="15" s="1"/>
  <c r="AC46" i="15"/>
  <c r="AC45" i="15"/>
  <c r="AE67" i="15"/>
  <c r="AC67" i="15"/>
  <c r="DG24" i="6"/>
  <c r="AA30" i="15"/>
  <c r="DI526" i="6"/>
  <c r="AF52" i="15"/>
  <c r="AC52" i="15"/>
  <c r="DI528" i="6"/>
  <c r="AB33" i="15"/>
  <c r="P50" i="15"/>
  <c r="AB63" i="15"/>
  <c r="DG681" i="6"/>
  <c r="AA63" i="15"/>
  <c r="AB55" i="15"/>
  <c r="DG655" i="6"/>
  <c r="AA55" i="15"/>
  <c r="AB60" i="15"/>
  <c r="DG669" i="6"/>
  <c r="AA60" i="15"/>
  <c r="O121" i="15"/>
  <c r="M435" i="6"/>
  <c r="M439" i="6"/>
  <c r="AE9" i="15"/>
  <c r="AC9" i="15"/>
  <c r="AA303" i="15"/>
  <c r="AA324" i="15"/>
  <c r="AA321" i="15"/>
  <c r="AA323" i="15"/>
  <c r="AA325" i="15"/>
  <c r="AA320" i="15"/>
  <c r="AA322" i="15"/>
  <c r="AA319" i="15"/>
  <c r="DK208" i="2"/>
  <c r="AA296" i="15"/>
  <c r="AC129" i="15"/>
  <c r="AC51" i="15"/>
  <c r="AD132" i="15"/>
  <c r="AE127" i="15"/>
  <c r="O122" i="15"/>
  <c r="BB120" i="15"/>
  <c r="BB122" i="15" s="1"/>
  <c r="AD50" i="15"/>
  <c r="AC121" i="15"/>
  <c r="O129" i="15"/>
  <c r="AC120" i="15"/>
  <c r="O134" i="15"/>
  <c r="P49" i="15"/>
  <c r="AC132" i="15"/>
  <c r="O124" i="15"/>
  <c r="AC123" i="15"/>
  <c r="BD48" i="15"/>
  <c r="BD49" i="15" s="1"/>
  <c r="BI49" i="15" s="1"/>
  <c r="P121" i="15"/>
  <c r="O132" i="15"/>
  <c r="W132" i="15" s="1"/>
  <c r="V132" i="15" s="1"/>
  <c r="U132" i="15" s="1"/>
  <c r="I128" i="15"/>
  <c r="P132" i="15"/>
  <c r="AD120" i="15"/>
  <c r="I127" i="15"/>
  <c r="P128" i="15"/>
  <c r="Q127" i="15"/>
  <c r="O127" i="15" s="1"/>
  <c r="Q123" i="15"/>
  <c r="O123" i="15" s="1"/>
  <c r="R123" i="15"/>
  <c r="Q135" i="15"/>
  <c r="AB29" i="15"/>
  <c r="AB31" i="15"/>
  <c r="AB22" i="15"/>
  <c r="AB20" i="15"/>
  <c r="AB24" i="15"/>
  <c r="AB27" i="15"/>
  <c r="AB49" i="15"/>
  <c r="DG515" i="6"/>
  <c r="AA49" i="15"/>
  <c r="AB51" i="15"/>
  <c r="DG523" i="6"/>
  <c r="AA51" i="15"/>
  <c r="AB50" i="15"/>
  <c r="DG519" i="6"/>
  <c r="AA50" i="15"/>
  <c r="DG450" i="6"/>
  <c r="AA46" i="15"/>
  <c r="AB46" i="15"/>
  <c r="Q131" i="15"/>
  <c r="O131" i="15" s="1"/>
  <c r="DG452" i="6"/>
  <c r="AA47" i="15"/>
  <c r="AB47" i="15"/>
  <c r="R127" i="15"/>
  <c r="R131" i="15"/>
  <c r="R135" i="15"/>
  <c r="AB25" i="15"/>
  <c r="I51" i="16"/>
  <c r="L15" i="15"/>
  <c r="I15" i="15"/>
  <c r="L10" i="15"/>
  <c r="I10" i="15" s="1"/>
  <c r="L11" i="15"/>
  <c r="I11" i="15"/>
  <c r="I53" i="16"/>
  <c r="L12" i="15"/>
  <c r="I55" i="16"/>
  <c r="L13" i="15"/>
  <c r="L14" i="15"/>
  <c r="I14" i="15"/>
  <c r="I61" i="16"/>
  <c r="L16" i="15"/>
  <c r="I16" i="15"/>
  <c r="AC125" i="15"/>
  <c r="AC126" i="15"/>
  <c r="AD122" i="15"/>
  <c r="AF127" i="15"/>
  <c r="DK19" i="2"/>
  <c r="AA261" i="15"/>
  <c r="DK11" i="2"/>
  <c r="AA253" i="15"/>
  <c r="AE253" i="15"/>
  <c r="AC253" i="15"/>
  <c r="DK9" i="2"/>
  <c r="AE251" i="15"/>
  <c r="AC251" i="15"/>
  <c r="DK14" i="2"/>
  <c r="AA256" i="15"/>
  <c r="AE256" i="15"/>
  <c r="AC256" i="15"/>
  <c r="DK183" i="2"/>
  <c r="AA290" i="15"/>
  <c r="AE290" i="15"/>
  <c r="AC290" i="15" s="1"/>
  <c r="DK140" i="2"/>
  <c r="AA283" i="15"/>
  <c r="AE283" i="15"/>
  <c r="AC283" i="15" s="1"/>
  <c r="AE131" i="15"/>
  <c r="AF135" i="15"/>
  <c r="AF131" i="15"/>
  <c r="AE135" i="15"/>
  <c r="DK186" i="2"/>
  <c r="AA293" i="15"/>
  <c r="AE293" i="15"/>
  <c r="AC293" i="15"/>
  <c r="DK185" i="2"/>
  <c r="AA292" i="15"/>
  <c r="AE292" i="15"/>
  <c r="AC292" i="15"/>
  <c r="DG7" i="5"/>
  <c r="AA18" i="15"/>
  <c r="AE18" i="15"/>
  <c r="AC18" i="15" s="1"/>
  <c r="DK16" i="2"/>
  <c r="AA258" i="15"/>
  <c r="AE258" i="15"/>
  <c r="AC258" i="15"/>
  <c r="DK12" i="2"/>
  <c r="AA254" i="15"/>
  <c r="AE254" i="15"/>
  <c r="AC254" i="15" s="1"/>
  <c r="I526" i="6"/>
  <c r="R52" i="15"/>
  <c r="O52" i="15"/>
  <c r="I528" i="6"/>
  <c r="K747" i="6"/>
  <c r="K699" i="6"/>
  <c r="K705" i="6"/>
  <c r="K731" i="6"/>
  <c r="K709" i="6"/>
  <c r="DI59" i="16"/>
  <c r="AF15" i="15"/>
  <c r="DI53" i="16"/>
  <c r="AF12" i="15"/>
  <c r="AC12" i="15" s="1"/>
  <c r="DI49" i="16"/>
  <c r="I49" i="16"/>
  <c r="DG54" i="16"/>
  <c r="AA13" i="15"/>
  <c r="DK17" i="2"/>
  <c r="AA259" i="15"/>
  <c r="DG60" i="16"/>
  <c r="AA16" i="15"/>
  <c r="DG56" i="16"/>
  <c r="AA14" i="15"/>
  <c r="DG7" i="16"/>
  <c r="BG69" i="15"/>
  <c r="BH60" i="15"/>
  <c r="BD125" i="15"/>
  <c r="BD127" i="15" s="1"/>
  <c r="BI127" i="15" s="1"/>
  <c r="BH88" i="15"/>
  <c r="BB119" i="15"/>
  <c r="BG119" i="15" s="1"/>
  <c r="BB121" i="15"/>
  <c r="BA42" i="15"/>
  <c r="BF42" i="15" s="1"/>
  <c r="BA40" i="15"/>
  <c r="BC42" i="15"/>
  <c r="BC40" i="15"/>
  <c r="BH40" i="15" s="1"/>
  <c r="BH105" i="15"/>
  <c r="BF60" i="15"/>
  <c r="BB125" i="15"/>
  <c r="BB127" i="15" s="1"/>
  <c r="BG127" i="15" s="1"/>
  <c r="BA128" i="15"/>
  <c r="BF128" i="15" s="1"/>
  <c r="BB128" i="15"/>
  <c r="BD123" i="15"/>
  <c r="BI123" i="15" s="1"/>
  <c r="BA120" i="15"/>
  <c r="BF120" i="15" s="1"/>
  <c r="BC30" i="15"/>
  <c r="BL30" i="15" s="1"/>
  <c r="DK206" i="2"/>
  <c r="AA294" i="15"/>
  <c r="DK142" i="2"/>
  <c r="AA285" i="15"/>
  <c r="DK207" i="2"/>
  <c r="DK141" i="2"/>
  <c r="AA284" i="15"/>
  <c r="DG647" i="6"/>
  <c r="AA53" i="15"/>
  <c r="DK184" i="2"/>
  <c r="AA291" i="15"/>
  <c r="X2144" i="6"/>
  <c r="DK139" i="2"/>
  <c r="AA282" i="15"/>
  <c r="DK143" i="2"/>
  <c r="AA286" i="15"/>
  <c r="D668" i="7"/>
  <c r="V631" i="7"/>
  <c r="DG22" i="6"/>
  <c r="AA29" i="15"/>
  <c r="DK10" i="2"/>
  <c r="AA252" i="15"/>
  <c r="DK13" i="2"/>
  <c r="AA255" i="15"/>
  <c r="DK21" i="2"/>
  <c r="AA263" i="15"/>
  <c r="DK15" i="2"/>
  <c r="AA257" i="15"/>
  <c r="DK23" i="2"/>
  <c r="AA265" i="15"/>
  <c r="K2264" i="6"/>
  <c r="DJ2264" i="6"/>
  <c r="K2240" i="6"/>
  <c r="DJ2240" i="6"/>
  <c r="K2224" i="6"/>
  <c r="DJ2224" i="6"/>
  <c r="K2236" i="6"/>
  <c r="DJ2236" i="6"/>
  <c r="K2252" i="6"/>
  <c r="DJ2252" i="6"/>
  <c r="K2260" i="6"/>
  <c r="DJ2260" i="6"/>
  <c r="K2228" i="6"/>
  <c r="DJ2228" i="6"/>
  <c r="K2248" i="6"/>
  <c r="DJ2248" i="6"/>
  <c r="K2246" i="6"/>
  <c r="DJ2246" i="6"/>
  <c r="K2268" i="6"/>
  <c r="DJ2268" i="6"/>
  <c r="K2244" i="6"/>
  <c r="DJ2244" i="6"/>
  <c r="K2232" i="6"/>
  <c r="DJ2232" i="6"/>
  <c r="K2256" i="6"/>
  <c r="DJ2256" i="6"/>
  <c r="K2258" i="6"/>
  <c r="DJ2258" i="6"/>
  <c r="K2270" i="6"/>
  <c r="DJ2270" i="6"/>
  <c r="K2234" i="6"/>
  <c r="DJ2234" i="6"/>
  <c r="DG50" i="16"/>
  <c r="AA11" i="15"/>
  <c r="DJ731" i="6"/>
  <c r="K743" i="6"/>
  <c r="DJ747" i="6"/>
  <c r="K781" i="6"/>
  <c r="K797" i="6"/>
  <c r="K813" i="6"/>
  <c r="K817" i="6"/>
  <c r="K827" i="6"/>
  <c r="K831" i="6"/>
  <c r="K839" i="6"/>
  <c r="K843" i="6"/>
  <c r="K845" i="6"/>
  <c r="K851" i="6"/>
  <c r="P130" i="15"/>
  <c r="AF10" i="15"/>
  <c r="AC10" i="15"/>
  <c r="AA251" i="15"/>
  <c r="AA295" i="15"/>
  <c r="AC127" i="15"/>
  <c r="AD126" i="15"/>
  <c r="P134" i="15"/>
  <c r="AD134" i="15"/>
  <c r="P122" i="15"/>
  <c r="O135" i="15"/>
  <c r="W135" i="15" s="1"/>
  <c r="V135" i="15" s="1"/>
  <c r="U135" i="15" s="1"/>
  <c r="AB123" i="15"/>
  <c r="DG2270" i="6"/>
  <c r="AA135" i="15"/>
  <c r="AB135" i="15"/>
  <c r="DG2258" i="6"/>
  <c r="AA131" i="15"/>
  <c r="AB131" i="15"/>
  <c r="AB130" i="15"/>
  <c r="DG2232" i="6"/>
  <c r="AA122" i="15"/>
  <c r="AB122" i="15"/>
  <c r="AB126" i="15"/>
  <c r="DG2268" i="6"/>
  <c r="AA134" i="15"/>
  <c r="AB134" i="15"/>
  <c r="DG2246" i="6"/>
  <c r="AA127" i="15"/>
  <c r="AB127" i="15"/>
  <c r="AB128" i="15"/>
  <c r="DG2228" i="6"/>
  <c r="AA121" i="15"/>
  <c r="AB121" i="15"/>
  <c r="DG2260" i="6"/>
  <c r="AA132" i="15"/>
  <c r="AB132" i="15"/>
  <c r="DG2252" i="6"/>
  <c r="AA129" i="15"/>
  <c r="AB129" i="15"/>
  <c r="DG2236" i="6"/>
  <c r="AA124" i="15"/>
  <c r="AB124" i="15"/>
  <c r="DG2224" i="6"/>
  <c r="AA120" i="15"/>
  <c r="AB120" i="15"/>
  <c r="DG2240" i="6"/>
  <c r="AA125" i="15"/>
  <c r="AB125" i="15"/>
  <c r="DG2264" i="6"/>
  <c r="AA133" i="15"/>
  <c r="AB133" i="15"/>
  <c r="K689" i="6"/>
  <c r="K651" i="6"/>
  <c r="K661" i="6"/>
  <c r="AA9" i="15"/>
  <c r="AC135" i="15"/>
  <c r="AC131" i="15"/>
  <c r="K725" i="6"/>
  <c r="DJ699" i="6"/>
  <c r="K757" i="6"/>
  <c r="K739" i="6"/>
  <c r="DJ705" i="6"/>
  <c r="K759" i="6"/>
  <c r="K835" i="6"/>
  <c r="K837" i="6"/>
  <c r="K821" i="6"/>
  <c r="DJ709" i="6"/>
  <c r="K753" i="6"/>
  <c r="K751" i="6"/>
  <c r="DG48" i="16"/>
  <c r="DG58" i="16"/>
  <c r="AA15" i="15"/>
  <c r="DG525" i="6"/>
  <c r="AA52" i="15"/>
  <c r="K849" i="6"/>
  <c r="K847" i="6"/>
  <c r="K801" i="6"/>
  <c r="K695" i="6"/>
  <c r="K713" i="6"/>
  <c r="DG52" i="16"/>
  <c r="AA12" i="15"/>
  <c r="BI69" i="15"/>
  <c r="BF40" i="15"/>
  <c r="I316" i="6"/>
  <c r="I318" i="6"/>
  <c r="I323" i="6"/>
  <c r="I320" i="6"/>
  <c r="I319" i="6"/>
  <c r="I324" i="6"/>
  <c r="I322" i="6"/>
  <c r="I317" i="6"/>
  <c r="I315" i="6"/>
  <c r="I321" i="6"/>
  <c r="D743" i="7"/>
  <c r="V743" i="7" s="1"/>
  <c r="V668" i="7"/>
  <c r="DG2248" i="6"/>
  <c r="AA128" i="15"/>
  <c r="DG2256" i="6"/>
  <c r="AA130" i="15"/>
  <c r="DG2244" i="6"/>
  <c r="AA126" i="15"/>
  <c r="DG2234" i="6"/>
  <c r="AA123" i="15"/>
  <c r="DJ839" i="6"/>
  <c r="DJ781" i="6"/>
  <c r="DJ725" i="6"/>
  <c r="DJ651" i="6"/>
  <c r="DG651" i="6"/>
  <c r="AA54" i="15"/>
  <c r="DJ753" i="6"/>
  <c r="DJ689" i="6"/>
  <c r="DG689" i="6"/>
  <c r="AA66" i="15"/>
  <c r="DJ827" i="6"/>
  <c r="DJ743" i="6"/>
  <c r="DJ751" i="6"/>
  <c r="DJ821" i="6"/>
  <c r="DJ837" i="6"/>
  <c r="DG837" i="6"/>
  <c r="AA113" i="15"/>
  <c r="DJ851" i="6"/>
  <c r="DJ817" i="6"/>
  <c r="DJ835" i="6"/>
  <c r="DJ845" i="6"/>
  <c r="DG845" i="6"/>
  <c r="AA116" i="15"/>
  <c r="DJ813" i="6"/>
  <c r="DJ759" i="6"/>
  <c r="DJ831" i="6"/>
  <c r="DJ843" i="6"/>
  <c r="DJ797" i="6"/>
  <c r="DJ739" i="6"/>
  <c r="DG739" i="6"/>
  <c r="AA85" i="15"/>
  <c r="DJ757" i="6"/>
  <c r="DJ661" i="6"/>
  <c r="DG661" i="6"/>
  <c r="AA57" i="15"/>
  <c r="K785" i="6"/>
  <c r="K703" i="6"/>
  <c r="K711" i="6"/>
  <c r="AB89" i="15"/>
  <c r="DG751" i="6"/>
  <c r="AA89" i="15"/>
  <c r="AB90" i="15"/>
  <c r="DG753" i="6"/>
  <c r="AA90" i="15"/>
  <c r="AB108" i="15"/>
  <c r="DG821" i="6"/>
  <c r="AA108" i="15"/>
  <c r="AB115" i="15"/>
  <c r="DG843" i="6"/>
  <c r="AA115" i="15"/>
  <c r="AB83" i="15"/>
  <c r="DG731" i="6"/>
  <c r="AA83" i="15"/>
  <c r="AB98" i="15"/>
  <c r="DG781" i="6"/>
  <c r="AA98" i="15"/>
  <c r="AB73" i="15"/>
  <c r="DG705" i="6"/>
  <c r="AA73" i="15"/>
  <c r="AB110" i="15"/>
  <c r="DG827" i="6"/>
  <c r="AA110" i="15"/>
  <c r="AB91" i="15"/>
  <c r="DG757" i="6"/>
  <c r="AA91" i="15"/>
  <c r="AB70" i="15"/>
  <c r="DG699" i="6"/>
  <c r="AA70" i="15"/>
  <c r="AB114" i="15"/>
  <c r="DG839" i="6"/>
  <c r="AA114" i="15"/>
  <c r="AB57" i="15"/>
  <c r="AB66" i="15"/>
  <c r="K729" i="6"/>
  <c r="K673" i="6"/>
  <c r="AB54" i="15"/>
  <c r="K745" i="6"/>
  <c r="K707" i="6"/>
  <c r="DJ713" i="6"/>
  <c r="K809" i="6"/>
  <c r="K793" i="6"/>
  <c r="DJ695" i="6"/>
  <c r="DJ801" i="6"/>
  <c r="K777" i="6"/>
  <c r="K823" i="6"/>
  <c r="DJ847" i="6"/>
  <c r="K763" i="6"/>
  <c r="DJ849" i="6"/>
  <c r="K735" i="6"/>
  <c r="K238" i="6"/>
  <c r="DJ238" i="6"/>
  <c r="K236" i="6"/>
  <c r="DJ236" i="6"/>
  <c r="K234" i="6"/>
  <c r="DJ234" i="6"/>
  <c r="K246" i="6"/>
  <c r="DJ246" i="6"/>
  <c r="DG851" i="6"/>
  <c r="AA119" i="15"/>
  <c r="AB119" i="15"/>
  <c r="DG797" i="6"/>
  <c r="AA102" i="15"/>
  <c r="AB102" i="15"/>
  <c r="DG747" i="6"/>
  <c r="AA88" i="15"/>
  <c r="AB88" i="15"/>
  <c r="DG709" i="6"/>
  <c r="AA75" i="15"/>
  <c r="AB75" i="15"/>
  <c r="AB113" i="15"/>
  <c r="DG813" i="6"/>
  <c r="AA106" i="15"/>
  <c r="AB106" i="15"/>
  <c r="DG835" i="6"/>
  <c r="AA112" i="15"/>
  <c r="AB112" i="15"/>
  <c r="DG759" i="6"/>
  <c r="AA92" i="15"/>
  <c r="AB92" i="15"/>
  <c r="DG743" i="6"/>
  <c r="AA86" i="15"/>
  <c r="AB86" i="15"/>
  <c r="AB116" i="15"/>
  <c r="AB85" i="15"/>
  <c r="DG831" i="6"/>
  <c r="AA111" i="15"/>
  <c r="AB111" i="15"/>
  <c r="DG725" i="6"/>
  <c r="AA80" i="15"/>
  <c r="AB80" i="15"/>
  <c r="AB107" i="15"/>
  <c r="K231" i="6"/>
  <c r="DJ231" i="6"/>
  <c r="K250" i="6"/>
  <c r="DJ250" i="6"/>
  <c r="AA10" i="15"/>
  <c r="K248" i="6"/>
  <c r="DJ248" i="6"/>
  <c r="K254" i="6"/>
  <c r="K717" i="6"/>
  <c r="K789" i="6"/>
  <c r="K769" i="6"/>
  <c r="K805" i="6"/>
  <c r="K765" i="6"/>
  <c r="DG817" i="6"/>
  <c r="AA107" i="15"/>
  <c r="I329" i="6"/>
  <c r="I330" i="6"/>
  <c r="I332" i="6"/>
  <c r="I334" i="6"/>
  <c r="I331" i="6"/>
  <c r="I328" i="6"/>
  <c r="I327" i="6"/>
  <c r="I325" i="6"/>
  <c r="I326" i="6"/>
  <c r="I333" i="6"/>
  <c r="DJ763" i="6"/>
  <c r="DJ793" i="6"/>
  <c r="DJ809" i="6"/>
  <c r="DJ823" i="6"/>
  <c r="DJ769" i="6"/>
  <c r="DG769" i="6"/>
  <c r="AA95" i="15"/>
  <c r="DJ707" i="6"/>
  <c r="DG707" i="6"/>
  <c r="AA74" i="15"/>
  <c r="DJ805" i="6"/>
  <c r="DJ745" i="6"/>
  <c r="DJ789" i="6"/>
  <c r="DJ717" i="6"/>
  <c r="DJ777" i="6"/>
  <c r="DJ735" i="6"/>
  <c r="DJ765" i="6"/>
  <c r="DJ785" i="6"/>
  <c r="DJ673" i="6"/>
  <c r="DG673" i="6"/>
  <c r="AA61" i="15"/>
  <c r="DJ254" i="6"/>
  <c r="DJ711" i="6"/>
  <c r="DG711" i="6"/>
  <c r="AA76" i="15"/>
  <c r="DJ703" i="6"/>
  <c r="DG703" i="6"/>
  <c r="AA72" i="15"/>
  <c r="DJ729" i="6"/>
  <c r="DG729" i="6"/>
  <c r="AA82" i="15"/>
  <c r="AB72" i="15"/>
  <c r="AB76" i="15"/>
  <c r="AB82" i="15"/>
  <c r="AB94" i="15"/>
  <c r="DG765" i="6"/>
  <c r="AA94" i="15"/>
  <c r="AB104" i="15"/>
  <c r="DG805" i="6"/>
  <c r="AA104" i="15"/>
  <c r="AB44" i="15"/>
  <c r="AB42" i="15"/>
  <c r="DG248" i="6"/>
  <c r="AA42" i="15"/>
  <c r="AB43" i="15"/>
  <c r="DG250" i="6"/>
  <c r="AA43" i="15"/>
  <c r="AB35" i="15"/>
  <c r="AB41" i="15"/>
  <c r="DG246" i="6"/>
  <c r="AA41" i="15"/>
  <c r="AB37" i="15"/>
  <c r="DG234" i="6"/>
  <c r="AA37" i="15"/>
  <c r="AB38" i="15"/>
  <c r="DG236" i="6"/>
  <c r="AA38" i="15"/>
  <c r="AB39" i="15"/>
  <c r="DG238" i="6"/>
  <c r="AA39" i="15"/>
  <c r="DG735" i="6"/>
  <c r="AA84" i="15"/>
  <c r="AB118" i="15"/>
  <c r="DG849" i="6"/>
  <c r="AA118" i="15"/>
  <c r="AB93" i="15"/>
  <c r="DG763" i="6"/>
  <c r="AA93" i="15"/>
  <c r="AB117" i="15"/>
  <c r="DG847" i="6"/>
  <c r="AA117" i="15"/>
  <c r="AB109" i="15"/>
  <c r="DG823" i="6"/>
  <c r="AA109" i="15"/>
  <c r="AB97" i="15"/>
  <c r="DG777" i="6"/>
  <c r="AA97" i="15"/>
  <c r="AB103" i="15"/>
  <c r="DG801" i="6"/>
  <c r="AA103" i="15"/>
  <c r="AB69" i="15"/>
  <c r="DG695" i="6"/>
  <c r="AA69" i="15"/>
  <c r="AB101" i="15"/>
  <c r="DG793" i="6"/>
  <c r="AA101" i="15"/>
  <c r="AB105" i="15"/>
  <c r="DG809" i="6"/>
  <c r="AA105" i="15"/>
  <c r="AB77" i="15"/>
  <c r="DG713" i="6"/>
  <c r="AA77" i="15"/>
  <c r="AB87" i="15"/>
  <c r="DG745" i="6"/>
  <c r="AA87" i="15"/>
  <c r="AB84" i="15"/>
  <c r="AB74" i="15"/>
  <c r="K233" i="6"/>
  <c r="DJ233" i="6"/>
  <c r="AB61" i="15"/>
  <c r="DG785" i="6"/>
  <c r="AA99" i="15"/>
  <c r="AB99" i="15"/>
  <c r="AB95" i="15"/>
  <c r="DG789" i="6"/>
  <c r="AA100" i="15"/>
  <c r="AB100" i="15"/>
  <c r="DG717" i="6"/>
  <c r="AA78" i="15"/>
  <c r="AB78" i="15"/>
  <c r="K242" i="6"/>
  <c r="DJ242" i="6"/>
  <c r="I341" i="6"/>
  <c r="I340" i="6"/>
  <c r="I338" i="6"/>
  <c r="I335" i="6"/>
  <c r="I339" i="6"/>
  <c r="I342" i="6"/>
  <c r="I344" i="6"/>
  <c r="I343" i="6"/>
  <c r="I336" i="6"/>
  <c r="I337" i="6"/>
  <c r="DG231" i="6"/>
  <c r="AA35" i="15"/>
  <c r="AB40" i="15"/>
  <c r="AB36" i="15"/>
  <c r="DG233" i="6"/>
  <c r="AA36" i="15"/>
  <c r="DG254" i="6"/>
  <c r="AA44" i="15"/>
  <c r="I345" i="6"/>
  <c r="I346" i="6"/>
  <c r="I351" i="6"/>
  <c r="I354" i="6"/>
  <c r="I352" i="6"/>
  <c r="I349" i="6"/>
  <c r="I348" i="6"/>
  <c r="I353" i="6"/>
  <c r="I347" i="6"/>
  <c r="I350" i="6"/>
  <c r="DG242" i="6"/>
  <c r="AA40" i="15"/>
  <c r="I357" i="6"/>
  <c r="I358" i="6"/>
  <c r="I364" i="6"/>
  <c r="I359" i="6"/>
  <c r="I363" i="6"/>
  <c r="I361" i="6"/>
  <c r="I356" i="6"/>
  <c r="I360" i="6"/>
  <c r="I362" i="6"/>
  <c r="I355" i="6"/>
  <c r="V906" i="7"/>
  <c r="D970" i="7"/>
  <c r="D994" i="7" s="1"/>
  <c r="V994" i="7" s="1"/>
  <c r="I30" i="6"/>
  <c r="Q34" i="15"/>
  <c r="O34" i="15" s="1"/>
  <c r="DI21" i="6"/>
  <c r="DI16" i="6"/>
  <c r="AE25" i="15"/>
  <c r="AC25" i="15"/>
  <c r="M33" i="15"/>
  <c r="J33" i="15" s="1"/>
  <c r="M27" i="15"/>
  <c r="M31" i="15"/>
  <c r="K27" i="15"/>
  <c r="I18" i="6"/>
  <c r="Q26" i="15"/>
  <c r="O26" i="15" s="1"/>
  <c r="K32" i="15"/>
  <c r="I32" i="15"/>
  <c r="K21" i="15"/>
  <c r="I21" i="15"/>
  <c r="DI9" i="6"/>
  <c r="AG20" i="15"/>
  <c r="AD20" i="15" s="1"/>
  <c r="K20" i="15"/>
  <c r="K33" i="15"/>
  <c r="I33" i="15" s="1"/>
  <c r="K69" i="6"/>
  <c r="K208" i="6"/>
  <c r="K68" i="6"/>
  <c r="K207" i="6"/>
  <c r="K72" i="6"/>
  <c r="K211" i="6"/>
  <c r="K67" i="6"/>
  <c r="L11" i="6"/>
  <c r="AJ22" i="15"/>
  <c r="K86" i="6"/>
  <c r="K225" i="6"/>
  <c r="K84" i="6"/>
  <c r="L28" i="6"/>
  <c r="AJ33" i="15"/>
  <c r="K70" i="6"/>
  <c r="K209" i="6"/>
  <c r="K66" i="6"/>
  <c r="K205" i="6"/>
  <c r="K75" i="6"/>
  <c r="L19" i="6"/>
  <c r="AJ27" i="15"/>
  <c r="K73" i="6"/>
  <c r="L17" i="6"/>
  <c r="K71" i="6"/>
  <c r="L15" i="6"/>
  <c r="K77" i="6"/>
  <c r="L21" i="6"/>
  <c r="AJ28" i="15"/>
  <c r="K65" i="6"/>
  <c r="L9" i="6"/>
  <c r="K74" i="6"/>
  <c r="K213" i="6"/>
  <c r="K85" i="6"/>
  <c r="K224" i="6"/>
  <c r="K83" i="6"/>
  <c r="K222" i="6"/>
  <c r="K82" i="6"/>
  <c r="L26" i="6"/>
  <c r="K221" i="6"/>
  <c r="K81" i="6"/>
  <c r="L25" i="6"/>
  <c r="AJ31" i="15"/>
  <c r="K76" i="6"/>
  <c r="L20" i="6"/>
  <c r="K64" i="6"/>
  <c r="L8" i="6"/>
  <c r="AJ20" i="15"/>
  <c r="L29" i="6"/>
  <c r="K210" i="6"/>
  <c r="DI19" i="6"/>
  <c r="AE27" i="15"/>
  <c r="AC27" i="15" s="1"/>
  <c r="L27" i="6"/>
  <c r="AJ32" i="15"/>
  <c r="L12" i="6"/>
  <c r="I28" i="6"/>
  <c r="Q33" i="15"/>
  <c r="O33" i="15" s="1"/>
  <c r="L30" i="6"/>
  <c r="AJ34" i="15"/>
  <c r="DI13" i="6"/>
  <c r="DG13" i="6"/>
  <c r="AA23" i="15"/>
  <c r="K220" i="6"/>
  <c r="K212" i="6"/>
  <c r="I8" i="6"/>
  <c r="Q20" i="15"/>
  <c r="O20" i="15" s="1"/>
  <c r="K34" i="15"/>
  <c r="I34" i="15"/>
  <c r="DI30" i="6"/>
  <c r="AE34" i="15"/>
  <c r="AC34" i="15" s="1"/>
  <c r="K214" i="6"/>
  <c r="K203" i="6"/>
  <c r="I25" i="6"/>
  <c r="Q31" i="15"/>
  <c r="O31" i="15"/>
  <c r="I15" i="6"/>
  <c r="S24" i="15"/>
  <c r="P24" i="15" s="1"/>
  <c r="I16" i="6"/>
  <c r="Q25" i="15"/>
  <c r="O25" i="15"/>
  <c r="K215" i="6"/>
  <c r="L10" i="6"/>
  <c r="AJ21" i="15"/>
  <c r="L16" i="6"/>
  <c r="AJ25" i="15"/>
  <c r="I27" i="6"/>
  <c r="Q32" i="15"/>
  <c r="O32" i="15"/>
  <c r="I14" i="6"/>
  <c r="Q24" i="15"/>
  <c r="O24" i="15" s="1"/>
  <c r="K25" i="15"/>
  <c r="I25" i="15" s="1"/>
  <c r="DI14" i="6"/>
  <c r="AE24" i="15"/>
  <c r="AC24" i="15"/>
  <c r="L14" i="6"/>
  <c r="AJ24" i="15"/>
  <c r="DI17" i="6"/>
  <c r="AG25" i="15"/>
  <c r="AD25" i="15"/>
  <c r="I26" i="6"/>
  <c r="S31" i="15"/>
  <c r="P31" i="15" s="1"/>
  <c r="I20" i="6"/>
  <c r="S27" i="15"/>
  <c r="P27" i="15" s="1"/>
  <c r="I21" i="6"/>
  <c r="Q28" i="15"/>
  <c r="O28" i="15"/>
  <c r="I11" i="6"/>
  <c r="Q22" i="15"/>
  <c r="O22" i="15" s="1"/>
  <c r="DI20" i="6"/>
  <c r="AG27" i="15"/>
  <c r="AD27" i="15"/>
  <c r="I17" i="6"/>
  <c r="S25" i="15"/>
  <c r="P25" i="15" s="1"/>
  <c r="I13" i="6"/>
  <c r="Q23" i="15"/>
  <c r="O23" i="15" s="1"/>
  <c r="DI29" i="6"/>
  <c r="AG33" i="15"/>
  <c r="AD33" i="15"/>
  <c r="DI11" i="6"/>
  <c r="AE22" i="15"/>
  <c r="AC22" i="15"/>
  <c r="I12" i="6"/>
  <c r="S22" i="15"/>
  <c r="P22" i="15"/>
  <c r="I19" i="6"/>
  <c r="Q27" i="15"/>
  <c r="O27" i="15"/>
  <c r="K223" i="6"/>
  <c r="I10" i="6"/>
  <c r="Q21" i="15"/>
  <c r="O21" i="15"/>
  <c r="DI10" i="6"/>
  <c r="I20" i="15"/>
  <c r="BA21" i="15"/>
  <c r="BK21" i="15" s="1"/>
  <c r="BA20" i="15"/>
  <c r="BK20" i="15" s="1"/>
  <c r="AE28" i="15"/>
  <c r="AC28" i="15" s="1"/>
  <c r="DG21" i="6"/>
  <c r="AA28" i="15"/>
  <c r="I24" i="15"/>
  <c r="J27" i="15"/>
  <c r="J31" i="15"/>
  <c r="I27" i="15"/>
  <c r="K204" i="6"/>
  <c r="K31" i="15"/>
  <c r="K23" i="15"/>
  <c r="I23" i="15" s="1"/>
  <c r="K216" i="6"/>
  <c r="M20" i="15"/>
  <c r="DI8" i="6"/>
  <c r="DI18" i="6"/>
  <c r="M25" i="15"/>
  <c r="DI25" i="6"/>
  <c r="K26" i="15"/>
  <c r="L18" i="6"/>
  <c r="AJ26" i="15"/>
  <c r="L13" i="6"/>
  <c r="AJ23" i="15"/>
  <c r="DI12" i="6"/>
  <c r="AG22" i="15"/>
  <c r="AD22" i="15"/>
  <c r="DI15" i="6"/>
  <c r="K28" i="15"/>
  <c r="I28" i="15"/>
  <c r="K22" i="15"/>
  <c r="I22" i="15" s="1"/>
  <c r="K206" i="6"/>
  <c r="M22" i="15"/>
  <c r="BC23" i="15" s="1"/>
  <c r="DI28" i="6"/>
  <c r="DI26" i="6"/>
  <c r="AG31" i="15"/>
  <c r="AD31" i="15"/>
  <c r="DI27" i="6"/>
  <c r="I29" i="6"/>
  <c r="S33" i="15"/>
  <c r="P33" i="15" s="1"/>
  <c r="I9" i="6"/>
  <c r="S20" i="15"/>
  <c r="P20" i="15"/>
  <c r="AE23" i="15"/>
  <c r="AC23" i="15" s="1"/>
  <c r="BC33" i="15"/>
  <c r="BL33" i="15" s="1"/>
  <c r="DG30" i="6"/>
  <c r="AA34" i="15"/>
  <c r="BA26" i="15"/>
  <c r="BK26" i="15" s="1"/>
  <c r="DG16" i="6"/>
  <c r="AA25" i="15"/>
  <c r="J24" i="15"/>
  <c r="DG10" i="6"/>
  <c r="AA21" i="15"/>
  <c r="AE21" i="15"/>
  <c r="AC21" i="15" s="1"/>
  <c r="BC28" i="15"/>
  <c r="BA27" i="15"/>
  <c r="BF27" i="15" s="1"/>
  <c r="BM27" i="15" s="1"/>
  <c r="DG19" i="6"/>
  <c r="AA27" i="15"/>
  <c r="AE20" i="15"/>
  <c r="AC20" i="15"/>
  <c r="DG8" i="6"/>
  <c r="AA20" i="15"/>
  <c r="AE32" i="15"/>
  <c r="AC32" i="15" s="1"/>
  <c r="DG27" i="6"/>
  <c r="AA32" i="15"/>
  <c r="DG18" i="6"/>
  <c r="AA26" i="15"/>
  <c r="AE26" i="15"/>
  <c r="AC26" i="15"/>
  <c r="BC20" i="15"/>
  <c r="BL20" i="15" s="1"/>
  <c r="J20" i="15"/>
  <c r="BC21" i="15"/>
  <c r="BL21" i="15" s="1"/>
  <c r="DG28" i="6"/>
  <c r="AA33" i="15"/>
  <c r="AE33" i="15"/>
  <c r="AC33" i="15"/>
  <c r="AG24" i="15"/>
  <c r="AD24" i="15"/>
  <c r="DG14" i="6"/>
  <c r="AA24" i="15"/>
  <c r="DG11" i="6"/>
  <c r="AA22" i="15"/>
  <c r="DG25" i="6"/>
  <c r="AA31" i="15"/>
  <c r="AE31" i="15"/>
  <c r="AC31" i="15"/>
  <c r="BA31" i="15"/>
  <c r="BF31" i="15" s="1"/>
  <c r="BM31" i="15" s="1"/>
  <c r="BC27" i="15"/>
  <c r="BC25" i="15"/>
  <c r="BH25" i="15" s="1"/>
  <c r="BC26" i="15"/>
  <c r="J25" i="15"/>
  <c r="BA28" i="15"/>
  <c r="BF28" i="15" s="1"/>
  <c r="BM28" i="15" s="1"/>
  <c r="AG420" i="7" l="1"/>
  <c r="AG458" i="7"/>
  <c r="AG982" i="7"/>
  <c r="AG685" i="7"/>
  <c r="AG137" i="7"/>
  <c r="AG779" i="7"/>
  <c r="AG15" i="16"/>
  <c r="AG674" i="7"/>
  <c r="DH37" i="2"/>
  <c r="AG469" i="7"/>
  <c r="AG606" i="7"/>
  <c r="AG638" i="7"/>
  <c r="AG47" i="16"/>
  <c r="AG102" i="2"/>
  <c r="AG862" i="7"/>
  <c r="AG845" i="7"/>
  <c r="AG48" i="7"/>
  <c r="AG975" i="7"/>
  <c r="AG290" i="2"/>
  <c r="AG709" i="7"/>
  <c r="AG521" i="7"/>
  <c r="AG939" i="7"/>
  <c r="AG138" i="16"/>
  <c r="AG433" i="7"/>
  <c r="AG616" i="7"/>
  <c r="AG205" i="2"/>
  <c r="AG59" i="2"/>
  <c r="AG751" i="7"/>
  <c r="AG101" i="7"/>
  <c r="AG486" i="7"/>
  <c r="AG312" i="2"/>
  <c r="AG362" i="2"/>
  <c r="AG37" i="2"/>
  <c r="AG119" i="2"/>
  <c r="AG33" i="7"/>
  <c r="AG495" i="7"/>
  <c r="AG801" i="7"/>
  <c r="AG950" i="7"/>
  <c r="AS982" i="7"/>
  <c r="CG72" i="2"/>
  <c r="AB160" i="15"/>
  <c r="AB191" i="15"/>
  <c r="AF293" i="7"/>
  <c r="AB152" i="15"/>
  <c r="X145" i="15"/>
  <c r="Z145" i="15" s="1"/>
  <c r="X184" i="15"/>
  <c r="Z184" i="15" s="1"/>
  <c r="AB167" i="15"/>
  <c r="DH559" i="7"/>
  <c r="DJ126" i="7"/>
  <c r="DJ116" i="7"/>
  <c r="DI713" i="7"/>
  <c r="DG713" i="7" s="1"/>
  <c r="AA206" i="15" s="1"/>
  <c r="I118" i="7"/>
  <c r="F118" i="7" s="1"/>
  <c r="DH780" i="7"/>
  <c r="DI780" i="7" s="1"/>
  <c r="AE209" i="15" s="1"/>
  <c r="AC209" i="15" s="1"/>
  <c r="DJ131" i="7"/>
  <c r="DI1005" i="7"/>
  <c r="AE237" i="15" s="1"/>
  <c r="AC237" i="15" s="1"/>
  <c r="I206" i="15"/>
  <c r="DH848" i="7"/>
  <c r="DI848" i="7" s="1"/>
  <c r="AE217" i="15" s="1"/>
  <c r="AC217" i="15" s="1"/>
  <c r="F40" i="7"/>
  <c r="I146" i="15" s="1"/>
  <c r="F123" i="7"/>
  <c r="I170" i="15" s="1"/>
  <c r="DJ526" i="7"/>
  <c r="F524" i="7"/>
  <c r="DI524" i="7" s="1"/>
  <c r="AB224" i="15"/>
  <c r="AB205" i="15"/>
  <c r="AB203" i="15"/>
  <c r="DH126" i="7"/>
  <c r="DH1001" i="7"/>
  <c r="AB240" i="15"/>
  <c r="AF761" i="7"/>
  <c r="DH1002" i="7"/>
  <c r="DI1002" i="7" s="1"/>
  <c r="F130" i="7"/>
  <c r="AF130" i="7" s="1"/>
  <c r="DJ522" i="7"/>
  <c r="F107" i="7"/>
  <c r="DJ752" i="7"/>
  <c r="F111" i="7"/>
  <c r="F109" i="7"/>
  <c r="AF109" i="7" s="1"/>
  <c r="F855" i="7"/>
  <c r="I224" i="15" s="1"/>
  <c r="AB208" i="15"/>
  <c r="AB196" i="15"/>
  <c r="AB166" i="15"/>
  <c r="AF560" i="7"/>
  <c r="DH557" i="7"/>
  <c r="DI557" i="7" s="1"/>
  <c r="AE195" i="15" s="1"/>
  <c r="AC195" i="15" s="1"/>
  <c r="J196" i="15"/>
  <c r="DJ114" i="7"/>
  <c r="DH524" i="7"/>
  <c r="DJ423" i="7"/>
  <c r="AB137" i="15"/>
  <c r="X193" i="15"/>
  <c r="Z193" i="15" s="1"/>
  <c r="M848" i="7"/>
  <c r="O217" i="15" s="1"/>
  <c r="AF297" i="7"/>
  <c r="AB226" i="15"/>
  <c r="F846" i="7"/>
  <c r="AB197" i="15"/>
  <c r="AB223" i="15"/>
  <c r="F941" i="7"/>
  <c r="I941" i="7" s="1"/>
  <c r="P229" i="15" s="1"/>
  <c r="V970" i="7"/>
  <c r="DJ488" i="7"/>
  <c r="DJ640" i="7"/>
  <c r="F943" i="7"/>
  <c r="AG943" i="7" s="1"/>
  <c r="D773" i="7"/>
  <c r="AB158" i="15"/>
  <c r="I108" i="7"/>
  <c r="F108" i="7" s="1"/>
  <c r="AF108" i="7" s="1"/>
  <c r="X224" i="15"/>
  <c r="Z224" i="15" s="1"/>
  <c r="W224" i="15" s="1"/>
  <c r="V224" i="15" s="1"/>
  <c r="DH114" i="7"/>
  <c r="DI114" i="7" s="1"/>
  <c r="DG114" i="7" s="1"/>
  <c r="AA161" i="15" s="1"/>
  <c r="F114" i="7"/>
  <c r="X158" i="15"/>
  <c r="Z158" i="15" s="1"/>
  <c r="DJ847" i="7"/>
  <c r="AB230" i="15"/>
  <c r="F116" i="7"/>
  <c r="AF116" i="7" s="1"/>
  <c r="J640" i="7"/>
  <c r="O200" i="15" s="1"/>
  <c r="DH977" i="7"/>
  <c r="DI977" i="7" s="1"/>
  <c r="AB229" i="15"/>
  <c r="X156" i="15"/>
  <c r="Z156" i="15" s="1"/>
  <c r="I106" i="7"/>
  <c r="F106" i="7" s="1"/>
  <c r="I153" i="15" s="1"/>
  <c r="Y230" i="15"/>
  <c r="Z230" i="15" s="1"/>
  <c r="DH941" i="7"/>
  <c r="F34" i="7"/>
  <c r="I140" i="15" s="1"/>
  <c r="AS914" i="7"/>
  <c r="F124" i="7"/>
  <c r="K124" i="7" s="1"/>
  <c r="O171" i="15" s="1"/>
  <c r="F119" i="7"/>
  <c r="K119" i="7" s="1"/>
  <c r="O166" i="15" s="1"/>
  <c r="F522" i="7"/>
  <c r="DI522" i="7" s="1"/>
  <c r="DG522" i="7" s="1"/>
  <c r="AA189" i="15" s="1"/>
  <c r="DH41" i="7"/>
  <c r="X155" i="15"/>
  <c r="Z155" i="15" s="1"/>
  <c r="K523" i="7"/>
  <c r="O190" i="15" s="1"/>
  <c r="W190" i="15" s="1"/>
  <c r="V190" i="15" s="1"/>
  <c r="U190" i="15" s="1"/>
  <c r="E79" i="7"/>
  <c r="DJ103" i="7"/>
  <c r="X229" i="15"/>
  <c r="F127" i="7"/>
  <c r="DJ780" i="7"/>
  <c r="I1008" i="7"/>
  <c r="O240" i="15" s="1"/>
  <c r="DI35" i="7"/>
  <c r="AE141" i="15" s="1"/>
  <c r="AC141" i="15" s="1"/>
  <c r="AF320" i="7"/>
  <c r="I240" i="15"/>
  <c r="F856" i="7"/>
  <c r="DI856" i="7" s="1"/>
  <c r="AE225" i="15" s="1"/>
  <c r="AC225" i="15" s="1"/>
  <c r="DH105" i="7"/>
  <c r="AG23" i="22"/>
  <c r="AG44" i="22"/>
  <c r="AG37" i="22"/>
  <c r="F459" i="7"/>
  <c r="K459" i="7" s="1"/>
  <c r="O185" i="15" s="1"/>
  <c r="U185" i="15" s="1"/>
  <c r="DI711" i="7"/>
  <c r="DG711" i="7" s="1"/>
  <c r="AA204" i="15" s="1"/>
  <c r="AG676" i="7"/>
  <c r="I202" i="15"/>
  <c r="J676" i="7"/>
  <c r="O202" i="15" s="1"/>
  <c r="V202" i="15" s="1"/>
  <c r="U202" i="15" s="1"/>
  <c r="K35" i="7"/>
  <c r="O141" i="15" s="1"/>
  <c r="W141" i="15" s="1"/>
  <c r="V141" i="15" s="1"/>
  <c r="U141" i="15" s="1"/>
  <c r="I141" i="15"/>
  <c r="AF35" i="7"/>
  <c r="E77" i="7"/>
  <c r="E89" i="7"/>
  <c r="M856" i="7"/>
  <c r="O225" i="15" s="1"/>
  <c r="I225" i="15"/>
  <c r="F851" i="7"/>
  <c r="K231" i="15"/>
  <c r="I231" i="15" s="1"/>
  <c r="DH523" i="7"/>
  <c r="DI523" i="7" s="1"/>
  <c r="DJ489" i="7"/>
  <c r="X183" i="15"/>
  <c r="Z183" i="15" s="1"/>
  <c r="AE206" i="15"/>
  <c r="AC206" i="15" s="1"/>
  <c r="X164" i="15"/>
  <c r="Z164" i="15" s="1"/>
  <c r="J711" i="7"/>
  <c r="O204" i="15" s="1"/>
  <c r="V204" i="15" s="1"/>
  <c r="U204" i="15" s="1"/>
  <c r="DJ9" i="7"/>
  <c r="F37" i="7"/>
  <c r="AF37" i="7" s="1"/>
  <c r="AF315" i="7"/>
  <c r="F117" i="7"/>
  <c r="I237" i="15"/>
  <c r="X206" i="15"/>
  <c r="Z206" i="15" s="1"/>
  <c r="W206" i="15" s="1"/>
  <c r="DH7" i="7"/>
  <c r="AB170" i="15"/>
  <c r="AB204" i="15"/>
  <c r="DH712" i="7"/>
  <c r="DI712" i="7" s="1"/>
  <c r="DG712" i="7" s="1"/>
  <c r="AA205" i="15" s="1"/>
  <c r="DJ850" i="7"/>
  <c r="I1007" i="7"/>
  <c r="O239" i="15" s="1"/>
  <c r="W239" i="15" s="1"/>
  <c r="V239" i="15" s="1"/>
  <c r="U239" i="15" s="1"/>
  <c r="I238" i="15"/>
  <c r="F607" i="7"/>
  <c r="AC620" i="7"/>
  <c r="K232" i="15"/>
  <c r="I232" i="15" s="1"/>
  <c r="I1005" i="7"/>
  <c r="O237" i="15" s="1"/>
  <c r="W237" i="15" s="1"/>
  <c r="V237" i="15" s="1"/>
  <c r="U237" i="15" s="1"/>
  <c r="AG609" i="7"/>
  <c r="I488" i="7"/>
  <c r="F488" i="7" s="1"/>
  <c r="AF488" i="7" s="1"/>
  <c r="DH106" i="7"/>
  <c r="DI106" i="7" s="1"/>
  <c r="AE153" i="15" s="1"/>
  <c r="AC153" i="15" s="1"/>
  <c r="F526" i="7"/>
  <c r="DI526" i="7" s="1"/>
  <c r="F125" i="7"/>
  <c r="I172" i="15" s="1"/>
  <c r="L211" i="15"/>
  <c r="DH8" i="7"/>
  <c r="DI8" i="7" s="1"/>
  <c r="X214" i="15"/>
  <c r="Z214" i="15" s="1"/>
  <c r="W214" i="15" s="1"/>
  <c r="X187" i="15"/>
  <c r="Z187" i="15" s="1"/>
  <c r="X151" i="15"/>
  <c r="Z151" i="15" s="1"/>
  <c r="DJ846" i="7"/>
  <c r="AF313" i="7"/>
  <c r="F7" i="7"/>
  <c r="I7" i="7" s="1"/>
  <c r="Q136" i="15" s="1"/>
  <c r="O136" i="15" s="1"/>
  <c r="U136" i="15" s="1"/>
  <c r="AF114" i="7"/>
  <c r="DH103" i="7"/>
  <c r="DI103" i="7" s="1"/>
  <c r="I608" i="7"/>
  <c r="R197" i="15" s="1"/>
  <c r="X237" i="15"/>
  <c r="Z237" i="15" s="1"/>
  <c r="I1006" i="7"/>
  <c r="O238" i="15" s="1"/>
  <c r="I976" i="7"/>
  <c r="Q231" i="15" s="1"/>
  <c r="O231" i="15" s="1"/>
  <c r="V231" i="15" s="1"/>
  <c r="U231" i="15" s="1"/>
  <c r="F852" i="7"/>
  <c r="DI852" i="7" s="1"/>
  <c r="AE221" i="15" s="1"/>
  <c r="AC221" i="15" s="1"/>
  <c r="DH752" i="7"/>
  <c r="DH788" i="7"/>
  <c r="DI788" i="7" s="1"/>
  <c r="DH676" i="7"/>
  <c r="DI676" i="7" s="1"/>
  <c r="AE202" i="15" s="1"/>
  <c r="AC202" i="15" s="1"/>
  <c r="DI976" i="7"/>
  <c r="AE231" i="15" s="1"/>
  <c r="AC231" i="15" s="1"/>
  <c r="P856" i="7"/>
  <c r="AB225" i="15" s="1"/>
  <c r="X142" i="15"/>
  <c r="Z142" i="15" s="1"/>
  <c r="AB185" i="15"/>
  <c r="X168" i="15"/>
  <c r="Z168" i="15" s="1"/>
  <c r="DJ976" i="7"/>
  <c r="F103" i="7"/>
  <c r="K103" i="7" s="1"/>
  <c r="O150" i="15" s="1"/>
  <c r="W150" i="15" s="1"/>
  <c r="V150" i="15" s="1"/>
  <c r="U150" i="15" s="1"/>
  <c r="AG620" i="7"/>
  <c r="DJ129" i="7"/>
  <c r="K212" i="15"/>
  <c r="I212" i="15" s="1"/>
  <c r="AF440" i="7"/>
  <c r="X144" i="15"/>
  <c r="Z144" i="15" s="1"/>
  <c r="K116" i="7"/>
  <c r="O163" i="15" s="1"/>
  <c r="W163" i="15" s="1"/>
  <c r="V163" i="15" s="1"/>
  <c r="U163" i="15" s="1"/>
  <c r="F527" i="7"/>
  <c r="AF527" i="7" s="1"/>
  <c r="DI608" i="7"/>
  <c r="I104" i="7"/>
  <c r="F104" i="7" s="1"/>
  <c r="I151" i="15" s="1"/>
  <c r="DH1007" i="7"/>
  <c r="DI1007" i="7" s="1"/>
  <c r="DG1007" i="7" s="1"/>
  <c r="AA239" i="15" s="1"/>
  <c r="I422" i="7"/>
  <c r="X954" i="7"/>
  <c r="I977" i="7"/>
  <c r="Q232" i="15" s="1"/>
  <c r="O232" i="15" s="1"/>
  <c r="V232" i="15" s="1"/>
  <c r="U232" i="15" s="1"/>
  <c r="AB239" i="15"/>
  <c r="I1003" i="7"/>
  <c r="O235" i="15" s="1"/>
  <c r="I222" i="15"/>
  <c r="AF106" i="7"/>
  <c r="DH784" i="7"/>
  <c r="DI784" i="7" s="1"/>
  <c r="AE211" i="15" s="1"/>
  <c r="AB145" i="15"/>
  <c r="D516" i="7"/>
  <c r="V516" i="7" s="1"/>
  <c r="AB155" i="15"/>
  <c r="J41" i="7"/>
  <c r="F41" i="7" s="1"/>
  <c r="I147" i="15" s="1"/>
  <c r="K211" i="15"/>
  <c r="X181" i="15"/>
  <c r="Z181" i="15" s="1"/>
  <c r="DJ38" i="7"/>
  <c r="I783" i="7"/>
  <c r="R210" i="15" s="1"/>
  <c r="O210" i="15" s="1"/>
  <c r="V210" i="15" s="1"/>
  <c r="U210" i="15" s="1"/>
  <c r="AF309" i="7"/>
  <c r="DH1008" i="7"/>
  <c r="DI1008" i="7" s="1"/>
  <c r="AE240" i="15" s="1"/>
  <c r="AC240" i="15" s="1"/>
  <c r="I1004" i="7"/>
  <c r="O236" i="15" s="1"/>
  <c r="AB186" i="15"/>
  <c r="DJ118" i="7"/>
  <c r="L210" i="15"/>
  <c r="I210" i="15" s="1"/>
  <c r="K106" i="7"/>
  <c r="O153" i="15" s="1"/>
  <c r="W153" i="15" s="1"/>
  <c r="V153" i="15" s="1"/>
  <c r="U153" i="15" s="1"/>
  <c r="F421" i="7"/>
  <c r="K421" i="7" s="1"/>
  <c r="O179" i="15" s="1"/>
  <c r="W179" i="15" s="1"/>
  <c r="V179" i="15" s="1"/>
  <c r="U179" i="15" s="1"/>
  <c r="DI783" i="7"/>
  <c r="AF210" i="15" s="1"/>
  <c r="Q857" i="7"/>
  <c r="DI1001" i="7"/>
  <c r="AE233" i="15" s="1"/>
  <c r="AC233" i="15" s="1"/>
  <c r="DH422" i="7"/>
  <c r="DJ557" i="7"/>
  <c r="I1001" i="7"/>
  <c r="O233" i="15" s="1"/>
  <c r="I785" i="7"/>
  <c r="R211" i="15" s="1"/>
  <c r="AB235" i="15"/>
  <c r="DI785" i="7"/>
  <c r="AF211" i="15" s="1"/>
  <c r="M853" i="7"/>
  <c r="O222" i="15" s="1"/>
  <c r="DJ122" i="7"/>
  <c r="E76" i="7"/>
  <c r="I786" i="7"/>
  <c r="Q212" i="15" s="1"/>
  <c r="O212" i="15" s="1"/>
  <c r="V212" i="15" s="1"/>
  <c r="U212" i="15" s="1"/>
  <c r="DH102" i="7"/>
  <c r="DI129" i="7"/>
  <c r="AE176" i="15" s="1"/>
  <c r="AC176" i="15" s="1"/>
  <c r="DJ127" i="7"/>
  <c r="F120" i="7"/>
  <c r="DI120" i="7" s="1"/>
  <c r="I194" i="15"/>
  <c r="DI527" i="7"/>
  <c r="AE194" i="15" s="1"/>
  <c r="AC194" i="15" s="1"/>
  <c r="J42" i="7"/>
  <c r="F42" i="7" s="1"/>
  <c r="DI42" i="7" s="1"/>
  <c r="AE148" i="15" s="1"/>
  <c r="AC148" i="15" s="1"/>
  <c r="AF75" i="7"/>
  <c r="I154" i="15"/>
  <c r="K107" i="7"/>
  <c r="O154" i="15" s="1"/>
  <c r="W154" i="15" s="1"/>
  <c r="V154" i="15" s="1"/>
  <c r="U154" i="15" s="1"/>
  <c r="AF107" i="7"/>
  <c r="AS916" i="7"/>
  <c r="Q856" i="7"/>
  <c r="AE214" i="15"/>
  <c r="AC214" i="15" s="1"/>
  <c r="DG790" i="7"/>
  <c r="AA214" i="15" s="1"/>
  <c r="AF103" i="7"/>
  <c r="V675" i="7"/>
  <c r="V640" i="7"/>
  <c r="I158" i="15"/>
  <c r="AF111" i="7"/>
  <c r="K111" i="7"/>
  <c r="O158" i="15" s="1"/>
  <c r="W158" i="15" s="1"/>
  <c r="V158" i="15" s="1"/>
  <c r="U158" i="15" s="1"/>
  <c r="DI111" i="7"/>
  <c r="E90" i="7"/>
  <c r="E78" i="7"/>
  <c r="AF112" i="7"/>
  <c r="I159" i="15"/>
  <c r="DH122" i="7"/>
  <c r="DH639" i="7"/>
  <c r="F951" i="7"/>
  <c r="DH123" i="7"/>
  <c r="AF74" i="7"/>
  <c r="F952" i="7"/>
  <c r="AB179" i="15"/>
  <c r="DH128" i="7"/>
  <c r="X165" i="15"/>
  <c r="Z165" i="15" s="1"/>
  <c r="X208" i="15"/>
  <c r="Z208" i="15" s="1"/>
  <c r="W208" i="15" s="1"/>
  <c r="AF302" i="7"/>
  <c r="AB192" i="15"/>
  <c r="DJ110" i="7"/>
  <c r="D480" i="7"/>
  <c r="AB201" i="15"/>
  <c r="DJ125" i="7"/>
  <c r="DJ35" i="7"/>
  <c r="DG35" i="7" s="1"/>
  <c r="AA141" i="15" s="1"/>
  <c r="Y195" i="15"/>
  <c r="Z195" i="15" s="1"/>
  <c r="W195" i="15" s="1"/>
  <c r="V195" i="15" s="1"/>
  <c r="J621" i="7"/>
  <c r="E80" i="7"/>
  <c r="DH40" i="7"/>
  <c r="DI40" i="7" s="1"/>
  <c r="DH609" i="7"/>
  <c r="DI609" i="7" s="1"/>
  <c r="AE198" i="15" s="1"/>
  <c r="AC198" i="15" s="1"/>
  <c r="F847" i="7"/>
  <c r="M847" i="7" s="1"/>
  <c r="O216" i="15" s="1"/>
  <c r="U216" i="15" s="1"/>
  <c r="DH459" i="7"/>
  <c r="DJ128" i="7"/>
  <c r="DJ109" i="7"/>
  <c r="DJ849" i="7"/>
  <c r="AS911" i="7"/>
  <c r="DH487" i="7"/>
  <c r="DH857" i="7"/>
  <c r="I209" i="15"/>
  <c r="F422" i="7"/>
  <c r="X162" i="15"/>
  <c r="Z162" i="15" s="1"/>
  <c r="DJ40" i="7"/>
  <c r="I609" i="7"/>
  <c r="Q198" i="15" s="1"/>
  <c r="F857" i="7"/>
  <c r="M857" i="7" s="1"/>
  <c r="O226" i="15" s="1"/>
  <c r="U226" i="15" s="1"/>
  <c r="F105" i="7"/>
  <c r="D386" i="7"/>
  <c r="V386" i="7" s="1"/>
  <c r="I610" i="7"/>
  <c r="R198" i="15" s="1"/>
  <c r="DJ107" i="7"/>
  <c r="AB232" i="15"/>
  <c r="DH846" i="7"/>
  <c r="DI846" i="7" s="1"/>
  <c r="G580" i="7"/>
  <c r="F122" i="7"/>
  <c r="I169" i="15" s="1"/>
  <c r="X218" i="15"/>
  <c r="Z218" i="15" s="1"/>
  <c r="W218" i="15" s="1"/>
  <c r="V218" i="15" s="1"/>
  <c r="F849" i="7"/>
  <c r="AG849" i="7" s="1"/>
  <c r="Z229" i="15"/>
  <c r="AG621" i="7"/>
  <c r="F850" i="7"/>
  <c r="I204" i="15"/>
  <c r="DH34" i="7"/>
  <c r="K130" i="7"/>
  <c r="O177" i="15" s="1"/>
  <c r="W177" i="15" s="1"/>
  <c r="V177" i="15" s="1"/>
  <c r="U177" i="15" s="1"/>
  <c r="F423" i="7"/>
  <c r="K423" i="7" s="1"/>
  <c r="O181" i="15" s="1"/>
  <c r="I784" i="7"/>
  <c r="Q211" i="15" s="1"/>
  <c r="DH847" i="7"/>
  <c r="AB236" i="15"/>
  <c r="I121" i="7"/>
  <c r="F121" i="7" s="1"/>
  <c r="K40" i="7"/>
  <c r="O146" i="15" s="1"/>
  <c r="W146" i="15" s="1"/>
  <c r="V146" i="15" s="1"/>
  <c r="U146" i="15" s="1"/>
  <c r="K113" i="7"/>
  <c r="O160" i="15" s="1"/>
  <c r="AB162" i="15"/>
  <c r="DH607" i="7"/>
  <c r="DH525" i="7"/>
  <c r="DI525" i="7" s="1"/>
  <c r="AE192" i="15" s="1"/>
  <c r="AC192" i="15" s="1"/>
  <c r="X167" i="15"/>
  <c r="Z167" i="15" s="1"/>
  <c r="W233" i="15"/>
  <c r="V233" i="15" s="1"/>
  <c r="U233" i="15" s="1"/>
  <c r="Q847" i="7"/>
  <c r="AC629" i="7"/>
  <c r="AG924" i="7"/>
  <c r="AG629" i="7"/>
  <c r="AG916" i="7"/>
  <c r="AG22" i="7"/>
  <c r="I233" i="15"/>
  <c r="DJ112" i="7"/>
  <c r="DH1004" i="7"/>
  <c r="DI1004" i="7" s="1"/>
  <c r="AF301" i="7"/>
  <c r="F36" i="7"/>
  <c r="I234" i="15"/>
  <c r="DG854" i="7"/>
  <c r="AA223" i="15" s="1"/>
  <c r="AF113" i="7"/>
  <c r="DJ124" i="7"/>
  <c r="DH710" i="7"/>
  <c r="DI710" i="7" s="1"/>
  <c r="AE203" i="15" s="1"/>
  <c r="AC203" i="15" s="1"/>
  <c r="X171" i="15"/>
  <c r="Z171" i="15" s="1"/>
  <c r="D385" i="7"/>
  <c r="V385" i="7" s="1"/>
  <c r="I235" i="15"/>
  <c r="F39" i="7"/>
  <c r="DJ1001" i="7"/>
  <c r="I236" i="15"/>
  <c r="AG610" i="7"/>
  <c r="DI116" i="7"/>
  <c r="M851" i="7"/>
  <c r="O220" i="15" s="1"/>
  <c r="U220" i="15" s="1"/>
  <c r="AF312" i="7"/>
  <c r="I126" i="7"/>
  <c r="F126" i="7" s="1"/>
  <c r="I173" i="15" s="1"/>
  <c r="DH10" i="7"/>
  <c r="DI10" i="7" s="1"/>
  <c r="DI109" i="7"/>
  <c r="DJ130" i="7"/>
  <c r="AB182" i="15"/>
  <c r="I163" i="15"/>
  <c r="AB206" i="15"/>
  <c r="X166" i="15"/>
  <c r="Z166" i="15" s="1"/>
  <c r="DH851" i="7"/>
  <c r="DI851" i="7" s="1"/>
  <c r="AE220" i="15" s="1"/>
  <c r="AC220" i="15" s="1"/>
  <c r="DJ676" i="7"/>
  <c r="F128" i="7"/>
  <c r="K128" i="7" s="1"/>
  <c r="O175" i="15" s="1"/>
  <c r="W175" i="15" s="1"/>
  <c r="V175" i="15" s="1"/>
  <c r="U175" i="15" s="1"/>
  <c r="AE205" i="15"/>
  <c r="AC205" i="15" s="1"/>
  <c r="I190" i="15"/>
  <c r="AF523" i="7"/>
  <c r="AE223" i="15"/>
  <c r="AC223" i="15" s="1"/>
  <c r="E81" i="7"/>
  <c r="E93" i="7"/>
  <c r="DH110" i="7"/>
  <c r="DI110" i="7" s="1"/>
  <c r="X157" i="15"/>
  <c r="Z157" i="15" s="1"/>
  <c r="AF197" i="15"/>
  <c r="AF127" i="7"/>
  <c r="I174" i="15"/>
  <c r="K127" i="7"/>
  <c r="O174" i="15" s="1"/>
  <c r="AE213" i="15"/>
  <c r="AC213" i="15" s="1"/>
  <c r="I148" i="15"/>
  <c r="E96" i="7"/>
  <c r="E84" i="7"/>
  <c r="AG8" i="7"/>
  <c r="I8" i="7"/>
  <c r="Q137" i="15" s="1"/>
  <c r="O137" i="15" s="1"/>
  <c r="K137" i="15"/>
  <c r="I137" i="15" s="1"/>
  <c r="E83" i="7"/>
  <c r="E95" i="7"/>
  <c r="V710" i="7"/>
  <c r="V676" i="7"/>
  <c r="K525" i="7"/>
  <c r="O192" i="15" s="1"/>
  <c r="W192" i="15" s="1"/>
  <c r="V192" i="15" s="1"/>
  <c r="U192" i="15" s="1"/>
  <c r="I192" i="15"/>
  <c r="I424" i="7"/>
  <c r="F424" i="7" s="1"/>
  <c r="DI424" i="7" s="1"/>
  <c r="AB140" i="15"/>
  <c r="DJ117" i="7"/>
  <c r="DJ104" i="7"/>
  <c r="I115" i="7"/>
  <c r="F115" i="7" s="1"/>
  <c r="K115" i="7" s="1"/>
  <c r="O162" i="15" s="1"/>
  <c r="AF305" i="7"/>
  <c r="E82" i="7"/>
  <c r="J712" i="7"/>
  <c r="O205" i="15" s="1"/>
  <c r="AG712" i="7"/>
  <c r="I176" i="15"/>
  <c r="AF129" i="7"/>
  <c r="O213" i="15"/>
  <c r="V213" i="15" s="1"/>
  <c r="U213" i="15" s="1"/>
  <c r="I195" i="15"/>
  <c r="DH489" i="7"/>
  <c r="X172" i="15"/>
  <c r="Z172" i="15" s="1"/>
  <c r="DH130" i="7"/>
  <c r="DI130" i="7" s="1"/>
  <c r="X177" i="15"/>
  <c r="Z177" i="15" s="1"/>
  <c r="DH1003" i="7"/>
  <c r="DI1003" i="7" s="1"/>
  <c r="X235" i="15"/>
  <c r="Z235" i="15" s="1"/>
  <c r="I102" i="7"/>
  <c r="F102" i="7" s="1"/>
  <c r="AF292" i="7"/>
  <c r="J639" i="7"/>
  <c r="O199" i="15" s="1"/>
  <c r="V199" i="15" s="1"/>
  <c r="U199" i="15" s="1"/>
  <c r="AG639" i="7"/>
  <c r="F753" i="7"/>
  <c r="F752" i="7"/>
  <c r="AG759" i="7"/>
  <c r="I200" i="15"/>
  <c r="AG640" i="7"/>
  <c r="J487" i="7"/>
  <c r="F487" i="7" s="1"/>
  <c r="I489" i="7"/>
  <c r="F489" i="7" s="1"/>
  <c r="X143" i="15"/>
  <c r="Z143" i="15" s="1"/>
  <c r="J710" i="7"/>
  <c r="O203" i="15" s="1"/>
  <c r="V203" i="15" s="1"/>
  <c r="U203" i="15" s="1"/>
  <c r="AG710" i="7"/>
  <c r="I177" i="15"/>
  <c r="O209" i="15"/>
  <c r="V209" i="15" s="1"/>
  <c r="U209" i="15" s="1"/>
  <c r="I199" i="15"/>
  <c r="I203" i="15"/>
  <c r="DJ527" i="7"/>
  <c r="AE234" i="15"/>
  <c r="AC234" i="15" s="1"/>
  <c r="DH786" i="7"/>
  <c r="DI786" i="7" s="1"/>
  <c r="AF435" i="7"/>
  <c r="M854" i="7"/>
  <c r="O223" i="15" s="1"/>
  <c r="DJ121" i="7"/>
  <c r="DH112" i="7"/>
  <c r="DI112" i="7" s="1"/>
  <c r="I426" i="7"/>
  <c r="F426" i="7" s="1"/>
  <c r="DH421" i="7"/>
  <c r="X174" i="15"/>
  <c r="Z174" i="15" s="1"/>
  <c r="DH127" i="7"/>
  <c r="DI127" i="7" s="1"/>
  <c r="AF759" i="7"/>
  <c r="DH107" i="7"/>
  <c r="X154" i="15"/>
  <c r="Z154" i="15" s="1"/>
  <c r="AB211" i="15"/>
  <c r="DJ784" i="7"/>
  <c r="DG784" i="7" s="1"/>
  <c r="AA211" i="15" s="1"/>
  <c r="X223" i="15"/>
  <c r="Z223" i="15" s="1"/>
  <c r="W223" i="15" s="1"/>
  <c r="V223" i="15" s="1"/>
  <c r="DJ1006" i="7"/>
  <c r="AB238" i="15"/>
  <c r="AG941" i="7"/>
  <c r="J229" i="15"/>
  <c r="I131" i="7"/>
  <c r="F131" i="7" s="1"/>
  <c r="AF321" i="7"/>
  <c r="AB221" i="15"/>
  <c r="DJ852" i="7"/>
  <c r="DH1006" i="7"/>
  <c r="DI1006" i="7" s="1"/>
  <c r="X238" i="15"/>
  <c r="Z238" i="15" s="1"/>
  <c r="W238" i="15" s="1"/>
  <c r="V238" i="15" s="1"/>
  <c r="U238" i="15" s="1"/>
  <c r="DH113" i="7"/>
  <c r="DI113" i="7" s="1"/>
  <c r="X160" i="15"/>
  <c r="Z160" i="15" s="1"/>
  <c r="I110" i="7"/>
  <c r="F110" i="7" s="1"/>
  <c r="K110" i="7" s="1"/>
  <c r="O157" i="15" s="1"/>
  <c r="AF300" i="7"/>
  <c r="J38" i="7"/>
  <c r="F38" i="7" s="1"/>
  <c r="AF71" i="7"/>
  <c r="DJ106" i="7"/>
  <c r="DI639" i="7"/>
  <c r="M557" i="7"/>
  <c r="O195" i="15" s="1"/>
  <c r="J425" i="7"/>
  <c r="F425" i="7" s="1"/>
  <c r="M846" i="7"/>
  <c r="O215" i="15" s="1"/>
  <c r="U215" i="15" s="1"/>
  <c r="AF499" i="7"/>
  <c r="DH640" i="7"/>
  <c r="DI640" i="7" s="1"/>
  <c r="AB184" i="15"/>
  <c r="DH9" i="7"/>
  <c r="DI9" i="7" s="1"/>
  <c r="DH782" i="7"/>
  <c r="DI782" i="7" s="1"/>
  <c r="AF498" i="7"/>
  <c r="DJ42" i="7"/>
  <c r="V453" i="7"/>
  <c r="X194" i="15"/>
  <c r="Z194" i="15" s="1"/>
  <c r="I790" i="7"/>
  <c r="Q214" i="15" s="1"/>
  <c r="O214" i="15" s="1"/>
  <c r="Z196" i="15"/>
  <c r="W196" i="15" s="1"/>
  <c r="V196" i="15" s="1"/>
  <c r="DJ609" i="7"/>
  <c r="J629" i="7"/>
  <c r="DH675" i="7"/>
  <c r="DI675" i="7" s="1"/>
  <c r="DJ782" i="7"/>
  <c r="DJ853" i="7"/>
  <c r="DG853" i="7" s="1"/>
  <c r="AA222" i="15" s="1"/>
  <c r="DG1008" i="7"/>
  <c r="AA240" i="15" s="1"/>
  <c r="DJ1005" i="7"/>
  <c r="DJ36" i="7"/>
  <c r="DJ786" i="7"/>
  <c r="DJ851" i="7"/>
  <c r="AF314" i="7"/>
  <c r="AF310" i="7"/>
  <c r="DJ788" i="7"/>
  <c r="I239" i="15"/>
  <c r="AG23" i="7"/>
  <c r="AC628" i="7"/>
  <c r="DJ1002" i="7"/>
  <c r="DG1002" i="7" s="1"/>
  <c r="AA234" i="15" s="1"/>
  <c r="DJ848" i="7"/>
  <c r="AG628" i="7"/>
  <c r="AF304" i="7"/>
  <c r="AF307" i="7"/>
  <c r="AB136" i="15"/>
  <c r="AF303" i="7"/>
  <c r="AF306" i="7"/>
  <c r="I198" i="15"/>
  <c r="DJ10" i="7"/>
  <c r="J92" i="15"/>
  <c r="BD92" i="15"/>
  <c r="BI92" i="15" s="1"/>
  <c r="BC75" i="15"/>
  <c r="BA75" i="15"/>
  <c r="BA103" i="15" s="1"/>
  <c r="I75" i="15"/>
  <c r="V293" i="15"/>
  <c r="U293" i="15" s="1"/>
  <c r="J98" i="15"/>
  <c r="BD98" i="15"/>
  <c r="I31" i="15"/>
  <c r="BA32" i="15"/>
  <c r="BK32" i="15" s="1"/>
  <c r="BC128" i="15"/>
  <c r="BC130" i="15" s="1"/>
  <c r="BH130" i="15" s="1"/>
  <c r="BB40" i="15"/>
  <c r="I40" i="15"/>
  <c r="V242" i="15"/>
  <c r="U242" i="15" s="1"/>
  <c r="W68" i="15"/>
  <c r="V68" i="15" s="1"/>
  <c r="U68" i="15" s="1"/>
  <c r="W127" i="15"/>
  <c r="V127" i="15" s="1"/>
  <c r="U127" i="15" s="1"/>
  <c r="BC133" i="15"/>
  <c r="AD55" i="15"/>
  <c r="J132" i="15"/>
  <c r="BC132" i="15"/>
  <c r="BH132" i="15" s="1"/>
  <c r="BN132" i="15" s="1"/>
  <c r="V251" i="15"/>
  <c r="U251" i="15" s="1"/>
  <c r="BC35" i="15"/>
  <c r="BH35" i="15" s="1"/>
  <c r="BN35" i="15" s="1"/>
  <c r="BC36" i="15"/>
  <c r="BH36" i="15" s="1"/>
  <c r="BN36" i="15" s="1"/>
  <c r="J35" i="15"/>
  <c r="W301" i="15"/>
  <c r="V301" i="15" s="1"/>
  <c r="U301" i="15" s="1"/>
  <c r="V271" i="15"/>
  <c r="U271" i="15" s="1"/>
  <c r="V260" i="15"/>
  <c r="U260" i="15" s="1"/>
  <c r="BK44" i="15"/>
  <c r="BF44" i="15"/>
  <c r="BM44" i="15" s="1"/>
  <c r="BD124" i="15"/>
  <c r="BB47" i="15"/>
  <c r="BG47" i="15" s="1"/>
  <c r="J107" i="15"/>
  <c r="BC107" i="15"/>
  <c r="BA96" i="15"/>
  <c r="BF96" i="15" s="1"/>
  <c r="BC129" i="15"/>
  <c r="BC131" i="15" s="1"/>
  <c r="BL131" i="15" s="1"/>
  <c r="J129" i="15"/>
  <c r="BB133" i="15"/>
  <c r="W326" i="15"/>
  <c r="V326" i="15" s="1"/>
  <c r="U326" i="15" s="1"/>
  <c r="BA121" i="15"/>
  <c r="BF121" i="15" s="1"/>
  <c r="BK29" i="15"/>
  <c r="AC87" i="15"/>
  <c r="W305" i="15"/>
  <c r="V305" i="15" s="1"/>
  <c r="U305" i="15" s="1"/>
  <c r="BD71" i="15"/>
  <c r="BI71" i="15" s="1"/>
  <c r="BN71" i="15" s="1"/>
  <c r="W25" i="15"/>
  <c r="V25" i="15" s="1"/>
  <c r="U25" i="15" s="1"/>
  <c r="BD133" i="15"/>
  <c r="BD135" i="15" s="1"/>
  <c r="AC119" i="15"/>
  <c r="BC31" i="15"/>
  <c r="BH31" i="15" s="1"/>
  <c r="BN31" i="15" s="1"/>
  <c r="BC32" i="15"/>
  <c r="BL32" i="15" s="1"/>
  <c r="BC121" i="15"/>
  <c r="BL121" i="15" s="1"/>
  <c r="BH98" i="15"/>
  <c r="BC115" i="15"/>
  <c r="BH115" i="15" s="1"/>
  <c r="I50" i="15"/>
  <c r="V9" i="15"/>
  <c r="U9" i="15" s="1"/>
  <c r="BC84" i="15"/>
  <c r="BH84" i="15" s="1"/>
  <c r="BA33" i="15"/>
  <c r="BK33" i="15" s="1"/>
  <c r="J120" i="15"/>
  <c r="BD119" i="15"/>
  <c r="BI119" i="15" s="1"/>
  <c r="W340" i="15"/>
  <c r="V340" i="15" s="1"/>
  <c r="U340" i="15" s="1"/>
  <c r="I67" i="15"/>
  <c r="BA63" i="15"/>
  <c r="BA23" i="15"/>
  <c r="O87" i="15"/>
  <c r="W87" i="15" s="1"/>
  <c r="V87" i="15" s="1"/>
  <c r="U87" i="15" s="1"/>
  <c r="V270" i="15"/>
  <c r="U270" i="15" s="1"/>
  <c r="BC69" i="15"/>
  <c r="I70" i="15"/>
  <c r="BA70" i="15"/>
  <c r="BA94" i="15" s="1"/>
  <c r="BF94" i="15" s="1"/>
  <c r="BM94" i="15" s="1"/>
  <c r="BA22" i="15"/>
  <c r="BA34" i="15"/>
  <c r="BF34" i="15" s="1"/>
  <c r="BB46" i="15"/>
  <c r="BG46" i="15" s="1"/>
  <c r="I90" i="15"/>
  <c r="BA90" i="15"/>
  <c r="W256" i="15"/>
  <c r="V256" i="15" s="1"/>
  <c r="U256" i="15" s="1"/>
  <c r="I13" i="15"/>
  <c r="O102" i="15"/>
  <c r="W102" i="15" s="1"/>
  <c r="V102" i="15" s="1"/>
  <c r="U102" i="15" s="1"/>
  <c r="I91" i="15"/>
  <c r="BD90" i="15"/>
  <c r="BD91" i="15" s="1"/>
  <c r="BI91" i="15" s="1"/>
  <c r="BB97" i="15"/>
  <c r="BG97" i="15" s="1"/>
  <c r="BC34" i="15"/>
  <c r="BL34" i="15" s="1"/>
  <c r="BC125" i="15"/>
  <c r="J125" i="15"/>
  <c r="AD103" i="15"/>
  <c r="AC82" i="15"/>
  <c r="BC70" i="15"/>
  <c r="BL70" i="15" s="1"/>
  <c r="P125" i="15"/>
  <c r="BA124" i="15"/>
  <c r="BA126" i="15" s="1"/>
  <c r="BK126" i="15" s="1"/>
  <c r="I124" i="15"/>
  <c r="Z120" i="15"/>
  <c r="W120" i="15" s="1"/>
  <c r="V120" i="15" s="1"/>
  <c r="U120" i="15" s="1"/>
  <c r="I12" i="15"/>
  <c r="J104" i="15"/>
  <c r="O60" i="15"/>
  <c r="I88" i="15"/>
  <c r="BB88" i="15"/>
  <c r="BG88" i="15" s="1"/>
  <c r="Z25" i="15"/>
  <c r="BL97" i="15"/>
  <c r="BC58" i="15"/>
  <c r="BC59" i="15" s="1"/>
  <c r="BH59" i="15" s="1"/>
  <c r="J88" i="15"/>
  <c r="BD88" i="15"/>
  <c r="V278" i="15"/>
  <c r="U278" i="15" s="1"/>
  <c r="I62" i="15"/>
  <c r="BB62" i="15"/>
  <c r="BD97" i="15"/>
  <c r="BI97" i="15" s="1"/>
  <c r="J79" i="15"/>
  <c r="BA59" i="15"/>
  <c r="BF59" i="15" s="1"/>
  <c r="BF58" i="15"/>
  <c r="V296" i="15"/>
  <c r="U296" i="15" s="1"/>
  <c r="O62" i="15"/>
  <c r="W121" i="15"/>
  <c r="V121" i="15" s="1"/>
  <c r="U121" i="15" s="1"/>
  <c r="BC22" i="15"/>
  <c r="BH22" i="15" s="1"/>
  <c r="BN22" i="15" s="1"/>
  <c r="I26" i="15"/>
  <c r="BA25" i="15"/>
  <c r="BF25" i="15" s="1"/>
  <c r="BM25" i="15" s="1"/>
  <c r="BK105" i="15"/>
  <c r="J22" i="15"/>
  <c r="BA102" i="15"/>
  <c r="BA116" i="15" s="1"/>
  <c r="BF116" i="15" s="1"/>
  <c r="J54" i="15"/>
  <c r="W284" i="15"/>
  <c r="V284" i="15" s="1"/>
  <c r="U284" i="15" s="1"/>
  <c r="W240" i="15"/>
  <c r="V240" i="15" s="1"/>
  <c r="U240" i="15" s="1"/>
  <c r="BB67" i="15"/>
  <c r="BB68" i="15" s="1"/>
  <c r="BG68" i="15" s="1"/>
  <c r="BG63" i="15"/>
  <c r="BA115" i="15"/>
  <c r="BF115" i="15" s="1"/>
  <c r="AD109" i="15"/>
  <c r="BC61" i="15"/>
  <c r="BC66" i="15" s="1"/>
  <c r="J85" i="15"/>
  <c r="BC85" i="15"/>
  <c r="Z92" i="15"/>
  <c r="V291" i="15"/>
  <c r="U291" i="15" s="1"/>
  <c r="W96" i="15"/>
  <c r="V96" i="15" s="1"/>
  <c r="U96" i="15" s="1"/>
  <c r="U245" i="15"/>
  <c r="BC53" i="15"/>
  <c r="BC56" i="15" s="1"/>
  <c r="V325" i="15"/>
  <c r="U325" i="15" s="1"/>
  <c r="W288" i="15"/>
  <c r="V288" i="15" s="1"/>
  <c r="U288" i="15" s="1"/>
  <c r="J61" i="15"/>
  <c r="I35" i="15"/>
  <c r="BC96" i="15"/>
  <c r="V295" i="15"/>
  <c r="U295" i="15" s="1"/>
  <c r="I30" i="15"/>
  <c r="U249" i="15"/>
  <c r="V264" i="15"/>
  <c r="U264" i="15" s="1"/>
  <c r="W331" i="15"/>
  <c r="V331" i="15" s="1"/>
  <c r="U331" i="15" s="1"/>
  <c r="U246" i="15"/>
  <c r="V322" i="15"/>
  <c r="U322" i="15" s="1"/>
  <c r="U19" i="15"/>
  <c r="V266" i="15"/>
  <c r="U266" i="15" s="1"/>
  <c r="V255" i="15"/>
  <c r="U255" i="15" s="1"/>
  <c r="V335" i="15"/>
  <c r="U335" i="15" s="1"/>
  <c r="V324" i="15"/>
  <c r="U324" i="15" s="1"/>
  <c r="I56" i="15"/>
  <c r="V292" i="15"/>
  <c r="U292" i="15" s="1"/>
  <c r="V268" i="15"/>
  <c r="U268" i="15" s="1"/>
  <c r="V277" i="15"/>
  <c r="U277" i="15" s="1"/>
  <c r="W287" i="15"/>
  <c r="V287" i="15" s="1"/>
  <c r="U287" i="15" s="1"/>
  <c r="V294" i="15"/>
  <c r="U294" i="15" s="1"/>
  <c r="BM98" i="15"/>
  <c r="BA35" i="15"/>
  <c r="BK35" i="15" s="1"/>
  <c r="V343" i="15"/>
  <c r="U343" i="15" s="1"/>
  <c r="BL72" i="15"/>
  <c r="BL54" i="15"/>
  <c r="W304" i="15"/>
  <c r="V304" i="15" s="1"/>
  <c r="U304" i="15" s="1"/>
  <c r="BK78" i="15"/>
  <c r="BG125" i="15"/>
  <c r="BB118" i="15"/>
  <c r="BG118" i="15" s="1"/>
  <c r="BM118" i="15" s="1"/>
  <c r="V15" i="15"/>
  <c r="U15" i="15" s="1"/>
  <c r="BN112" i="15"/>
  <c r="BK125" i="15"/>
  <c r="BN25" i="15"/>
  <c r="BG70" i="15"/>
  <c r="BF83" i="15"/>
  <c r="BF36" i="15"/>
  <c r="BM36" i="15" s="1"/>
  <c r="BG72" i="15"/>
  <c r="BH72" i="15"/>
  <c r="BN72" i="15" s="1"/>
  <c r="W111" i="15"/>
  <c r="V111" i="15" s="1"/>
  <c r="U111" i="15" s="1"/>
  <c r="W123" i="15"/>
  <c r="V123" i="15" s="1"/>
  <c r="U123" i="15" s="1"/>
  <c r="W56" i="15"/>
  <c r="V56" i="15" s="1"/>
  <c r="U56" i="15" s="1"/>
  <c r="W94" i="15"/>
  <c r="V94" i="15" s="1"/>
  <c r="U94" i="15" s="1"/>
  <c r="W52" i="15"/>
  <c r="V52" i="15" s="1"/>
  <c r="U52" i="15" s="1"/>
  <c r="BL41" i="15"/>
  <c r="BL79" i="15"/>
  <c r="BL83" i="15"/>
  <c r="W51" i="15"/>
  <c r="V51" i="15" s="1"/>
  <c r="U51" i="15" s="1"/>
  <c r="V16" i="15"/>
  <c r="U16" i="15" s="1"/>
  <c r="BL47" i="15"/>
  <c r="W104" i="15"/>
  <c r="V104" i="15" s="1"/>
  <c r="U104" i="15" s="1"/>
  <c r="BK39" i="15"/>
  <c r="W54" i="15"/>
  <c r="V54" i="15" s="1"/>
  <c r="U54" i="15" s="1"/>
  <c r="AT217" i="2"/>
  <c r="BT154" i="2"/>
  <c r="AG182" i="2"/>
  <c r="AT253" i="2"/>
  <c r="BT330" i="2"/>
  <c r="DH330" i="2"/>
  <c r="AT205" i="2"/>
  <c r="DU330" i="2"/>
  <c r="AG217" i="2"/>
  <c r="AG236" i="2"/>
  <c r="CH312" i="2"/>
  <c r="CH236" i="2"/>
  <c r="AG18" i="22"/>
  <c r="AG196" i="2"/>
  <c r="AT196" i="2"/>
  <c r="AT236" i="2"/>
  <c r="AT8" i="2"/>
  <c r="AT182" i="2"/>
  <c r="AG225" i="2"/>
  <c r="CU330" i="2"/>
  <c r="BT72" i="2"/>
  <c r="AG404" i="2"/>
  <c r="BT236" i="2"/>
  <c r="BT304" i="2"/>
  <c r="AE260" i="15"/>
  <c r="AC260" i="15" s="1"/>
  <c r="AF18" i="22"/>
  <c r="DK313" i="2"/>
  <c r="AA309" i="15" s="1"/>
  <c r="AE262" i="15"/>
  <c r="AC262" i="15" s="1"/>
  <c r="DK24" i="2"/>
  <c r="AA266" i="15" s="1"/>
  <c r="AE264" i="15"/>
  <c r="AC264" i="15" s="1"/>
  <c r="V206" i="15"/>
  <c r="U206" i="15" s="1"/>
  <c r="V205" i="15"/>
  <c r="U205" i="15" s="1"/>
  <c r="W176" i="15"/>
  <c r="V176" i="15" s="1"/>
  <c r="U176" i="15" s="1"/>
  <c r="W159" i="15"/>
  <c r="V159" i="15" s="1"/>
  <c r="U159" i="15" s="1"/>
  <c r="V200" i="15"/>
  <c r="U200" i="15" s="1"/>
  <c r="V201" i="15"/>
  <c r="U201" i="15" s="1"/>
  <c r="W234" i="15"/>
  <c r="V234" i="15" s="1"/>
  <c r="U234" i="15" s="1"/>
  <c r="W236" i="15"/>
  <c r="V236" i="15" s="1"/>
  <c r="U236" i="15" s="1"/>
  <c r="U225" i="15"/>
  <c r="U222" i="15"/>
  <c r="U217" i="15"/>
  <c r="V227" i="15"/>
  <c r="U227" i="15" s="1"/>
  <c r="K139" i="15"/>
  <c r="I139" i="15" s="1"/>
  <c r="AG10" i="7"/>
  <c r="I10" i="7"/>
  <c r="Q139" i="15" s="1"/>
  <c r="O139" i="15" s="1"/>
  <c r="U139" i="15" s="1"/>
  <c r="BI110" i="15"/>
  <c r="W20" i="15"/>
  <c r="V20" i="15" s="1"/>
  <c r="U20" i="15" s="1"/>
  <c r="BM105" i="15"/>
  <c r="BL60" i="15"/>
  <c r="W122" i="15"/>
  <c r="V122" i="15" s="1"/>
  <c r="U122" i="15" s="1"/>
  <c r="W103" i="15"/>
  <c r="V103" i="15" s="1"/>
  <c r="U103" i="15" s="1"/>
  <c r="W314" i="15"/>
  <c r="V314" i="15" s="1"/>
  <c r="U314" i="15" s="1"/>
  <c r="BK83" i="15"/>
  <c r="BA122" i="15"/>
  <c r="BF122" i="15" s="1"/>
  <c r="BF35" i="15"/>
  <c r="BM35" i="15" s="1"/>
  <c r="BI76" i="15"/>
  <c r="BG78" i="15"/>
  <c r="W306" i="15"/>
  <c r="V306" i="15" s="1"/>
  <c r="U306" i="15" s="1"/>
  <c r="W79" i="15"/>
  <c r="V79" i="15" s="1"/>
  <c r="U79" i="15" s="1"/>
  <c r="BL111" i="15"/>
  <c r="W62" i="15"/>
  <c r="V62" i="15" s="1"/>
  <c r="U62" i="15" s="1"/>
  <c r="BL63" i="15"/>
  <c r="BM34" i="15"/>
  <c r="BB86" i="15"/>
  <c r="BG86" i="15" s="1"/>
  <c r="BM86" i="15" s="1"/>
  <c r="W61" i="15"/>
  <c r="V61" i="15" s="1"/>
  <c r="U61" i="15" s="1"/>
  <c r="W130" i="15"/>
  <c r="V130" i="15" s="1"/>
  <c r="U130" i="15" s="1"/>
  <c r="W69" i="15"/>
  <c r="V69" i="15" s="1"/>
  <c r="U69" i="15" s="1"/>
  <c r="BN109" i="15"/>
  <c r="BH63" i="15"/>
  <c r="BK72" i="15"/>
  <c r="BM47" i="15"/>
  <c r="BM41" i="15"/>
  <c r="BF20" i="15"/>
  <c r="BM20" i="15" s="1"/>
  <c r="BC93" i="15"/>
  <c r="BH93" i="15" s="1"/>
  <c r="BM76" i="15"/>
  <c r="W109" i="15"/>
  <c r="V109" i="15" s="1"/>
  <c r="U109" i="15" s="1"/>
  <c r="BA89" i="15"/>
  <c r="BF89" i="15" s="1"/>
  <c r="BK98" i="15"/>
  <c r="BC119" i="15"/>
  <c r="BH119" i="15" s="1"/>
  <c r="BN119" i="15" s="1"/>
  <c r="BN76" i="15"/>
  <c r="V13" i="15"/>
  <c r="U13" i="15" s="1"/>
  <c r="BH128" i="15"/>
  <c r="W134" i="15"/>
  <c r="V134" i="15" s="1"/>
  <c r="U134" i="15" s="1"/>
  <c r="BM83" i="15"/>
  <c r="W313" i="15"/>
  <c r="V313" i="15" s="1"/>
  <c r="U313" i="15" s="1"/>
  <c r="BH67" i="15"/>
  <c r="W316" i="15"/>
  <c r="V316" i="15" s="1"/>
  <c r="U316" i="15" s="1"/>
  <c r="BK114" i="15"/>
  <c r="BL73" i="15"/>
  <c r="W126" i="15"/>
  <c r="V126" i="15" s="1"/>
  <c r="U126" i="15" s="1"/>
  <c r="W80" i="15"/>
  <c r="V80" i="15" s="1"/>
  <c r="U80" i="15" s="1"/>
  <c r="BI43" i="15"/>
  <c r="BF78" i="15"/>
  <c r="BF125" i="15"/>
  <c r="BM125" i="15" s="1"/>
  <c r="BD57" i="15"/>
  <c r="BI57" i="15" s="1"/>
  <c r="BN57" i="15" s="1"/>
  <c r="W115" i="15"/>
  <c r="V115" i="15" s="1"/>
  <c r="U115" i="15" s="1"/>
  <c r="AI191" i="15"/>
  <c r="AI192" i="15" s="1"/>
  <c r="BH111" i="15"/>
  <c r="V14" i="15"/>
  <c r="U14" i="15" s="1"/>
  <c r="BK45" i="15"/>
  <c r="BI75" i="15"/>
  <c r="BD87" i="15"/>
  <c r="BI87" i="15" s="1"/>
  <c r="U298" i="15"/>
  <c r="BA119" i="15"/>
  <c r="BF119" i="15" s="1"/>
  <c r="BM119" i="15" s="1"/>
  <c r="BA108" i="15"/>
  <c r="BF108" i="15" s="1"/>
  <c r="BH47" i="15"/>
  <c r="BL96" i="15"/>
  <c r="BH24" i="15"/>
  <c r="BN24" i="15" s="1"/>
  <c r="BF85" i="15"/>
  <c r="BK84" i="15"/>
  <c r="BF21" i="15"/>
  <c r="BM21" i="15" s="1"/>
  <c r="BH97" i="15"/>
  <c r="BN97" i="15" s="1"/>
  <c r="W50" i="15"/>
  <c r="V50" i="15" s="1"/>
  <c r="U50" i="15" s="1"/>
  <c r="BD95" i="15"/>
  <c r="BI95" i="15" s="1"/>
  <c r="W317" i="15"/>
  <c r="V317" i="15" s="1"/>
  <c r="U317" i="15" s="1"/>
  <c r="W117" i="15"/>
  <c r="V117" i="15" s="1"/>
  <c r="U117" i="15" s="1"/>
  <c r="W39" i="15"/>
  <c r="V39" i="15" s="1"/>
  <c r="U39" i="15" s="1"/>
  <c r="W29" i="15"/>
  <c r="V29" i="15" s="1"/>
  <c r="U29" i="15" s="1"/>
  <c r="BK97" i="15"/>
  <c r="BA127" i="15"/>
  <c r="BF127" i="15" s="1"/>
  <c r="BM127" i="15" s="1"/>
  <c r="BI60" i="15"/>
  <c r="BN60" i="15" s="1"/>
  <c r="W99" i="15"/>
  <c r="V99" i="15" s="1"/>
  <c r="U99" i="15" s="1"/>
  <c r="W21" i="15"/>
  <c r="V21" i="15" s="1"/>
  <c r="U21" i="15" s="1"/>
  <c r="BH54" i="15"/>
  <c r="BK102" i="15"/>
  <c r="W27" i="15"/>
  <c r="V27" i="15" s="1"/>
  <c r="U27" i="15" s="1"/>
  <c r="W95" i="15"/>
  <c r="V95" i="15" s="1"/>
  <c r="U95" i="15" s="1"/>
  <c r="W55" i="15"/>
  <c r="V55" i="15" s="1"/>
  <c r="U55" i="15" s="1"/>
  <c r="W89" i="15"/>
  <c r="V89" i="15" s="1"/>
  <c r="U89" i="15" s="1"/>
  <c r="W307" i="15"/>
  <c r="V307" i="15" s="1"/>
  <c r="U307" i="15" s="1"/>
  <c r="W106" i="15"/>
  <c r="V106" i="15" s="1"/>
  <c r="U106" i="15" s="1"/>
  <c r="W78" i="15"/>
  <c r="V78" i="15" s="1"/>
  <c r="U78" i="15" s="1"/>
  <c r="BM71" i="15"/>
  <c r="W131" i="15"/>
  <c r="V131" i="15" s="1"/>
  <c r="U131" i="15" s="1"/>
  <c r="BF26" i="15"/>
  <c r="BM26" i="15" s="1"/>
  <c r="BL105" i="15"/>
  <c r="BH70" i="15"/>
  <c r="W77" i="15"/>
  <c r="V77" i="15" s="1"/>
  <c r="U77" i="15" s="1"/>
  <c r="W81" i="15"/>
  <c r="V81" i="15" s="1"/>
  <c r="U81" i="15" s="1"/>
  <c r="BH21" i="15"/>
  <c r="BN21" i="15" s="1"/>
  <c r="BK86" i="15"/>
  <c r="BA56" i="15"/>
  <c r="BK56" i="15" s="1"/>
  <c r="BI102" i="15"/>
  <c r="BK43" i="15"/>
  <c r="W22" i="15"/>
  <c r="V22" i="15" s="1"/>
  <c r="U22" i="15" s="1"/>
  <c r="BL128" i="15"/>
  <c r="V11" i="15"/>
  <c r="U11" i="15" s="1"/>
  <c r="W129" i="15"/>
  <c r="V129" i="15" s="1"/>
  <c r="U129" i="15" s="1"/>
  <c r="BF33" i="15"/>
  <c r="BM33" i="15" s="1"/>
  <c r="W28" i="15"/>
  <c r="V28" i="15" s="1"/>
  <c r="U28" i="15" s="1"/>
  <c r="BL67" i="15"/>
  <c r="BH106" i="15"/>
  <c r="BN106" i="15" s="1"/>
  <c r="BK95" i="15"/>
  <c r="BD66" i="15"/>
  <c r="BI66" i="15" s="1"/>
  <c r="W48" i="15"/>
  <c r="V48" i="15" s="1"/>
  <c r="U48" i="15" s="1"/>
  <c r="BI58" i="15"/>
  <c r="W59" i="15"/>
  <c r="V59" i="15" s="1"/>
  <c r="U59" i="15" s="1"/>
  <c r="BI125" i="15"/>
  <c r="BA130" i="15"/>
  <c r="BF130" i="15" s="1"/>
  <c r="BC123" i="15"/>
  <c r="BL123" i="15" s="1"/>
  <c r="BI63" i="15"/>
  <c r="BF39" i="15"/>
  <c r="BM39" i="15" s="1"/>
  <c r="BF43" i="15"/>
  <c r="BF102" i="15"/>
  <c r="BF72" i="15"/>
  <c r="BL43" i="15"/>
  <c r="W112" i="15"/>
  <c r="V112" i="15" s="1"/>
  <c r="U112" i="15" s="1"/>
  <c r="W114" i="15"/>
  <c r="V114" i="15" s="1"/>
  <c r="U114" i="15" s="1"/>
  <c r="BL44" i="15"/>
  <c r="BN105" i="15"/>
  <c r="W60" i="15"/>
  <c r="V60" i="15" s="1"/>
  <c r="U60" i="15" s="1"/>
  <c r="BM46" i="15"/>
  <c r="BM30" i="15"/>
  <c r="BD82" i="15"/>
  <c r="BI82" i="15" s="1"/>
  <c r="W308" i="15"/>
  <c r="V308" i="15" s="1"/>
  <c r="U308" i="15" s="1"/>
  <c r="BL109" i="15"/>
  <c r="BI67" i="15"/>
  <c r="BK122" i="15"/>
  <c r="BK41" i="15"/>
  <c r="BC104" i="15"/>
  <c r="BH104" i="15" s="1"/>
  <c r="BN104" i="15" s="1"/>
  <c r="W34" i="15"/>
  <c r="V34" i="15" s="1"/>
  <c r="U34" i="15" s="1"/>
  <c r="BG111" i="15"/>
  <c r="BN92" i="15"/>
  <c r="W309" i="15"/>
  <c r="V309" i="15" s="1"/>
  <c r="U309" i="15" s="1"/>
  <c r="BI79" i="15"/>
  <c r="BH27" i="15"/>
  <c r="BN27" i="15" s="1"/>
  <c r="BL27" i="15"/>
  <c r="BH95" i="15"/>
  <c r="BI73" i="15"/>
  <c r="BN73" i="15" s="1"/>
  <c r="BD99" i="15"/>
  <c r="BI99" i="15" s="1"/>
  <c r="BH133" i="15"/>
  <c r="BC135" i="15"/>
  <c r="BH135" i="15" s="1"/>
  <c r="BK116" i="15"/>
  <c r="BG116" i="15"/>
  <c r="BM116" i="15" s="1"/>
  <c r="BD89" i="15"/>
  <c r="BI89" i="15" s="1"/>
  <c r="BI88" i="15"/>
  <c r="BN88" i="15" s="1"/>
  <c r="BL88" i="15"/>
  <c r="BG109" i="15"/>
  <c r="BM109" i="15" s="1"/>
  <c r="BK109" i="15"/>
  <c r="BC82" i="15"/>
  <c r="BH82" i="15" s="1"/>
  <c r="BH78" i="15"/>
  <c r="BN78" i="15" s="1"/>
  <c r="BL78" i="15"/>
  <c r="BG66" i="15"/>
  <c r="BM66" i="15" s="1"/>
  <c r="BK66" i="15"/>
  <c r="BD115" i="15"/>
  <c r="BI115" i="15" s="1"/>
  <c r="BN115" i="15" s="1"/>
  <c r="BI98" i="15"/>
  <c r="BN98" i="15" s="1"/>
  <c r="BI120" i="15"/>
  <c r="BN120" i="15" s="1"/>
  <c r="BD122" i="15"/>
  <c r="BI122" i="15" s="1"/>
  <c r="BI54" i="15"/>
  <c r="BK55" i="15"/>
  <c r="BG55" i="15"/>
  <c r="BM55" i="15" s="1"/>
  <c r="BK101" i="15"/>
  <c r="BG101" i="15"/>
  <c r="BM101" i="15" s="1"/>
  <c r="BH89" i="15"/>
  <c r="BL89" i="15"/>
  <c r="BA91" i="15"/>
  <c r="BF91" i="15" s="1"/>
  <c r="BF90" i="15"/>
  <c r="BG40" i="15"/>
  <c r="BM40" i="15" s="1"/>
  <c r="BK40" i="15"/>
  <c r="BB103" i="15"/>
  <c r="BG103" i="15" s="1"/>
  <c r="BG75" i="15"/>
  <c r="BH86" i="15"/>
  <c r="BN86" i="15" s="1"/>
  <c r="BL86" i="15"/>
  <c r="BL45" i="15"/>
  <c r="BH45" i="15"/>
  <c r="BN45" i="15" s="1"/>
  <c r="BL101" i="15"/>
  <c r="BH101" i="15"/>
  <c r="BN101" i="15" s="1"/>
  <c r="BG60" i="15"/>
  <c r="BM60" i="15" s="1"/>
  <c r="BK60" i="15"/>
  <c r="BF73" i="15"/>
  <c r="BM73" i="15" s="1"/>
  <c r="BA99" i="15"/>
  <c r="BG121" i="15"/>
  <c r="BB123" i="15"/>
  <c r="BG123" i="15" s="1"/>
  <c r="BH85" i="15"/>
  <c r="BL85" i="15"/>
  <c r="BL107" i="15"/>
  <c r="BH107" i="15"/>
  <c r="BC108" i="15"/>
  <c r="BH108" i="15" s="1"/>
  <c r="BN108" i="15" s="1"/>
  <c r="BK64" i="15"/>
  <c r="BB93" i="15"/>
  <c r="BG93" i="15" s="1"/>
  <c r="BG92" i="15"/>
  <c r="BL25" i="15"/>
  <c r="BL23" i="15"/>
  <c r="BH23" i="15"/>
  <c r="BN23" i="15" s="1"/>
  <c r="BN40" i="15"/>
  <c r="BA135" i="15"/>
  <c r="BF135" i="15" s="1"/>
  <c r="BM29" i="15"/>
  <c r="BB57" i="15"/>
  <c r="BG57" i="15" s="1"/>
  <c r="BG54" i="15"/>
  <c r="BF77" i="15"/>
  <c r="BM77" i="15" s="1"/>
  <c r="BA80" i="15"/>
  <c r="BH26" i="15"/>
  <c r="BN26" i="15" s="1"/>
  <c r="BL26" i="15"/>
  <c r="BL42" i="15"/>
  <c r="BH42" i="15"/>
  <c r="BN42" i="15" s="1"/>
  <c r="W312" i="15"/>
  <c r="V312" i="15" s="1"/>
  <c r="U312" i="15" s="1"/>
  <c r="BK79" i="15"/>
  <c r="W33" i="15"/>
  <c r="V33" i="15" s="1"/>
  <c r="U33" i="15" s="1"/>
  <c r="BN41" i="15"/>
  <c r="W118" i="15"/>
  <c r="V118" i="15" s="1"/>
  <c r="U118" i="15" s="1"/>
  <c r="W119" i="15"/>
  <c r="V119" i="15" s="1"/>
  <c r="U119" i="15" s="1"/>
  <c r="W101" i="15"/>
  <c r="V101" i="15" s="1"/>
  <c r="U101" i="15" s="1"/>
  <c r="W71" i="15"/>
  <c r="V71" i="15" s="1"/>
  <c r="U71" i="15" s="1"/>
  <c r="BF24" i="15"/>
  <c r="BM24" i="15" s="1"/>
  <c r="W31" i="15"/>
  <c r="V31" i="15" s="1"/>
  <c r="U31" i="15" s="1"/>
  <c r="W26" i="15"/>
  <c r="V26" i="15" s="1"/>
  <c r="U26" i="15" s="1"/>
  <c r="BH83" i="15"/>
  <c r="W63" i="15"/>
  <c r="V63" i="15" s="1"/>
  <c r="U63" i="15" s="1"/>
  <c r="W93" i="15"/>
  <c r="V93" i="15" s="1"/>
  <c r="U93" i="15" s="1"/>
  <c r="W73" i="15"/>
  <c r="V73" i="15" s="1"/>
  <c r="U73" i="15" s="1"/>
  <c r="W24" i="15"/>
  <c r="V24" i="15" s="1"/>
  <c r="U24" i="15" s="1"/>
  <c r="W67" i="15"/>
  <c r="V67" i="15" s="1"/>
  <c r="U67" i="15" s="1"/>
  <c r="W74" i="15"/>
  <c r="V74" i="15" s="1"/>
  <c r="U74" i="15" s="1"/>
  <c r="BG43" i="15"/>
  <c r="W49" i="15"/>
  <c r="V49" i="15" s="1"/>
  <c r="U49" i="15" s="1"/>
  <c r="W318" i="15"/>
  <c r="V318" i="15" s="1"/>
  <c r="U318" i="15" s="1"/>
  <c r="W92" i="15"/>
  <c r="V92" i="15" s="1"/>
  <c r="U92" i="15" s="1"/>
  <c r="W83" i="15"/>
  <c r="V83" i="15" s="1"/>
  <c r="U83" i="15" s="1"/>
  <c r="W35" i="15"/>
  <c r="V35" i="15" s="1"/>
  <c r="U35" i="15" s="1"/>
  <c r="W43" i="15"/>
  <c r="V43" i="15" s="1"/>
  <c r="U43" i="15" s="1"/>
  <c r="BH33" i="15"/>
  <c r="BN33" i="15" s="1"/>
  <c r="BK69" i="15"/>
  <c r="BN29" i="15"/>
  <c r="BM115" i="15"/>
  <c r="BK107" i="15"/>
  <c r="BN84" i="15"/>
  <c r="W85" i="15"/>
  <c r="V85" i="15" s="1"/>
  <c r="U85" i="15" s="1"/>
  <c r="W40" i="15"/>
  <c r="V40" i="15" s="1"/>
  <c r="U40" i="15" s="1"/>
  <c r="BL64" i="15"/>
  <c r="BK27" i="15"/>
  <c r="BK129" i="15"/>
  <c r="BD134" i="15"/>
  <c r="BI134" i="15" s="1"/>
  <c r="BF114" i="15"/>
  <c r="BM114" i="15" s="1"/>
  <c r="U137" i="15"/>
  <c r="W53" i="15"/>
  <c r="V53" i="15" s="1"/>
  <c r="U53" i="15" s="1"/>
  <c r="BK71" i="15"/>
  <c r="BH20" i="15"/>
  <c r="BN20" i="15" s="1"/>
  <c r="BI128" i="15"/>
  <c r="W88" i="15"/>
  <c r="V88" i="15" s="1"/>
  <c r="U88" i="15" s="1"/>
  <c r="BH44" i="15"/>
  <c r="BN44" i="15" s="1"/>
  <c r="BK110" i="15"/>
  <c r="BK30" i="15"/>
  <c r="BL114" i="15"/>
  <c r="BC99" i="15"/>
  <c r="BB104" i="15"/>
  <c r="BG104" i="15" s="1"/>
  <c r="W311" i="15"/>
  <c r="V311" i="15" s="1"/>
  <c r="U311" i="15" s="1"/>
  <c r="BL130" i="15"/>
  <c r="BK118" i="15"/>
  <c r="BK46" i="15"/>
  <c r="BL74" i="15"/>
  <c r="BN114" i="15"/>
  <c r="BF84" i="15"/>
  <c r="W128" i="15"/>
  <c r="V128" i="15" s="1"/>
  <c r="U128" i="15" s="1"/>
  <c r="W47" i="15"/>
  <c r="V47" i="15" s="1"/>
  <c r="U47" i="15" s="1"/>
  <c r="W75" i="15"/>
  <c r="V75" i="15" s="1"/>
  <c r="U75" i="15" s="1"/>
  <c r="W66" i="15"/>
  <c r="V66" i="15" s="1"/>
  <c r="U66" i="15" s="1"/>
  <c r="W97" i="15"/>
  <c r="V97" i="15" s="1"/>
  <c r="U97" i="15" s="1"/>
  <c r="W36" i="15"/>
  <c r="V36" i="15" s="1"/>
  <c r="U36" i="15" s="1"/>
  <c r="W76" i="15"/>
  <c r="V76" i="15" s="1"/>
  <c r="U76" i="15" s="1"/>
  <c r="W91" i="15"/>
  <c r="V91" i="15" s="1"/>
  <c r="U91" i="15" s="1"/>
  <c r="W116" i="15"/>
  <c r="V116" i="15" s="1"/>
  <c r="U116" i="15" s="1"/>
  <c r="BF32" i="15"/>
  <c r="BM32" i="15" s="1"/>
  <c r="BK82" i="15"/>
  <c r="W105" i="15"/>
  <c r="V105" i="15" s="1"/>
  <c r="U105" i="15" s="1"/>
  <c r="W113" i="15"/>
  <c r="V113" i="15" s="1"/>
  <c r="U113" i="15" s="1"/>
  <c r="BA131" i="15"/>
  <c r="BF131" i="15" s="1"/>
  <c r="BM131" i="15" s="1"/>
  <c r="BK31" i="15"/>
  <c r="BL38" i="15"/>
  <c r="W108" i="15"/>
  <c r="V108" i="15" s="1"/>
  <c r="U108" i="15" s="1"/>
  <c r="W37" i="15"/>
  <c r="V37" i="15" s="1"/>
  <c r="U37" i="15" s="1"/>
  <c r="BF69" i="15"/>
  <c r="BM69" i="15" s="1"/>
  <c r="BB108" i="15"/>
  <c r="BG108" i="15" s="1"/>
  <c r="BD93" i="15"/>
  <c r="BI93" i="15" s="1"/>
  <c r="V12" i="15"/>
  <c r="U12" i="15" s="1"/>
  <c r="W58" i="15"/>
  <c r="V58" i="15" s="1"/>
  <c r="U58" i="15" s="1"/>
  <c r="W65" i="15"/>
  <c r="V65" i="15" s="1"/>
  <c r="U65" i="15" s="1"/>
  <c r="W30" i="15"/>
  <c r="V30" i="15" s="1"/>
  <c r="U30" i="15" s="1"/>
  <c r="W41" i="15"/>
  <c r="V41" i="15" s="1"/>
  <c r="U41" i="15" s="1"/>
  <c r="BH79" i="15"/>
  <c r="BK73" i="15"/>
  <c r="W125" i="15"/>
  <c r="V125" i="15" s="1"/>
  <c r="U125" i="15" s="1"/>
  <c r="BG122" i="15"/>
  <c r="BH66" i="15"/>
  <c r="BF64" i="15"/>
  <c r="BM64" i="15" s="1"/>
  <c r="BN130" i="15"/>
  <c r="BG84" i="15"/>
  <c r="BL76" i="15"/>
  <c r="BL61" i="15"/>
  <c r="W23" i="15"/>
  <c r="V23" i="15" s="1"/>
  <c r="U23" i="15" s="1"/>
  <c r="BK61" i="15"/>
  <c r="BL98" i="15"/>
  <c r="BM97" i="15"/>
  <c r="V10" i="15"/>
  <c r="U10" i="15" s="1"/>
  <c r="W110" i="15"/>
  <c r="V110" i="15" s="1"/>
  <c r="U110" i="15" s="1"/>
  <c r="W38" i="15"/>
  <c r="V38" i="15" s="1"/>
  <c r="U38" i="15" s="1"/>
  <c r="W70" i="15"/>
  <c r="V70" i="15" s="1"/>
  <c r="U70" i="15" s="1"/>
  <c r="W57" i="15"/>
  <c r="V57" i="15" s="1"/>
  <c r="U57" i="15" s="1"/>
  <c r="W64" i="15"/>
  <c r="V64" i="15" s="1"/>
  <c r="U64" i="15" s="1"/>
  <c r="BI48" i="15"/>
  <c r="BN48" i="15" s="1"/>
  <c r="BA51" i="15"/>
  <c r="BI50" i="15"/>
  <c r="BK50" i="15"/>
  <c r="AE227" i="15"/>
  <c r="AC227" i="15" s="1"/>
  <c r="DI924" i="7"/>
  <c r="I924" i="7"/>
  <c r="O228" i="15" s="1"/>
  <c r="V228" i="15" s="1"/>
  <c r="U228" i="15" s="1"/>
  <c r="AE242" i="15"/>
  <c r="AC242" i="15" s="1"/>
  <c r="AA242" i="15"/>
  <c r="F7" i="22"/>
  <c r="DI7" i="22" s="1"/>
  <c r="N7" i="22"/>
  <c r="AI59" i="15"/>
  <c r="AI60" i="15"/>
  <c r="AI61" i="15" s="1"/>
  <c r="BK133" i="15"/>
  <c r="BB135" i="15"/>
  <c r="BM107" i="15"/>
  <c r="BH124" i="15"/>
  <c r="BC126" i="15"/>
  <c r="BI53" i="15"/>
  <c r="BD56" i="15"/>
  <c r="BI56" i="15" s="1"/>
  <c r="BF100" i="15"/>
  <c r="BK28" i="15"/>
  <c r="BA87" i="15"/>
  <c r="BL92" i="15"/>
  <c r="BM88" i="15"/>
  <c r="BH121" i="15"/>
  <c r="BN121" i="15" s="1"/>
  <c r="BI38" i="15"/>
  <c r="BK92" i="15"/>
  <c r="BF92" i="15"/>
  <c r="BL77" i="15"/>
  <c r="BC80" i="15"/>
  <c r="BH77" i="15"/>
  <c r="BN77" i="15" s="1"/>
  <c r="BD117" i="15"/>
  <c r="BI117" i="15" s="1"/>
  <c r="BB51" i="15"/>
  <c r="BG50" i="15"/>
  <c r="BM50" i="15" s="1"/>
  <c r="BL124" i="15"/>
  <c r="BB49" i="15"/>
  <c r="BG49" i="15" s="1"/>
  <c r="BG48" i="15"/>
  <c r="BM48" i="15" s="1"/>
  <c r="BK48" i="15"/>
  <c r="BG74" i="15"/>
  <c r="BM74" i="15" s="1"/>
  <c r="BB100" i="15"/>
  <c r="BG100" i="15" s="1"/>
  <c r="BL84" i="15"/>
  <c r="BC87" i="15"/>
  <c r="BD37" i="15"/>
  <c r="BI37" i="15" s="1"/>
  <c r="BK111" i="15"/>
  <c r="BA112" i="15"/>
  <c r="BF111" i="15"/>
  <c r="BK90" i="15"/>
  <c r="BB91" i="15"/>
  <c r="BG91" i="15" s="1"/>
  <c r="BG90" i="15"/>
  <c r="BG85" i="15"/>
  <c r="BM85" i="15" s="1"/>
  <c r="BK85" i="15"/>
  <c r="BB113" i="15"/>
  <c r="BG113" i="15" s="1"/>
  <c r="BB37" i="15"/>
  <c r="BG38" i="15"/>
  <c r="BK34" i="15"/>
  <c r="BH28" i="15"/>
  <c r="BN28" i="15" s="1"/>
  <c r="BL28" i="15"/>
  <c r="BF113" i="15"/>
  <c r="BM113" i="15" s="1"/>
  <c r="BK113" i="15"/>
  <c r="BK132" i="15"/>
  <c r="BF132" i="15"/>
  <c r="BM132" i="15" s="1"/>
  <c r="BA134" i="15"/>
  <c r="BC116" i="15"/>
  <c r="BL102" i="15"/>
  <c r="BL110" i="15"/>
  <c r="BC118" i="15"/>
  <c r="BH110" i="15"/>
  <c r="BH39" i="15"/>
  <c r="BN39" i="15" s="1"/>
  <c r="BL39" i="15"/>
  <c r="BH125" i="15"/>
  <c r="BL125" i="15"/>
  <c r="BC127" i="15"/>
  <c r="BL50" i="15"/>
  <c r="BC51" i="15"/>
  <c r="BH50" i="15"/>
  <c r="BA57" i="15"/>
  <c r="BF54" i="15"/>
  <c r="BB117" i="15"/>
  <c r="BG117" i="15" s="1"/>
  <c r="BG106" i="15"/>
  <c r="BK23" i="15"/>
  <c r="BF23" i="15"/>
  <c r="BM23" i="15" s="1"/>
  <c r="BG133" i="15"/>
  <c r="BM133" i="15" s="1"/>
  <c r="BK22" i="15"/>
  <c r="BF22" i="15"/>
  <c r="BM22" i="15" s="1"/>
  <c r="BH30" i="15"/>
  <c r="BN30" i="15" s="1"/>
  <c r="BL120" i="15"/>
  <c r="BC122" i="15"/>
  <c r="BI64" i="15"/>
  <c r="BN64" i="15" s="1"/>
  <c r="BG53" i="15"/>
  <c r="BM53" i="15" s="1"/>
  <c r="BK53" i="15"/>
  <c r="BL106" i="15"/>
  <c r="BL29" i="15"/>
  <c r="U138" i="15"/>
  <c r="BK54" i="15"/>
  <c r="BF103" i="15"/>
  <c r="BF93" i="15"/>
  <c r="BH37" i="15"/>
  <c r="BG67" i="15"/>
  <c r="BG82" i="15"/>
  <c r="BM82" i="15" s="1"/>
  <c r="BI55" i="15"/>
  <c r="BN55" i="15" s="1"/>
  <c r="BL55" i="15"/>
  <c r="BL68" i="15"/>
  <c r="BH68" i="15"/>
  <c r="BN68" i="15" s="1"/>
  <c r="BF81" i="15"/>
  <c r="BM81" i="15" s="1"/>
  <c r="BK81" i="15"/>
  <c r="BD52" i="15"/>
  <c r="BI52" i="15" s="1"/>
  <c r="BB134" i="15"/>
  <c r="BG134" i="15" s="1"/>
  <c r="BH102" i="15"/>
  <c r="BN102" i="15" s="1"/>
  <c r="BG42" i="15"/>
  <c r="BM42" i="15" s="1"/>
  <c r="BK42" i="15"/>
  <c r="BK106" i="15"/>
  <c r="BK74" i="15"/>
  <c r="BH32" i="15"/>
  <c r="BN32" i="15" s="1"/>
  <c r="BB130" i="15"/>
  <c r="BG130" i="15" s="1"/>
  <c r="BG128" i="15"/>
  <c r="BM128" i="15" s="1"/>
  <c r="BL31" i="15"/>
  <c r="BK124" i="15"/>
  <c r="BG124" i="15"/>
  <c r="BK38" i="15"/>
  <c r="BF38" i="15"/>
  <c r="BA117" i="15"/>
  <c r="BF106" i="15"/>
  <c r="W32" i="15"/>
  <c r="V32" i="15" s="1"/>
  <c r="U32" i="15" s="1"/>
  <c r="BF61" i="15"/>
  <c r="BM61" i="15" s="1"/>
  <c r="BH38" i="15"/>
  <c r="BC49" i="15"/>
  <c r="BI90" i="15"/>
  <c r="BN90" i="15" s="1"/>
  <c r="BA49" i="15"/>
  <c r="W124" i="15"/>
  <c r="V124" i="15" s="1"/>
  <c r="U124" i="15" s="1"/>
  <c r="BN47" i="15"/>
  <c r="BK120" i="15"/>
  <c r="BL48" i="15"/>
  <c r="BH117" i="15"/>
  <c r="BH61" i="15"/>
  <c r="BN61" i="15" s="1"/>
  <c r="BG120" i="15"/>
  <c r="BM120" i="15" s="1"/>
  <c r="BF75" i="15"/>
  <c r="W90" i="15"/>
  <c r="V90" i="15" s="1"/>
  <c r="U90" i="15" s="1"/>
  <c r="W82" i="15"/>
  <c r="V82" i="15" s="1"/>
  <c r="U82" i="15" s="1"/>
  <c r="W86" i="15"/>
  <c r="V86" i="15" s="1"/>
  <c r="U86" i="15" s="1"/>
  <c r="BG129" i="15"/>
  <c r="BM129" i="15" s="1"/>
  <c r="BL40" i="15"/>
  <c r="BI129" i="15"/>
  <c r="BK88" i="15"/>
  <c r="BK75" i="15"/>
  <c r="BG95" i="15"/>
  <c r="BM95" i="15" s="1"/>
  <c r="U297" i="15"/>
  <c r="BL75" i="15"/>
  <c r="BF110" i="15"/>
  <c r="BM110" i="15" s="1"/>
  <c r="W42" i="15"/>
  <c r="V42" i="15" s="1"/>
  <c r="U42" i="15" s="1"/>
  <c r="BB89" i="15"/>
  <c r="W98" i="15"/>
  <c r="V98" i="15" s="1"/>
  <c r="U98" i="15" s="1"/>
  <c r="BL59" i="15"/>
  <c r="BI83" i="15"/>
  <c r="BI85" i="15"/>
  <c r="BI111" i="15"/>
  <c r="BN111" i="15" s="1"/>
  <c r="BH43" i="15"/>
  <c r="BN43" i="15" s="1"/>
  <c r="BL90" i="15"/>
  <c r="BK115" i="15"/>
  <c r="W100" i="15"/>
  <c r="V100" i="15" s="1"/>
  <c r="U100" i="15" s="1"/>
  <c r="BN59" i="15"/>
  <c r="BC91" i="15"/>
  <c r="BA104" i="15"/>
  <c r="BK76" i="15"/>
  <c r="BI70" i="15"/>
  <c r="BD94" i="15"/>
  <c r="BK128" i="15"/>
  <c r="BI62" i="15"/>
  <c r="BN62" i="15" s="1"/>
  <c r="BL62" i="15"/>
  <c r="BG58" i="15"/>
  <c r="BM58" i="15" s="1"/>
  <c r="BK58" i="15"/>
  <c r="BB59" i="15"/>
  <c r="BG59" i="15" s="1"/>
  <c r="BM59" i="15" s="1"/>
  <c r="BG102" i="15"/>
  <c r="BM102" i="15" s="1"/>
  <c r="BD100" i="15"/>
  <c r="BI100" i="15" s="1"/>
  <c r="BN100" i="15" s="1"/>
  <c r="W310" i="15"/>
  <c r="V310" i="15" s="1"/>
  <c r="U310" i="15" s="1"/>
  <c r="AI143" i="15"/>
  <c r="AI144" i="15" s="1"/>
  <c r="AI145" i="15" s="1"/>
  <c r="AI146" i="15" s="1"/>
  <c r="AI147" i="15" s="1"/>
  <c r="AI148" i="15" s="1"/>
  <c r="AI142" i="15"/>
  <c r="BC113" i="15"/>
  <c r="BH74" i="15"/>
  <c r="BN74" i="15" s="1"/>
  <c r="BI107" i="15"/>
  <c r="BL112" i="15"/>
  <c r="BM45" i="15"/>
  <c r="BK65" i="15"/>
  <c r="BF65" i="15"/>
  <c r="BM65" i="15" s="1"/>
  <c r="BG96" i="15"/>
  <c r="BK96" i="15"/>
  <c r="BF79" i="15"/>
  <c r="BM79" i="15" s="1"/>
  <c r="BH46" i="15"/>
  <c r="BN46" i="15" s="1"/>
  <c r="BH96" i="15"/>
  <c r="BN96" i="15" s="1"/>
  <c r="BC81" i="15"/>
  <c r="BL58" i="15"/>
  <c r="BH58" i="15"/>
  <c r="I165" i="15" l="1"/>
  <c r="AF118" i="7"/>
  <c r="DI37" i="7"/>
  <c r="AE143" i="15" s="1"/>
  <c r="AC143" i="15" s="1"/>
  <c r="AE161" i="15"/>
  <c r="AC161" i="15" s="1"/>
  <c r="AF120" i="7"/>
  <c r="AF423" i="7"/>
  <c r="I150" i="15"/>
  <c r="DG129" i="7"/>
  <c r="AA176" i="15" s="1"/>
  <c r="DI943" i="7"/>
  <c r="AG230" i="15" s="1"/>
  <c r="AD230" i="15" s="1"/>
  <c r="K522" i="7"/>
  <c r="O189" i="15" s="1"/>
  <c r="W189" i="15" s="1"/>
  <c r="V189" i="15" s="1"/>
  <c r="U189" i="15" s="1"/>
  <c r="K527" i="7"/>
  <c r="O194" i="15" s="1"/>
  <c r="W194" i="15" s="1"/>
  <c r="V194" i="15" s="1"/>
  <c r="U194" i="15" s="1"/>
  <c r="J230" i="15"/>
  <c r="DI104" i="7"/>
  <c r="AE151" i="15" s="1"/>
  <c r="AC151" i="15" s="1"/>
  <c r="DG976" i="7"/>
  <c r="AA231" i="15" s="1"/>
  <c r="DI107" i="7"/>
  <c r="L488" i="7"/>
  <c r="O187" i="15" s="1"/>
  <c r="W187" i="15" s="1"/>
  <c r="V187" i="15" s="1"/>
  <c r="U187" i="15" s="1"/>
  <c r="I191" i="15"/>
  <c r="I211" i="15"/>
  <c r="DI124" i="7"/>
  <c r="AE171" i="15" s="1"/>
  <c r="AC171" i="15" s="1"/>
  <c r="AF522" i="7"/>
  <c r="K37" i="7"/>
  <c r="O143" i="15" s="1"/>
  <c r="W143" i="15" s="1"/>
  <c r="V143" i="15" s="1"/>
  <c r="U143" i="15" s="1"/>
  <c r="DJ856" i="7"/>
  <c r="DG856" i="7" s="1"/>
  <c r="AA225" i="15" s="1"/>
  <c r="DI855" i="7"/>
  <c r="AF123" i="7"/>
  <c r="AF40" i="7"/>
  <c r="DI488" i="7"/>
  <c r="AG856" i="7"/>
  <c r="AF124" i="7"/>
  <c r="K109" i="7"/>
  <c r="O156" i="15" s="1"/>
  <c r="W156" i="15" s="1"/>
  <c r="V156" i="15" s="1"/>
  <c r="U156" i="15" s="1"/>
  <c r="I156" i="15"/>
  <c r="K120" i="7"/>
  <c r="O167" i="15" s="1"/>
  <c r="W167" i="15" s="1"/>
  <c r="V167" i="15" s="1"/>
  <c r="U167" i="15" s="1"/>
  <c r="AF125" i="7"/>
  <c r="DI7" i="7"/>
  <c r="DG7" i="7" s="1"/>
  <c r="AA136" i="15" s="1"/>
  <c r="AG855" i="7"/>
  <c r="DG780" i="7"/>
  <c r="AA209" i="15" s="1"/>
  <c r="I143" i="15"/>
  <c r="DI422" i="7"/>
  <c r="AE180" i="15" s="1"/>
  <c r="AC180" i="15" s="1"/>
  <c r="I189" i="15"/>
  <c r="K108" i="7"/>
  <c r="O155" i="15" s="1"/>
  <c r="W155" i="15" s="1"/>
  <c r="V155" i="15" s="1"/>
  <c r="U155" i="15" s="1"/>
  <c r="DG1005" i="7"/>
  <c r="AA237" i="15" s="1"/>
  <c r="I155" i="15"/>
  <c r="DI459" i="7"/>
  <c r="AE185" i="15" s="1"/>
  <c r="AC185" i="15" s="1"/>
  <c r="M855" i="7"/>
  <c r="O224" i="15" s="1"/>
  <c r="U224" i="15" s="1"/>
  <c r="V214" i="15"/>
  <c r="U214" i="15" s="1"/>
  <c r="I171" i="15"/>
  <c r="K123" i="7"/>
  <c r="O170" i="15" s="1"/>
  <c r="W170" i="15" s="1"/>
  <c r="V170" i="15" s="1"/>
  <c r="U170" i="15" s="1"/>
  <c r="AF524" i="7"/>
  <c r="DG848" i="7"/>
  <c r="AA217" i="15" s="1"/>
  <c r="W171" i="15"/>
  <c r="V171" i="15" s="1"/>
  <c r="U171" i="15" s="1"/>
  <c r="DI607" i="7"/>
  <c r="AE197" i="15" s="1"/>
  <c r="I167" i="15"/>
  <c r="K524" i="7"/>
  <c r="O191" i="15" s="1"/>
  <c r="W191" i="15" s="1"/>
  <c r="V191" i="15" s="1"/>
  <c r="U191" i="15" s="1"/>
  <c r="AC197" i="15"/>
  <c r="I943" i="7"/>
  <c r="P230" i="15" s="1"/>
  <c r="W235" i="15"/>
  <c r="V235" i="15" s="1"/>
  <c r="U235" i="15" s="1"/>
  <c r="DI123" i="7"/>
  <c r="DG123" i="7" s="1"/>
  <c r="AA170" i="15" s="1"/>
  <c r="AE232" i="15"/>
  <c r="AC232" i="15" s="1"/>
  <c r="DG977" i="7"/>
  <c r="AA232" i="15" s="1"/>
  <c r="DG676" i="7"/>
  <c r="AA202" i="15" s="1"/>
  <c r="DI489" i="7"/>
  <c r="DG489" i="7" s="1"/>
  <c r="AA188" i="15" s="1"/>
  <c r="AF34" i="7"/>
  <c r="DI941" i="7"/>
  <c r="AG229" i="15" s="1"/>
  <c r="AD229" i="15" s="1"/>
  <c r="K125" i="7"/>
  <c r="O172" i="15" s="1"/>
  <c r="W172" i="15" s="1"/>
  <c r="V172" i="15" s="1"/>
  <c r="U172" i="15" s="1"/>
  <c r="W166" i="15"/>
  <c r="V166" i="15" s="1"/>
  <c r="U166" i="15" s="1"/>
  <c r="DI125" i="7"/>
  <c r="DG103" i="7"/>
  <c r="AA150" i="15" s="1"/>
  <c r="AG846" i="7"/>
  <c r="I215" i="15"/>
  <c r="K526" i="7"/>
  <c r="O193" i="15" s="1"/>
  <c r="W193" i="15" s="1"/>
  <c r="V193" i="15" s="1"/>
  <c r="U193" i="15" s="1"/>
  <c r="W162" i="15"/>
  <c r="V162" i="15" s="1"/>
  <c r="U162" i="15" s="1"/>
  <c r="AF526" i="7"/>
  <c r="AE239" i="15"/>
  <c r="AC239" i="15" s="1"/>
  <c r="DI34" i="7"/>
  <c r="AE140" i="15" s="1"/>
  <c r="AC140" i="15" s="1"/>
  <c r="DG525" i="7"/>
  <c r="AA192" i="15" s="1"/>
  <c r="K34" i="7"/>
  <c r="O140" i="15" s="1"/>
  <c r="W140" i="15" s="1"/>
  <c r="V140" i="15" s="1"/>
  <c r="U140" i="15" s="1"/>
  <c r="AC211" i="15"/>
  <c r="DI119" i="7"/>
  <c r="DG119" i="7" s="1"/>
  <c r="AA166" i="15" s="1"/>
  <c r="K104" i="7"/>
  <c r="O151" i="15" s="1"/>
  <c r="W151" i="15" s="1"/>
  <c r="V151" i="15" s="1"/>
  <c r="U151" i="15" s="1"/>
  <c r="DI857" i="7"/>
  <c r="DG857" i="7" s="1"/>
  <c r="AA226" i="15" s="1"/>
  <c r="DI108" i="7"/>
  <c r="I161" i="15"/>
  <c r="K114" i="7"/>
  <c r="O161" i="15" s="1"/>
  <c r="W161" i="15" s="1"/>
  <c r="V161" i="15" s="1"/>
  <c r="U161" i="15" s="1"/>
  <c r="U223" i="15"/>
  <c r="AF119" i="7"/>
  <c r="I221" i="15"/>
  <c r="M849" i="7"/>
  <c r="O218" i="15" s="1"/>
  <c r="U218" i="15" s="1"/>
  <c r="I166" i="15"/>
  <c r="DG527" i="7"/>
  <c r="AA194" i="15" s="1"/>
  <c r="D835" i="7"/>
  <c r="V835" i="7" s="1"/>
  <c r="V773" i="7"/>
  <c r="DG488" i="7"/>
  <c r="AA187" i="15" s="1"/>
  <c r="AF459" i="7"/>
  <c r="D551" i="7"/>
  <c r="I185" i="15"/>
  <c r="I218" i="15"/>
  <c r="I193" i="15"/>
  <c r="AF104" i="7"/>
  <c r="DI752" i="7"/>
  <c r="AE207" i="15" s="1"/>
  <c r="AC207" i="15" s="1"/>
  <c r="I187" i="15"/>
  <c r="DG607" i="7"/>
  <c r="AA197" i="15" s="1"/>
  <c r="AG7" i="7"/>
  <c r="K136" i="15"/>
  <c r="I136" i="15" s="1"/>
  <c r="DI126" i="7"/>
  <c r="AE173" i="15" s="1"/>
  <c r="AC173" i="15" s="1"/>
  <c r="W157" i="15"/>
  <c r="V157" i="15" s="1"/>
  <c r="U157" i="15" s="1"/>
  <c r="DI118" i="7"/>
  <c r="AE165" i="15" s="1"/>
  <c r="AC165" i="15" s="1"/>
  <c r="DG1001" i="7"/>
  <c r="AA233" i="15" s="1"/>
  <c r="M852" i="7"/>
  <c r="O221" i="15" s="1"/>
  <c r="U221" i="15" s="1"/>
  <c r="DG106" i="7"/>
  <c r="AA153" i="15" s="1"/>
  <c r="DG710" i="7"/>
  <c r="AA203" i="15" s="1"/>
  <c r="DI849" i="7"/>
  <c r="DG849" i="7" s="1"/>
  <c r="AA218" i="15" s="1"/>
  <c r="AG852" i="7"/>
  <c r="I164" i="15"/>
  <c r="AF117" i="7"/>
  <c r="K117" i="7"/>
  <c r="O164" i="15" s="1"/>
  <c r="W164" i="15" s="1"/>
  <c r="V164" i="15" s="1"/>
  <c r="U164" i="15" s="1"/>
  <c r="DI847" i="7"/>
  <c r="AE216" i="15" s="1"/>
  <c r="AC216" i="15" s="1"/>
  <c r="O198" i="15"/>
  <c r="U198" i="15" s="1"/>
  <c r="AE204" i="15"/>
  <c r="AC204" i="15" s="1"/>
  <c r="O211" i="15"/>
  <c r="V211" i="15" s="1"/>
  <c r="U211" i="15" s="1"/>
  <c r="K118" i="7"/>
  <c r="O165" i="15" s="1"/>
  <c r="W165" i="15" s="1"/>
  <c r="V165" i="15" s="1"/>
  <c r="U165" i="15" s="1"/>
  <c r="W181" i="15"/>
  <c r="V181" i="15" s="1"/>
  <c r="U181" i="15" s="1"/>
  <c r="DG788" i="7"/>
  <c r="AA213" i="15" s="1"/>
  <c r="AE189" i="15"/>
  <c r="AC189" i="15" s="1"/>
  <c r="DG557" i="7"/>
  <c r="AA195" i="15" s="1"/>
  <c r="DI421" i="7"/>
  <c r="AE179" i="15" s="1"/>
  <c r="AC179" i="15" s="1"/>
  <c r="AG857" i="7"/>
  <c r="AF122" i="7"/>
  <c r="DI128" i="7"/>
  <c r="DG128" i="7" s="1"/>
  <c r="AA175" i="15" s="1"/>
  <c r="I179" i="15"/>
  <c r="DG42" i="7"/>
  <c r="AA148" i="15" s="1"/>
  <c r="AF421" i="7"/>
  <c r="K42" i="7"/>
  <c r="O148" i="15" s="1"/>
  <c r="W148" i="15" s="1"/>
  <c r="V148" i="15" s="1"/>
  <c r="U148" i="15" s="1"/>
  <c r="DG852" i="7"/>
  <c r="AA221" i="15" s="1"/>
  <c r="I226" i="15"/>
  <c r="K122" i="7"/>
  <c r="O169" i="15" s="1"/>
  <c r="W169" i="15" s="1"/>
  <c r="V169" i="15" s="1"/>
  <c r="U169" i="15" s="1"/>
  <c r="DI41" i="7"/>
  <c r="AE147" i="15" s="1"/>
  <c r="AC147" i="15" s="1"/>
  <c r="I181" i="15"/>
  <c r="AE187" i="15"/>
  <c r="AC187" i="15" s="1"/>
  <c r="W160" i="15"/>
  <c r="V160" i="15" s="1"/>
  <c r="U160" i="15" s="1"/>
  <c r="W174" i="15"/>
  <c r="V174" i="15" s="1"/>
  <c r="U174" i="15" s="1"/>
  <c r="AF42" i="7"/>
  <c r="DI423" i="7"/>
  <c r="AE181" i="15" s="1"/>
  <c r="AC181" i="15" s="1"/>
  <c r="K197" i="15"/>
  <c r="I197" i="15" s="1"/>
  <c r="AG607" i="7"/>
  <c r="I607" i="7"/>
  <c r="Q197" i="15" s="1"/>
  <c r="O197" i="15" s="1"/>
  <c r="U197" i="15" s="1"/>
  <c r="AG851" i="7"/>
  <c r="I220" i="15"/>
  <c r="DI117" i="7"/>
  <c r="AE164" i="15" s="1"/>
  <c r="AC164" i="15" s="1"/>
  <c r="I142" i="15"/>
  <c r="K36" i="7"/>
  <c r="O142" i="15" s="1"/>
  <c r="W142" i="15" s="1"/>
  <c r="V142" i="15" s="1"/>
  <c r="U142" i="15" s="1"/>
  <c r="K126" i="7"/>
  <c r="O173" i="15" s="1"/>
  <c r="W173" i="15" s="1"/>
  <c r="V173" i="15" s="1"/>
  <c r="U173" i="15" s="1"/>
  <c r="DG125" i="7"/>
  <c r="AA172" i="15" s="1"/>
  <c r="AE172" i="15"/>
  <c r="AC172" i="15" s="1"/>
  <c r="AF121" i="7"/>
  <c r="K121" i="7"/>
  <c r="O168" i="15" s="1"/>
  <c r="W168" i="15" s="1"/>
  <c r="V168" i="15" s="1"/>
  <c r="U168" i="15" s="1"/>
  <c r="I152" i="15"/>
  <c r="AF105" i="7"/>
  <c r="DG851" i="7"/>
  <c r="AA220" i="15" s="1"/>
  <c r="I180" i="15"/>
  <c r="AE156" i="15"/>
  <c r="AC156" i="15" s="1"/>
  <c r="DG109" i="7"/>
  <c r="AA156" i="15" s="1"/>
  <c r="K41" i="7"/>
  <c r="O147" i="15" s="1"/>
  <c r="W147" i="15" s="1"/>
  <c r="V147" i="15" s="1"/>
  <c r="U147" i="15" s="1"/>
  <c r="D515" i="7"/>
  <c r="V480" i="7"/>
  <c r="AF36" i="7"/>
  <c r="AE236" i="15"/>
  <c r="AC236" i="15" s="1"/>
  <c r="DG1004" i="7"/>
  <c r="AA236" i="15" s="1"/>
  <c r="AE163" i="15"/>
  <c r="AC163" i="15" s="1"/>
  <c r="DG116" i="7"/>
  <c r="AA163" i="15" s="1"/>
  <c r="AG850" i="7"/>
  <c r="M850" i="7"/>
  <c r="O219" i="15" s="1"/>
  <c r="U219" i="15" s="1"/>
  <c r="DI850" i="7"/>
  <c r="I219" i="15"/>
  <c r="DG609" i="7"/>
  <c r="AA198" i="15" s="1"/>
  <c r="U195" i="15"/>
  <c r="AF39" i="7"/>
  <c r="K39" i="7"/>
  <c r="O145" i="15" s="1"/>
  <c r="W145" i="15" s="1"/>
  <c r="V145" i="15" s="1"/>
  <c r="U145" i="15" s="1"/>
  <c r="I145" i="15"/>
  <c r="DI121" i="7"/>
  <c r="AE168" i="15" s="1"/>
  <c r="AC168" i="15" s="1"/>
  <c r="AF422" i="7"/>
  <c r="AF41" i="7"/>
  <c r="DG37" i="7"/>
  <c r="AA143" i="15" s="1"/>
  <c r="AF128" i="7"/>
  <c r="I175" i="15"/>
  <c r="F942" i="7"/>
  <c r="AF952" i="7"/>
  <c r="DI39" i="7"/>
  <c r="AF580" i="7"/>
  <c r="J559" i="7"/>
  <c r="F559" i="7" s="1"/>
  <c r="G581" i="7"/>
  <c r="AF581" i="7" s="1"/>
  <c r="AG847" i="7"/>
  <c r="I216" i="15"/>
  <c r="AE191" i="15"/>
  <c r="AC191" i="15" s="1"/>
  <c r="DG524" i="7"/>
  <c r="AA191" i="15" s="1"/>
  <c r="AF951" i="7"/>
  <c r="F940" i="7"/>
  <c r="AE158" i="15"/>
  <c r="AC158" i="15" s="1"/>
  <c r="DG111" i="7"/>
  <c r="AA158" i="15" s="1"/>
  <c r="AE167" i="15"/>
  <c r="AC167" i="15" s="1"/>
  <c r="DG120" i="7"/>
  <c r="AA167" i="15" s="1"/>
  <c r="AE193" i="15"/>
  <c r="AC193" i="15" s="1"/>
  <c r="DG526" i="7"/>
  <c r="AA193" i="15" s="1"/>
  <c r="DG104" i="7"/>
  <c r="AA151" i="15" s="1"/>
  <c r="K105" i="7"/>
  <c r="O152" i="15" s="1"/>
  <c r="W152" i="15" s="1"/>
  <c r="V152" i="15" s="1"/>
  <c r="U152" i="15" s="1"/>
  <c r="I168" i="15"/>
  <c r="AF126" i="7"/>
  <c r="AE150" i="15"/>
  <c r="AC150" i="15" s="1"/>
  <c r="K422" i="7"/>
  <c r="O180" i="15" s="1"/>
  <c r="W180" i="15" s="1"/>
  <c r="V180" i="15" s="1"/>
  <c r="U180" i="15" s="1"/>
  <c r="DI122" i="7"/>
  <c r="DI36" i="7"/>
  <c r="AE142" i="15" s="1"/>
  <c r="AC142" i="15" s="1"/>
  <c r="DI105" i="7"/>
  <c r="DI426" i="7"/>
  <c r="AF426" i="7"/>
  <c r="I184" i="15"/>
  <c r="AE200" i="15"/>
  <c r="AC200" i="15" s="1"/>
  <c r="DG640" i="7"/>
  <c r="AA200" i="15" s="1"/>
  <c r="AE159" i="15"/>
  <c r="AC159" i="15" s="1"/>
  <c r="DG112" i="7"/>
  <c r="AA159" i="15" s="1"/>
  <c r="DG675" i="7"/>
  <c r="AA201" i="15" s="1"/>
  <c r="AE201" i="15"/>
  <c r="AC201" i="15" s="1"/>
  <c r="L489" i="7"/>
  <c r="O188" i="15" s="1"/>
  <c r="W188" i="15" s="1"/>
  <c r="V188" i="15" s="1"/>
  <c r="U188" i="15" s="1"/>
  <c r="I188" i="15"/>
  <c r="AF489" i="7"/>
  <c r="AE212" i="15"/>
  <c r="AC212" i="15" s="1"/>
  <c r="DG786" i="7"/>
  <c r="AA212" i="15" s="1"/>
  <c r="I186" i="15"/>
  <c r="AF487" i="7"/>
  <c r="L487" i="7"/>
  <c r="O186" i="15" s="1"/>
  <c r="W186" i="15" s="1"/>
  <c r="V186" i="15" s="1"/>
  <c r="U186" i="15" s="1"/>
  <c r="DI487" i="7"/>
  <c r="AE199" i="15"/>
  <c r="AC199" i="15" s="1"/>
  <c r="DG639" i="7"/>
  <c r="AA199" i="15" s="1"/>
  <c r="AE157" i="15"/>
  <c r="AC157" i="15" s="1"/>
  <c r="DG110" i="7"/>
  <c r="AA157" i="15" s="1"/>
  <c r="AE190" i="15"/>
  <c r="AC190" i="15" s="1"/>
  <c r="DG523" i="7"/>
  <c r="AA190" i="15" s="1"/>
  <c r="AE137" i="15"/>
  <c r="AC137" i="15" s="1"/>
  <c r="DG8" i="7"/>
  <c r="AA137" i="15" s="1"/>
  <c r="DG846" i="7"/>
  <c r="AA215" i="15" s="1"/>
  <c r="AE215" i="15"/>
  <c r="AC215" i="15" s="1"/>
  <c r="I752" i="7"/>
  <c r="O207" i="15" s="1"/>
  <c r="V207" i="15" s="1"/>
  <c r="U207" i="15" s="1"/>
  <c r="AG752" i="7"/>
  <c r="I207" i="15"/>
  <c r="K425" i="7"/>
  <c r="O183" i="15" s="1"/>
  <c r="W183" i="15" s="1"/>
  <c r="V183" i="15" s="1"/>
  <c r="U183" i="15" s="1"/>
  <c r="I183" i="15"/>
  <c r="AF425" i="7"/>
  <c r="AG753" i="7"/>
  <c r="I208" i="15"/>
  <c r="DI753" i="7"/>
  <c r="I753" i="7"/>
  <c r="O208" i="15" s="1"/>
  <c r="V208" i="15" s="1"/>
  <c r="U208" i="15" s="1"/>
  <c r="AF38" i="7"/>
  <c r="I144" i="15"/>
  <c r="K38" i="7"/>
  <c r="O144" i="15" s="1"/>
  <c r="W144" i="15" s="1"/>
  <c r="V144" i="15" s="1"/>
  <c r="U144" i="15" s="1"/>
  <c r="DI38" i="7"/>
  <c r="DG40" i="7"/>
  <c r="AA146" i="15" s="1"/>
  <c r="AE146" i="15"/>
  <c r="AC146" i="15" s="1"/>
  <c r="AF115" i="7"/>
  <c r="I162" i="15"/>
  <c r="DI115" i="7"/>
  <c r="DG782" i="7"/>
  <c r="AA210" i="15" s="1"/>
  <c r="AE210" i="15"/>
  <c r="AC210" i="15" s="1"/>
  <c r="I157" i="15"/>
  <c r="AF110" i="7"/>
  <c r="AF102" i="7"/>
  <c r="K102" i="7"/>
  <c r="O149" i="15" s="1"/>
  <c r="W149" i="15" s="1"/>
  <c r="V149" i="15" s="1"/>
  <c r="U149" i="15" s="1"/>
  <c r="I149" i="15"/>
  <c r="DI102" i="7"/>
  <c r="AE138" i="15"/>
  <c r="AC138" i="15" s="1"/>
  <c r="DG9" i="7"/>
  <c r="AA138" i="15" s="1"/>
  <c r="DG424" i="7"/>
  <c r="AA182" i="15" s="1"/>
  <c r="AE182" i="15"/>
  <c r="AC182" i="15" s="1"/>
  <c r="DG113" i="7"/>
  <c r="AA160" i="15" s="1"/>
  <c r="AE160" i="15"/>
  <c r="AC160" i="15" s="1"/>
  <c r="DG1003" i="7"/>
  <c r="AA235" i="15" s="1"/>
  <c r="AE235" i="15"/>
  <c r="AC235" i="15" s="1"/>
  <c r="DI425" i="7"/>
  <c r="I178" i="15"/>
  <c r="K131" i="7"/>
  <c r="O178" i="15" s="1"/>
  <c r="W178" i="15" s="1"/>
  <c r="V178" i="15" s="1"/>
  <c r="U178" i="15" s="1"/>
  <c r="DI131" i="7"/>
  <c r="AF131" i="7"/>
  <c r="AE154" i="15"/>
  <c r="AC154" i="15" s="1"/>
  <c r="DG107" i="7"/>
  <c r="AA154" i="15" s="1"/>
  <c r="AE174" i="15"/>
  <c r="AC174" i="15" s="1"/>
  <c r="DG127" i="7"/>
  <c r="AA174" i="15" s="1"/>
  <c r="K426" i="7"/>
  <c r="O184" i="15" s="1"/>
  <c r="W184" i="15" s="1"/>
  <c r="V184" i="15" s="1"/>
  <c r="U184" i="15" s="1"/>
  <c r="I182" i="15"/>
  <c r="AF424" i="7"/>
  <c r="K424" i="7"/>
  <c r="O182" i="15" s="1"/>
  <c r="W182" i="15" s="1"/>
  <c r="V182" i="15" s="1"/>
  <c r="U182" i="15" s="1"/>
  <c r="V752" i="7"/>
  <c r="V753" i="7" s="1"/>
  <c r="V711" i="7"/>
  <c r="V712" i="7" s="1"/>
  <c r="V713" i="7" s="1"/>
  <c r="AE238" i="15"/>
  <c r="AC238" i="15" s="1"/>
  <c r="DG1006" i="7"/>
  <c r="AA238" i="15" s="1"/>
  <c r="AE177" i="15"/>
  <c r="AC177" i="15" s="1"/>
  <c r="DG130" i="7"/>
  <c r="AA177" i="15" s="1"/>
  <c r="BA67" i="15"/>
  <c r="BF63" i="15"/>
  <c r="BM63" i="15" s="1"/>
  <c r="BL133" i="15"/>
  <c r="BF70" i="15"/>
  <c r="BM70" i="15" s="1"/>
  <c r="BH131" i="15"/>
  <c r="BN131" i="15" s="1"/>
  <c r="BL53" i="15"/>
  <c r="BK94" i="15"/>
  <c r="BK63" i="15"/>
  <c r="BH53" i="15"/>
  <c r="BN53" i="15" s="1"/>
  <c r="BF126" i="15"/>
  <c r="BM126" i="15" s="1"/>
  <c r="BL132" i="15"/>
  <c r="BH69" i="15"/>
  <c r="BN69" i="15" s="1"/>
  <c r="BL69" i="15"/>
  <c r="BL71" i="15"/>
  <c r="BI133" i="15"/>
  <c r="BN133" i="15" s="1"/>
  <c r="BC94" i="15"/>
  <c r="BH94" i="15" s="1"/>
  <c r="BC134" i="15"/>
  <c r="BH134" i="15" s="1"/>
  <c r="BN134" i="15" s="1"/>
  <c r="BH129" i="15"/>
  <c r="BN129" i="15" s="1"/>
  <c r="BI124" i="15"/>
  <c r="BN124" i="15" s="1"/>
  <c r="BD126" i="15"/>
  <c r="BI126" i="15" s="1"/>
  <c r="BM96" i="15"/>
  <c r="BA123" i="15"/>
  <c r="BL22" i="15"/>
  <c r="BG62" i="15"/>
  <c r="BM62" i="15" s="1"/>
  <c r="BK62" i="15"/>
  <c r="BL129" i="15"/>
  <c r="BL36" i="15"/>
  <c r="BK70" i="15"/>
  <c r="BL57" i="15"/>
  <c r="BK121" i="15"/>
  <c r="BK25" i="15"/>
  <c r="BL119" i="15"/>
  <c r="BH34" i="15"/>
  <c r="BN34" i="15" s="1"/>
  <c r="BK47" i="15"/>
  <c r="BC65" i="15"/>
  <c r="BH65" i="15" s="1"/>
  <c r="BN65" i="15" s="1"/>
  <c r="BH75" i="15"/>
  <c r="BN75" i="15" s="1"/>
  <c r="BC103" i="15"/>
  <c r="BL35" i="15"/>
  <c r="BF124" i="15"/>
  <c r="BM124" i="15" s="1"/>
  <c r="BK103" i="15"/>
  <c r="BN128" i="15"/>
  <c r="BN89" i="15"/>
  <c r="BM122" i="15"/>
  <c r="BN95" i="15"/>
  <c r="BN110" i="15"/>
  <c r="BM111" i="15"/>
  <c r="BN67" i="15"/>
  <c r="BM92" i="15"/>
  <c r="BM103" i="15"/>
  <c r="BF56" i="15"/>
  <c r="BM56" i="15" s="1"/>
  <c r="BM72" i="15"/>
  <c r="AT59" i="2"/>
  <c r="BG8" i="2"/>
  <c r="BG59" i="2"/>
  <c r="BG119" i="2"/>
  <c r="BG290" i="2"/>
  <c r="BG434" i="2"/>
  <c r="AT312" i="2"/>
  <c r="AT225" i="2"/>
  <c r="AT119" i="2"/>
  <c r="AT166" i="2"/>
  <c r="AT486" i="2"/>
  <c r="BG138" i="2"/>
  <c r="BG470" i="2"/>
  <c r="AT404" i="2"/>
  <c r="AT341" i="2"/>
  <c r="AT37" i="2"/>
  <c r="BG304" i="2"/>
  <c r="AT362" i="2"/>
  <c r="AT260" i="2"/>
  <c r="BG182" i="2"/>
  <c r="AT414" i="2"/>
  <c r="BG205" i="2"/>
  <c r="BG166" i="2"/>
  <c r="BG260" i="2"/>
  <c r="BG330" i="2"/>
  <c r="AT434" i="2"/>
  <c r="AT290" i="2"/>
  <c r="BG196" i="2"/>
  <c r="AT388" i="2"/>
  <c r="AT81" i="2"/>
  <c r="BG217" i="2"/>
  <c r="BG81" i="2"/>
  <c r="AT470" i="2"/>
  <c r="AT330" i="2"/>
  <c r="AT450" i="2"/>
  <c r="BG240" i="2"/>
  <c r="BG72" i="2"/>
  <c r="BG225" i="2"/>
  <c r="BG450" i="2"/>
  <c r="BG154" i="2"/>
  <c r="AT506" i="2"/>
  <c r="BG37" i="2"/>
  <c r="BT37" i="2" s="1"/>
  <c r="BT225" i="2" s="1"/>
  <c r="CH225" i="2" s="1"/>
  <c r="BG414" i="2"/>
  <c r="BG362" i="2"/>
  <c r="AT154" i="2"/>
  <c r="BG341" i="2"/>
  <c r="BG404" i="2"/>
  <c r="BG506" i="2"/>
  <c r="AT240" i="2"/>
  <c r="AT304" i="2"/>
  <c r="BG312" i="2"/>
  <c r="AT138" i="2"/>
  <c r="BG388" i="2"/>
  <c r="BG486" i="2"/>
  <c r="AE139" i="15"/>
  <c r="AC139" i="15" s="1"/>
  <c r="DG10" i="7"/>
  <c r="AA139" i="15" s="1"/>
  <c r="BM78" i="15"/>
  <c r="BN58" i="15"/>
  <c r="BM130" i="15"/>
  <c r="BN70" i="15"/>
  <c r="BM108" i="15"/>
  <c r="BK127" i="15"/>
  <c r="BN82" i="15"/>
  <c r="BK131" i="15"/>
  <c r="BM43" i="15"/>
  <c r="BH123" i="15"/>
  <c r="BN123" i="15" s="1"/>
  <c r="BM91" i="15"/>
  <c r="BN63" i="15"/>
  <c r="BL104" i="15"/>
  <c r="BM93" i="15"/>
  <c r="BK93" i="15"/>
  <c r="BK130" i="15"/>
  <c r="BK119" i="15"/>
  <c r="BL95" i="15"/>
  <c r="BN66" i="15"/>
  <c r="BK59" i="15"/>
  <c r="BN107" i="15"/>
  <c r="BL100" i="15"/>
  <c r="BK108" i="15"/>
  <c r="BM38" i="15"/>
  <c r="BN79" i="15"/>
  <c r="BN54" i="15"/>
  <c r="BL66" i="15"/>
  <c r="BK51" i="15"/>
  <c r="BN125" i="15"/>
  <c r="BM90" i="15"/>
  <c r="BF99" i="15"/>
  <c r="BM99" i="15" s="1"/>
  <c r="BK99" i="15"/>
  <c r="BM106" i="15"/>
  <c r="BM100" i="15"/>
  <c r="BK100" i="15"/>
  <c r="BL37" i="15"/>
  <c r="BN37" i="15"/>
  <c r="BF80" i="15"/>
  <c r="BM80" i="15" s="1"/>
  <c r="BK80" i="15"/>
  <c r="BM54" i="15"/>
  <c r="BL117" i="15"/>
  <c r="BL115" i="15"/>
  <c r="BN38" i="15"/>
  <c r="BH99" i="15"/>
  <c r="BN99" i="15" s="1"/>
  <c r="BL99" i="15"/>
  <c r="BL93" i="15"/>
  <c r="BL82" i="15"/>
  <c r="BN85" i="15"/>
  <c r="BM75" i="15"/>
  <c r="BN93" i="15"/>
  <c r="BN83" i="15"/>
  <c r="BL108" i="15"/>
  <c r="BN117" i="15"/>
  <c r="BM84" i="15"/>
  <c r="BM121" i="15"/>
  <c r="BN50" i="15"/>
  <c r="BA52" i="15"/>
  <c r="BF52" i="15" s="1"/>
  <c r="BF51" i="15"/>
  <c r="AE228" i="15"/>
  <c r="AC228" i="15" s="1"/>
  <c r="DG924" i="7"/>
  <c r="AA228" i="15" s="1"/>
  <c r="I241" i="15"/>
  <c r="AG7" i="22"/>
  <c r="AE241" i="15"/>
  <c r="AC241" i="15" s="1"/>
  <c r="DG7" i="22"/>
  <c r="AA241" i="15" s="1"/>
  <c r="G7" i="22"/>
  <c r="O241" i="15" s="1"/>
  <c r="U241" i="15" s="1"/>
  <c r="BF112" i="15"/>
  <c r="BM112" i="15" s="1"/>
  <c r="BK112" i="15"/>
  <c r="BK117" i="15"/>
  <c r="BF117" i="15"/>
  <c r="BM117" i="15" s="1"/>
  <c r="BL80" i="15"/>
  <c r="BH80" i="15"/>
  <c r="BN80" i="15" s="1"/>
  <c r="BK134" i="15"/>
  <c r="BF134" i="15"/>
  <c r="BM134" i="15" s="1"/>
  <c r="BL126" i="15"/>
  <c r="BH126" i="15"/>
  <c r="BN126" i="15" s="1"/>
  <c r="BH113" i="15"/>
  <c r="BN113" i="15" s="1"/>
  <c r="BL113" i="15"/>
  <c r="BI135" i="15"/>
  <c r="BN135" i="15" s="1"/>
  <c r="BL135" i="15"/>
  <c r="BH87" i="15"/>
  <c r="BN87" i="15" s="1"/>
  <c r="BL87" i="15"/>
  <c r="BK57" i="15"/>
  <c r="BF57" i="15"/>
  <c r="BM57" i="15" s="1"/>
  <c r="BK91" i="15"/>
  <c r="BG89" i="15"/>
  <c r="BM89" i="15" s="1"/>
  <c r="BK89" i="15"/>
  <c r="BG37" i="15"/>
  <c r="BM37" i="15" s="1"/>
  <c r="BK37" i="15"/>
  <c r="BH56" i="15"/>
  <c r="BN56" i="15" s="1"/>
  <c r="BL56" i="15"/>
  <c r="BL116" i="15"/>
  <c r="BH116" i="15"/>
  <c r="BN116" i="15" s="1"/>
  <c r="BH81" i="15"/>
  <c r="BN81" i="15" s="1"/>
  <c r="BL81" i="15"/>
  <c r="BH51" i="15"/>
  <c r="BN51" i="15" s="1"/>
  <c r="BC52" i="15"/>
  <c r="BL51" i="15"/>
  <c r="BK135" i="15"/>
  <c r="BG135" i="15"/>
  <c r="BM135" i="15" s="1"/>
  <c r="BH127" i="15"/>
  <c r="BN127" i="15" s="1"/>
  <c r="BL127" i="15"/>
  <c r="AI63" i="15"/>
  <c r="AI64" i="15" s="1"/>
  <c r="AI62" i="15"/>
  <c r="BF49" i="15"/>
  <c r="BM49" i="15" s="1"/>
  <c r="BK49" i="15"/>
  <c r="BF104" i="15"/>
  <c r="BM104" i="15" s="1"/>
  <c r="BK104" i="15"/>
  <c r="BB52" i="15"/>
  <c r="BG51" i="15"/>
  <c r="BH118" i="15"/>
  <c r="BN118" i="15" s="1"/>
  <c r="BL118" i="15"/>
  <c r="BI94" i="15"/>
  <c r="BH91" i="15"/>
  <c r="BN91" i="15" s="1"/>
  <c r="BL91" i="15"/>
  <c r="BH49" i="15"/>
  <c r="BN49" i="15" s="1"/>
  <c r="BL49" i="15"/>
  <c r="BH122" i="15"/>
  <c r="BN122" i="15" s="1"/>
  <c r="BL122" i="15"/>
  <c r="BF87" i="15"/>
  <c r="BM87" i="15" s="1"/>
  <c r="BK87" i="15"/>
  <c r="DG41" i="7" l="1"/>
  <c r="AA147" i="15" s="1"/>
  <c r="AE170" i="15"/>
  <c r="AC170" i="15" s="1"/>
  <c r="DG423" i="7"/>
  <c r="AA181" i="15" s="1"/>
  <c r="DG124" i="7"/>
  <c r="AA171" i="15" s="1"/>
  <c r="DG459" i="7"/>
  <c r="AA185" i="15" s="1"/>
  <c r="DG422" i="7"/>
  <c r="AA180" i="15" s="1"/>
  <c r="DG126" i="7"/>
  <c r="AA173" i="15" s="1"/>
  <c r="AE136" i="15"/>
  <c r="AC136" i="15" s="1"/>
  <c r="AE188" i="15"/>
  <c r="AC188" i="15" s="1"/>
  <c r="AE166" i="15"/>
  <c r="AC166" i="15" s="1"/>
  <c r="DG752" i="7"/>
  <c r="AA207" i="15" s="1"/>
  <c r="AE226" i="15"/>
  <c r="AC226" i="15" s="1"/>
  <c r="AE224" i="15"/>
  <c r="AC224" i="15" s="1"/>
  <c r="DG855" i="7"/>
  <c r="AA224" i="15" s="1"/>
  <c r="DG108" i="7"/>
  <c r="AA155" i="15" s="1"/>
  <c r="AE155" i="15"/>
  <c r="AC155" i="15" s="1"/>
  <c r="AE218" i="15"/>
  <c r="AC218" i="15" s="1"/>
  <c r="DG34" i="7"/>
  <c r="AA140" i="15" s="1"/>
  <c r="V551" i="7"/>
  <c r="V598" i="7" s="1"/>
  <c r="D598" i="7"/>
  <c r="DG421" i="7"/>
  <c r="AA179" i="15" s="1"/>
  <c r="AE175" i="15"/>
  <c r="AC175" i="15" s="1"/>
  <c r="DG117" i="7"/>
  <c r="AA164" i="15" s="1"/>
  <c r="DG118" i="7"/>
  <c r="AA165" i="15" s="1"/>
  <c r="DG847" i="7"/>
  <c r="AA216" i="15" s="1"/>
  <c r="DG121" i="7"/>
  <c r="AA168" i="15" s="1"/>
  <c r="DG36" i="7"/>
  <c r="AA142" i="15" s="1"/>
  <c r="AE152" i="15"/>
  <c r="AC152" i="15" s="1"/>
  <c r="DG105" i="7"/>
  <c r="AA152" i="15" s="1"/>
  <c r="AE169" i="15"/>
  <c r="AC169" i="15" s="1"/>
  <c r="DG122" i="7"/>
  <c r="AA169" i="15" s="1"/>
  <c r="V515" i="7"/>
  <c r="D550" i="7"/>
  <c r="I229" i="15"/>
  <c r="I940" i="7"/>
  <c r="O229" i="15" s="1"/>
  <c r="W229" i="15" s="1"/>
  <c r="V229" i="15" s="1"/>
  <c r="U229" i="15" s="1"/>
  <c r="AG940" i="7"/>
  <c r="DI940" i="7"/>
  <c r="AE219" i="15"/>
  <c r="AC219" i="15" s="1"/>
  <c r="DG850" i="7"/>
  <c r="AA219" i="15" s="1"/>
  <c r="M559" i="7"/>
  <c r="O196" i="15" s="1"/>
  <c r="U196" i="15" s="1"/>
  <c r="AF559" i="7"/>
  <c r="I196" i="15"/>
  <c r="DI559" i="7"/>
  <c r="AE145" i="15"/>
  <c r="AC145" i="15" s="1"/>
  <c r="DG39" i="7"/>
  <c r="AA145" i="15" s="1"/>
  <c r="I942" i="7"/>
  <c r="O230" i="15" s="1"/>
  <c r="W230" i="15" s="1"/>
  <c r="V230" i="15" s="1"/>
  <c r="U230" i="15" s="1"/>
  <c r="DI942" i="7"/>
  <c r="I230" i="15"/>
  <c r="AG942" i="7"/>
  <c r="AE162" i="15"/>
  <c r="AC162" i="15" s="1"/>
  <c r="DG115" i="7"/>
  <c r="AA162" i="15" s="1"/>
  <c r="DG131" i="7"/>
  <c r="AA178" i="15" s="1"/>
  <c r="AE178" i="15"/>
  <c r="AC178" i="15" s="1"/>
  <c r="AE183" i="15"/>
  <c r="AC183" i="15" s="1"/>
  <c r="DG425" i="7"/>
  <c r="AA183" i="15" s="1"/>
  <c r="AE144" i="15"/>
  <c r="AC144" i="15" s="1"/>
  <c r="DG38" i="7"/>
  <c r="AA144" i="15" s="1"/>
  <c r="DG753" i="7"/>
  <c r="AA208" i="15" s="1"/>
  <c r="AE208" i="15"/>
  <c r="AC208" i="15" s="1"/>
  <c r="DG102" i="7"/>
  <c r="AA149" i="15" s="1"/>
  <c r="AE149" i="15"/>
  <c r="AC149" i="15" s="1"/>
  <c r="AE184" i="15"/>
  <c r="AC184" i="15" s="1"/>
  <c r="DG426" i="7"/>
  <c r="AA184" i="15" s="1"/>
  <c r="AE186" i="15"/>
  <c r="AC186" i="15" s="1"/>
  <c r="DG487" i="7"/>
  <c r="AA186" i="15" s="1"/>
  <c r="BH103" i="15"/>
  <c r="BN103" i="15" s="1"/>
  <c r="BL103" i="15"/>
  <c r="BN94" i="15"/>
  <c r="BL94" i="15"/>
  <c r="BL134" i="15"/>
  <c r="BF123" i="15"/>
  <c r="BM123" i="15" s="1"/>
  <c r="BK123" i="15"/>
  <c r="BL65" i="15"/>
  <c r="BA68" i="15"/>
  <c r="BF67" i="15"/>
  <c r="BM67" i="15" s="1"/>
  <c r="BK67" i="15"/>
  <c r="BM51" i="15"/>
  <c r="AI65" i="15"/>
  <c r="AI66" i="15"/>
  <c r="AI67" i="15" s="1"/>
  <c r="BL52" i="15"/>
  <c r="BH52" i="15"/>
  <c r="BN52" i="15" s="1"/>
  <c r="BG52" i="15"/>
  <c r="BM52" i="15" s="1"/>
  <c r="BK52" i="15"/>
  <c r="AE230" i="15" l="1"/>
  <c r="AC230" i="15" s="1"/>
  <c r="DG942" i="7"/>
  <c r="AA230" i="15" s="1"/>
  <c r="AE229" i="15"/>
  <c r="AC229" i="15" s="1"/>
  <c r="DG940" i="7"/>
  <c r="AA229" i="15" s="1"/>
  <c r="V550" i="7"/>
  <c r="V594" i="7" s="1"/>
  <c r="D594" i="7"/>
  <c r="AE196" i="15"/>
  <c r="AC196" i="15" s="1"/>
  <c r="DG559" i="7"/>
  <c r="AA196" i="15" s="1"/>
  <c r="BK68" i="15"/>
  <c r="BF68" i="15"/>
  <c r="BM68" i="15" s="1"/>
  <c r="AI69" i="15"/>
  <c r="AI70" i="15" s="1"/>
  <c r="AI68" i="15"/>
  <c r="AI72" i="15" l="1"/>
  <c r="AI73" i="15" s="1"/>
  <c r="AI74" i="15" s="1"/>
  <c r="AI75" i="15" s="1"/>
  <c r="AI76" i="15" s="1"/>
  <c r="AI77" i="15" s="1"/>
  <c r="AI78" i="15" s="1"/>
  <c r="AI71" i="15"/>
  <c r="AI80" i="15" l="1"/>
  <c r="AI82" i="15" s="1"/>
  <c r="AI83" i="15" s="1"/>
  <c r="AI84" i="15" s="1"/>
  <c r="AI85" i="15" s="1"/>
  <c r="AI86" i="15" s="1"/>
  <c r="AI87" i="15" s="1"/>
  <c r="AI88" i="15" s="1"/>
  <c r="AI89" i="15" s="1"/>
  <c r="AI90" i="15" s="1"/>
  <c r="AI91" i="15" s="1"/>
  <c r="AI92" i="15" s="1"/>
  <c r="AI93" i="15" s="1"/>
  <c r="AI94" i="15" s="1"/>
  <c r="AI95" i="15" s="1"/>
  <c r="AI79" i="15"/>
  <c r="AI81" i="15" s="1"/>
  <c r="AI97" i="15" l="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9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tc={032AEE45-646D-4A2E-93EE-ADA5B4D4ED52}</author>
    <author>tc={9A5B632C-620F-4DEF-870E-DEB9BAABB0E4}</author>
    <author>tc={6FA16D5E-F5F5-4EA9-95C4-3ACB1336652A}</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D9" authorId="0" shapeId="0" xr:uid="{3719007E-94D4-4F74-8853-F770923D362F}">
      <text>
        <r>
          <rPr>
            <b/>
            <sz val="9"/>
            <color indexed="81"/>
            <rFont val="Tahoma"/>
            <family val="2"/>
          </rPr>
          <t>Commercial &amp; Industrial</t>
        </r>
        <r>
          <rPr>
            <sz val="9"/>
            <color indexed="81"/>
            <rFont val="Tahoma"/>
            <family val="2"/>
          </rPr>
          <t xml:space="preserve">
</t>
        </r>
      </text>
    </comment>
    <comment ref="CD3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38" authorId="0" shapeId="0" xr:uid="{00000000-0006-0000-0B00-000003000000}">
      <text>
        <r>
          <rPr>
            <sz val="9"/>
            <color indexed="81"/>
            <rFont val="Tahoma"/>
            <family val="2"/>
          </rPr>
          <t>Average wattage values based on program tracking data, unless otherwise noted; Updated with PY2022 tracking data</t>
        </r>
      </text>
    </comment>
    <comment ref="G38" authorId="0" shapeId="0" xr:uid="{00000000-0006-0000-0B00-000004000000}">
      <text>
        <r>
          <rPr>
            <sz val="9"/>
            <color indexed="81"/>
            <rFont val="Tahoma"/>
            <family val="2"/>
          </rPr>
          <t>Average wattage values based on program tracking data; Updated with PY2021 tracking data</t>
        </r>
      </text>
    </comment>
    <comment ref="H38" authorId="0" shapeId="0" xr:uid="{00000000-0006-0000-0B00-000005000000}">
      <text>
        <r>
          <rPr>
            <sz val="9"/>
            <color indexed="81"/>
            <rFont val="Tahoma"/>
            <family val="2"/>
          </rPr>
          <t>Average Hours values based on program tracking data; updated with PY2022 tracking data</t>
        </r>
      </text>
    </comment>
    <comment ref="I3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3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3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3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39" authorId="0" shapeId="0" xr:uid="{36DB1641-D377-4C70-8BD6-6663BF42A957}">
      <text>
        <r>
          <rPr>
            <sz val="9"/>
            <color indexed="81"/>
            <rFont val="Tahoma"/>
            <family val="2"/>
          </rPr>
          <t>2023 Update: EISA Backstop 45 lumen/watt based on EE wattage. Effective 8/1/23</t>
        </r>
      </text>
    </comment>
    <comment ref="F40" authorId="0" shapeId="0" xr:uid="{06C3012A-FB1C-4A79-BB9D-4F778A930100}">
      <text>
        <r>
          <rPr>
            <sz val="9"/>
            <color indexed="81"/>
            <rFont val="Tahoma"/>
            <family val="2"/>
          </rPr>
          <t>2023 Update: EISA Backstop 45 lumen/watt based on EE wattage. Effective 8/1/23</t>
        </r>
      </text>
    </comment>
    <comment ref="F41" authorId="0" shapeId="0" xr:uid="{A6380A4D-25F1-479A-99F0-6E14610A504C}">
      <text>
        <r>
          <rPr>
            <sz val="9"/>
            <color indexed="81"/>
            <rFont val="Tahoma"/>
            <family val="2"/>
          </rPr>
          <t>2023 Update: EISA Backstop 45 lumen/watt based on EE wattage. Effective 8/1/23</t>
        </r>
      </text>
    </comment>
    <comment ref="F4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43" authorId="0" shapeId="0" xr:uid="{99D310B8-86EB-46F3-A647-26E63F06D5B0}">
      <text>
        <r>
          <rPr>
            <sz val="9"/>
            <color indexed="81"/>
            <rFont val="Tahoma"/>
            <family val="2"/>
          </rPr>
          <t>2023 Update: EISA Backstop 45 lumen/watt based on EE wattage. Effective 8/1/23</t>
        </r>
      </text>
    </comment>
    <comment ref="H44" authorId="0" shapeId="0" xr:uid="{392A9627-8D58-4ACD-9743-57291D95F23E}">
      <text>
        <r>
          <rPr>
            <b/>
            <sz val="9"/>
            <color indexed="81"/>
            <rFont val="Tahoma"/>
            <family val="2"/>
          </rPr>
          <t>PY2024 BSS HID measures</t>
        </r>
        <r>
          <rPr>
            <sz val="9"/>
            <color indexed="81"/>
            <rFont val="Tahoma"/>
            <family val="2"/>
          </rPr>
          <t xml:space="preserve">
</t>
        </r>
      </text>
    </comment>
    <comment ref="H45" authorId="0" shapeId="0" xr:uid="{F54F53BC-5E6B-462B-8898-A7C7D5BDE03B}">
      <text>
        <r>
          <rPr>
            <b/>
            <sz val="9"/>
            <color indexed="81"/>
            <rFont val="Tahoma"/>
            <family val="2"/>
          </rPr>
          <t>PY2024 BSS HID measures</t>
        </r>
        <r>
          <rPr>
            <sz val="9"/>
            <color indexed="81"/>
            <rFont val="Tahoma"/>
            <family val="2"/>
          </rPr>
          <t xml:space="preserve">
</t>
        </r>
      </text>
    </comment>
    <comment ref="H46" authorId="0" shapeId="0" xr:uid="{CC17C927-DBA3-496C-B668-849B09F8CB71}">
      <text>
        <r>
          <rPr>
            <b/>
            <sz val="9"/>
            <color indexed="81"/>
            <rFont val="Tahoma"/>
            <family val="2"/>
          </rPr>
          <t>PY2024 BSS HID measures</t>
        </r>
        <r>
          <rPr>
            <sz val="9"/>
            <color indexed="81"/>
            <rFont val="Tahoma"/>
            <family val="2"/>
          </rPr>
          <t xml:space="preserve">
</t>
        </r>
      </text>
    </comment>
    <comment ref="H47" authorId="0" shapeId="0" xr:uid="{0B9E8FE7-8AF6-45BC-BFEE-4CDBE1F8F366}">
      <text>
        <r>
          <rPr>
            <b/>
            <sz val="9"/>
            <color indexed="81"/>
            <rFont val="Tahoma"/>
            <family val="2"/>
          </rPr>
          <t>Exit sign 8760 hours</t>
        </r>
        <r>
          <rPr>
            <sz val="9"/>
            <color indexed="81"/>
            <rFont val="Tahoma"/>
            <family val="2"/>
          </rPr>
          <t xml:space="preserve">
</t>
        </r>
      </text>
    </comment>
    <comment ref="H48" authorId="0" shapeId="0" xr:uid="{3A1B0B57-3653-4ABA-B1B2-0EFE2A426365}">
      <text>
        <r>
          <rPr>
            <b/>
            <sz val="9"/>
            <color indexed="81"/>
            <rFont val="Tahoma"/>
            <family val="2"/>
          </rPr>
          <t>PY2024 BSS Linear Fluorescent measures</t>
        </r>
      </text>
    </comment>
    <comment ref="H49" authorId="0" shapeId="0" xr:uid="{0566718A-B7D7-4D82-8C68-D1D2EA256773}">
      <text>
        <r>
          <rPr>
            <b/>
            <sz val="9"/>
            <color indexed="81"/>
            <rFont val="Tahoma"/>
            <family val="2"/>
          </rPr>
          <t>PY2024 BSS Linear Fluorescent measures</t>
        </r>
      </text>
    </comment>
    <comment ref="H50" authorId="0" shapeId="0" xr:uid="{346D94CD-89FA-40FB-8A40-D52334A396E8}">
      <text>
        <r>
          <rPr>
            <b/>
            <sz val="9"/>
            <color indexed="81"/>
            <rFont val="Tahoma"/>
            <family val="2"/>
          </rPr>
          <t>PY2024 BSS Linear Fluorescent measures</t>
        </r>
      </text>
    </comment>
    <comment ref="X50" authorId="0" shapeId="0" xr:uid="{B6429A5E-A45D-4C1C-B0EA-8AC528D017E3}">
      <text>
        <r>
          <rPr>
            <b/>
            <sz val="9"/>
            <color indexed="81"/>
            <rFont val="Tahoma"/>
            <family val="2"/>
          </rPr>
          <t>Average of measures 3023,3024,3025 from ADM</t>
        </r>
      </text>
    </comment>
    <comment ref="Y50" authorId="0" shapeId="0" xr:uid="{B2DBE6E5-E1BB-4004-9A86-EFF7952229FA}">
      <text>
        <r>
          <rPr>
            <b/>
            <sz val="9"/>
            <color indexed="81"/>
            <rFont val="Tahoma"/>
            <family val="2"/>
          </rPr>
          <t>Average of measures 3023,3024,3025 from ADM</t>
        </r>
      </text>
    </comment>
    <comment ref="H51" authorId="0" shapeId="0" xr:uid="{A650AC98-6C03-45D9-B907-C12F6661D857}">
      <text>
        <r>
          <rPr>
            <b/>
            <sz val="9"/>
            <color indexed="81"/>
            <rFont val="Tahoma"/>
            <family val="2"/>
          </rPr>
          <t>PY2024 BSS Linear Fluorescent measures</t>
        </r>
      </text>
    </comment>
    <comment ref="H52" authorId="0" shapeId="0" xr:uid="{79F43034-D548-4801-8421-D81D494AE819}">
      <text>
        <r>
          <rPr>
            <b/>
            <sz val="9"/>
            <color indexed="81"/>
            <rFont val="Tahoma"/>
            <family val="2"/>
          </rPr>
          <t>PY2024 BSS Linear Fluorescent measures</t>
        </r>
      </text>
    </comment>
    <comment ref="H53" authorId="0" shapeId="0" xr:uid="{8012E462-6522-4347-B5B1-46B49EB86FBA}">
      <text>
        <r>
          <rPr>
            <b/>
            <sz val="9"/>
            <color indexed="81"/>
            <rFont val="Tahoma"/>
            <family val="2"/>
          </rPr>
          <t>PY2024 BSS Linear Fluorescent measures</t>
        </r>
      </text>
    </comment>
    <comment ref="F54" authorId="0" shapeId="0" xr:uid="{11AFC2B2-C185-40BB-9330-3E19777591E1}">
      <text>
        <r>
          <rPr>
            <sz val="9"/>
            <color indexed="81"/>
            <rFont val="Tahoma"/>
            <family val="2"/>
          </rPr>
          <t>2023 Update: EISA Backstop 45 lumen/watt based on EE wattage. Effective 8/1/23</t>
        </r>
      </text>
    </comment>
    <comment ref="C59"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60"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61"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CD72" authorId="3"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73" authorId="0" shapeId="0" xr:uid="{00000000-0006-0000-0B00-000010000000}">
      <text>
        <r>
          <rPr>
            <sz val="9"/>
            <color indexed="81"/>
            <rFont val="Tahoma"/>
            <family val="2"/>
          </rPr>
          <t>Lighting_Controls Tables</t>
        </r>
      </text>
    </comment>
    <comment ref="G73" authorId="0" shapeId="0" xr:uid="{00000000-0006-0000-0B00-000011000000}">
      <text>
        <r>
          <rPr>
            <sz val="9"/>
            <color indexed="81"/>
            <rFont val="Tahoma"/>
            <family val="2"/>
          </rPr>
          <t>Lighting Reference Table</t>
        </r>
      </text>
    </comment>
    <comment ref="H73" authorId="0" shapeId="0" xr:uid="{00000000-0006-0000-0B00-000012000000}">
      <text>
        <r>
          <rPr>
            <sz val="9"/>
            <color indexed="81"/>
            <rFont val="Tahoma"/>
            <family val="2"/>
          </rPr>
          <t>Lighting_Controls Tables</t>
        </r>
      </text>
    </comment>
    <comment ref="I73"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73" authorId="4"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76"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90" authorId="0" shapeId="0" xr:uid="{29B301EF-1063-4E5A-9229-A2619C3C7175}">
      <text>
        <r>
          <rPr>
            <b/>
            <sz val="11"/>
            <color indexed="81"/>
            <rFont val="Tahoma"/>
            <family val="2"/>
          </rPr>
          <t>These are not in numerical order with measures above, but left this way to align with Appendix H tables order</t>
        </r>
      </text>
    </comment>
    <comment ref="BG139" authorId="0" shapeId="0" xr:uid="{0D7478A4-DE89-41F9-986E-6C0A6064BE7E}">
      <text>
        <r>
          <rPr>
            <sz val="11"/>
            <color theme="1"/>
            <rFont val="Calibri"/>
            <family val="2"/>
            <scheme val="minor"/>
          </rPr>
          <t>Source: MEMD_master_measure_database_2024 (rows 332-336 of commercial tab)</t>
        </r>
      </text>
    </comment>
    <comment ref="BF144" authorId="0" shapeId="0" xr:uid="{6FD2CB51-E587-478B-9D09-FC0E33B40B56}">
      <text>
        <r>
          <rPr>
            <sz val="11"/>
            <color theme="1"/>
            <rFont val="Calibri"/>
            <family val="2"/>
            <scheme val="minor"/>
          </rPr>
          <t xml:space="preserve">Column K was not originally updated with the proper incremental cost although it was correct in columns BF We caught this in the Oct 2025 update and correctly showed the incremental cost in column K.
</t>
        </r>
      </text>
    </comment>
    <comment ref="BG144" authorId="0" shapeId="0" xr:uid="{69269E48-6F8C-45FA-A056-D246E99A5FAE}">
      <text>
        <r>
          <rPr>
            <sz val="11"/>
            <color theme="1"/>
            <rFont val="Calibri"/>
            <family val="2"/>
            <scheme val="minor"/>
          </rPr>
          <t>Source: 2024 Electric Water heater retail cost August 2024_ research from retailers</t>
        </r>
      </text>
    </comment>
    <comment ref="F154" authorId="0" shapeId="0" xr:uid="{00000000-0006-0000-0B00-00001C000000}">
      <text>
        <r>
          <rPr>
            <sz val="9"/>
            <color indexed="81"/>
            <rFont val="Tahoma"/>
            <family val="2"/>
          </rPr>
          <t>Heat Pump Water Heater Tables</t>
        </r>
      </text>
    </comment>
    <comment ref="G154" authorId="5"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154" authorId="0" shapeId="0" xr:uid="{00000000-0006-0000-0B00-00001D000000}">
      <text>
        <r>
          <rPr>
            <sz val="9"/>
            <color indexed="81"/>
            <rFont val="Tahoma"/>
            <family val="2"/>
          </rPr>
          <t>Heat Pump Water Heater Tables</t>
        </r>
      </text>
    </comment>
    <comment ref="Q154" authorId="0" shapeId="0" xr:uid="{00000000-0006-0000-0B00-00001E000000}">
      <text>
        <r>
          <rPr>
            <sz val="9"/>
            <color indexed="81"/>
            <rFont val="Tahoma"/>
            <family val="2"/>
          </rPr>
          <t>Heat Pump Water Heater Tables</t>
        </r>
      </text>
    </comment>
    <comment ref="R154" authorId="0" shapeId="0" xr:uid="{00000000-0006-0000-0B00-00001F000000}">
      <text>
        <r>
          <rPr>
            <sz val="9"/>
            <color indexed="81"/>
            <rFont val="Tahoma"/>
            <family val="2"/>
          </rPr>
          <t>Heat Pump Water Heater Tables</t>
        </r>
      </text>
    </comment>
    <comment ref="S154" authorId="0" shapeId="0" xr:uid="{00000000-0006-0000-0B00-000020000000}">
      <text>
        <r>
          <rPr>
            <sz val="9"/>
            <color indexed="81"/>
            <rFont val="Tahoma"/>
            <family val="2"/>
          </rPr>
          <t>Heat Pump Water Heater Tables</t>
        </r>
      </text>
    </comment>
    <comment ref="I217" authorId="0" shapeId="0" xr:uid="{00000000-0006-0000-0B00-000023000000}">
      <text>
        <r>
          <rPr>
            <sz val="9"/>
            <color indexed="81"/>
            <rFont val="Tahoma"/>
            <family val="2"/>
          </rPr>
          <t>Stm Cooker &amp; Holding Cab Tables</t>
        </r>
      </text>
    </comment>
    <comment ref="G226"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226"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227" authorId="0" shapeId="0" xr:uid="{EAF63104-A701-4DC5-B27A-286BC57515A0}">
      <text>
        <r>
          <rPr>
            <b/>
            <sz val="9"/>
            <color indexed="81"/>
            <rFont val="Tahoma"/>
            <family val="2"/>
          </rPr>
          <t>O kWh savings for thermostats per MEEIA 4 Stipulation (added "*0" in formula to retain formula structure and inputs)</t>
        </r>
      </text>
    </comment>
    <comment ref="E261" authorId="0" shapeId="0" xr:uid="{00000000-0006-0000-0B00-000029000000}">
      <text>
        <r>
          <rPr>
            <b/>
            <sz val="9"/>
            <color indexed="81"/>
            <rFont val="Tahoma"/>
            <family val="2"/>
          </rPr>
          <t>Jun- 2020 Removed 1-75HP and adjusted to allow measures &gt;= 1HP</t>
        </r>
      </text>
    </comment>
    <comment ref="I286" authorId="0" shapeId="0" xr:uid="{00000000-0006-0000-0B00-00002B000000}">
      <text>
        <r>
          <rPr>
            <sz val="9"/>
            <color indexed="81"/>
            <rFont val="Tahoma"/>
            <family val="2"/>
          </rPr>
          <t>VFD Supply_Return Fan Tables</t>
        </r>
      </text>
    </comment>
    <comment ref="J286" authorId="0" shapeId="0" xr:uid="{00000000-0006-0000-0B00-00002C000000}">
      <text>
        <r>
          <rPr>
            <sz val="9"/>
            <color indexed="81"/>
            <rFont val="Tahoma"/>
            <family val="2"/>
          </rPr>
          <t>VFD Supply_Return Fan Tables</t>
        </r>
      </text>
    </comment>
    <comment ref="K286" authorId="0" shapeId="0" xr:uid="{00000000-0006-0000-0B00-00002D000000}">
      <text>
        <r>
          <rPr>
            <sz val="9"/>
            <color indexed="81"/>
            <rFont val="Tahoma"/>
            <family val="2"/>
          </rPr>
          <t>VFD Supply_Return Fan Tables</t>
        </r>
      </text>
    </comment>
    <comment ref="H287" authorId="0" shapeId="0" xr:uid="{00000000-0006-0000-0B00-00002E000000}">
      <text>
        <r>
          <rPr>
            <sz val="9"/>
            <color indexed="81"/>
            <rFont val="Tahoma"/>
            <family val="2"/>
          </rPr>
          <t>Assumed 20HP ODP 4-pole 1800RPM</t>
        </r>
      </text>
    </comment>
    <comment ref="DK312"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313" authorId="0" shapeId="0" xr:uid="{032012F6-EC02-4776-B38C-76BDAEC6982A}">
      <text>
        <r>
          <rPr>
            <b/>
            <sz val="9"/>
            <color indexed="10"/>
            <rFont val="Tahoma"/>
            <family val="2"/>
          </rPr>
          <t>Combined prior measures 803500 &amp; 803550 (GSHP &lt;135kbtu; ≥17EER &amp; GSHP &lt;135kbtu; ≥19EER)</t>
        </r>
        <r>
          <rPr>
            <sz val="9"/>
            <color indexed="81"/>
            <rFont val="Tahoma"/>
            <family val="2"/>
          </rPr>
          <t xml:space="preserve">
</t>
        </r>
      </text>
    </comment>
    <comment ref="L330"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330"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353"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G426"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426"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C434"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G463" authorId="0" shapeId="0" xr:uid="{00000000-0006-0000-0B00-000039000000}">
      <text>
        <r>
          <rPr>
            <sz val="9"/>
            <color indexed="81"/>
            <rFont val="Tahoma"/>
            <family val="2"/>
          </rPr>
          <t>Average of Table</t>
        </r>
      </text>
    </comment>
    <comment ref="H463" authorId="0" shapeId="0" xr:uid="{00000000-0006-0000-0B00-00003A000000}">
      <text>
        <r>
          <rPr>
            <sz val="9"/>
            <color indexed="81"/>
            <rFont val="Tahoma"/>
            <family val="2"/>
          </rPr>
          <t>Average of Table</t>
        </r>
      </text>
    </comment>
    <comment ref="V484"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78" authorId="0" shapeId="0" xr:uid="{00000000-0006-0000-0300-00000B000000}">
      <text>
        <r>
          <rPr>
            <b/>
            <sz val="9"/>
            <color indexed="81"/>
            <rFont val="Tahoma"/>
            <family val="2"/>
          </rPr>
          <t>St Louis - Heat Pump- MO TRM</t>
        </r>
        <r>
          <rPr>
            <sz val="9"/>
            <color indexed="81"/>
            <rFont val="Tahoma"/>
            <family val="2"/>
          </rPr>
          <t xml:space="preserve">
</t>
        </r>
      </text>
    </comment>
    <comment ref="X78" authorId="0" shapeId="0" xr:uid="{00000000-0006-0000-0300-00000C000000}">
      <text>
        <r>
          <rPr>
            <sz val="9"/>
            <color indexed="81"/>
            <rFont val="Tahoma"/>
            <family val="2"/>
          </rPr>
          <t xml:space="preserve">Filterd data on "Cooling"  for Heat Pump measures - took average
</t>
        </r>
      </text>
    </comment>
    <comment ref="Y78" authorId="0" shapeId="0" xr:uid="{00000000-0006-0000-0300-00000D000000}">
      <text>
        <r>
          <rPr>
            <sz val="9"/>
            <color indexed="81"/>
            <rFont val="Tahoma"/>
            <family val="2"/>
          </rPr>
          <t xml:space="preserve"> updated values by filtering thermostat data by heating/cooling type.</t>
        </r>
      </text>
    </comment>
    <comment ref="W80" authorId="0" shapeId="0" xr:uid="{00000000-0006-0000-0300-00000E000000}">
      <text>
        <r>
          <rPr>
            <b/>
            <sz val="9"/>
            <color indexed="81"/>
            <rFont val="Tahoma"/>
            <family val="2"/>
          </rPr>
          <t>St Louis - Resistance - MO TRM</t>
        </r>
        <r>
          <rPr>
            <sz val="9"/>
            <color indexed="81"/>
            <rFont val="Tahoma"/>
            <family val="2"/>
          </rPr>
          <t xml:space="preserve">
</t>
        </r>
      </text>
    </comment>
    <comment ref="W81"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84"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92" authorId="0" shapeId="0" xr:uid="{00000000-0006-0000-0300-000011000000}">
      <text>
        <r>
          <rPr>
            <b/>
            <sz val="9"/>
            <color indexed="81"/>
            <rFont val="Tahoma"/>
            <family val="2"/>
          </rPr>
          <t>MO - TRM</t>
        </r>
      </text>
    </comment>
    <comment ref="X92"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14" authorId="0" shapeId="0" xr:uid="{00000000-0006-0000-0300-000017000000}">
      <text>
        <r>
          <rPr>
            <sz val="9"/>
            <color indexed="81"/>
            <rFont val="Tahoma"/>
            <family val="2"/>
          </rPr>
          <t>Used default value for MF (SF x 65%)</t>
        </r>
      </text>
    </comment>
    <comment ref="Y114"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14"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23" authorId="0" shapeId="0" xr:uid="{00000000-0006-0000-0300-00001A000000}">
      <text>
        <r>
          <rPr>
            <b/>
            <sz val="9"/>
            <color indexed="81"/>
            <rFont val="Tahoma"/>
            <family val="2"/>
          </rPr>
          <t>MO - TRM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27"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41" authorId="0" shapeId="0" xr:uid="{00000000-0006-0000-0400-000007000000}">
      <text>
        <r>
          <rPr>
            <b/>
            <sz val="9"/>
            <color indexed="81"/>
            <rFont val="Tahoma"/>
            <family val="2"/>
          </rPr>
          <t>changed to take hours and days into account to match to formats of other deemed tables</t>
        </r>
      </text>
    </comment>
    <comment ref="W43" authorId="0" shapeId="0" xr:uid="{00000000-0006-0000-0400-000008000000}">
      <text>
        <r>
          <rPr>
            <b/>
            <sz val="9"/>
            <color indexed="81"/>
            <rFont val="Tahoma"/>
            <family val="2"/>
          </rPr>
          <t>PY16 Engineering Simulation Modeling adjusted for heating and cooling saturations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tc={964B95CF-B44E-481D-8797-EC09060FC94D}</author>
    <author>tc={F77C096A-F478-48D9-B3E2-408CC9EB5843}</author>
  </authors>
  <commentList>
    <comment ref="X47" authorId="0" shapeId="0" xr:uid="{00000000-0006-0000-0500-000016000000}">
      <text>
        <r>
          <rPr>
            <b/>
            <sz val="9"/>
            <color indexed="81"/>
            <rFont val="Tahoma"/>
            <family val="2"/>
          </rPr>
          <t>update from Community Savers - ADM</t>
        </r>
        <r>
          <rPr>
            <sz val="9"/>
            <color indexed="81"/>
            <rFont val="Tahoma"/>
            <family val="2"/>
          </rPr>
          <t xml:space="preserve">
</t>
        </r>
      </text>
    </comment>
    <comment ref="X48" authorId="0" shapeId="0" xr:uid="{00000000-0006-0000-0500-000017000000}">
      <text>
        <r>
          <rPr>
            <b/>
            <sz val="9"/>
            <color indexed="81"/>
            <rFont val="Tahoma"/>
            <family val="2"/>
          </rPr>
          <t>update from Community Savers - ADM</t>
        </r>
        <r>
          <rPr>
            <sz val="9"/>
            <color indexed="81"/>
            <rFont val="Tahoma"/>
            <family val="2"/>
          </rPr>
          <t xml:space="preserve">
</t>
        </r>
      </text>
    </comment>
    <comment ref="X70" authorId="0" shapeId="0" xr:uid="{00000000-0006-0000-0500-00001C000000}">
      <text>
        <r>
          <rPr>
            <b/>
            <sz val="9"/>
            <color indexed="81"/>
            <rFont val="Tahoma"/>
            <family val="2"/>
          </rPr>
          <t>update from Community Savers - ADM</t>
        </r>
        <r>
          <rPr>
            <sz val="9"/>
            <color indexed="81"/>
            <rFont val="Tahoma"/>
            <family val="2"/>
          </rPr>
          <t xml:space="preserve">
</t>
        </r>
      </text>
    </comment>
    <comment ref="X71" authorId="0" shapeId="0" xr:uid="{00000000-0006-0000-0500-00001D000000}">
      <text>
        <r>
          <rPr>
            <b/>
            <sz val="9"/>
            <color indexed="81"/>
            <rFont val="Tahoma"/>
            <family val="2"/>
          </rPr>
          <t>update from Community Savers - ADM</t>
        </r>
        <r>
          <rPr>
            <sz val="9"/>
            <color indexed="81"/>
            <rFont val="Tahoma"/>
            <family val="2"/>
          </rPr>
          <t xml:space="preserve">
</t>
        </r>
      </text>
    </comment>
    <comment ref="X113"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116" authorId="0" shapeId="0" xr:uid="{00000000-0006-0000-0500-000023000000}">
      <text>
        <r>
          <rPr>
            <b/>
            <sz val="9"/>
            <color indexed="81"/>
            <rFont val="Tahoma"/>
            <family val="2"/>
          </rPr>
          <t>update from Community Savers - ADM</t>
        </r>
        <r>
          <rPr>
            <sz val="9"/>
            <color indexed="81"/>
            <rFont val="Tahoma"/>
            <family val="2"/>
          </rPr>
          <t xml:space="preserve">
</t>
        </r>
      </text>
    </comment>
    <comment ref="X117" authorId="0" shapeId="0" xr:uid="{00000000-0006-0000-0500-000024000000}">
      <text>
        <r>
          <rPr>
            <b/>
            <sz val="9"/>
            <color indexed="81"/>
            <rFont val="Tahoma"/>
            <family val="2"/>
          </rPr>
          <t>update from Community Savers - ADM</t>
        </r>
        <r>
          <rPr>
            <sz val="9"/>
            <color indexed="81"/>
            <rFont val="Tahoma"/>
            <family val="2"/>
          </rPr>
          <t xml:space="preserve">
</t>
        </r>
      </text>
    </comment>
    <comment ref="X162"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163"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F233"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287" authorId="0" shapeId="0" xr:uid="{00000000-0006-0000-0500-000038000000}">
      <text>
        <r>
          <rPr>
            <sz val="11"/>
            <color indexed="81"/>
            <rFont val="Tahoma"/>
            <family val="2"/>
          </rPr>
          <t>MO TRM includes 7.7 for manufacture dates prior to 1/2/2017 and 8.0 for manufacture dates after 1/1/2017</t>
        </r>
      </text>
    </comment>
    <comment ref="X287" authorId="0" shapeId="0" xr:uid="{00000000-0006-0000-0500-000039000000}">
      <text>
        <r>
          <rPr>
            <sz val="11"/>
            <color indexed="81"/>
            <rFont val="Tahoma"/>
            <family val="2"/>
          </rPr>
          <t>MO TRM includes 7.7 for manufacture dates prior to 1/2/2017 and 8.0 for manufacture dates after 1/1/2017</t>
        </r>
      </text>
    </comment>
    <comment ref="J291" authorId="1"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292" authorId="2"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315" authorId="0" shapeId="0" xr:uid="{00000000-0006-0000-0500-00003A000000}">
      <text>
        <r>
          <rPr>
            <sz val="9"/>
            <color indexed="81"/>
            <rFont val="Tahoma"/>
            <family val="2"/>
          </rPr>
          <t>Assumed same size as similar ASHP</t>
        </r>
      </text>
    </comment>
    <comment ref="X315"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316" authorId="0" shapeId="0" xr:uid="{00000000-0006-0000-0500-00003C000000}">
      <text>
        <r>
          <rPr>
            <sz val="9"/>
            <color indexed="81"/>
            <rFont val="Tahoma"/>
            <family val="2"/>
          </rPr>
          <t xml:space="preserve">Assumed Same Size as similar ASHP
</t>
        </r>
      </text>
    </comment>
    <comment ref="W335" authorId="0" shapeId="0" xr:uid="{00000000-0006-0000-0500-00003D000000}">
      <text>
        <r>
          <rPr>
            <sz val="11"/>
            <color indexed="81"/>
            <rFont val="Tahoma"/>
            <family val="2"/>
          </rPr>
          <t>MO TRM includes 13 for manufacture dates prior to 1/2/2017 and 14 for manufacture dates after 1/1/2017</t>
        </r>
      </text>
    </comment>
    <comment ref="X335" authorId="0" shapeId="0" xr:uid="{00000000-0006-0000-0500-00003E000000}">
      <text>
        <r>
          <rPr>
            <sz val="11"/>
            <color indexed="81"/>
            <rFont val="Tahoma"/>
            <family val="2"/>
          </rPr>
          <t>MO TRM includes 13 for manufacture dates prior to 1/2/2017 and 14 for manufacture dates after 1/1/2017</t>
        </r>
      </text>
    </comment>
    <comment ref="X388"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416" authorId="0" shapeId="0" xr:uid="{00000000-0006-0000-0500-000041000000}">
      <text>
        <r>
          <rPr>
            <b/>
            <sz val="9"/>
            <color indexed="81"/>
            <rFont val="Tahoma"/>
            <family val="2"/>
          </rPr>
          <t>Capacity of units adjusted which impacts cost/ton calculation</t>
        </r>
      </text>
    </comment>
    <comment ref="Y416"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416"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416"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475"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499"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513"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15"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17"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549"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557"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565"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568" authorId="0" shapeId="0" xr:uid="{00000000-0006-0000-0500-00004F000000}">
      <text>
        <r>
          <rPr>
            <b/>
            <sz val="9"/>
            <color indexed="81"/>
            <rFont val="Tahoma"/>
            <family val="2"/>
          </rPr>
          <t>Added this line item - needs a separate base for ER1 vs ER2</t>
        </r>
      </text>
    </comment>
    <comment ref="Y57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57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57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605"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F677" authorId="0" shapeId="0" xr:uid="{7FEB9D6B-8A3E-4C6E-AC7A-F5327102D4B2}">
      <text>
        <r>
          <rPr>
            <b/>
            <sz val="9"/>
            <color indexed="81"/>
            <rFont val="Tahoma"/>
            <family val="2"/>
          </rPr>
          <t>Author: CORRECTED on 8/26</t>
        </r>
        <r>
          <rPr>
            <sz val="9"/>
            <color indexed="81"/>
            <rFont val="Tahoma"/>
            <family val="2"/>
          </rPr>
          <t xml:space="preserve">
3,800 KWH Seemed high compared to other similar measures with HSPF value of 3.91  ? Validated it  matches ADM inputs and maybe ask John if all match….  John at ADM agreed we should default HSPF value to 6.53 as this seemed to be an outlier which I have done here</t>
        </r>
      </text>
    </comment>
    <comment ref="C757" authorId="0" shapeId="0" xr:uid="{00000000-0006-0000-0500-000057000000}">
      <text>
        <r>
          <rPr>
            <b/>
            <sz val="9"/>
            <color indexed="81"/>
            <rFont val="Tahoma"/>
            <family val="2"/>
          </rPr>
          <t xml:space="preserve">353900 was a duplicate measure to this and was removed in PY2019 </t>
        </r>
      </text>
    </comment>
    <comment ref="W976" authorId="0" shapeId="0" xr:uid="{00000000-0006-0000-0500-000058000000}">
      <text>
        <r>
          <rPr>
            <b/>
            <sz val="9"/>
            <color indexed="81"/>
            <rFont val="Tahoma"/>
            <family val="2"/>
          </rPr>
          <t>MO TRM</t>
        </r>
        <r>
          <rPr>
            <sz val="9"/>
            <color indexed="81"/>
            <rFont val="Tahoma"/>
            <family val="2"/>
          </rPr>
          <t xml:space="preserve">
</t>
        </r>
      </text>
    </comment>
    <comment ref="X976"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K1506" authorId="0" shapeId="0" xr:uid="{896AC45E-50A7-4E8F-9E15-A6B0FD853293}">
      <text>
        <r>
          <rPr>
            <b/>
            <sz val="9"/>
            <color indexed="81"/>
            <rFont val="Tahoma"/>
            <family val="2"/>
          </rPr>
          <t>ADM identified value from PY24 data but sample was small and seemed to be an outlier in comparision to other SEER measures so defaulted to TRM value here (ADM agreed on this logic)</t>
        </r>
      </text>
    </comment>
    <comment ref="X1605"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1605"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1605"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1605"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2007"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2007"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2007"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2007"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2007"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2007"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2007"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2007"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011"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2015"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2019"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2021"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202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203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2036"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2040"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2043"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2045"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2048"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2052"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2055"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2057"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2059"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2061"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2063"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2065"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2069"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2075"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2078"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2080"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2084"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2088"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2092"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2094"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2096"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2100"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2102"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2106"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2108"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2112"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2114"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2118"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212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2128"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2128"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2132"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2136"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2140"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2144"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2148"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2152"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2156"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2160"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2164"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2168"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2170"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217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2178"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2182"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2184"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2186"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2190"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2192"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2194"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2196"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2198"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tc={1E970E7A-1C2C-4C34-BA94-DD3C25B53B33}</author>
    <author>tc={369C16B0-CF35-41B8-97CA-780A26286298}</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17"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7"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17"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18"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18"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19" authorId="0" shapeId="0" xr:uid="{00000000-0006-0000-0600-000008000000}">
      <text>
        <r>
          <rPr>
            <b/>
            <sz val="9"/>
            <color indexed="81"/>
            <rFont val="Tahoma"/>
            <family val="2"/>
          </rPr>
          <t xml:space="preserve">SF capacity for same measure *0.65, per Ameren guidance.
</t>
        </r>
      </text>
    </comment>
    <comment ref="X19" authorId="0" shapeId="0" xr:uid="{00000000-0006-0000-0600-000009000000}">
      <text>
        <r>
          <rPr>
            <b/>
            <sz val="9"/>
            <color indexed="81"/>
            <rFont val="Tahoma"/>
            <family val="2"/>
          </rPr>
          <t xml:space="preserve">SF capacity for same measure *0.65, per Ameren guidance.
</t>
        </r>
      </text>
    </comment>
    <comment ref="W20" authorId="0" shapeId="0" xr:uid="{00000000-0006-0000-0600-00000E000000}">
      <text>
        <r>
          <rPr>
            <b/>
            <sz val="9"/>
            <color indexed="81"/>
            <rFont val="Tahoma"/>
            <family val="2"/>
          </rPr>
          <t>MO TRM</t>
        </r>
        <r>
          <rPr>
            <sz val="9"/>
            <color indexed="81"/>
            <rFont val="Tahoma"/>
            <family val="2"/>
          </rPr>
          <t xml:space="preserve">
</t>
        </r>
      </text>
    </comment>
    <comment ref="X20" authorId="0" shapeId="0" xr:uid="{00000000-0006-0000-0600-00000F000000}">
      <text>
        <r>
          <rPr>
            <b/>
            <sz val="9"/>
            <color indexed="81"/>
            <rFont val="Tahoma"/>
            <family val="2"/>
          </rPr>
          <t>MO TRM</t>
        </r>
        <r>
          <rPr>
            <sz val="9"/>
            <color indexed="81"/>
            <rFont val="Tahoma"/>
            <family val="2"/>
          </rPr>
          <t xml:space="preserve">
</t>
        </r>
      </text>
    </comment>
    <comment ref="W22"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22"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Y33" authorId="0" shapeId="0" xr:uid="{00000000-0006-0000-0600-000022000000}">
      <text>
        <r>
          <rPr>
            <b/>
            <sz val="9"/>
            <color indexed="81"/>
            <rFont val="Tahoma"/>
            <family val="2"/>
          </rPr>
          <t>changed to a per square foot value rather than per average size home</t>
        </r>
      </text>
    </comment>
    <comment ref="Y58" authorId="0" shapeId="0" xr:uid="{00000000-0006-0000-0600-000023000000}">
      <text>
        <r>
          <rPr>
            <b/>
            <sz val="9"/>
            <color indexed="81"/>
            <rFont val="Tahoma"/>
            <family val="2"/>
          </rPr>
          <t xml:space="preserve">updated to per sq. ft. basis
</t>
        </r>
      </text>
    </comment>
    <comment ref="V76"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88" authorId="0" shapeId="0" xr:uid="{00000000-0006-0000-0600-000025000000}">
      <text>
        <r>
          <rPr>
            <b/>
            <sz val="9"/>
            <color indexed="81"/>
            <rFont val="Tahoma"/>
            <family val="2"/>
          </rPr>
          <t>updated to per sq. ft. basis</t>
        </r>
        <r>
          <rPr>
            <sz val="9"/>
            <color indexed="81"/>
            <rFont val="Tahoma"/>
            <family val="2"/>
          </rPr>
          <t xml:space="preserve">
</t>
        </r>
      </text>
    </comment>
    <comment ref="Y101" authorId="0" shapeId="0" xr:uid="{00000000-0006-0000-0600-000026000000}">
      <text>
        <r>
          <rPr>
            <b/>
            <sz val="9"/>
            <color indexed="81"/>
            <rFont val="Tahoma"/>
            <family val="2"/>
          </rPr>
          <t>changed to a per square foot value rather than per average size home</t>
        </r>
      </text>
    </comment>
    <comment ref="Y228" authorId="0" shapeId="0" xr:uid="{00000000-0006-0000-0600-000027000000}">
      <text>
        <r>
          <rPr>
            <b/>
            <sz val="9"/>
            <color indexed="81"/>
            <rFont val="Tahoma"/>
            <family val="2"/>
          </rPr>
          <t>updated to per sq ft. basis</t>
        </r>
        <r>
          <rPr>
            <sz val="9"/>
            <color indexed="81"/>
            <rFont val="Tahoma"/>
            <family val="2"/>
          </rPr>
          <t xml:space="preserve">
</t>
        </r>
      </text>
    </comment>
    <comment ref="Y386" authorId="0" shapeId="0" xr:uid="{00000000-0006-0000-0600-000028000000}">
      <text>
        <r>
          <rPr>
            <b/>
            <sz val="9"/>
            <color indexed="81"/>
            <rFont val="Tahoma"/>
            <family val="2"/>
          </rPr>
          <t>based upon a per sq. ft basis</t>
        </r>
        <r>
          <rPr>
            <sz val="9"/>
            <color indexed="81"/>
            <rFont val="Tahoma"/>
            <family val="2"/>
          </rPr>
          <t xml:space="preserve">
</t>
        </r>
      </text>
    </comment>
    <comment ref="Y420" authorId="0" shapeId="0" xr:uid="{00000000-0006-0000-0600-000029000000}">
      <text>
        <r>
          <rPr>
            <b/>
            <sz val="9"/>
            <color indexed="81"/>
            <rFont val="Tahoma"/>
            <family val="2"/>
          </rPr>
          <t>changed to a per square foot value rather than per average size home</t>
        </r>
      </text>
    </comment>
    <comment ref="Y437" authorId="0" shapeId="0" xr:uid="{00000000-0006-0000-0600-00002A000000}">
      <text>
        <r>
          <rPr>
            <b/>
            <sz val="9"/>
            <color indexed="81"/>
            <rFont val="Tahoma"/>
            <family val="2"/>
          </rPr>
          <t>updated to per square ft. basis</t>
        </r>
        <r>
          <rPr>
            <sz val="9"/>
            <color indexed="81"/>
            <rFont val="Tahoma"/>
            <family val="2"/>
          </rPr>
          <t xml:space="preserve">
</t>
        </r>
      </text>
    </comment>
    <comment ref="Y453" authorId="0" shapeId="0" xr:uid="{00000000-0006-0000-0600-00002B000000}">
      <text>
        <r>
          <rPr>
            <b/>
            <sz val="9"/>
            <color indexed="81"/>
            <rFont val="Tahoma"/>
            <family val="2"/>
          </rPr>
          <t>updated to per square ft. basis</t>
        </r>
        <r>
          <rPr>
            <sz val="9"/>
            <color indexed="81"/>
            <rFont val="Tahoma"/>
            <family val="2"/>
          </rPr>
          <t xml:space="preserve">
</t>
        </r>
      </text>
    </comment>
    <comment ref="X470"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B475" authorId="1" shapeId="0" xr:uid="{1E970E7A-1C2C-4C34-BA94-DD3C25B53B33}">
      <text>
        <t>[Threaded comment]
Your version of Excel allows you to read this threaded comment; however, any edits to it will get removed if the file is opened in a newer version of Excel. Learn more: https://go.microsoft.com/fwlink/?linkid=870924
Comment:
    These percentages are flipped in column F - not sure why.</t>
      </text>
    </comment>
    <comment ref="X479"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479"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16" authorId="0" shapeId="0" xr:uid="{00000000-0006-0000-0600-00002F000000}">
      <text>
        <r>
          <rPr>
            <b/>
            <sz val="9"/>
            <color indexed="81"/>
            <rFont val="Tahoma"/>
            <family val="2"/>
          </rPr>
          <t>updated to per foot basis</t>
        </r>
        <r>
          <rPr>
            <sz val="9"/>
            <color indexed="81"/>
            <rFont val="Tahoma"/>
            <family val="2"/>
          </rPr>
          <t xml:space="preserve">
</t>
        </r>
      </text>
    </comment>
    <comment ref="Y551" authorId="0" shapeId="0" xr:uid="{00000000-0006-0000-0600-000030000000}">
      <text>
        <r>
          <rPr>
            <b/>
            <sz val="9"/>
            <color indexed="81"/>
            <rFont val="Tahoma"/>
            <family val="2"/>
          </rPr>
          <t>updated to per square foot basis</t>
        </r>
      </text>
    </comment>
    <comment ref="Y575" authorId="0" shapeId="0" xr:uid="{00000000-0006-0000-0600-000032000000}">
      <text>
        <r>
          <rPr>
            <b/>
            <sz val="9"/>
            <color indexed="81"/>
            <rFont val="Tahoma"/>
            <family val="2"/>
          </rPr>
          <t>This value is not new just including it in the input table (previously only shown in the equation)</t>
        </r>
      </text>
    </comment>
    <comment ref="Y582" authorId="0" shapeId="0" xr:uid="{00000000-0006-0000-0600-000033000000}">
      <text>
        <r>
          <rPr>
            <b/>
            <sz val="9"/>
            <color indexed="81"/>
            <rFont val="Tahoma"/>
            <family val="2"/>
          </rPr>
          <t>This value is not new just including it in the input table (previously only shown in the equation)</t>
        </r>
      </text>
    </comment>
    <comment ref="Y585" authorId="0" shapeId="0" xr:uid="{00000000-0006-0000-0600-000034000000}">
      <text>
        <r>
          <rPr>
            <b/>
            <sz val="9"/>
            <color indexed="81"/>
            <rFont val="Tahoma"/>
            <family val="2"/>
          </rPr>
          <t>This value is not new just including it in the input table (previously only shown in the equation)</t>
        </r>
      </text>
    </comment>
    <comment ref="Y588" authorId="0" shapeId="0" xr:uid="{00000000-0006-0000-0600-000035000000}">
      <text>
        <r>
          <rPr>
            <b/>
            <sz val="9"/>
            <color indexed="81"/>
            <rFont val="Tahoma"/>
            <family val="2"/>
          </rPr>
          <t>This value is not new just including it in the input table (previously only shown in the equation)</t>
        </r>
      </text>
    </comment>
    <comment ref="X617"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652" authorId="0" shapeId="0" xr:uid="{00000000-0006-0000-0600-00003E000000}">
      <text>
        <r>
          <rPr>
            <b/>
            <sz val="9"/>
            <color indexed="81"/>
            <rFont val="Tahoma"/>
            <family val="2"/>
          </rPr>
          <t>Author:</t>
        </r>
        <r>
          <rPr>
            <sz val="9"/>
            <color indexed="81"/>
            <rFont val="Tahoma"/>
            <family val="2"/>
          </rPr>
          <t xml:space="preserve">
changed "showerhead' to "aerator"</t>
        </r>
      </text>
    </comment>
    <comment ref="E654" authorId="0" shapeId="0" xr:uid="{00000000-0006-0000-0600-00003F000000}">
      <text>
        <r>
          <rPr>
            <b/>
            <sz val="9"/>
            <color indexed="81"/>
            <rFont val="Tahoma"/>
            <family val="2"/>
          </rPr>
          <t>Author:</t>
        </r>
        <r>
          <rPr>
            <sz val="9"/>
            <color indexed="81"/>
            <rFont val="Tahoma"/>
            <family val="2"/>
          </rPr>
          <t xml:space="preserve">
changed "showerhead' to "aerator"</t>
        </r>
      </text>
    </comment>
    <comment ref="W657"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657" authorId="0" shapeId="0" xr:uid="{00000000-0006-0000-0600-000041000000}">
      <text>
        <r>
          <rPr>
            <b/>
            <sz val="9"/>
            <color indexed="81"/>
            <rFont val="Tahoma"/>
            <family val="2"/>
          </rPr>
          <t xml:space="preserve">No Drain factor included in PY2017 EM&amp;V results
</t>
        </r>
      </text>
    </comment>
    <comment ref="W659"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667" authorId="0" shapeId="0" xr:uid="{00000000-0006-0000-0600-000044000000}">
      <text>
        <r>
          <rPr>
            <b/>
            <sz val="9"/>
            <color indexed="81"/>
            <rFont val="Tahoma"/>
            <family val="2"/>
          </rPr>
          <t>Missouri TRM</t>
        </r>
        <r>
          <rPr>
            <sz val="9"/>
            <color indexed="81"/>
            <rFont val="Tahoma"/>
            <family val="2"/>
          </rPr>
          <t xml:space="preserve">
</t>
        </r>
      </text>
    </comment>
    <comment ref="E687" authorId="0" shapeId="0" xr:uid="{00000000-0006-0000-0600-000045000000}">
      <text>
        <r>
          <rPr>
            <b/>
            <sz val="9"/>
            <color indexed="81"/>
            <rFont val="Tahoma"/>
            <family val="2"/>
          </rPr>
          <t>Author:</t>
        </r>
        <r>
          <rPr>
            <sz val="9"/>
            <color indexed="81"/>
            <rFont val="Tahoma"/>
            <family val="2"/>
          </rPr>
          <t xml:space="preserve">
changed "showerhead' to "aerator"</t>
        </r>
      </text>
    </comment>
    <comment ref="E689" authorId="0" shapeId="0" xr:uid="{00000000-0006-0000-0600-000046000000}">
      <text>
        <r>
          <rPr>
            <b/>
            <sz val="9"/>
            <color indexed="81"/>
            <rFont val="Tahoma"/>
            <family val="2"/>
          </rPr>
          <t>Author:</t>
        </r>
        <r>
          <rPr>
            <sz val="9"/>
            <color indexed="81"/>
            <rFont val="Tahoma"/>
            <family val="2"/>
          </rPr>
          <t xml:space="preserve">
changed "showerhead' to "aerator"</t>
        </r>
      </text>
    </comment>
    <comment ref="V724"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24"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726"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726"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726" authorId="0" shapeId="0" xr:uid="{4EA9A3FE-00A6-414F-85CA-F3DBF41E9BC6}">
      <text>
        <r>
          <rPr>
            <b/>
            <sz val="9"/>
            <color indexed="81"/>
            <rFont val="Tahoma"/>
            <family val="2"/>
          </rPr>
          <t>Author:</t>
        </r>
        <r>
          <rPr>
            <sz val="9"/>
            <color indexed="81"/>
            <rFont val="Tahoma"/>
            <family val="2"/>
          </rPr>
          <t xml:space="preserve">
Showerhead pivot tab cell E428</t>
        </r>
      </text>
    </comment>
    <comment ref="AF728" authorId="0" shapeId="0" xr:uid="{D7268BC3-1F35-4592-B19C-2575FD770C3C}">
      <text>
        <r>
          <rPr>
            <b/>
            <sz val="9"/>
            <color indexed="81"/>
            <rFont val="Tahoma"/>
            <family val="2"/>
          </rPr>
          <t>Author:</t>
        </r>
        <r>
          <rPr>
            <sz val="9"/>
            <color indexed="81"/>
            <rFont val="Tahoma"/>
            <family val="2"/>
          </rPr>
          <t xml:space="preserve">
Showerhead pivot tab cell E428</t>
        </r>
      </text>
    </comment>
    <comment ref="W729" authorId="0" shapeId="0" xr:uid="{00000000-0006-0000-0600-00004F000000}">
      <text>
        <r>
          <rPr>
            <b/>
            <sz val="9"/>
            <color indexed="81"/>
            <rFont val="Tahoma"/>
            <family val="2"/>
          </rPr>
          <t>Missouri TRM</t>
        </r>
      </text>
    </comment>
    <comment ref="W733"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739" authorId="2"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744" authorId="0" shapeId="0" xr:uid="{00000000-0006-0000-0600-000051000000}">
      <text>
        <r>
          <rPr>
            <b/>
            <sz val="9"/>
            <color indexed="81"/>
            <rFont val="Tahoma"/>
            <family val="2"/>
          </rPr>
          <t>PY19 Actual</t>
        </r>
        <r>
          <rPr>
            <sz val="9"/>
            <color indexed="81"/>
            <rFont val="Tahoma"/>
            <family val="2"/>
          </rPr>
          <t xml:space="preserve">
</t>
        </r>
      </text>
    </comment>
    <comment ref="Y745" authorId="0" shapeId="0" xr:uid="{00000000-0006-0000-0600-000052000000}">
      <text>
        <r>
          <rPr>
            <b/>
            <sz val="9"/>
            <color indexed="81"/>
            <rFont val="Tahoma"/>
            <family val="2"/>
          </rPr>
          <t>added handheld showerhead option</t>
        </r>
      </text>
    </comment>
    <comment ref="Y746"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764"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779" authorId="0" shapeId="0" xr:uid="{FA6511B9-FBEA-4903-98B3-C3C8CA3199DC}">
      <text>
        <r>
          <rPr>
            <b/>
            <sz val="9"/>
            <color indexed="81"/>
            <rFont val="Tahoma"/>
            <family val="2"/>
          </rPr>
          <t>O kWh savings for thermostats per MEEIA 4 Stipulation (added "*0" in formula to retain formula structure and inputs)</t>
        </r>
      </text>
    </comment>
    <comment ref="X832" authorId="0" shapeId="0" xr:uid="{00000000-0006-0000-0600-000055000000}">
      <text>
        <r>
          <rPr>
            <b/>
            <sz val="9"/>
            <color indexed="81"/>
            <rFont val="Tahoma"/>
            <family val="2"/>
          </rPr>
          <t>MO TRM</t>
        </r>
      </text>
    </comment>
    <comment ref="X834"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834"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863" authorId="0" shapeId="0" xr:uid="{00000000-0006-0000-0600-000058000000}">
      <text>
        <r>
          <rPr>
            <b/>
            <sz val="9"/>
            <color indexed="81"/>
            <rFont val="Tahoma"/>
            <family val="2"/>
          </rPr>
          <t xml:space="preserve">Bulb-type and lumen look-up in Energy Star database
</t>
        </r>
      </text>
    </comment>
    <comment ref="W865" authorId="0" shapeId="0" xr:uid="{00000000-0006-0000-0600-00005A000000}">
      <text>
        <r>
          <rPr>
            <b/>
            <sz val="9"/>
            <color indexed="81"/>
            <rFont val="Tahoma"/>
            <family val="2"/>
          </rPr>
          <t>Bulb-type and lumen look-up in Energy Star database</t>
        </r>
      </text>
    </comment>
    <comment ref="W868"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869" authorId="0" shapeId="0" xr:uid="{00000000-0006-0000-0600-00005C000000}">
      <text>
        <r>
          <rPr>
            <b/>
            <sz val="9"/>
            <color indexed="81"/>
            <rFont val="Tahoma"/>
            <family val="2"/>
          </rPr>
          <t>Bulb-type and lumen look-up in Energy Star database</t>
        </r>
      </text>
    </comment>
    <comment ref="W872"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875" authorId="0" shapeId="0" xr:uid="{00000000-0006-0000-0600-00005E000000}">
      <text>
        <r>
          <rPr>
            <b/>
            <sz val="9"/>
            <color indexed="81"/>
            <rFont val="Tahoma"/>
            <family val="2"/>
          </rPr>
          <t>Program Wattage</t>
        </r>
        <r>
          <rPr>
            <sz val="9"/>
            <color indexed="81"/>
            <rFont val="Tahoma"/>
            <family val="2"/>
          </rPr>
          <t xml:space="preserve">
</t>
        </r>
      </text>
    </comment>
    <comment ref="W876" authorId="0" shapeId="0" xr:uid="{00000000-0006-0000-0600-00005F000000}">
      <text>
        <r>
          <rPr>
            <b/>
            <sz val="9"/>
            <color indexed="81"/>
            <rFont val="Tahoma"/>
            <family val="2"/>
          </rPr>
          <t>Program Wattage</t>
        </r>
        <r>
          <rPr>
            <sz val="9"/>
            <color indexed="81"/>
            <rFont val="Tahoma"/>
            <family val="2"/>
          </rPr>
          <t xml:space="preserve">
</t>
        </r>
      </text>
    </comment>
    <comment ref="W877" authorId="0" shapeId="0" xr:uid="{00000000-0006-0000-0600-000061000000}">
      <text>
        <r>
          <rPr>
            <b/>
            <sz val="9"/>
            <color indexed="81"/>
            <rFont val="Tahoma"/>
            <family val="2"/>
          </rPr>
          <t>Program Wattage</t>
        </r>
        <r>
          <rPr>
            <sz val="9"/>
            <color indexed="81"/>
            <rFont val="Tahoma"/>
            <family val="2"/>
          </rPr>
          <t xml:space="preserve">
</t>
        </r>
      </text>
    </comment>
    <comment ref="W878" authorId="0" shapeId="0" xr:uid="{00000000-0006-0000-0600-000062000000}">
      <text>
        <r>
          <rPr>
            <b/>
            <sz val="9"/>
            <color indexed="81"/>
            <rFont val="Tahoma"/>
            <family val="2"/>
          </rPr>
          <t>Program Wattage</t>
        </r>
        <r>
          <rPr>
            <sz val="9"/>
            <color indexed="81"/>
            <rFont val="Tahoma"/>
            <family val="2"/>
          </rPr>
          <t xml:space="preserve">
</t>
        </r>
      </text>
    </comment>
    <comment ref="W880" authorId="0" shapeId="0" xr:uid="{00000000-0006-0000-0600-000063000000}">
      <text>
        <r>
          <rPr>
            <b/>
            <sz val="9"/>
            <color indexed="81"/>
            <rFont val="Tahoma"/>
            <family val="2"/>
          </rPr>
          <t>Program Wattage</t>
        </r>
        <r>
          <rPr>
            <sz val="9"/>
            <color indexed="81"/>
            <rFont val="Tahoma"/>
            <family val="2"/>
          </rPr>
          <t xml:space="preserve">
</t>
        </r>
      </text>
    </comment>
    <comment ref="W881"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882"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883"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884"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88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89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89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89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Y939" authorId="0" shapeId="0" xr:uid="{00000000-0006-0000-0600-000077000000}">
      <text>
        <r>
          <rPr>
            <sz val="9"/>
            <color indexed="81"/>
            <rFont val="Tahoma"/>
            <family val="2"/>
          </rPr>
          <t xml:space="preserve">Use existing inputs to develop measure based on program design.
</t>
        </r>
      </text>
    </comment>
    <comment ref="Y952"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975"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W984"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986"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989"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989"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990" authorId="0" shapeId="0" xr:uid="{00000000-0006-0000-0600-000080000000}">
      <text>
        <r>
          <rPr>
            <b/>
            <sz val="9"/>
            <color indexed="81"/>
            <rFont val="Tahoma"/>
            <family val="2"/>
          </rPr>
          <t>used EFLH that ADM used for all measures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 ref="Z37" authorId="0" shapeId="0" xr:uid="{75E96B91-0D97-4F04-BA00-BA7CFA24B443}">
      <text>
        <r>
          <rPr>
            <b/>
            <sz val="9"/>
            <color indexed="81"/>
            <rFont val="Tahoma"/>
            <family val="2"/>
          </rPr>
          <t>11 Step updates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BA68" authorId="0" shapeId="0" xr:uid="{C9B0260E-AD27-473B-9F12-626E3CF7544B}">
      <text>
        <r>
          <rPr>
            <b/>
            <sz val="9"/>
            <color indexed="81"/>
            <rFont val="Tahoma"/>
            <charset val="1"/>
          </rPr>
          <t>There was not an ER MF option to calculate from so used the closest measure as a proxy</t>
        </r>
      </text>
    </comment>
    <comment ref="BA79" authorId="0" shapeId="0" xr:uid="{2B6EDA64-BFC4-4363-8CF9-317A98CF2F08}">
      <text>
        <r>
          <rPr>
            <sz val="9"/>
            <color indexed="81"/>
            <rFont val="Tahoma"/>
            <charset val="1"/>
          </rPr>
          <t>There was not an ER MF option to calculate from so used the closest measure as a proxy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sharedStrings.xml><?xml version="1.0" encoding="utf-8"?>
<sst xmlns="http://schemas.openxmlformats.org/spreadsheetml/2006/main" count="14071" uniqueCount="3292">
  <si>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</si>
  <si>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</si>
  <si>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</si>
  <si>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</si>
  <si>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</si>
  <si>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</si>
  <si>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</si>
  <si>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</si>
  <si>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</si>
  <si>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</si>
  <si>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filed MEEIA 2025-2027 application (EO-2023-0136)</t>
  </si>
  <si>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</si>
  <si>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</si>
  <si>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</si>
  <si>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</si>
  <si>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</si>
  <si>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</si>
  <si>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</si>
  <si>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</si>
  <si>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</si>
  <si>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</si>
  <si>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</si>
  <si>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</si>
  <si>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</si>
  <si>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</si>
  <si>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</si>
  <si>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</si>
  <si>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</si>
  <si>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</si>
  <si>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</si>
  <si>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</si>
  <si>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</si>
  <si>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</si>
  <si>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</si>
  <si>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</si>
  <si>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Removed measures to align with approved measure list from Commission on 01/15/25.  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</si>
  <si>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 xml:space="preserve">Updated "Deemed Tables" with PY24 Evaluation results including updates to SEER and HSPF values for applicable Residential and Commercial HVAC equipment, Added new measures such as 9 multi-family air-source heat pump measure combinations based on PY2024 program data to fill gaps of SEER and baseline specific equipment, updated consistent naming convention for "Smart Thermostat measures", clean up the "program/channel" designations in appendix F to better align with implementation and updated Appendix G, H and I for consistency. </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</si>
  <si>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</si>
  <si>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</si>
  <si>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</si>
  <si>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</si>
  <si>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</si>
  <si>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r>
      <rPr>
        <sz val="11"/>
        <color rgb="FF000000"/>
        <rFont val="Calibri"/>
        <scheme val="minor"/>
      </rPr>
      <t xml:space="preserve">Lighting </t>
    </r>
    <r>
      <rPr>
        <sz val="11"/>
        <color rgb="FFFF0000"/>
        <rFont val="Calibri"/>
        <scheme val="minor"/>
      </rPr>
      <t>(Only avaialble for Income Eligible &amp; BSS)</t>
    </r>
  </si>
  <si>
    <t>Measure Reference No.</t>
  </si>
  <si>
    <t>Program/ Channel</t>
  </si>
  <si>
    <t>Measure</t>
  </si>
  <si>
    <t>kWh Annual Savings</t>
  </si>
  <si>
    <t>End Use</t>
  </si>
  <si>
    <t>kW Factor</t>
  </si>
  <si>
    <t>kW</t>
  </si>
  <si>
    <t>EUL</t>
  </si>
  <si>
    <t>Inc. Cost</t>
  </si>
  <si>
    <t>Units</t>
  </si>
  <si>
    <t>REVISION DATE</t>
  </si>
  <si>
    <t>TRC (2025)</t>
  </si>
  <si>
    <t>Benefit Lookup</t>
  </si>
  <si>
    <t>Benefits (2025 $)</t>
  </si>
  <si>
    <t>Incremental Cost (2025 $)</t>
  </si>
  <si>
    <t>BSS/MFIE</t>
  </si>
  <si>
    <t>800050_2024_12_</t>
  </si>
  <si>
    <t>C&amp;I</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</si>
  <si>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</si>
  <si>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</si>
  <si>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</si>
  <si>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</si>
  <si>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</si>
  <si>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</si>
  <si>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</si>
  <si>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</si>
  <si>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</si>
  <si>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</si>
  <si>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</si>
  <si>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800300_2025_12_</t>
  </si>
  <si>
    <t>LED &lt;=80 Watt Lamp or Fixture Replacing Interior HID 100-175 Watt Lamp or Fixture</t>
  </si>
  <si>
    <t>800350_2025_12_</t>
  </si>
  <si>
    <t>LED 62 - 130 Watt Lamp or Fixture Replacing Interior HID 176-300 Watt Lamp or Fixture</t>
  </si>
  <si>
    <t>800400_2025_12_</t>
  </si>
  <si>
    <t>LED 85 - 225 Watt Lamp or Fixture Replacing Interior HID 301-500 Watt Lamp or Fixture</t>
  </si>
  <si>
    <t>800750_2025_12_</t>
  </si>
  <si>
    <t>LED or Electroluminescent Replacing Interior Incandescent/CFL Exit Sign</t>
  </si>
  <si>
    <t>BSS</t>
  </si>
  <si>
    <t>800800_2025_12_</t>
  </si>
  <si>
    <t xml:space="preserve">LED Replacing Interior T5 Fluorescent (Type A / Hybrid) </t>
  </si>
  <si>
    <t>800801_2025_12_</t>
  </si>
  <si>
    <t>LED Replacing Interior T5 Fluorescent (Type B, Kits, and Fixtures)</t>
  </si>
  <si>
    <t>800850_2025_12_</t>
  </si>
  <si>
    <t xml:space="preserve">LED Replacing Interior T8 Fluorescent (Type A / Hybrid) </t>
  </si>
  <si>
    <t>800851_2025_12_</t>
  </si>
  <si>
    <t>LED Replacting Interior T8 Fluorescent (Type B, Kits, and Fixtures)</t>
  </si>
  <si>
    <t>800900_2025_12_</t>
  </si>
  <si>
    <t xml:space="preserve">LED Replacing Interior T12 Fluorescent (Type A / Hybrid) </t>
  </si>
  <si>
    <t>800901_2025_12_</t>
  </si>
  <si>
    <t xml:space="preserve">LED Replacing Interior T12 Fluorescent (Type B, Kits, and Fixtures) </t>
  </si>
  <si>
    <t>800950_2024_12_</t>
  </si>
  <si>
    <t xml:space="preserve">LED Specialty Lamp </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</si>
  <si>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</si>
  <si>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</si>
  <si>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</si>
  <si>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</si>
  <si>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</si>
  <si>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</si>
  <si>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</si>
  <si>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</si>
  <si>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</si>
  <si>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</si>
  <si>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</si>
  <si>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</si>
  <si>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</si>
  <si>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</si>
  <si>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</si>
  <si>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</si>
  <si>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</si>
  <si>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</si>
  <si>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</si>
  <si>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</si>
  <si>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</si>
  <si>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800150_2019_12_</t>
  </si>
  <si>
    <t>Weighted Average EM&amp;V Adjustment</t>
  </si>
  <si>
    <t>800200_2019_12_</t>
  </si>
  <si>
    <t>SOURCE: ΔWatts and HOU Adjustment factors are calculated based on desk review and on-site data collection during the PY2023 Impact Evaluation for Standard and PY2019 Evaluation for SBDI and BSS. Weights are based on PY2023 Final Ex Ante Gross Annual Lighting kWh for each program. These values should be updated/replaced if and when new EM&amp;V verification occurs; weights should be updated annually.</t>
  </si>
  <si>
    <t>800250_2019_12_</t>
  </si>
  <si>
    <t>800300_2019_12_</t>
  </si>
  <si>
    <t>800350_2019_12_</t>
  </si>
  <si>
    <t>800400_2019_12_</t>
  </si>
  <si>
    <t>800750_2019_12_</t>
  </si>
  <si>
    <t>800800_2020_12_</t>
  </si>
  <si>
    <t>800801_2020_12_</t>
  </si>
  <si>
    <t>800850_2020_12_</t>
  </si>
  <si>
    <t>800851_2020_12_</t>
  </si>
  <si>
    <t>800900_2020_12_</t>
  </si>
  <si>
    <t>800901_2020_12_</t>
  </si>
  <si>
    <t>800950_2019_12_</t>
  </si>
  <si>
    <t>Lighting Controls</t>
  </si>
  <si>
    <t>kWh Annual Savings per unit</t>
  </si>
  <si>
    <t>kW per unit</t>
  </si>
  <si>
    <t>801010_2024_12_</t>
  </si>
  <si>
    <t>Fixture Mounted Occupancy Sensor Controlling &gt; 60 Watts, &lt;200 Watts</t>
  </si>
  <si>
    <t>801020_2024_12_</t>
  </si>
  <si>
    <t>Remote Mounted Occupancy Sensor Controlling &gt; 150 Watts</t>
  </si>
  <si>
    <t>2.6.6</t>
  </si>
  <si>
    <t>kWControlled</t>
  </si>
  <si>
    <t>Hours</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</si>
  <si>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</si>
  <si>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</si>
  <si>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</si>
  <si>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</si>
  <si>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Commercial Solid and Glass Door Refrigerators &amp; Freezers</t>
  </si>
  <si>
    <t>801250_2024_12_</t>
  </si>
  <si>
    <t>0 &lt; V &lt; 15 - Vertical Closed - Solid Door Refrigerator</t>
  </si>
  <si>
    <t>Refrigeration BUS</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</si>
  <si>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</si>
  <si>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</si>
  <si>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</si>
  <si>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</si>
  <si>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</si>
  <si>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</si>
  <si>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</si>
  <si>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</si>
  <si>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</si>
  <si>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</si>
  <si>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</si>
  <si>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</si>
  <si>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</si>
  <si>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</si>
  <si>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</si>
  <si>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</si>
  <si>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</si>
  <si>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</si>
  <si>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</si>
  <si>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t>Horizontal Closed - Solid Door Freezer  - All Volumes</t>
  </si>
  <si>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</si>
  <si>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</si>
  <si>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</si>
  <si>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</si>
  <si>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</si>
  <si>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</si>
  <si>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</si>
  <si>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</si>
  <si>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</si>
  <si>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</si>
  <si>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</si>
  <si>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</si>
  <si>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</si>
  <si>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</si>
  <si>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</si>
  <si>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</si>
  <si>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</si>
  <si>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</si>
  <si>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</si>
  <si>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</si>
  <si>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</si>
  <si>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</si>
  <si>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</si>
  <si>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</si>
  <si>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</si>
  <si>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</si>
  <si>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</si>
  <si>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</si>
  <si>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</si>
  <si>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</si>
  <si>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</si>
  <si>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</si>
  <si>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</si>
  <si>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</si>
  <si>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</si>
  <si>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</si>
  <si>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</si>
  <si>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</si>
  <si>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</si>
  <si>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</si>
  <si>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</si>
  <si>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</si>
  <si>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</si>
  <si>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</si>
  <si>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</si>
  <si>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</si>
  <si>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</si>
  <si>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</si>
  <si>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</si>
  <si>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</si>
  <si>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</si>
  <si>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</si>
  <si>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</si>
  <si>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</si>
  <si>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</si>
  <si>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</si>
  <si>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</si>
  <si>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</si>
  <si>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</si>
  <si>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</si>
  <si>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</si>
  <si>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</si>
  <si>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</si>
  <si>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</si>
  <si>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rFont val="Aptos Narrow"/>
        <family val="2"/>
      </rPr>
      <t>≤</t>
    </r>
    <r>
      <rPr>
        <sz val="11"/>
        <rFont val="Calibri"/>
        <family val="2"/>
      </rPr>
      <t>55 gal, medium draw</t>
    </r>
  </si>
  <si>
    <t>802460_2024_12_</t>
  </si>
  <si>
    <r>
      <t xml:space="preserve">Heat Pump Water Heater replacing 98% Efficiency, </t>
    </r>
    <r>
      <rPr>
        <sz val="11"/>
        <rFont val="Aptos Narrow"/>
        <family val="2"/>
      </rPr>
      <t>&gt;5</t>
    </r>
    <r>
      <rPr>
        <sz val="11"/>
        <rFont val="Calibri"/>
        <family val="2"/>
      </rPr>
      <t xml:space="preserve">5 gal and </t>
    </r>
    <r>
      <rPr>
        <sz val="11"/>
        <rFont val="Aptos Narrow"/>
        <family val="2"/>
      </rPr>
      <t>≤</t>
    </r>
    <r>
      <rPr>
        <sz val="11"/>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</si>
  <si>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</si>
  <si>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</si>
  <si>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</si>
  <si>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</si>
  <si>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</si>
  <si>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</si>
  <si>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</si>
  <si>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</si>
  <si>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</si>
  <si>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</si>
  <si>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</si>
  <si>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</si>
  <si>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</si>
  <si>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</si>
  <si>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</si>
  <si>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</si>
  <si>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</si>
  <si>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</si>
  <si>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</si>
  <si>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</si>
  <si>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</si>
  <si>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</si>
  <si>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</si>
  <si>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</si>
  <si>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</si>
  <si>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</si>
  <si>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</si>
  <si>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</si>
  <si>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</si>
  <si>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</si>
  <si>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</si>
  <si>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</si>
  <si>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</si>
  <si>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</si>
  <si>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</si>
  <si>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</si>
  <si>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</si>
  <si>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</si>
  <si>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</si>
  <si>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</si>
  <si>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</si>
  <si>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</si>
  <si>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</si>
  <si>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</si>
  <si>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</si>
  <si>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</si>
  <si>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</si>
  <si>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</si>
  <si>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</si>
  <si>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</si>
  <si>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</si>
  <si>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</si>
  <si>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</si>
  <si>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</si>
  <si>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</si>
  <si>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</si>
  <si>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</si>
  <si>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</si>
  <si>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</si>
  <si>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</si>
  <si>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</si>
  <si>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</si>
  <si>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</si>
  <si>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EffBase</t>
  </si>
  <si>
    <t>EffESTAR</t>
  </si>
  <si>
    <t>FoodCooked (lbs)</t>
  </si>
  <si>
    <t>∆PreHeat watthour</t>
  </si>
  <si>
    <t>Preheat Energy</t>
  </si>
  <si>
    <t>CFS Equipment Calculator</t>
  </si>
  <si>
    <t>Steam generator</t>
  </si>
  <si>
    <t xml:space="preserve"> </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</si>
  <si>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</si>
  <si>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</si>
  <si>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</si>
  <si>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</si>
  <si>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</si>
  <si>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</si>
  <si>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</si>
  <si>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</si>
  <si>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</si>
  <si>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</si>
  <si>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</si>
  <si>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</si>
  <si>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</si>
  <si>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</si>
  <si>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</si>
  <si>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</si>
  <si>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</si>
  <si>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</si>
  <si>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</si>
  <si>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</si>
  <si>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</si>
  <si>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BSS/Standard</t>
  </si>
  <si>
    <t>803050_2024_12_</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</si>
  <si>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</si>
  <si>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</si>
  <si>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</si>
  <si>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</si>
  <si>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</si>
  <si>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</si>
  <si>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</si>
  <si>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</si>
  <si>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</si>
  <si>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</si>
  <si>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</si>
  <si>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</si>
  <si>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</si>
  <si>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</si>
  <si>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</si>
  <si>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</si>
  <si>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</si>
  <si>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</si>
  <si>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</si>
  <si>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</si>
  <si>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</si>
  <si>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</si>
  <si>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</si>
  <si>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</si>
  <si>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</si>
  <si>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</si>
  <si>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</si>
  <si>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</si>
  <si>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</si>
  <si>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</si>
  <si>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</si>
  <si>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</si>
  <si>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</si>
  <si>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</si>
  <si>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</si>
  <si>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2.8.4</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</si>
  <si>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</si>
  <si>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</si>
  <si>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</si>
  <si>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</si>
  <si>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</si>
  <si>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</si>
  <si>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</si>
  <si>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</si>
  <si>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</si>
  <si>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2.8.5</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</si>
  <si>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</si>
  <si>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</si>
  <si>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</si>
  <si>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</si>
  <si>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</si>
  <si>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</si>
  <si>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</si>
  <si>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</si>
  <si>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</si>
  <si>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</si>
  <si>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</si>
  <si>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</si>
  <si>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</si>
  <si>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</si>
  <si>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</si>
  <si>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</si>
  <si>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</si>
  <si>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</si>
  <si>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</si>
  <si>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</si>
  <si>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</si>
  <si>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</si>
  <si>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</si>
  <si>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</si>
  <si>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</si>
  <si>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</si>
  <si>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</si>
  <si>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803400_2025_12_</t>
  </si>
  <si>
    <t>Single Package or Split Sytem Unitary AC_DX &gt;760kBTUh</t>
  </si>
  <si>
    <t>803450_2024_12_</t>
  </si>
  <si>
    <t>Single Package or Split Sytem Unitary AC_DX &lt;65kBTUh</t>
  </si>
  <si>
    <t>2.5.7</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</si>
  <si>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</si>
  <si>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</si>
  <si>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</si>
  <si>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</si>
  <si>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</si>
  <si>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</si>
  <si>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</si>
  <si>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</si>
  <si>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</si>
  <si>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</si>
  <si>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</si>
  <si>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</si>
  <si>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</si>
  <si>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</si>
  <si>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</si>
  <si>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t>Measure (Geothermal, Water Source &amp; Air Source Heat Pumps)</t>
  </si>
  <si>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</si>
  <si>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</si>
  <si>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</si>
  <si>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</si>
  <si>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</si>
  <si>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</si>
  <si>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</si>
  <si>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</si>
  <si>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</si>
  <si>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rFont val="Aptos Narrow"/>
        <family val="2"/>
      </rPr>
      <t>≥</t>
    </r>
    <r>
      <rPr>
        <sz val="11"/>
        <rFont val="Calibri"/>
        <family val="2"/>
        <scheme val="minor"/>
      </rPr>
      <t>17 kBTUh and &lt;65 kBTUh per ton</t>
    </r>
  </si>
  <si>
    <t>803580_2024_12_</t>
  </si>
  <si>
    <r>
      <t xml:space="preserve">WSHP </t>
    </r>
    <r>
      <rPr>
        <sz val="11"/>
        <rFont val="Aptos Narrow"/>
        <family val="2"/>
      </rPr>
      <t>≥</t>
    </r>
    <r>
      <rPr>
        <sz val="11"/>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</si>
  <si>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</si>
  <si>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</si>
  <si>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</si>
  <si>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</si>
  <si>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</si>
  <si>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</si>
  <si>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</si>
  <si>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</si>
  <si>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2.5.5</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</si>
  <si>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</si>
  <si>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</si>
  <si>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</si>
  <si>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</si>
  <si>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</si>
  <si>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</si>
  <si>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</si>
  <si>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</si>
  <si>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</si>
  <si>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</si>
  <si>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</si>
  <si>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</si>
  <si>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</si>
  <si>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</si>
  <si>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</si>
  <si>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</si>
  <si>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</si>
  <si>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</si>
  <si>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</si>
  <si>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</si>
  <si>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2.5.4</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</si>
  <si>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</si>
  <si>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</si>
  <si>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</si>
  <si>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</si>
  <si>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</si>
  <si>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</si>
  <si>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</si>
  <si>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</si>
  <si>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</si>
  <si>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</si>
  <si>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</si>
  <si>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</si>
  <si>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</si>
  <si>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</si>
  <si>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</si>
  <si>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</si>
  <si>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</si>
  <si>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</si>
  <si>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</si>
  <si>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</si>
  <si>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</si>
  <si>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</si>
  <si>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</si>
  <si>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</si>
  <si>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</si>
  <si>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</si>
  <si>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</si>
  <si>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</si>
  <si>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</si>
  <si>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</si>
  <si>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</si>
  <si>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</si>
  <si>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</si>
  <si>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</si>
  <si>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</si>
  <si>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</si>
  <si>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</si>
  <si>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</si>
  <si>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</si>
  <si>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</si>
  <si>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</si>
  <si>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</si>
  <si>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</si>
  <si>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</si>
  <si>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</si>
  <si>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</si>
  <si>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</si>
  <si>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</si>
  <si>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</si>
  <si>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</si>
  <si>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</si>
  <si>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</si>
  <si>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</si>
  <si>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</si>
  <si>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</si>
  <si>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</si>
  <si>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</si>
  <si>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</si>
  <si>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</si>
  <si>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</si>
  <si>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</si>
  <si>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</si>
  <si>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</si>
  <si>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rFont val="Times New Roman"/>
        <family val="1"/>
      </rPr>
      <t>=</t>
    </r>
    <r>
      <rPr>
        <sz val="12"/>
        <rFont val="Times New Roman"/>
        <family val="1"/>
      </rPr>
      <t xml:space="preserve"> ((127 x hp</t>
    </r>
    <r>
      <rPr>
        <vertAlign val="subscript"/>
        <sz val="12"/>
        <rFont val="Times New Roman"/>
        <family val="1"/>
      </rPr>
      <t>compressor</t>
    </r>
    <r>
      <rPr>
        <sz val="12"/>
        <rFont val="Times New Roman"/>
        <family val="1"/>
      </rPr>
      <t>) + 1446) x 1.43</t>
    </r>
  </si>
  <si>
    <t>Note: Incremental cost is the actual cost. TRC is calculated on a project by project basis.</t>
  </si>
  <si>
    <t>Kitchen Demand Ventilation Controls</t>
  </si>
  <si>
    <t>Inc. Cost (per Hp)</t>
  </si>
  <si>
    <t>805405_2020_07_</t>
  </si>
  <si>
    <t>Kitchen Demand Ventilation Controls, Retrofit</t>
  </si>
  <si>
    <t>2.3.6</t>
  </si>
  <si>
    <t>Savings per HP (kWh)</t>
  </si>
  <si>
    <t>Demand Controlled Ventilation</t>
  </si>
  <si>
    <t>kWh Annual Savings (per sqft)</t>
  </si>
  <si>
    <t>805650_2019_12_</t>
  </si>
  <si>
    <t>Demand Controlled Ventillation (Gas Heat)</t>
  </si>
  <si>
    <t>Actual</t>
  </si>
  <si>
    <t>per sq. ft.</t>
  </si>
  <si>
    <t>805700_2019_12_</t>
  </si>
  <si>
    <t>Demand Controlled Ventillation (Electric Heat)</t>
  </si>
  <si>
    <t>805750_2019_12_</t>
  </si>
  <si>
    <t>Demand Controlled Ventillation (Heat Pump)</t>
  </si>
  <si>
    <t>2.5.2</t>
  </si>
  <si>
    <t>SQFTcond</t>
  </si>
  <si>
    <t>SFcooling</t>
  </si>
  <si>
    <t>SFheat</t>
  </si>
  <si>
    <t>Advanced RTU Controls</t>
  </si>
  <si>
    <t>Inc. Cost (per unit)</t>
  </si>
  <si>
    <t>805800_2019_12_</t>
  </si>
  <si>
    <t>2.5.3</t>
  </si>
  <si>
    <t>Psf</t>
  </si>
  <si>
    <t>SF (kWh/hour/HP)</t>
  </si>
  <si>
    <t>Hoursfan</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</si>
  <si>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</si>
  <si>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</si>
  <si>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</si>
  <si>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</si>
  <si>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</si>
  <si>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</si>
  <si>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</si>
  <si>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</si>
  <si>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</si>
  <si>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</si>
  <si>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</si>
  <si>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</si>
  <si>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2.5.8</t>
  </si>
  <si>
    <t>Savings per Fan (kWh)</t>
  </si>
  <si>
    <t>Fans</t>
  </si>
  <si>
    <t>Custom Measure</t>
  </si>
  <si>
    <t>kWh Annual Savings (per motor)</t>
  </si>
  <si>
    <t>Custom</t>
  </si>
  <si>
    <t>999999_2025_12</t>
  </si>
  <si>
    <t>Custom - C&amp;I</t>
  </si>
  <si>
    <t>Custom-Air Comp</t>
  </si>
  <si>
    <t>Custom-Building Shell</t>
  </si>
  <si>
    <t>Building Shell BUS</t>
  </si>
  <si>
    <t>Custom-Cooking</t>
  </si>
  <si>
    <t>Custom-Cooling</t>
  </si>
  <si>
    <t>Custom-HVAC</t>
  </si>
  <si>
    <t>Custom Lighting (Controls)</t>
  </si>
  <si>
    <t>Variable</t>
  </si>
  <si>
    <t>Custom-Miscellaneous</t>
  </si>
  <si>
    <t>Miscellaneous BUS</t>
  </si>
  <si>
    <t>Custom-Motors</t>
  </si>
  <si>
    <t>Custom-Process</t>
  </si>
  <si>
    <t>Process BUS</t>
  </si>
  <si>
    <t>Custom-Refrigeration</t>
  </si>
  <si>
    <t>Custom-Water Heating</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</si>
  <si>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</si>
  <si>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</si>
  <si>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</si>
  <si>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</si>
  <si>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</si>
  <si>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</si>
  <si>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</si>
  <si>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</si>
  <si>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MFIE</t>
  </si>
  <si>
    <t>250050_2024_12_</t>
  </si>
  <si>
    <t>Products / IE</t>
  </si>
  <si>
    <t>Heat Pump Hot Water Heater</t>
  </si>
  <si>
    <t>Water Heating RES</t>
  </si>
  <si>
    <t>PAYS/SFIE</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</si>
  <si>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</si>
  <si>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</si>
  <si>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</si>
  <si>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</si>
  <si>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</si>
  <si>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</si>
  <si>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</si>
  <si>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</si>
  <si>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</si>
  <si>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t>Notes</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</si>
  <si>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</si>
  <si>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</si>
  <si>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</si>
  <si>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</si>
  <si>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</si>
  <si>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</si>
  <si>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</si>
  <si>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</si>
  <si>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</si>
  <si>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</si>
  <si>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</si>
  <si>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Smart Thermostats</t>
  </si>
  <si>
    <t>Household</t>
  </si>
  <si>
    <t>Average number of people per household</t>
  </si>
  <si>
    <t>Single family value. Ameren Missouri Efficient Products Evaluation PY2018, page 32.</t>
  </si>
  <si>
    <t>Not defined by EM&amp;V</t>
  </si>
  <si>
    <t>Days per year</t>
  </si>
  <si>
    <t>Conversion Factor (days/year)</t>
  </si>
  <si>
    <t>Den</t>
  </si>
  <si>
    <t>Specific weight of water</t>
  </si>
  <si>
    <t>Density of water (lb/gallon)</t>
  </si>
  <si>
    <t>HWT</t>
  </si>
  <si>
    <t>TOUT = Tank temperature</t>
  </si>
  <si>
    <t>Illinois TRM v12.0, page 253</t>
  </si>
  <si>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</si>
  <si>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</si>
  <si>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</si>
  <si>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</si>
  <si>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</si>
  <si>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</si>
  <si>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</si>
  <si>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</si>
  <si>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</si>
  <si>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 PY18 Efficient Products Evaluation, page 32</t>
  </si>
  <si>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</si>
  <si>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</si>
  <si>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</si>
  <si>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</si>
  <si>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</si>
  <si>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</si>
  <si>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</si>
  <si>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</si>
  <si>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</si>
  <si>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</si>
  <si>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</si>
  <si>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PY2019 Efficient Products Evaluation Appendices, page 64</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</si>
  <si>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</si>
  <si>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</si>
  <si>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</si>
  <si>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</si>
  <si>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</si>
  <si>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</si>
  <si>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</si>
  <si>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</si>
  <si>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</si>
  <si>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</si>
  <si>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</si>
  <si>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</si>
  <si>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</si>
  <si>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</si>
  <si>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</si>
  <si>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</si>
  <si>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</si>
  <si>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</si>
  <si>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</si>
  <si>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</si>
  <si>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</si>
  <si>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</si>
  <si>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</si>
  <si>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</si>
  <si>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Incremental Cost</t>
  </si>
  <si>
    <t>Illinois TRM Version 12.0, p. 250</t>
  </si>
  <si>
    <r>
      <rPr>
        <sz val="11"/>
        <color rgb="FFFF0000"/>
        <rFont val="Calibri"/>
        <family val="2"/>
        <scheme val="minor"/>
      </rPr>
      <t>Smart</t>
    </r>
    <r>
      <rPr>
        <strike/>
        <sz val="11"/>
        <color rgb="FFFF0000"/>
        <rFont val="Calibri"/>
        <family val="2"/>
        <scheme val="minor"/>
      </rPr>
      <t>Learning Thermostat / Advanced</t>
    </r>
    <r>
      <rPr>
        <sz val="11"/>
        <rFont val="Calibri"/>
        <family val="2"/>
        <scheme val="minor"/>
      </rPr>
      <t xml:space="preserve"> Thermostat</t>
    </r>
  </si>
  <si>
    <t>250100_2024_12_</t>
  </si>
  <si>
    <t>Products / PAYS / IE</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</si>
  <si>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ASHP heating/cooling SF</t>
    </r>
  </si>
  <si>
    <t>Cooling RES</t>
  </si>
  <si>
    <t>Heating RES</t>
  </si>
  <si>
    <t>250101_2024_12_</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</si>
  <si>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ASHP heating/cooling MF</t>
    </r>
  </si>
  <si>
    <t>250150_2024_12_</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</si>
  <si>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electric furnace heating / central AC MF</t>
    </r>
  </si>
  <si>
    <t>250250_2024_12_</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</si>
  <si>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electric furnace heating / central AC SF</t>
    </r>
  </si>
  <si>
    <r>
      <rPr>
        <sz val="11"/>
        <color rgb="FFFF0000"/>
        <rFont val="Calibri"/>
        <family val="2"/>
        <scheme val="minor"/>
      </rPr>
      <t>Smart</t>
    </r>
    <r>
      <rPr>
        <strike/>
        <sz val="11"/>
        <color rgb="FFFF0000"/>
        <rFont val="Calibri"/>
        <family val="2"/>
        <scheme val="minor"/>
      </rPr>
      <t>Learning</t>
    </r>
    <r>
      <rPr>
        <strike/>
        <sz val="11"/>
        <rFont val="Calibri"/>
        <family val="2"/>
        <scheme val="minor"/>
      </rPr>
      <t xml:space="preserve"> </t>
    </r>
    <r>
      <rPr>
        <sz val="11"/>
        <rFont val="Calibri"/>
        <family val="2"/>
        <scheme val="minor"/>
      </rPr>
      <t>Thermostat - electric furnace heating / central AC SF</t>
    </r>
  </si>
  <si>
    <t>250350_2024_12_</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</si>
  <si>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Gas Heated / central AC SF</t>
    </r>
    <r>
      <rPr>
        <strike/>
        <sz val="11"/>
        <color rgb="FFFF0000"/>
        <rFont val="Calibri"/>
        <family val="2"/>
        <scheme val="minor"/>
      </rPr>
      <t>**</t>
    </r>
  </si>
  <si>
    <t>250351_2024_12_</t>
  </si>
  <si>
    <r>
      <rPr>
        <sz val="11"/>
        <color rgb="FFFF0000"/>
        <rFont val="Calibri"/>
        <family val="2"/>
        <scheme val="minor"/>
      </rPr>
      <t>Smart</t>
    </r>
    <r>
      <rPr>
        <strike/>
        <sz val="11"/>
        <color rgb="FFFF0000"/>
        <rFont val="Calibri"/>
        <family val="2"/>
        <scheme val="minor"/>
      </rPr>
      <t>Learning</t>
    </r>
    <r>
      <rPr>
        <strike/>
        <sz val="11"/>
        <rFont val="Calibri"/>
        <family val="2"/>
        <scheme val="minor"/>
      </rPr>
      <t xml:space="preserve"> </t>
    </r>
    <r>
      <rPr>
        <sz val="11"/>
        <rFont val="Calibri"/>
        <family val="2"/>
        <scheme val="minor"/>
      </rPr>
      <t>Thermostat - Gas Heated / central AC MF</t>
    </r>
    <r>
      <rPr>
        <strike/>
        <sz val="11"/>
        <color rgb="FFFF0000"/>
        <rFont val="Calibri"/>
        <family val="2"/>
        <scheme val="minor"/>
      </rPr>
      <t>**</t>
    </r>
  </si>
  <si>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Gas Heated / central AC MF</t>
    </r>
    <r>
      <rPr>
        <strike/>
        <sz val="11"/>
        <color rgb="FFFF0000"/>
        <rFont val="Calibri"/>
        <family val="2"/>
        <scheme val="minor"/>
      </rPr>
      <t>**</t>
    </r>
  </si>
  <si>
    <t>250450_2024_12_</t>
  </si>
  <si>
    <r>
      <rPr>
        <sz val="11"/>
        <color rgb="FFFF0000"/>
        <rFont val="Calibri"/>
        <family val="2"/>
        <scheme val="minor"/>
      </rPr>
      <t>Smart</t>
    </r>
    <r>
      <rPr>
        <strike/>
        <sz val="11"/>
        <color rgb="FFFF0000"/>
        <rFont val="Calibri"/>
        <family val="2"/>
        <scheme val="minor"/>
      </rPr>
      <t>Learning</t>
    </r>
    <r>
      <rPr>
        <sz val="11"/>
        <rFont val="Calibri"/>
        <family val="2"/>
        <scheme val="minor"/>
      </rPr>
      <t xml:space="preserve"> Thermostat - Unknown SF</t>
    </r>
    <r>
      <rPr>
        <strike/>
        <sz val="11"/>
        <color rgb="FFFF0000"/>
        <rFont val="Calibri"/>
        <family val="2"/>
        <scheme val="minor"/>
      </rPr>
      <t>**</t>
    </r>
  </si>
  <si>
    <r>
      <rPr>
        <sz val="11"/>
        <color rgb="FFFF0000"/>
        <rFont val="Calibri"/>
        <family val="2"/>
        <scheme val="minor"/>
      </rPr>
      <t>Smart</t>
    </r>
    <r>
      <rPr>
        <strike/>
        <sz val="11"/>
        <color rgb="FFFF0000"/>
        <rFont val="Calibri"/>
        <family val="2"/>
        <scheme val="minor"/>
      </rPr>
      <t>Learnin</t>
    </r>
    <r>
      <rPr>
        <sz val="11"/>
        <color rgb="FFFF0000"/>
        <rFont val="Calibri"/>
        <family val="2"/>
        <scheme val="minor"/>
      </rPr>
      <t>g</t>
    </r>
    <r>
      <rPr>
        <sz val="11"/>
        <rFont val="Calibri"/>
        <family val="2"/>
        <scheme val="minor"/>
      </rPr>
      <t xml:space="preserve"> Thermostat - Unknown SF</t>
    </r>
    <r>
      <rPr>
        <strike/>
        <sz val="11"/>
        <color rgb="FFFF0000"/>
        <rFont val="Calibri"/>
        <family val="2"/>
        <scheme val="minor"/>
      </rPr>
      <t>**</t>
    </r>
  </si>
  <si>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</si>
  <si>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</si>
  <si>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</si>
  <si>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</si>
  <si>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</si>
  <si>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</si>
  <si>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</si>
  <si>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</si>
  <si>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</si>
  <si>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</si>
  <si>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</si>
  <si>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Ameren Missouri Efficient Products Evaluation PY2020, page 40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</si>
  <si>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</si>
  <si>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</si>
  <si>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</si>
  <si>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</si>
  <si>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</si>
  <si>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</si>
  <si>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</si>
  <si>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</si>
  <si>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</si>
  <si>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</si>
  <si>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</si>
  <si>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</si>
  <si>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</si>
  <si>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</si>
  <si>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</si>
  <si>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</si>
  <si>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</si>
  <si>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</si>
  <si>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</si>
  <si>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</si>
  <si>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</si>
  <si>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</si>
  <si>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</si>
  <si>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</si>
  <si>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</si>
  <si>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</si>
  <si>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</si>
  <si>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</si>
  <si>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</si>
  <si>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</si>
  <si>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</si>
  <si>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</si>
  <si>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</si>
  <si>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CapacityCool</t>
  </si>
  <si>
    <t>SF</t>
  </si>
  <si>
    <t>Default if capacity is unknown</t>
  </si>
  <si>
    <t>MF</t>
  </si>
  <si>
    <t>none</t>
  </si>
  <si>
    <t>SEER2</t>
  </si>
  <si>
    <t>Based on minimum federal standard</t>
  </si>
  <si>
    <t>CoolingReduction</t>
  </si>
  <si>
    <t>MO - TRM, page 80</t>
  </si>
  <si>
    <t>%FossilHeat</t>
  </si>
  <si>
    <t>Measure definition corresponds to whether or not the thermostat controls fossil heating</t>
  </si>
  <si>
    <t>Ameren Missouri Efficient Products Evaluation PY2020, page 41</t>
  </si>
  <si>
    <t>HeatingConsumption_Gas</t>
  </si>
  <si>
    <t>Ameren Missouri Efficient Products Evaluation PY2017, page 47</t>
  </si>
  <si>
    <t>St. Louis</t>
  </si>
  <si>
    <t>Illinois TRM Version 12.0, page 204</t>
  </si>
  <si>
    <t>Lighting</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</si>
  <si>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</si>
  <si>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</si>
  <si>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</si>
  <si>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</si>
  <si>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</si>
  <si>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</si>
  <si>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</si>
  <si>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</si>
  <si>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</si>
  <si>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</si>
  <si>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</si>
  <si>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</si>
  <si>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</si>
  <si>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</si>
  <si>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</si>
  <si>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</si>
  <si>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</si>
  <si>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</si>
  <si>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</si>
  <si>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</si>
  <si>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t xml:space="preserve">Matches  Ameren Missouri  Evaluation PY2018, page 37 </t>
  </si>
  <si>
    <t>Leakage</t>
  </si>
  <si>
    <t>% Homes in Service Territory</t>
  </si>
  <si>
    <t>Efficient Products</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</si>
  <si>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</si>
  <si>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</si>
  <si>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</si>
  <si>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</si>
  <si>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Effective Useful Life</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</si>
  <si>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</si>
  <si>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</si>
  <si>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</si>
  <si>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</si>
  <si>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</si>
  <si>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</si>
  <si>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</si>
  <si>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300100_2025_12_</t>
  </si>
  <si>
    <t>IE</t>
  </si>
  <si>
    <t>Dirty Filter Alarm_MF</t>
  </si>
  <si>
    <t>HVAC RES</t>
  </si>
  <si>
    <t>3.4.9</t>
  </si>
  <si>
    <t>ΔkWh = kWh_heating + kWh_cooling</t>
  </si>
  <si>
    <r>
      <t>kWh_heating = %Heating * kWmotor * EFLHheat * EI * Utility Adjustment * ISR</t>
    </r>
    <r>
      <rPr>
        <sz val="11"/>
        <color rgb="FFFF0000"/>
        <rFont val="Calibri"/>
        <family val="2"/>
        <scheme val="minor"/>
      </rPr>
      <t>* Persistence_long term</t>
    </r>
  </si>
  <si>
    <r>
      <t xml:space="preserve">kWh_cooling = %AC * kWmotor * EFLHcool * EI * Utility Adjustment * ISR </t>
    </r>
    <r>
      <rPr>
        <sz val="11"/>
        <color rgb="FFFF0000"/>
        <rFont val="Calibri"/>
        <family val="2"/>
        <scheme val="minor"/>
      </rPr>
      <t>* Persistence_long term</t>
    </r>
  </si>
  <si>
    <t>%Heating</t>
  </si>
  <si>
    <t>Dirty Filter Alarm_MF: Kits</t>
  </si>
  <si>
    <t>Ameren Missouri EE Kits EM&amp;V PY2018, page 41</t>
  </si>
  <si>
    <r>
      <t>EFLH</t>
    </r>
    <r>
      <rPr>
        <i/>
        <vertAlign val="subscript"/>
        <sz val="11"/>
        <rFont val="Calibri"/>
        <family val="2"/>
        <scheme val="minor"/>
      </rPr>
      <t>heat</t>
    </r>
  </si>
  <si>
    <t>Ameren Missouri HVAC PY16 Metering Study</t>
  </si>
  <si>
    <t>EFLHheat</t>
  </si>
  <si>
    <t>EI</t>
  </si>
  <si>
    <t>Illinois TRM Version 12.0, page 233</t>
  </si>
  <si>
    <t>Utility Adjustment</t>
  </si>
  <si>
    <t>In TRM, (1 - Leakage)</t>
  </si>
  <si>
    <t>Persistence_long term</t>
  </si>
  <si>
    <t>Dirty Filter Alarm_MFIE</t>
  </si>
  <si>
    <t>MO - TRM Ameren Missouri Community Savers Evaluation PY2018, page 27</t>
  </si>
  <si>
    <t>Ameren Missouri EE Kits PY18 Program Data, page 41</t>
  </si>
  <si>
    <r>
      <t>EFLH</t>
    </r>
    <r>
      <rPr>
        <i/>
        <vertAlign val="subscript"/>
        <sz val="11"/>
        <rFont val="Calibri"/>
        <family val="2"/>
        <scheme val="minor"/>
      </rPr>
      <t>cool</t>
    </r>
  </si>
  <si>
    <t>Ameren Missouri HVAC PY2013 Metering Study</t>
  </si>
  <si>
    <t>EFLHcool</t>
  </si>
  <si>
    <t>CPUC Support Tables</t>
  </si>
  <si>
    <t>Incremental Cost ($)</t>
  </si>
  <si>
    <t>P</t>
  </si>
  <si>
    <t>Persistence rate of reinstalling alarm after filter change</t>
  </si>
  <si>
    <t>None</t>
  </si>
  <si>
    <r>
      <rPr>
        <sz val="11"/>
        <rFont val="Calibri"/>
        <family val="2"/>
        <scheme val="minor"/>
      </rPr>
      <t>LED</t>
    </r>
    <r>
      <rPr>
        <strike/>
        <sz val="11"/>
        <color rgb="FFFF0000"/>
        <rFont val="Calibri"/>
        <family val="2"/>
        <scheme val="minor"/>
      </rPr>
      <t xml:space="preserve">s (per </t>
    </r>
    <r>
      <rPr>
        <sz val="11"/>
        <rFont val="Calibri"/>
        <family val="2"/>
        <scheme val="minor"/>
      </rPr>
      <t>bulb</t>
    </r>
    <r>
      <rPr>
        <sz val="11"/>
        <color rgb="FFFF0000"/>
        <rFont val="Calibri"/>
        <family val="2"/>
        <scheme val="minor"/>
      </rPr>
      <t>s</t>
    </r>
    <r>
      <rPr>
        <strike/>
        <sz val="11"/>
        <color rgb="FFFF0000"/>
        <rFont val="Calibri"/>
        <family val="2"/>
        <scheme val="minor"/>
      </rPr>
      <t>)</t>
    </r>
  </si>
  <si>
    <t>SFIE</t>
  </si>
  <si>
    <t>300431_2024_12_</t>
  </si>
  <si>
    <t>LED - 10W (750-899 lumens) IE</t>
  </si>
  <si>
    <r>
      <t>Watts</t>
    </r>
    <r>
      <rPr>
        <vertAlign val="subscript"/>
        <sz val="11"/>
        <rFont val="Calibri"/>
        <family val="2"/>
        <scheme val="minor"/>
      </rPr>
      <t>Base</t>
    </r>
  </si>
  <si>
    <t>Baseline Wattage</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</si>
  <si>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</si>
  <si>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</si>
  <si>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</si>
  <si>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</si>
  <si>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</si>
  <si>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</si>
  <si>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t xml:space="preserve">Matches  Ameren Missouri  Evaluation PY2018, page 36 </t>
  </si>
  <si>
    <t>Electric Saturation</t>
  </si>
  <si>
    <t>% Homes with Electric Lighting</t>
  </si>
  <si>
    <t>Electric only measure</t>
  </si>
  <si>
    <t>Assumption based on program design</t>
  </si>
  <si>
    <t>LED IE</t>
  </si>
  <si>
    <t>Illinois TRM Version 12.0, 329</t>
  </si>
  <si>
    <t>RESIDENTIAL HVAC</t>
  </si>
  <si>
    <t>Central Air Conditioners</t>
  </si>
  <si>
    <t>Units (tons/measure)</t>
  </si>
  <si>
    <t>PAYS</t>
  </si>
  <si>
    <t>350600_2024_12_</t>
  </si>
  <si>
    <t>PAYS / IE</t>
  </si>
  <si>
    <t>CAC-SEER15_ER1_SF</t>
  </si>
  <si>
    <t>CAC-SEER15_ER2_SF</t>
  </si>
  <si>
    <t>Cooling RES ER2</t>
  </si>
  <si>
    <t>350650_2024_12_</t>
  </si>
  <si>
    <t>CAC-SEER15_ROF_SF</t>
  </si>
  <si>
    <t>350800_2024_12_</t>
  </si>
  <si>
    <t>CAC-SEER16_ER1_SF</t>
  </si>
  <si>
    <t>CAC-SEER16_ER2_SF</t>
  </si>
  <si>
    <t>350850_2024_12_</t>
  </si>
  <si>
    <t>CAC-SEER16_ROF_SF</t>
  </si>
  <si>
    <t>350900_2024_12_</t>
  </si>
  <si>
    <t>CAC-SEER16_ER1_MF</t>
  </si>
  <si>
    <t>CAC-SEER16_ER2_MF</t>
  </si>
  <si>
    <t>351000_2024_12_</t>
  </si>
  <si>
    <t>CAC-SEER17_ER1_SF</t>
  </si>
  <si>
    <t>CAC-SEER17_ER2_SF</t>
  </si>
  <si>
    <t>351050_2024_12_</t>
  </si>
  <si>
    <t>CAC-SEER17_ROF_SF</t>
  </si>
  <si>
    <t>351160_2024_12_</t>
  </si>
  <si>
    <t>CAC-SEER18_ER1_SF</t>
  </si>
  <si>
    <t>CAC-SEER18_ER2_SF</t>
  </si>
  <si>
    <t>351161_2024_12_</t>
  </si>
  <si>
    <t>CAC-SEER18_ROF_SF</t>
  </si>
  <si>
    <t>351170_2025_12_</t>
  </si>
  <si>
    <t>CAC-SEER19_ER1_SF</t>
  </si>
  <si>
    <t>CAC-SEER19_ER2_SF</t>
  </si>
  <si>
    <t>351171_2025_12_</t>
  </si>
  <si>
    <t>CAC-SEER19_ROF_SF</t>
  </si>
  <si>
    <t>351180_2024_12_</t>
  </si>
  <si>
    <t>CAC-SEER20_ER1_SF</t>
  </si>
  <si>
    <t>CAC-SEER20_ER2_SF</t>
  </si>
  <si>
    <t>351181_2024_12_</t>
  </si>
  <si>
    <t>CAC-SEER20_ROF_SF</t>
  </si>
  <si>
    <t>351190_2024_12_</t>
  </si>
  <si>
    <t>CAC-SEER21+_ER1_SF</t>
  </si>
  <si>
    <t>CAC-SEER21+_ER2_SF</t>
  </si>
  <si>
    <t>351191_2024_12_</t>
  </si>
  <si>
    <t>CAC-SEER21+_ROF_SF</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</si>
  <si>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</si>
  <si>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</si>
  <si>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</si>
  <si>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</si>
  <si>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</si>
  <si>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</si>
  <si>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</si>
  <si>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</si>
  <si>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Comments:</t>
  </si>
  <si>
    <t>Efficient CAC Costs</t>
  </si>
  <si>
    <t>FLHcool</t>
  </si>
  <si>
    <t>Full load cooling hours</t>
  </si>
  <si>
    <t>From Evaluation - Opinion Dynamics review PY19, page 39</t>
  </si>
  <si>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</si>
  <si>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</si>
  <si>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</si>
  <si>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</si>
  <si>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</si>
  <si>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</si>
  <si>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</si>
  <si>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</si>
  <si>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</si>
  <si>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</si>
  <si>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</si>
  <si>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</si>
  <si>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</si>
  <si>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</si>
  <si>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PY2022 Program Data Averages</t>
  </si>
  <si>
    <t>AMO PY23 Parametric Analysis "TRM Updates Summary" column H</t>
  </si>
  <si>
    <t>Ameren Missouri HVAC PY2021 Program Data Averages</t>
  </si>
  <si>
    <t>Ameren Missouri HVAC PY2024 Program Data Averages</t>
  </si>
  <si>
    <t>SEER2base</t>
  </si>
  <si>
    <t>Seasonal Energy Efficiency Ratio of baseline unit (kBtu/kWh) (SEER2)</t>
  </si>
  <si>
    <t/>
  </si>
  <si>
    <t>CFR 430 (1-1-2021 Edition) 430.32(c)(5)</t>
  </si>
  <si>
    <t>SEER2ee</t>
  </si>
  <si>
    <t>Seasonal Energy Efficiency Ratio of ENERGY STAR unit (kBtu/kWh) (SEER2)</t>
  </si>
  <si>
    <t>No change- only decimals</t>
  </si>
  <si>
    <t>SEER2exist</t>
  </si>
  <si>
    <t>Seasonal Energy Efficiency Ratio of existing unit (kBtu/kWh) (SEER2)</t>
  </si>
  <si>
    <t>AMO PY23 Parametric Analysis "TRM Updates Summary" column J</t>
  </si>
  <si>
    <t>HF of 65% used to convert residential to multifamily</t>
  </si>
  <si>
    <t>In Service Rate</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</si>
  <si>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</si>
  <si>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</si>
  <si>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</si>
  <si>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</si>
  <si>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</si>
  <si>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</si>
  <si>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</si>
  <si>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</si>
  <si>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</si>
  <si>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</si>
  <si>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</si>
  <si>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</si>
  <si>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</si>
  <si>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</si>
  <si>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</si>
  <si>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</si>
  <si>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</si>
  <si>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</si>
  <si>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</si>
  <si>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</si>
  <si>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</si>
  <si>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</si>
  <si>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</si>
  <si>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</si>
  <si>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</si>
  <si>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</si>
  <si>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</si>
  <si>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</si>
  <si>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</si>
  <si>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3.4.4</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</si>
  <si>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</si>
  <si>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</si>
  <si>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</si>
  <si>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</si>
  <si>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</si>
  <si>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</si>
  <si>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</si>
  <si>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</si>
  <si>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</si>
  <si>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</si>
  <si>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</si>
  <si>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</si>
  <si>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</si>
  <si>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</si>
  <si>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</si>
  <si>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</si>
  <si>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</si>
  <si>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</si>
  <si>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</si>
  <si>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Equivalent Full Load Hours for heating</t>
  </si>
  <si>
    <t>From Evaluation - Opinion Dynamics review PY19</t>
  </si>
  <si>
    <t>ROF Non-Elec/CAC Baseline - All</t>
  </si>
  <si>
    <t>ER DMSHP Baseline - All</t>
  </si>
  <si>
    <t>ER Elec Resis/CAC Baseline - All</t>
  </si>
  <si>
    <t>ER Non-Elec/CAC Baseline - All</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</si>
  <si>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</si>
  <si>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</si>
  <si>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</si>
  <si>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</si>
  <si>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</si>
  <si>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</si>
  <si>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</si>
  <si>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</si>
  <si>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</si>
  <si>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</si>
  <si>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</si>
  <si>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Match Similar Unit</t>
  </si>
  <si>
    <t>Equivalent Full Load Hours for cooling</t>
  </si>
  <si>
    <t>SEER rating of baseline equipment (kbtu/kwh) (SEER2)</t>
  </si>
  <si>
    <t>SEERbase</t>
  </si>
  <si>
    <t>SEER rating of existing equipment (kbtu/kwh) (SEER2)</t>
  </si>
  <si>
    <t>SEERexist</t>
  </si>
  <si>
    <t>MO TRM</t>
  </si>
  <si>
    <t>Match similar unit</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</si>
  <si>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</si>
  <si>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</si>
  <si>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</si>
  <si>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</si>
  <si>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</si>
  <si>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Measure Life Report: Residential and Commercial/Industrial Lighting and HVAC Measures, GDS Associates, Inc., June 2007</t>
  </si>
  <si>
    <t>Inc Cost Adj Factor</t>
  </si>
  <si>
    <t>Incremental Cost Adjustment Factor</t>
  </si>
  <si>
    <t>Dual Fuel Heat Pumps</t>
  </si>
  <si>
    <t>351900_2024_12_</t>
  </si>
  <si>
    <t>DFHP-SEER19-ROF_MF</t>
  </si>
  <si>
    <t>Cooling Res</t>
  </si>
  <si>
    <t>Heating Res</t>
  </si>
  <si>
    <t>351950_2024_12_</t>
  </si>
  <si>
    <t>DFHP-SEER20-ROF_MF</t>
  </si>
  <si>
    <t>352000_2024_12_</t>
  </si>
  <si>
    <t>DFHP-SEER21-ROF_MF</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</si>
  <si>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</si>
  <si>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</si>
  <si>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</si>
  <si>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</si>
  <si>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</si>
  <si>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</si>
  <si>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</si>
  <si>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</si>
  <si>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</si>
  <si>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</si>
  <si>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</si>
  <si>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</si>
  <si>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</si>
  <si>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</si>
  <si>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</si>
  <si>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</si>
  <si>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</si>
  <si>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</si>
  <si>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</si>
  <si>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HSPF2_base / exist</t>
  </si>
  <si>
    <t>Heating System Performance Factor of baseline / existing heating system (kBtu/kWh)</t>
  </si>
  <si>
    <t>HSPF_base / exist</t>
  </si>
  <si>
    <t>ROF ASHP Baseline - All</t>
  </si>
  <si>
    <t>HSPF2_ee</t>
  </si>
  <si>
    <t>Heating System Performance Factor of efficient Duel Fuel Heat Pump
   (kBtu/kWh)</t>
  </si>
  <si>
    <t>Assumed similar to 18+</t>
  </si>
  <si>
    <t>HSPF_ee</t>
  </si>
  <si>
    <t>ER ASHP Baseline - All</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</si>
  <si>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</si>
  <si>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</si>
  <si>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</si>
  <si>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</si>
  <si>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</si>
  <si>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</si>
  <si>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</si>
  <si>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</si>
  <si>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</si>
  <si>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</si>
  <si>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</si>
  <si>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</si>
  <si>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</si>
  <si>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</si>
  <si>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352050_2025_12_</t>
  </si>
  <si>
    <t>GSHP-EER23-Replace_CAC_ElectricHeat_ROF_SF</t>
  </si>
  <si>
    <t>352100_2025_12_</t>
  </si>
  <si>
    <t>GSHP-EER23-Replace_CAC_ElectricHeat_ER1_SF</t>
  </si>
  <si>
    <t>GSHP-EER23-Replace_CAC_ElectricHeat_ER2_SF</t>
  </si>
  <si>
    <t>Cooling Res ER2</t>
  </si>
  <si>
    <t>352200_2025_12_</t>
  </si>
  <si>
    <t>GSHP-EER23-Replace_ASHP_ER1_SF</t>
  </si>
  <si>
    <t>GSHP-EER23-Replace_ASHP_ER2_SF</t>
  </si>
  <si>
    <t>352250_2025_12_</t>
  </si>
  <si>
    <t>GSHP-EER23_ROF_SF</t>
  </si>
  <si>
    <t>352260_2025_12_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</si>
  <si>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</si>
  <si>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</si>
  <si>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</si>
  <si>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</si>
  <si>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</si>
  <si>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</si>
  <si>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</si>
  <si>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</si>
  <si>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</si>
  <si>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</si>
  <si>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</si>
  <si>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</si>
  <si>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</si>
  <si>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</si>
  <si>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PY2024 evaluation, all GSHP</t>
  </si>
  <si>
    <t>PY2024 evaluation, 117 samples</t>
  </si>
  <si>
    <t>Cooling Capacity of Heat Pump (Btu/hr)</t>
  </si>
  <si>
    <t>EFLHcooling</t>
  </si>
  <si>
    <t>PY2019 Evaluation Report, page 30</t>
  </si>
  <si>
    <t>SEER2base / exist</t>
  </si>
  <si>
    <t>Illinois TRM Version 12.0, page 169</t>
  </si>
  <si>
    <t>Federal minimum</t>
  </si>
  <si>
    <t>Seasonal Energy Efficiency Ratio of efficient Heat Pump (kBtu/kWh)</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</si>
  <si>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</si>
  <si>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</si>
  <si>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</si>
  <si>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</si>
  <si>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</si>
  <si>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</si>
  <si>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</si>
  <si>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</si>
  <si>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</si>
  <si>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</si>
  <si>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</si>
  <si>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</si>
  <si>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</si>
  <si>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</si>
  <si>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</si>
  <si>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</si>
  <si>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352420_2025_12_</t>
  </si>
  <si>
    <t>ASHP-SEER15-Replace_CAC_ElectricHeat_ER1_MF</t>
  </si>
  <si>
    <t>ASHP-SEER15-Replace_CAC_ElectricHeat_ER2_MF</t>
  </si>
  <si>
    <t>352425_2025_12_</t>
  </si>
  <si>
    <t>ASHP-SEER15-Replace_CAC_ElectricHeat_ROF_MF</t>
  </si>
  <si>
    <t>352500_2024_12_</t>
  </si>
  <si>
    <t>ASHP-SEER16-Replace_CAC_ElectricHeat_ER1_SF</t>
  </si>
  <si>
    <t>ASHP-SEER16-Replace_CAC_ElectricHeat_ER2_SF</t>
  </si>
  <si>
    <t>352510_2024_12_</t>
  </si>
  <si>
    <t>ASHP-SEER16-Replace_CAC_NonElectricHeat_ER1_SF</t>
  </si>
  <si>
    <t>ASHP-SEER16-Replace_CAC_NonElectricHeat_ER2_SF</t>
  </si>
  <si>
    <t>352520_2025_12_</t>
  </si>
  <si>
    <t>ASHP-SEER16-Replace_CAC_NonElectricHeat_ER1_MF</t>
  </si>
  <si>
    <t>ASHP-SEER16-Replace_CAC_NonElectricHeat_ER2_MF</t>
  </si>
  <si>
    <t>352550_2024_12_</t>
  </si>
  <si>
    <t>ASHP-SEER16_ER1_SF</t>
  </si>
  <si>
    <t>ASHP-SEER16_ER2_SF</t>
  </si>
  <si>
    <t>352600_2024_12_</t>
  </si>
  <si>
    <t>ASHP-SEER16-Replace_CAC_ElectricHeat_ROF_SF</t>
  </si>
  <si>
    <t>352605_2025_12_</t>
  </si>
  <si>
    <t>ASHP-SEER16-Replace_CAC_ElectricHeat_ROF_MF</t>
  </si>
  <si>
    <t>352610_2024_12_</t>
  </si>
  <si>
    <t>ASHP-SEER16-Replace_CAC_NonElectricHeat_ROF_SF</t>
  </si>
  <si>
    <t>352650_2024_12_</t>
  </si>
  <si>
    <t>ASHP-SEER16_ROF_SF</t>
  </si>
  <si>
    <t>352660_2025_12_</t>
  </si>
  <si>
    <t>ASHP-SEER16_ROF_MF</t>
  </si>
  <si>
    <t>353000_2024_12_</t>
  </si>
  <si>
    <t>ASHP-SEER16-Replace_CAC_ElectricHeat_ER1_MF</t>
  </si>
  <si>
    <t>ASHP-SEER16-Replace_CAC_ElectricHeat_ER2_MF</t>
  </si>
  <si>
    <t>353100_2024_12_</t>
  </si>
  <si>
    <t>ASHP-SEER17-Replace_CAC_ElectricHeat_ROF_SF</t>
  </si>
  <si>
    <t>353105_2025_12_</t>
  </si>
  <si>
    <t>ASHP-SEER17-Replace_CAC_ElectricHeat_ROF_MF</t>
  </si>
  <si>
    <t>353110_2024_12_</t>
  </si>
  <si>
    <t>ASHP-SEER17-Replace_CAC_NonElectricHeat_ROF_SF</t>
  </si>
  <si>
    <t>353200_2024_12_</t>
  </si>
  <si>
    <t>ASHP-SEER18-Replace_CAC_ElectricHeat_ROF_SF</t>
  </si>
  <si>
    <t>353210_2024_12_</t>
  </si>
  <si>
    <t>ASHP-SEER18-Replace_CAC_NonElectricHeat_ROF_SF</t>
  </si>
  <si>
    <t>353300_2024_12_</t>
  </si>
  <si>
    <t>ASHP-SEER19-Replace_CAC_ElectricHeat_ROF_SF</t>
  </si>
  <si>
    <t>353310_2024_12_</t>
  </si>
  <si>
    <t>ASHP-SEER19-Replace_CAC_NonElectricHeat_ROF_SF</t>
  </si>
  <si>
    <t>353400_2024_12_</t>
  </si>
  <si>
    <t>ASHP-SEER20-Replace_CAC_ElectricHeat_ER1_SF</t>
  </si>
  <si>
    <t>ASHP-SEER20-Replace_CAC_ElectricHeat_ER2_SF</t>
  </si>
  <si>
    <t>353410_2024_12_</t>
  </si>
  <si>
    <t>ASHP-SEER20-Replace_CAC_NonElectricHeat_ER1_SF</t>
  </si>
  <si>
    <t>ASHP-SEER20-Replace_CAC_NonElectricHeat_ER2_SF</t>
  </si>
  <si>
    <t>353420_2025_12_</t>
  </si>
  <si>
    <t>ASHP-SEER20-Replace_CAC_NonElectricHeat_ER1_MF</t>
  </si>
  <si>
    <t>ASHP-SEER20-Replace_CAC_NonElectricHeat_ER2_MF</t>
  </si>
  <si>
    <t>353450_2024_12_</t>
  </si>
  <si>
    <t>ASHP-SEER20-Replace_CAC_ElectricHeat_ROF_SF</t>
  </si>
  <si>
    <t>353455_2025_12_</t>
  </si>
  <si>
    <t>ASHP-SEER20-Replace_CAC_ElectricHeat_ROF_MF</t>
  </si>
  <si>
    <t>353460_2024_12_</t>
  </si>
  <si>
    <t>ASHP-SEER20-Replace_CAC_NonElectricHeat_ROF_SF</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</si>
  <si>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</si>
  <si>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</si>
  <si>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</si>
  <si>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</si>
  <si>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</si>
  <si>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</si>
  <si>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</si>
  <si>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</si>
  <si>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</si>
  <si>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353650_2024_12_</t>
  </si>
  <si>
    <t>ASHP-SEER21-Replace_CAC_ElectricHeat_ROF_SF</t>
  </si>
  <si>
    <t>353660_2024_12_</t>
  </si>
  <si>
    <t>ASHP-SEER21-Replace_CAC_NonElectricHeat_ROF_SF</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</si>
  <si>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</si>
  <si>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</si>
  <si>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</si>
  <si>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</si>
  <si>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</si>
  <si>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</si>
  <si>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</si>
  <si>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</si>
  <si>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</si>
  <si>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</si>
  <si>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</si>
  <si>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</si>
  <si>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</si>
  <si>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</si>
  <si>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</si>
  <si>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</si>
  <si>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</si>
  <si>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</si>
  <si>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</si>
  <si>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</si>
  <si>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</si>
  <si>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354120_2025_12_</t>
  </si>
  <si>
    <t>ASHP-SEER17-Replace_CAC_NonElectricHeat_ER1_MF</t>
  </si>
  <si>
    <t>ASHP-SEER17-Replace_CAC_NonElectricHeat_ER2_MF</t>
  </si>
  <si>
    <t>354150_2024_12_</t>
  </si>
  <si>
    <t>ASHP-SEER17-Replace_CAC_ElectricHeat_ER1_MF</t>
  </si>
  <si>
    <t>ASHP-SEER17-Replace_CAC_ElectricHeat_ER2_MF</t>
  </si>
  <si>
    <t>354200_2024_12_</t>
  </si>
  <si>
    <t>ASHP-SEER17_ER1_MF</t>
  </si>
  <si>
    <t>ASHP-SEER17_ER2_MF</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</si>
  <si>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</si>
  <si>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</si>
  <si>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</si>
  <si>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</si>
  <si>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</si>
  <si>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</si>
  <si>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</si>
  <si>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</si>
  <si>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</si>
  <si>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354350_2024_12_</t>
  </si>
  <si>
    <t>ASHP-SEER18_ER1_MF</t>
  </si>
  <si>
    <t>ASHP-SEER18_ER2_MF</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</si>
  <si>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</si>
  <si>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</si>
  <si>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</si>
  <si>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</si>
  <si>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</si>
  <si>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</si>
  <si>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</si>
  <si>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</si>
  <si>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</si>
  <si>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354500_2024_12_</t>
  </si>
  <si>
    <t>ASHP-SEER19_ER1_MF</t>
  </si>
  <si>
    <t>ASHP-SEER19_ER2_MF</t>
  </si>
  <si>
    <t>354550_2024_12_</t>
  </si>
  <si>
    <t>ASHP-SEER20_ER1_SF</t>
  </si>
  <si>
    <t>ASHP-SEER20_ER2_SF</t>
  </si>
  <si>
    <t>354600_2024_12_</t>
  </si>
  <si>
    <t>ASHP-SEER20_ROF_SF</t>
  </si>
  <si>
    <t>354650_2024_12_</t>
  </si>
  <si>
    <t>ASHP-SEER20-Replace_CAC_ElectricHeat_ER1_MF</t>
  </si>
  <si>
    <t>ASHP-SEER20-Replace_CAC_ElectricHeat_ER2_MF</t>
  </si>
  <si>
    <t>354700_2024_12_</t>
  </si>
  <si>
    <t>ASHP-SEER20_ER1_MF</t>
  </si>
  <si>
    <t>ASHP-SEER20_ER2_MF</t>
  </si>
  <si>
    <t>354750_2024_12_</t>
  </si>
  <si>
    <t>ASHP-SEER21_ER1_SF</t>
  </si>
  <si>
    <t>ASHP-SEER21_ER2_SF</t>
  </si>
  <si>
    <t>354800_2024_12_</t>
  </si>
  <si>
    <t>ASHP-SEER21_ROF_SF</t>
  </si>
  <si>
    <t>354850_2024_12_</t>
  </si>
  <si>
    <t>ASHP-SEER21-Replace_CAC_ElectricHeat_ROF_MF</t>
  </si>
  <si>
    <t>354900_2024_12_</t>
  </si>
  <si>
    <t>ASHP-SEER21_ER1_MF</t>
  </si>
  <si>
    <t>ASHP-SEER21_ER2_MF</t>
  </si>
  <si>
    <t>354950_2024_12_</t>
  </si>
  <si>
    <t>ASHP-SEER17_ROF_MF</t>
  </si>
  <si>
    <t>355000_2024_12_</t>
  </si>
  <si>
    <t>ASHP-SEER18_ROF_MF</t>
  </si>
  <si>
    <t>355050_2024_12_</t>
  </si>
  <si>
    <t>ASHP-SEER19_ROF_MF</t>
  </si>
  <si>
    <t>355100_2024_12_</t>
  </si>
  <si>
    <t>ASHP-SEER20_ROF_MF</t>
  </si>
  <si>
    <t>355150_2024_12_</t>
  </si>
  <si>
    <t>ASHP-SEER21_ROF_MF</t>
  </si>
  <si>
    <t>Note: ASHPs replacing non-electric heating are eligible for cooling savings only.</t>
  </si>
  <si>
    <t>Based on similar Measure</t>
  </si>
  <si>
    <t>Ameren Missouri HVAC PY2020 Program Data Averages</t>
  </si>
  <si>
    <t>Ameren Missouri HVAC EM&amp;V PY2017 - 2016 -2017 AMR Data &amp; HP Metering</t>
  </si>
  <si>
    <t>Ameren Missouri HVAC EM&amp;V PY2018</t>
  </si>
  <si>
    <t>Replacing non-electric heating system</t>
  </si>
  <si>
    <t>PY2024 heating replaced</t>
  </si>
  <si>
    <t>Ameren Missouri Comm. Savers EM&amp;V PY2018</t>
  </si>
  <si>
    <t>Heating System Performance Factor of efficient Air Source Heat Pump
   (kBtu/kWh)</t>
  </si>
  <si>
    <t>PY2024 AHRI data, SEER2 to HSPF2 correlation</t>
  </si>
  <si>
    <t>Cooling Capacity of Air Source Heat Pump (Btu/hr)</t>
  </si>
  <si>
    <t>PY2024 HVAC measure</t>
  </si>
  <si>
    <t>PY2024 MFIE measure</t>
  </si>
  <si>
    <t>PY2019 HVAC Evaluation, page 4</t>
  </si>
  <si>
    <t>Matches Ameren Missouri HVAC EM&amp;V PY2018</t>
  </si>
  <si>
    <t>Seasonal Energy Efficiency Ratio of efficient Air Source Heat Pump (kBtu/kWh)</t>
  </si>
  <si>
    <t>Based on measure name</t>
  </si>
  <si>
    <t>Measure Life Report 2007.pdf, page 1-3.</t>
  </si>
  <si>
    <r>
      <t xml:space="preserve">Packaged Terminal </t>
    </r>
    <r>
      <rPr>
        <strike/>
        <sz val="11"/>
        <color rgb="FFFF0000"/>
        <rFont val="Calibri"/>
        <family val="2"/>
        <scheme val="minor"/>
      </rPr>
      <t>Air Source</t>
    </r>
    <r>
      <rPr>
        <sz val="11"/>
        <rFont val="Calibri"/>
        <family val="2"/>
        <scheme val="minor"/>
      </rPr>
      <t xml:space="preserve"> Heat Pumps</t>
    </r>
  </si>
  <si>
    <t>356200_2024_12_</t>
  </si>
  <si>
    <t>PTHP-SEER12-ER1_MF</t>
  </si>
  <si>
    <t>PTHP-SEER12-ER2_MF</t>
  </si>
  <si>
    <t>356250_2024_12_</t>
  </si>
  <si>
    <t>PTHP-SEER12-Replace_PTAC_ElectricHeat_ER1_MF</t>
  </si>
  <si>
    <t>PTHP-SEER12-Replace_PTAC_ElectricHeat_ER2_MF</t>
  </si>
  <si>
    <t>356300_2024_12_</t>
  </si>
  <si>
    <t>PTHP-SEER12-ROF_MF</t>
  </si>
  <si>
    <t>356350_2024_12_</t>
  </si>
  <si>
    <t>PTHP-SEER12-Replace_PTAC_ElectricHeat_ROF_MF</t>
  </si>
  <si>
    <t>356400_2024_12_</t>
  </si>
  <si>
    <t>PTHP-SEER13-ER1_MF</t>
  </si>
  <si>
    <t>PTHP-SEER13-ER2_MF</t>
  </si>
  <si>
    <t>356450_2024_12_</t>
  </si>
  <si>
    <t>PTHP-SEER13-Replace_PTAC_ElectricHeat_ER1_MF</t>
  </si>
  <si>
    <t>PTHP-SEER13-Replace_PTAC_ElectricHeat_ER2_MF</t>
  </si>
  <si>
    <t>356500_2024_12_</t>
  </si>
  <si>
    <t>PTHP-SEER13-ROF_MF</t>
  </si>
  <si>
    <t>356550_2024_12_</t>
  </si>
  <si>
    <t>PTHP-SEER13-Replace_PTAC_ElectricHeat_ROF_MF</t>
  </si>
  <si>
    <t>356600_2024_12_</t>
  </si>
  <si>
    <t>PTHP-SEER14-ER1_MF</t>
  </si>
  <si>
    <t>PTHP-SEER14-ER2_MF</t>
  </si>
  <si>
    <t>356650_2024_12_</t>
  </si>
  <si>
    <t>PTHP-SEER14-Replace_PTAC_ElectricHeat_ER1_MF</t>
  </si>
  <si>
    <t>PTHP-SEER14-Replace_PTAC_ElectricHeat_ER2_MF</t>
  </si>
  <si>
    <t>356700_2024_12_</t>
  </si>
  <si>
    <t>PTHP-SEER14-ROF_MF</t>
  </si>
  <si>
    <t>356750_2024_12_</t>
  </si>
  <si>
    <t>PTHP-SEER14-Replace_PTAC_ElectricHeat_ROF_MF</t>
  </si>
  <si>
    <t>356800_2024_12_</t>
  </si>
  <si>
    <t>PTHP-SEER15-ER1_MF</t>
  </si>
  <si>
    <t>PTHP-SEER15-ER2_MF</t>
  </si>
  <si>
    <t>356850_2024_12_</t>
  </si>
  <si>
    <t>PTHP-SEER15-Replace_PTAC_ElectricHeat_ER1_MF</t>
  </si>
  <si>
    <t>PTHP-SEER15-Replace_PTAC_ElectricHeat_ER2_MF</t>
  </si>
  <si>
    <t>356900_2024_12_</t>
  </si>
  <si>
    <t>PTHP-SEER15-ROF_MF</t>
  </si>
  <si>
    <t>356950_2024_12_</t>
  </si>
  <si>
    <t>PTHP-SEER15-Replace_PTAC_ElectricHeat_ROF_MF</t>
  </si>
  <si>
    <t>3.4.10</t>
  </si>
  <si>
    <t>Note: PTHPs replacing non-electric heating are eligible for cooling savings only.</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</si>
  <si>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</si>
  <si>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</si>
  <si>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</si>
  <si>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</si>
  <si>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</si>
  <si>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PTHP</t>
  </si>
  <si>
    <t>Typical sizes found online are 9,400, 12,000 and 15,000 btu/hr.</t>
  </si>
  <si>
    <t>Ameren TRM, section 3.4.10</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</si>
  <si>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</si>
  <si>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</si>
  <si>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</si>
  <si>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</si>
  <si>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</si>
  <si>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</si>
  <si>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</si>
  <si>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</si>
  <si>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</si>
  <si>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</si>
  <si>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</si>
  <si>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</si>
  <si>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</si>
  <si>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</si>
  <si>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</si>
  <si>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</si>
  <si>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</si>
  <si>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</si>
  <si>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RESIDENTIAL INCOME ELIGIBLE</t>
  </si>
  <si>
    <t>AC Tune-Up</t>
  </si>
  <si>
    <t>400150_2025_12_</t>
  </si>
  <si>
    <r>
      <t xml:space="preserve">AC Tune-up </t>
    </r>
    <r>
      <rPr>
        <sz val="11"/>
        <color rgb="FFFF0000"/>
        <rFont val="Calibri"/>
        <family val="2"/>
        <scheme val="minor"/>
      </rPr>
      <t>+</t>
    </r>
    <r>
      <rPr>
        <sz val="11"/>
        <rFont val="Calibri"/>
        <family val="2"/>
        <scheme val="minor"/>
      </rPr>
      <t xml:space="preserve"> Refrigerant charge SF</t>
    </r>
  </si>
  <si>
    <t>400410_2025_12_</t>
  </si>
  <si>
    <r>
      <t xml:space="preserve">AC Tune-up </t>
    </r>
    <r>
      <rPr>
        <sz val="11"/>
        <color rgb="FFFF0000"/>
        <rFont val="Calibri"/>
        <family val="2"/>
        <scheme val="minor"/>
      </rPr>
      <t>+ Refrigerant check</t>
    </r>
    <r>
      <rPr>
        <sz val="11"/>
        <rFont val="Calibri"/>
        <family val="2"/>
        <scheme val="minor"/>
      </rPr>
      <t xml:space="preserve"> </t>
    </r>
    <r>
      <rPr>
        <strike/>
        <sz val="11"/>
        <color rgb="FFFF0000"/>
        <rFont val="Calibri"/>
        <family val="2"/>
        <scheme val="minor"/>
      </rPr>
      <t>/ Packaged Service</t>
    </r>
    <r>
      <rPr>
        <sz val="11"/>
        <rFont val="Calibri"/>
        <family val="2"/>
        <scheme val="minor"/>
      </rPr>
      <t xml:space="preserve"> SF</t>
    </r>
  </si>
  <si>
    <t>400411_2025_12_</t>
  </si>
  <si>
    <r>
      <t xml:space="preserve">AC Tune-up </t>
    </r>
    <r>
      <rPr>
        <sz val="11"/>
        <color rgb="FFFF0000"/>
        <rFont val="Calibri"/>
        <family val="2"/>
        <scheme val="minor"/>
      </rPr>
      <t>+ Refrigerant charge</t>
    </r>
    <r>
      <rPr>
        <sz val="11"/>
        <rFont val="Calibri"/>
        <family val="2"/>
        <scheme val="minor"/>
      </rPr>
      <t xml:space="preserve">  </t>
    </r>
    <r>
      <rPr>
        <strike/>
        <sz val="11"/>
        <color rgb="FFFF0000"/>
        <rFont val="Calibri"/>
        <family val="2"/>
        <scheme val="minor"/>
      </rPr>
      <t>/ Packaged Service</t>
    </r>
    <r>
      <rPr>
        <sz val="11"/>
        <rFont val="Calibri"/>
        <family val="2"/>
        <scheme val="minor"/>
      </rPr>
      <t xml:space="preserve"> MF</t>
    </r>
  </si>
  <si>
    <t>400415_2025_12_</t>
  </si>
  <si>
    <t>AC Tune-up + Refrigerant check MF</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</si>
  <si>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</si>
  <si>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</si>
  <si>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</si>
  <si>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</si>
  <si>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</si>
  <si>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r>
      <t>Capacity</t>
    </r>
    <r>
      <rPr>
        <vertAlign val="subscript"/>
        <sz val="11"/>
        <rFont val="Calibri"/>
        <family val="2"/>
        <scheme val="minor"/>
      </rPr>
      <t>cool</t>
    </r>
  </si>
  <si>
    <t>Average cooling capacity SFIE tune up participants PY2024</t>
  </si>
  <si>
    <t>Average cooling capacity MFIE tune up participants PY2024</t>
  </si>
  <si>
    <t>SEERtest-in</t>
  </si>
  <si>
    <t>Seasonal Energy Efficiency Ratio of existing cooling system before tuning (kBtu/kWh)</t>
  </si>
  <si>
    <t>Refrigerant Charge Adjustment</t>
  </si>
  <si>
    <t>Ameren Missouri Heating and Cooling Program Impact and Process Evaluation: Program Year 2015, page 44</t>
  </si>
  <si>
    <r>
      <t xml:space="preserve">Refrigerant check </t>
    </r>
    <r>
      <rPr>
        <strike/>
        <sz val="11"/>
        <color rgb="FFFF0000"/>
        <rFont val="Calibri"/>
        <family val="2"/>
        <scheme val="minor"/>
      </rPr>
      <t>Packaged Service</t>
    </r>
  </si>
  <si>
    <r>
      <t>SEER</t>
    </r>
    <r>
      <rPr>
        <vertAlign val="subscript"/>
        <sz val="11"/>
        <rFont val="Calibri"/>
        <family val="2"/>
        <scheme val="minor"/>
      </rPr>
      <t>test-out</t>
    </r>
  </si>
  <si>
    <t>Seasonal Energy Efficiency Ratio of existing cooling system after tuning (kBtu/kWh)</t>
  </si>
  <si>
    <r>
      <t xml:space="preserve">AC Tune-up </t>
    </r>
    <r>
      <rPr>
        <sz val="11"/>
        <color rgb="FFFF0000"/>
        <rFont val="Calibri"/>
        <family val="2"/>
        <scheme val="minor"/>
      </rPr>
      <t>+</t>
    </r>
    <r>
      <rPr>
        <sz val="11"/>
        <rFont val="Calibri"/>
        <family val="2"/>
        <scheme val="minor"/>
      </rPr>
      <t xml:space="preserve"> Refrigerant charge</t>
    </r>
  </si>
  <si>
    <t>PY2015 HVAC Evaluation, page 42</t>
  </si>
  <si>
    <t>Calculated based on % improvement for each measure</t>
  </si>
  <si>
    <r>
      <t xml:space="preserve">AC Tune-up + Refrigerant </t>
    </r>
    <r>
      <rPr>
        <sz val="11"/>
        <color rgb="FFFF0000"/>
        <rFont val="Calibri"/>
        <family val="2"/>
        <scheme val="minor"/>
      </rPr>
      <t>check</t>
    </r>
    <r>
      <rPr>
        <strike/>
        <sz val="11"/>
        <color rgb="FFFF0000"/>
        <rFont val="Calibri"/>
        <family val="2"/>
        <scheme val="minor"/>
      </rPr>
      <t xml:space="preserve"> Packaged Service</t>
    </r>
  </si>
  <si>
    <t>Based on 13.6% average improvement from 75 PY2019 MFIE packaged tune-up measures.</t>
  </si>
  <si>
    <t>Convert from Btu to kBtu</t>
  </si>
  <si>
    <t>Btu / kBtu</t>
  </si>
  <si>
    <t>Conversion Factor (Btu/kBtu)</t>
  </si>
  <si>
    <t>Sourced from DEER Database Technology and Measure Cost Data.</t>
  </si>
  <si>
    <r>
      <t>AC Tune-up</t>
    </r>
    <r>
      <rPr>
        <sz val="11"/>
        <color rgb="FFFF0000"/>
        <rFont val="Calibri"/>
        <family val="2"/>
        <scheme val="minor"/>
      </rPr>
      <t xml:space="preserve"> +</t>
    </r>
    <r>
      <rPr>
        <sz val="11"/>
        <rFont val="Calibri"/>
        <family val="2"/>
        <scheme val="minor"/>
      </rPr>
      <t xml:space="preserve"> Refrigerant charge</t>
    </r>
    <r>
      <rPr>
        <strike/>
        <sz val="11"/>
        <color rgb="FFFF0000"/>
        <rFont val="Calibri"/>
        <family val="2"/>
        <scheme val="minor"/>
      </rPr>
      <t xml:space="preserve"> SF</t>
    </r>
  </si>
  <si>
    <t>Based on personal communication with HVAC efficiency program consultant Buck Taylor of Roltay Inc., 6/21/10,</t>
  </si>
  <si>
    <t>secondary source that supports the values:  https://www.hvac.com/expert-advice/ac-tune-up-cost/</t>
  </si>
  <si>
    <r>
      <t xml:space="preserve">AC Tune-up + Refrigerant check </t>
    </r>
    <r>
      <rPr>
        <strike/>
        <sz val="11"/>
        <color rgb="FFFF0000"/>
        <rFont val="Calibri"/>
        <family val="2"/>
        <scheme val="minor"/>
      </rPr>
      <t>/ Packaged Service SF</t>
    </r>
  </si>
  <si>
    <t>Estimate of avearge packaged service tune-up costs provided by implementer using 2014-2016 tune-up data.</t>
  </si>
  <si>
    <t>AC Tune-up / Packaged Service MF</t>
  </si>
  <si>
    <t>Air Sealing</t>
  </si>
  <si>
    <t>Units (sq. ft)</t>
  </si>
  <si>
    <t>400450_2024_12_</t>
  </si>
  <si>
    <t>Air Sealing (Infiltration reduction) - 30% MF IE DI electric furnace base</t>
  </si>
  <si>
    <t>Building Shell RES</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</si>
  <si>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</si>
  <si>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</si>
  <si>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</si>
  <si>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</si>
  <si>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</si>
  <si>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</si>
  <si>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</si>
  <si>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</si>
  <si>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PAYS?SFIE</t>
  </si>
  <si>
    <t>400600_2024_12_</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</si>
  <si>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</si>
  <si>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</si>
  <si>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</si>
  <si>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</si>
  <si>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</si>
  <si>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</si>
  <si>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</si>
  <si>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3.6.1</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</si>
  <si>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</si>
  <si>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</si>
  <si>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</si>
  <si>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</si>
  <si>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</si>
  <si>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</si>
  <si>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</si>
  <si>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</si>
  <si>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</si>
  <si>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</si>
  <si>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</si>
  <si>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</si>
  <si>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MO - TRM</t>
  </si>
  <si>
    <t>Default Therms per sq.ft.</t>
  </si>
  <si>
    <t>Default Therms saved per sq ft</t>
  </si>
  <si>
    <t>MO - TRM, page 167</t>
  </si>
  <si>
    <t>Illinois TRM Version 12.0, page 375</t>
  </si>
  <si>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</si>
  <si>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</si>
  <si>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</si>
  <si>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</si>
  <si>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</si>
  <si>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</si>
  <si>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</si>
  <si>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</si>
  <si>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</si>
  <si>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</si>
  <si>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</si>
  <si>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</si>
  <si>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</si>
  <si>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</si>
  <si>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</si>
  <si>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</si>
  <si>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</si>
  <si>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</si>
  <si>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</si>
  <si>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</si>
  <si>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</si>
  <si>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</si>
  <si>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</si>
  <si>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</si>
  <si>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</si>
  <si>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</si>
  <si>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</si>
  <si>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</si>
  <si>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</si>
  <si>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</si>
  <si>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</si>
  <si>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</si>
  <si>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</si>
  <si>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</si>
  <si>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</si>
  <si>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</si>
  <si>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</si>
  <si>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</si>
  <si>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</si>
  <si>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</si>
  <si>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</si>
  <si>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</si>
  <si>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</si>
  <si>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</si>
  <si>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</si>
  <si>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</si>
  <si>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</si>
  <si>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</si>
  <si>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</si>
  <si>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</si>
  <si>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</si>
  <si>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</si>
  <si>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</si>
  <si>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</si>
  <si>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</si>
  <si>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</si>
  <si>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</si>
  <si>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</si>
  <si>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</si>
  <si>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</si>
  <si>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</si>
  <si>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</si>
  <si>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</si>
  <si>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</si>
  <si>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3.6.2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</si>
  <si>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</si>
  <si>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</si>
  <si>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</si>
  <si>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</si>
  <si>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</si>
  <si>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</si>
  <si>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</si>
  <si>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</si>
  <si>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</si>
  <si>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</si>
  <si>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</si>
  <si>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</si>
  <si>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</si>
  <si>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</si>
  <si>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</si>
  <si>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</si>
  <si>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</si>
  <si>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</si>
  <si>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</si>
  <si>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</si>
  <si>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</si>
  <si>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t>MO - TRM, page 173</t>
  </si>
  <si>
    <t>CDD</t>
  </si>
  <si>
    <t>CDD65</t>
  </si>
  <si>
    <t>DUA</t>
  </si>
  <si>
    <t>Central Air Conditioning in Wisconsin, A Compilation of Recent Field Research, p31</t>
  </si>
  <si>
    <t>%cool</t>
  </si>
  <si>
    <t>MO - TRM, page 10</t>
  </si>
  <si>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</si>
  <si>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</si>
  <si>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</si>
  <si>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</si>
  <si>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</si>
  <si>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</si>
  <si>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</si>
  <si>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</si>
  <si>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</si>
  <si>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</si>
  <si>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</si>
  <si>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</si>
  <si>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</si>
  <si>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</si>
  <si>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</si>
  <si>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</si>
  <si>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</si>
  <si>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</si>
  <si>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</si>
  <si>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3.6.4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</si>
  <si>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</si>
  <si>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</si>
  <si>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</si>
  <si>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</si>
  <si>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</si>
  <si>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</si>
  <si>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</si>
  <si>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</si>
  <si>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</si>
  <si>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</si>
  <si>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</si>
  <si>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</si>
  <si>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</si>
  <si>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</si>
  <si>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</si>
  <si>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</si>
  <si>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rFont val="Calibri"/>
        <family val="2"/>
        <scheme val="minor"/>
      </rPr>
      <t>FloorHeat</t>
    </r>
  </si>
  <si>
    <t>Illinois TRM Version 12.0, page 406</t>
  </si>
  <si>
    <t>CDD75</t>
  </si>
  <si>
    <t xml:space="preserve">Energy Center of Wisconsin, May 2008 </t>
  </si>
  <si>
    <t>Illinois TRM Version 12.0, page 402</t>
  </si>
  <si>
    <t>MFIE/SFIE</t>
  </si>
  <si>
    <t>402250_2024_12_</t>
  </si>
  <si>
    <r>
      <t xml:space="preserve">kWh_heating = %Heating * kWmotor * EFLHheat * EI * Utility Adjustment  * ISR </t>
    </r>
    <r>
      <rPr>
        <sz val="11"/>
        <color rgb="FFFF0000"/>
        <rFont val="Calibri"/>
        <family val="2"/>
        <scheme val="minor"/>
      </rPr>
      <t>* Persistence_long term</t>
    </r>
  </si>
  <si>
    <r>
      <t>kWh_cooling = %AC * kWmotor * EFLHcool * EI * Utility Adjustment * ISR</t>
    </r>
    <r>
      <rPr>
        <sz val="11"/>
        <color rgb="FFFF0000"/>
        <rFont val="Calibri"/>
        <family val="2"/>
        <scheme val="minor"/>
      </rPr>
      <t xml:space="preserve"> * Persistence_long term</t>
    </r>
  </si>
  <si>
    <r>
      <t xml:space="preserve">%Heating </t>
    </r>
    <r>
      <rPr>
        <i/>
        <sz val="11"/>
        <color rgb="FFFF0000"/>
        <rFont val="Calibri"/>
        <family val="2"/>
        <scheme val="minor"/>
      </rPr>
      <t>(% of participants w/ central heating)</t>
    </r>
  </si>
  <si>
    <t>Ameren Missouri Community Savers Evaluation PY2018</t>
  </si>
  <si>
    <t>Ameren Missouri EE Kits Evaluation PY2018, page 41</t>
  </si>
  <si>
    <r>
      <t>EFLH</t>
    </r>
    <r>
      <rPr>
        <i/>
        <vertAlign val="subscript"/>
        <sz val="11"/>
        <color theme="1"/>
        <rFont val="Calibri"/>
        <family val="2"/>
        <scheme val="minor"/>
      </rPr>
      <t>heat</t>
    </r>
  </si>
  <si>
    <t xml:space="preserve">Utility Adjustment </t>
  </si>
  <si>
    <t xml:space="preserve">MO - TRM </t>
  </si>
  <si>
    <r>
      <rPr>
        <strike/>
        <sz val="11"/>
        <color rgb="FFFF0000"/>
        <rFont val="Calibri"/>
        <family val="2"/>
        <scheme val="minor"/>
      </rPr>
      <t>Ameren Missouri Community Savers Evaluation PY2018, page 27</t>
    </r>
    <r>
      <rPr>
        <sz val="11"/>
        <color rgb="FFFF0000"/>
        <rFont val="Calibri"/>
        <family val="2"/>
        <scheme val="minor"/>
      </rPr>
      <t xml:space="preserve"> Ameren Missouri EE Kits PY18 Program Data, page 41</t>
    </r>
  </si>
  <si>
    <r>
      <t>EFLH</t>
    </r>
    <r>
      <rPr>
        <i/>
        <vertAlign val="subscript"/>
        <sz val="11"/>
        <color theme="1"/>
        <rFont val="Calibri"/>
        <family val="2"/>
        <scheme val="minor"/>
      </rPr>
      <t>cool</t>
    </r>
  </si>
  <si>
    <t>CPUC Support Tables: Effective Useful Life and Remaining Useful Life. Air Filter Alarm</t>
  </si>
  <si>
    <t>Duct Insulation</t>
  </si>
  <si>
    <t>kWh
Annual Savings</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</si>
  <si>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</si>
  <si>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</si>
  <si>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</si>
  <si>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</si>
  <si>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</si>
  <si>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</si>
  <si>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</si>
  <si>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</si>
  <si>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</si>
  <si>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</si>
  <si>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</si>
  <si>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3.6.3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</si>
  <si>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</si>
  <si>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</si>
  <si>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</si>
  <si>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</si>
  <si>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</si>
  <si>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</si>
  <si>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</si>
  <si>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</si>
  <si>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</si>
  <si>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</si>
  <si>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</si>
  <si>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</si>
  <si>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</si>
  <si>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</si>
  <si>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</si>
  <si>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</si>
  <si>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</si>
  <si>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</si>
  <si>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</si>
  <si>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</si>
  <si>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</si>
  <si>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</si>
  <si>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MO TRM.  Measure not found in Community Savers EM&amp;V</t>
  </si>
  <si>
    <t>Conversion factor from Btu to kWh</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</si>
  <si>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</si>
  <si>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</si>
  <si>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</si>
  <si>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</si>
  <si>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</si>
  <si>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</si>
  <si>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</si>
  <si>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</si>
  <si>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</si>
  <si>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</si>
  <si>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</si>
  <si>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</si>
  <si>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</si>
  <si>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</si>
  <si>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</si>
  <si>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</si>
  <si>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</si>
  <si>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Matches Community Saves EM&amp;V</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</si>
  <si>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</si>
  <si>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</si>
  <si>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</si>
  <si>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</si>
  <si>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</si>
  <si>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</si>
  <si>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</si>
  <si>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</si>
  <si>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</si>
  <si>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</si>
  <si>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</si>
  <si>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</si>
  <si>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</si>
  <si>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</si>
  <si>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</si>
  <si>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</si>
  <si>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</si>
  <si>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</si>
  <si>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</si>
  <si>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</si>
  <si>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</si>
  <si>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</si>
  <si>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</si>
  <si>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</si>
  <si>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</si>
  <si>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</si>
  <si>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</si>
  <si>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</si>
  <si>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</si>
  <si>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</si>
  <si>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</si>
  <si>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</si>
  <si>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</si>
  <si>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</si>
  <si>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</si>
  <si>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</si>
  <si>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</si>
  <si>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</si>
  <si>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</si>
  <si>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</si>
  <si>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ECM/ Blower Motor</t>
  </si>
  <si>
    <t>Auto kWh</t>
  </si>
  <si>
    <t>Continous kWh</t>
  </si>
  <si>
    <t>402600_2024_12_</t>
  </si>
  <si>
    <t>ECM Auto Fan Early Replacement ER1 (Full Cost) - SF</t>
  </si>
  <si>
    <t>ECM Auto Fan Early Replacement ER2 (Remaining Life) - SF</t>
  </si>
  <si>
    <t>402800_2024_12_</t>
  </si>
  <si>
    <t>ECM Auto Fan Early Replacement ER1 (Full Cost) - MF</t>
  </si>
  <si>
    <t>ECM Auto Fan Early Replacement ER2 (Remaining Life)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</si>
  <si>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</si>
  <si>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</si>
  <si>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</si>
  <si>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</si>
  <si>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</si>
  <si>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 with New ASHP</t>
  </si>
  <si>
    <t>% of furnaces with new ASHP</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</si>
  <si>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</si>
  <si>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</si>
  <si>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</si>
  <si>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</si>
  <si>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</si>
  <si>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400 kWh/yr</t>
  </si>
  <si>
    <t>Wisconsin Heating Savings</t>
  </si>
  <si>
    <t>Ameren Missouri HVAC Evaluation PY17, Page 41</t>
  </si>
  <si>
    <r>
      <t xml:space="preserve">EFLH </t>
    </r>
    <r>
      <rPr>
        <vertAlign val="subscript"/>
        <sz val="11"/>
        <rFont val="Calibri"/>
        <family val="2"/>
        <scheme val="minor"/>
      </rPr>
      <t>heating</t>
    </r>
  </si>
  <si>
    <t>Effective full load heating hours (in St. Louis)</t>
  </si>
  <si>
    <t>Based on Full Load Hour assumptions for StLouis taken from the ENERGY STAR calculator</t>
  </si>
  <si>
    <r>
      <t xml:space="preserve">EFLH </t>
    </r>
    <r>
      <rPr>
        <i/>
        <vertAlign val="subscript"/>
        <sz val="11"/>
        <rFont val="Calibri"/>
        <family val="2"/>
        <scheme val="minor"/>
      </rPr>
      <t>heating</t>
    </r>
  </si>
  <si>
    <r>
      <t xml:space="preserve">WI_EFLH </t>
    </r>
    <r>
      <rPr>
        <vertAlign val="subscript"/>
        <sz val="11"/>
        <rFont val="Calibri"/>
        <family val="2"/>
        <scheme val="minor"/>
      </rPr>
      <t>heating</t>
    </r>
  </si>
  <si>
    <t>Wisconsin effective full load heating hours</t>
  </si>
  <si>
    <t>Ameren Missouri HVAC EM&amp;V PY2018 Report, page 40</t>
  </si>
  <si>
    <r>
      <t xml:space="preserve">WI_EFLH </t>
    </r>
    <r>
      <rPr>
        <i/>
        <vertAlign val="subscript"/>
        <sz val="11"/>
        <rFont val="Calibri"/>
        <family val="2"/>
        <scheme val="minor"/>
      </rPr>
      <t>heating</t>
    </r>
  </si>
  <si>
    <t>% with New Central Cooling</t>
  </si>
  <si>
    <t>% of furnaces with new central cooling</t>
  </si>
  <si>
    <t>Ameren Missouri HVAC Program Evaluation PY2019, page 91</t>
  </si>
  <si>
    <t>70 kWh/yr</t>
  </si>
  <si>
    <t>Wisconsin Cooling Savings</t>
  </si>
  <si>
    <r>
      <t xml:space="preserve">EFLH </t>
    </r>
    <r>
      <rPr>
        <vertAlign val="subscript"/>
        <sz val="11"/>
        <rFont val="Calibri"/>
        <family val="2"/>
        <scheme val="minor"/>
      </rPr>
      <t>cooling</t>
    </r>
  </si>
  <si>
    <t>Effective full load cooling hours (in St. Louis)</t>
  </si>
  <si>
    <t>Ameren Missouri HVAC EM&amp;V PY2017 Page 41</t>
  </si>
  <si>
    <r>
      <t xml:space="preserve">EFLH </t>
    </r>
    <r>
      <rPr>
        <i/>
        <vertAlign val="subscript"/>
        <sz val="11"/>
        <rFont val="Calibri"/>
        <family val="2"/>
        <scheme val="minor"/>
      </rPr>
      <t>cooling</t>
    </r>
  </si>
  <si>
    <r>
      <t xml:space="preserve">WI_EFLH </t>
    </r>
    <r>
      <rPr>
        <vertAlign val="subscript"/>
        <sz val="11"/>
        <rFont val="Calibri"/>
        <family val="2"/>
        <scheme val="minor"/>
      </rPr>
      <t>cooling</t>
    </r>
  </si>
  <si>
    <t>Wisconsin effective full load cooling hours</t>
  </si>
  <si>
    <r>
      <t xml:space="preserve">WI_EFLH </t>
    </r>
    <r>
      <rPr>
        <i/>
        <vertAlign val="subscript"/>
        <sz val="11"/>
        <rFont val="Calibri"/>
        <family val="2"/>
        <scheme val="minor"/>
      </rPr>
      <t>cooling</t>
    </r>
  </si>
  <si>
    <t>25 kWh/yr</t>
  </si>
  <si>
    <t>Cooling Savings - All Systems</t>
  </si>
  <si>
    <t>2960 kWh/yr</t>
  </si>
  <si>
    <t>Wisconsin Circulation Savings</t>
  </si>
  <si>
    <t>RT</t>
  </si>
  <si>
    <t>Percent additional run time factor</t>
  </si>
  <si>
    <t>Auto Fan</t>
  </si>
  <si>
    <t>Ameren Missouri PY2019 Residential Evaluation Appendices, page 39</t>
  </si>
  <si>
    <t>30 kWh/yr</t>
  </si>
  <si>
    <t>Standby Losses</t>
  </si>
  <si>
    <t>Household Factor</t>
  </si>
  <si>
    <t>ECM Auto Fan Early Replacement ER 1 (Full Cost) - SF</t>
  </si>
  <si>
    <t>ECM Auto Fan Early Replacement ER 2 (Remaining Life) - SF</t>
  </si>
  <si>
    <t>ECM Auto Fan Early Replacement ER 1 (Full Cost) - MF</t>
  </si>
  <si>
    <t>ECM Auto Fan Early Replacement ER 2 (Remaining Life) - MF</t>
  </si>
  <si>
    <t>Ameren Missouri HVAC PY2020 Evaluation (Table 28)</t>
  </si>
  <si>
    <t>End of Useful Life</t>
  </si>
  <si>
    <t>Illinois TRM Version 12.0, page 151</t>
  </si>
  <si>
    <t>Heat Pump (HP) Tune-up</t>
  </si>
  <si>
    <t>403311_2025_12</t>
  </si>
  <si>
    <r>
      <t>HP tune-up</t>
    </r>
    <r>
      <rPr>
        <sz val="11"/>
        <color rgb="FFFF0000"/>
        <rFont val="Calibri"/>
        <family val="2"/>
        <scheme val="minor"/>
      </rPr>
      <t xml:space="preserve"> + Refrigerant charge </t>
    </r>
    <r>
      <rPr>
        <strike/>
        <sz val="11"/>
        <color rgb="FFFF0000"/>
        <rFont val="Calibri"/>
        <family val="2"/>
        <scheme val="minor"/>
      </rPr>
      <t>Packaged Service</t>
    </r>
    <r>
      <rPr>
        <sz val="11"/>
        <rFont val="Calibri"/>
        <family val="2"/>
        <scheme val="minor"/>
      </rPr>
      <t xml:space="preserve"> MF</t>
    </r>
  </si>
  <si>
    <r>
      <t xml:space="preserve">HP tune-up </t>
    </r>
    <r>
      <rPr>
        <sz val="11"/>
        <color rgb="FFFF0000"/>
        <rFont val="Calibri"/>
        <family val="2"/>
        <scheme val="minor"/>
      </rPr>
      <t xml:space="preserve">+ Refrigerant charge </t>
    </r>
    <r>
      <rPr>
        <strike/>
        <sz val="11"/>
        <color rgb="FFFF0000"/>
        <rFont val="Calibri"/>
        <family val="2"/>
        <scheme val="minor"/>
      </rPr>
      <t>Packaged Service</t>
    </r>
    <r>
      <rPr>
        <sz val="11"/>
        <rFont val="Calibri"/>
        <family val="2"/>
        <scheme val="minor"/>
      </rPr>
      <t xml:space="preserve"> MF</t>
    </r>
  </si>
  <si>
    <t>403320_2025_12</t>
  </si>
  <si>
    <t>HP tune-up + Refrigerant check MF</t>
  </si>
  <si>
    <t>From Evaluation - Opinion Dynamics review PY2019</t>
  </si>
  <si>
    <r>
      <t>EFLH</t>
    </r>
    <r>
      <rPr>
        <vertAlign val="subscript"/>
        <sz val="11"/>
        <color theme="1"/>
        <rFont val="Calibri"/>
        <family val="2"/>
        <scheme val="minor"/>
      </rPr>
      <t>cool</t>
    </r>
  </si>
  <si>
    <t>Packaged Service</t>
  </si>
  <si>
    <t>Ameren Missouri Heating and Cooling Program Impact and Process Evaluation: Program Year 2015, page 47</t>
  </si>
  <si>
    <r>
      <rPr>
        <strike/>
        <sz val="11"/>
        <color rgb="FFFF0000"/>
        <rFont val="Calibri"/>
        <family val="2"/>
        <scheme val="minor"/>
      </rPr>
      <t xml:space="preserve">Packaged Service </t>
    </r>
    <r>
      <rPr>
        <sz val="11"/>
        <color rgb="FFFF0000"/>
        <rFont val="Calibri"/>
        <family val="2"/>
        <scheme val="minor"/>
      </rPr>
      <t>Tune-up +</t>
    </r>
    <r>
      <rPr>
        <strike/>
        <sz val="11"/>
        <color rgb="FFFF0000"/>
        <rFont val="Calibri"/>
        <family val="2"/>
        <scheme val="minor"/>
      </rPr>
      <t xml:space="preserve"> </t>
    </r>
    <r>
      <rPr>
        <sz val="11"/>
        <color rgb="FFFF0000"/>
        <rFont val="Calibri"/>
        <family val="2"/>
        <scheme val="minor"/>
      </rPr>
      <t>Refrigerant charge adjustment</t>
    </r>
  </si>
  <si>
    <r>
      <rPr>
        <strike/>
        <sz val="11"/>
        <color rgb="FFFF0000"/>
        <rFont val="Calibri"/>
        <family val="2"/>
        <scheme val="minor"/>
      </rPr>
      <t>Based on 13.6% average improvement from 75 PY2019 MFIE packaged tune-up measures</t>
    </r>
    <r>
      <rPr>
        <sz val="11"/>
        <rFont val="Calibri"/>
        <family val="2"/>
        <scheme val="minor"/>
      </rPr>
      <t>. Ameren Missouri PY2015 Evaluation,  page 42, https://www.efis.psc.mo.gov/Document/Display/13806</t>
    </r>
  </si>
  <si>
    <r>
      <t>SEER</t>
    </r>
    <r>
      <rPr>
        <vertAlign val="subscript"/>
        <sz val="11"/>
        <color rgb="FFFF0000"/>
        <rFont val="Calibri"/>
        <family val="2"/>
        <scheme val="minor"/>
      </rPr>
      <t>test-out</t>
    </r>
  </si>
  <si>
    <r>
      <t xml:space="preserve">Tune-up + Refrigerant check </t>
    </r>
    <r>
      <rPr>
        <strike/>
        <sz val="11"/>
        <color rgb="FFFF0000"/>
        <rFont val="Calibri"/>
        <family val="2"/>
        <scheme val="minor"/>
      </rPr>
      <t>Charge Adjustment (RCA)</t>
    </r>
    <r>
      <rPr>
        <sz val="11"/>
        <color rgb="FFFF0000"/>
        <rFont val="Calibri"/>
        <family val="2"/>
        <scheme val="minor"/>
      </rPr>
      <t xml:space="preserve"> </t>
    </r>
  </si>
  <si>
    <r>
      <rPr>
        <strike/>
        <sz val="11"/>
        <color rgb="FFFF0000"/>
        <rFont val="Calibri"/>
        <family val="2"/>
        <scheme val="minor"/>
      </rPr>
      <t xml:space="preserve">Based on 28.4% average improvement from 75 PY2019 MFIE packaged tune-up measures. </t>
    </r>
    <r>
      <rPr>
        <sz val="11"/>
        <color rgb="FFFF0000"/>
        <rFont val="Calibri"/>
        <family val="2"/>
        <scheme val="minor"/>
      </rPr>
      <t>Ameren Missouri PY2015 Evaluation,  page 42, https://www.efis.psc.mo.gov/Document/Display/13806</t>
    </r>
  </si>
  <si>
    <r>
      <t>SEER</t>
    </r>
    <r>
      <rPr>
        <strike/>
        <vertAlign val="subscript"/>
        <sz val="11"/>
        <color rgb="FFFF0000"/>
        <rFont val="Calibri"/>
        <family val="2"/>
        <scheme val="minor"/>
      </rPr>
      <t>test-out</t>
    </r>
  </si>
  <si>
    <t>Tune Up</t>
  </si>
  <si>
    <t>Based on 28.4% average improvement from 75 PY2019 MFIE packaged tune-up measures.</t>
  </si>
  <si>
    <t>Btu / lBtu</t>
  </si>
  <si>
    <r>
      <t>EFLH</t>
    </r>
    <r>
      <rPr>
        <vertAlign val="subscript"/>
        <sz val="11"/>
        <rFont val="Calibri"/>
        <family val="2"/>
        <scheme val="minor"/>
      </rPr>
      <t>heat</t>
    </r>
  </si>
  <si>
    <r>
      <t>EFLH</t>
    </r>
    <r>
      <rPr>
        <vertAlign val="subscript"/>
        <sz val="11"/>
        <color theme="1"/>
        <rFont val="Calibri"/>
        <family val="2"/>
        <scheme val="minor"/>
      </rPr>
      <t>heat</t>
    </r>
  </si>
  <si>
    <t>MFc</t>
  </si>
  <si>
    <r>
      <t>Capacity</t>
    </r>
    <r>
      <rPr>
        <vertAlign val="subscript"/>
        <sz val="1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</si>
  <si>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</si>
  <si>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</si>
  <si>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</si>
  <si>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rFont val="Calibri"/>
        <family val="2"/>
        <scheme val="minor"/>
      </rPr>
      <t>test-out</t>
    </r>
  </si>
  <si>
    <t>Heating System Performance Factor of existing Air Source Heat Pump after tuning (kBtu/kWh)</t>
  </si>
  <si>
    <r>
      <rPr>
        <sz val="11"/>
        <color rgb="FFFF0000"/>
        <rFont val="Calibri"/>
        <family val="2"/>
        <scheme val="minor"/>
      </rPr>
      <t xml:space="preserve">Tune-up + Refrigerant charge adjustment (RCA) </t>
    </r>
    <r>
      <rPr>
        <strike/>
        <sz val="11"/>
        <color rgb="FFFF0000"/>
        <rFont val="Calibri"/>
        <family val="2"/>
        <scheme val="minor"/>
      </rPr>
      <t>Packaged Service</t>
    </r>
  </si>
  <si>
    <r>
      <rPr>
        <strike/>
        <sz val="11"/>
        <color rgb="FFFF0000"/>
        <rFont val="Calibri"/>
        <family val="2"/>
        <scheme val="minor"/>
      </rPr>
      <t>Based on 13.6% average improvement from 75 PY2019 MFIE packaged tune-up measures.</t>
    </r>
    <r>
      <rPr>
        <sz val="11"/>
        <color rgb="FFFF0000"/>
        <rFont val="Calibri"/>
        <family val="2"/>
        <scheme val="minor"/>
      </rPr>
      <t>Ameren Missouri PY2015 Evaluation,  page 42, https://www.efis.psc.mo.gov/Document/Display/13806</t>
    </r>
  </si>
  <si>
    <r>
      <t>HSPF</t>
    </r>
    <r>
      <rPr>
        <vertAlign val="subscript"/>
        <sz val="11"/>
        <color rgb="FFFF0000"/>
        <rFont val="Calibri"/>
        <family val="2"/>
        <scheme val="minor"/>
      </rPr>
      <t>test-out</t>
    </r>
  </si>
  <si>
    <r>
      <t xml:space="preserve">Tune-up + Refrigerant check </t>
    </r>
    <r>
      <rPr>
        <strike/>
        <sz val="11"/>
        <color rgb="FFFF0000"/>
        <rFont val="Calibri"/>
        <family val="2"/>
        <scheme val="minor"/>
      </rPr>
      <t>Charge</t>
    </r>
    <r>
      <rPr>
        <sz val="11"/>
        <color rgb="FFFF0000"/>
        <rFont val="Calibri"/>
        <family val="2"/>
        <scheme val="minor"/>
      </rPr>
      <t xml:space="preserve"> </t>
    </r>
    <r>
      <rPr>
        <strike/>
        <sz val="11"/>
        <color rgb="FFFF0000"/>
        <rFont val="Calibri"/>
        <family val="2"/>
        <scheme val="minor"/>
      </rPr>
      <t xml:space="preserve">Adjustment </t>
    </r>
  </si>
  <si>
    <r>
      <t>HSPF</t>
    </r>
    <r>
      <rPr>
        <strike/>
        <vertAlign val="subscript"/>
        <sz val="11"/>
        <color rgb="FFFF0000"/>
        <rFont val="Calibri"/>
        <family val="2"/>
        <scheme val="minor"/>
      </rPr>
      <t>test-out</t>
    </r>
  </si>
  <si>
    <t>ADM PY24 Evaluation Review</t>
  </si>
  <si>
    <t>EUL Sourced from DEER Database Technology and Measure Cost Data. Per MO TRM</t>
  </si>
  <si>
    <r>
      <t xml:space="preserve">Tune-up + Refrigerant charge </t>
    </r>
    <r>
      <rPr>
        <strike/>
        <sz val="11"/>
        <color rgb="FFFF0000"/>
        <rFont val="Calibri"/>
        <family val="2"/>
        <scheme val="minor"/>
      </rPr>
      <t>Packaged Service</t>
    </r>
  </si>
  <si>
    <t>Tune-up + Refrigerant check</t>
  </si>
  <si>
    <t>Low Flow Faucet Aerators (Bathroom)</t>
  </si>
  <si>
    <t>EPG_electric</t>
  </si>
  <si>
    <t>403400_2024_12_</t>
  </si>
  <si>
    <t>Low Flow Bathroom Faucet Aerator MFIE DI</t>
  </si>
  <si>
    <t>Water heating RES</t>
  </si>
  <si>
    <t>403450_2024_12_</t>
  </si>
  <si>
    <t>Low Flow Bathroom Faucet Aerator SFIE DI</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</si>
  <si>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</si>
  <si>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</si>
  <si>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</si>
  <si>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</si>
  <si>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Parameters</t>
  </si>
  <si>
    <t>%Electric DHW</t>
  </si>
  <si>
    <t>% Homes with Electric Water Heating</t>
  </si>
  <si>
    <t>GPM_base</t>
  </si>
  <si>
    <t>Rated flowrate of the baseline aerator</t>
  </si>
  <si>
    <t>Federal rated maximum flow rate for faucets (10CFR430.32 (p) (DOE 1998).</t>
  </si>
  <si>
    <t>L_base</t>
  </si>
  <si>
    <t>The average length of faucet use per day (min/day)</t>
  </si>
  <si>
    <t>Cadmus PY3 metering study. Cited in Ameren Missouri Low Income and Process Evaluation: program Year 2015. p.23</t>
  </si>
  <si>
    <t>GPM_low</t>
  </si>
  <si>
    <t>Rated flowrate of the low flow aerator</t>
  </si>
  <si>
    <t>PY2016 Program Data, per Community Saves 2016 EM&amp;V report, page 3-8</t>
  </si>
  <si>
    <t>L_low</t>
  </si>
  <si>
    <t>The number of people in the home (ppl/household)</t>
  </si>
  <si>
    <t>PY6 program data (not reported in PY2016).  Ameren Missouri Low Income and Process Evaluation: program Year 2015. p.23</t>
  </si>
  <si>
    <t>DF</t>
  </si>
  <si>
    <t xml:space="preserve">Drain Factor </t>
  </si>
  <si>
    <t>The number of days per year (day/yr)</t>
  </si>
  <si>
    <t>Conversion Factor (day/yr)</t>
  </si>
  <si>
    <t>FPH</t>
  </si>
  <si>
    <t>The number of faucets installed per home</t>
  </si>
  <si>
    <t>Ameren Missouri Community Savers Evaluation PY2018, page 23</t>
  </si>
  <si>
    <t>The water density (lb/gal)</t>
  </si>
  <si>
    <t>Density (lb/gal)</t>
  </si>
  <si>
    <t>The specific water heat (Btu/lb degrees F)</t>
  </si>
  <si>
    <t>Specific Heat of Water (Btu/lb-°F)</t>
  </si>
  <si>
    <t>WaterTemp</t>
  </si>
  <si>
    <t>The average water temperature out of the faucet (°F)</t>
  </si>
  <si>
    <t>Cadmus and Opinion Dynamics Showerhead and Faucet Aerator Meter Study Memorandum, dated June 2013, directed to Michigan Evaluation Working Group</t>
  </si>
  <si>
    <t>SupplyTemp</t>
  </si>
  <si>
    <t>The average inlet water temperature (°F)</t>
  </si>
  <si>
    <t>RE_electric</t>
  </si>
  <si>
    <t>Recovery efficiency of the electric hot water heater</t>
  </si>
  <si>
    <t>Cadmus PY3 site visits.  Cited in Ameren Missouri Low Income and Process Evaluation: program Year 2015. p.20</t>
  </si>
  <si>
    <t>DI</t>
  </si>
  <si>
    <t>ComEd Effective Useful Life Research Report, Navigant, May 14, 2018, page 20</t>
  </si>
  <si>
    <t>market research average of $3 and assess and install cost of $8.33</t>
  </si>
  <si>
    <t>Low Flow Faucet Aerators (Kitchen)</t>
  </si>
  <si>
    <t>403480_2024_12_</t>
  </si>
  <si>
    <t>Low Flow Kitchen Faucet Aerator MFIE DI</t>
  </si>
  <si>
    <t>403481_2024_12_</t>
  </si>
  <si>
    <t>Low Flow Kitchen Faucet Aerator SFIE DI</t>
  </si>
  <si>
    <t>Ameren Missouri EE Kits PY2018 Program Data, page 34</t>
  </si>
  <si>
    <t>Cadmus and Opinion Dynamics Showerhead and Faucet Aerator Meter Study Memorandum, dated June 2013</t>
  </si>
  <si>
    <t>Estimated Useful Life</t>
  </si>
  <si>
    <t>MO TRM, page 48</t>
  </si>
  <si>
    <t xml:space="preserve">Low Flow Showerheads </t>
  </si>
  <si>
    <t>403550_2024_12_</t>
  </si>
  <si>
    <t>Low Flow Showerhead MFIE DI</t>
  </si>
  <si>
    <t>403551_2024_12_</t>
  </si>
  <si>
    <t>Low Flow Handheld Showerhead MFIE DI</t>
  </si>
  <si>
    <t>403600_2024_12_</t>
  </si>
  <si>
    <t>Low Flow Showerhead SFIE DI</t>
  </si>
  <si>
    <t>403601_2024_12_</t>
  </si>
  <si>
    <t>Low Flow Handheld Showerhead SFIE DI</t>
  </si>
  <si>
    <t>3.3.2</t>
  </si>
  <si>
    <t>ΔkWh = %ElectricDHW  * ((GPMbase  * Lbase  - GPMlow  * Llow) * Household * SPCD * 365.25 / SPH) * EPG_electric * ISR</t>
  </si>
  <si>
    <t>EPG_electric = (8.33 * 1.0 * (ShowerTemp - SupplyTemp)) / (RE_electric * 3412)</t>
  </si>
  <si>
    <t>ΔTherms = %GasDHW  * ((GPMbase  * Lbase  - GPMlow  * Llow) * Household * SPCD * 365.25 / SPH) * EPG_gas * ISR</t>
  </si>
  <si>
    <t>Rated flowrate of the baseline showerhead</t>
  </si>
  <si>
    <t xml:space="preserve">Ameren Missouri Community Savers Evaluation PY2018 </t>
  </si>
  <si>
    <t>Matches Community Savers EM&amp;V</t>
  </si>
  <si>
    <t>The average shower length (min/shower)</t>
  </si>
  <si>
    <t>DeOreo, William, P. Mayer, L. Martien, M. Hayden, A. Funk, M. Kramer-Duffield, and R. Davis (2011). “California SingleFamily
Water Use Efficiency Study.” </t>
  </si>
  <si>
    <t>Rated flowrate of the low flow showerhead</t>
  </si>
  <si>
    <t xml:space="preserve">DeOreo, William, P. Mayer, L. Martien, M. Hayden, A. Funk, M. Kramer-Duffield, and R. Davis (2011). “California SingleFamily
Water Use Efficiency Study.” </t>
  </si>
  <si>
    <t>The number of people taking showers (ppl/household)</t>
  </si>
  <si>
    <t>Ameren Missouri Efficient Products Impact and Process Evaluation: Planning Year 2015, page 38</t>
  </si>
  <si>
    <t>Ameren Missouri Community Savers Evaluation PY2018, page 39</t>
  </si>
  <si>
    <t>SPDC</t>
  </si>
  <si>
    <t>The number of showers taken per person, per day</t>
  </si>
  <si>
    <t xml:space="preserve"> The number of days per year (day/yr)</t>
  </si>
  <si>
    <t>SPH</t>
  </si>
  <si>
    <t>The number of showerheads installed per home</t>
  </si>
  <si>
    <t>Ameren Missouri Community Savers Evaluation: PY2017, page 22</t>
  </si>
  <si>
    <t xml:space="preserve"> The specific water heat (BTU/lb-°F)</t>
  </si>
  <si>
    <t>ShowerTemp</t>
  </si>
  <si>
    <t>The average water temperature at the showerhead (°F)</t>
  </si>
  <si>
    <t>Ameren Missouri Efficient Kits Evaluation: PY2018, page 32</t>
  </si>
  <si>
    <t>DI (Single Family)</t>
  </si>
  <si>
    <t>Ameren Missouri Single Family Low Income Impact and Process Evaluation: PY2019 (Table 10-10)</t>
  </si>
  <si>
    <t>DI (Multifamily)</t>
  </si>
  <si>
    <t>Ameren Missouri Community Savers Evaluation PY2018 Tenant Surveys and Site Visits, page 22</t>
  </si>
  <si>
    <t>Table C-6, “Measure Life Report, Residential and Commercial/Industrial Lighting and HVAC Measures,” GDS Associates, June 2007</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</si>
  <si>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</si>
  <si>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</si>
  <si>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</si>
  <si>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</si>
  <si>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</si>
  <si>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Pipe Insulation</t>
  </si>
  <si>
    <t>403700_2019_12_</t>
  </si>
  <si>
    <t>Pipe Insulation MFIE DI</t>
  </si>
  <si>
    <t>per foot</t>
  </si>
  <si>
    <t>403750_2019_12_</t>
  </si>
  <si>
    <t>Pipe Insulation SFIE DI</t>
  </si>
  <si>
    <t>3.3.4</t>
  </si>
  <si>
    <t>∆kWh = %ElectricDHW * ((CBase/RBase – CEE/R_EE) * L * ∆T * Hours)/(ηDHWElec * 3,412) * ISR</t>
  </si>
  <si>
    <t xml:space="preserve">∆Therms = (1 - %ElectricDHW) * ((CBase/RBase – CEE/R_EE) * L * ∆T * Hours)/(ηDHWGas * 100,000) </t>
  </si>
  <si>
    <r>
      <t>C</t>
    </r>
    <r>
      <rPr>
        <vertAlign val="subscript"/>
        <sz val="11"/>
        <rFont val="Calibri"/>
        <family val="2"/>
        <scheme val="minor"/>
      </rPr>
      <t>Base</t>
    </r>
  </si>
  <si>
    <t>Circumference (feet) of uninsulated pipe (.75" diameter)</t>
  </si>
  <si>
    <r>
      <t>R</t>
    </r>
    <r>
      <rPr>
        <vertAlign val="subscript"/>
        <sz val="11"/>
        <rFont val="Calibri"/>
        <family val="2"/>
        <scheme val="minor"/>
      </rPr>
      <t>Base</t>
    </r>
  </si>
  <si>
    <t>Thermal resistance coefficient (hr-°F-ft2)/Btu) of uninsulated pipe</t>
  </si>
  <si>
    <t>Measures and Assumptions for Demand Side Management (DSM) Planning; Appendix C Substantiation Sheets,” Navigant, April 2009</t>
  </si>
  <si>
    <r>
      <t>C</t>
    </r>
    <r>
      <rPr>
        <vertAlign val="subscript"/>
        <sz val="11"/>
        <rFont val="Calibri"/>
        <family val="2"/>
        <scheme val="minor"/>
      </rPr>
      <t>EE</t>
    </r>
  </si>
  <si>
    <t>Circumference (ft) of insulated pipe = diameter (in) * π/12</t>
  </si>
  <si>
    <r>
      <t>R</t>
    </r>
    <r>
      <rPr>
        <vertAlign val="subscript"/>
        <sz val="11"/>
        <rFont val="Calibri"/>
        <family val="2"/>
        <scheme val="minor"/>
      </rPr>
      <t>EE</t>
    </r>
  </si>
  <si>
    <t>Thermal resistance coefficient (hr-°F-ft2)/Btu) of insulated pipe</t>
  </si>
  <si>
    <t>PY2015 Low Income Evaluation, page 24</t>
  </si>
  <si>
    <t>L</t>
  </si>
  <si>
    <t>Length of pipe from water heating source covered by pipe wrap (ft)</t>
  </si>
  <si>
    <t>Per installed foot</t>
  </si>
  <si>
    <t>DT</t>
  </si>
  <si>
    <t>Average temperature difference between supplied hot water and outside air temperatures (°F)</t>
  </si>
  <si>
    <t>Hours per year</t>
  </si>
  <si>
    <r>
      <t>ȠDHW</t>
    </r>
    <r>
      <rPr>
        <vertAlign val="subscript"/>
        <sz val="11"/>
        <rFont val="Calibri"/>
        <family val="2"/>
        <scheme val="minor"/>
      </rPr>
      <t>Elec</t>
    </r>
  </si>
  <si>
    <t>Recovery Efficiency of electric hot water heater</t>
  </si>
  <si>
    <t>Cited in Ameren Missouri Low Income and Process Evaluation: program Year 2015. p.24</t>
  </si>
  <si>
    <t>Division of Energy. State of Missouri Technical Reference Manual. pp 71. 2017. energy.mo.gov/about/trm</t>
  </si>
  <si>
    <t>*Electric Saturation</t>
  </si>
  <si>
    <t>Ameren Missouri Community Savers Evaluation PY2018 Site Visits, page 24</t>
  </si>
  <si>
    <t>Pipe Diameter</t>
  </si>
  <si>
    <t>Diameter of uninsulated pipe, weighted average of  1/2" and 3/4"</t>
  </si>
  <si>
    <t>weighted average of 80% 0.50-inch diameter pipe and 20% 0.75-inch diameter pipe</t>
  </si>
  <si>
    <t>Pipe wrap width</t>
  </si>
  <si>
    <t>Effective Useful Life (All)</t>
  </si>
  <si>
    <t>2014 Database for Energy-Efficiency Resources (DEER)</t>
  </si>
  <si>
    <t>Incremental Cost - Direct Install (DI)</t>
  </si>
  <si>
    <t>Actual SFIE program cost (set rate established with installing contractor).</t>
  </si>
  <si>
    <r>
      <rPr>
        <sz val="11"/>
        <color rgb="FFFF0000"/>
        <rFont val="Calibri"/>
        <family val="2"/>
        <scheme val="minor"/>
      </rPr>
      <t xml:space="preserve">Standard </t>
    </r>
    <r>
      <rPr>
        <sz val="11"/>
        <rFont val="Calibri"/>
        <family val="2"/>
        <scheme val="minor"/>
      </rPr>
      <t>Programmable Thermostat</t>
    </r>
  </si>
  <si>
    <t xml:space="preserve">*MFLIc = Multifamily Low Income Comprehensive Envelope,  CompE = Comprehensive Envelope </t>
  </si>
  <si>
    <t>403800_2019_12_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</si>
  <si>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xml:space="preserve">- full setback </t>
    </r>
    <r>
      <rPr>
        <sz val="11"/>
        <rFont val="Calibri"/>
        <family val="2"/>
        <scheme val="minor"/>
      </rPr>
      <t>- ASHP heating/cooling MF</t>
    </r>
  </si>
  <si>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ASHP heating/cooling MF</t>
    </r>
  </si>
  <si>
    <t>403850_2024_12_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</si>
  <si>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ASHP heating/cooling SF</t>
    </r>
  </si>
  <si>
    <t>403900_2019_12_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</si>
  <si>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elec furnace heating / central AC MF</t>
    </r>
  </si>
  <si>
    <t>403950_2024_12_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</si>
  <si>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elec furnace heating / central AC SF</t>
    </r>
  </si>
  <si>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xml:space="preserve">- full setback </t>
    </r>
    <r>
      <rPr>
        <sz val="11"/>
        <rFont val="Calibri"/>
        <family val="2"/>
        <scheme val="minor"/>
      </rPr>
      <t>- elec furnace heating / central AC SF</t>
    </r>
  </si>
  <si>
    <t>404000_2024_12_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</si>
  <si>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gas heating / central AC MF</t>
    </r>
  </si>
  <si>
    <r>
      <t>S</t>
    </r>
    <r>
      <rPr>
        <sz val="11"/>
        <color rgb="FFFF0000"/>
        <rFont val="Calibri"/>
        <family val="2"/>
        <scheme val="minor"/>
      </rPr>
      <t>tandard Programmabl</t>
    </r>
    <r>
      <rPr>
        <sz val="11"/>
        <rFont val="Calibri"/>
        <family val="2"/>
        <scheme val="minor"/>
      </rPr>
      <t>e</t>
    </r>
    <r>
      <rPr>
        <strike/>
        <sz val="11"/>
        <color rgb="FFFF0000"/>
        <rFont val="Calibri"/>
        <family val="2"/>
        <scheme val="minor"/>
      </rPr>
      <t>etback</t>
    </r>
    <r>
      <rPr>
        <sz val="11"/>
        <rFont val="Calibri"/>
        <family val="2"/>
        <scheme val="minor"/>
      </rPr>
      <t xml:space="preserve"> thermostat </t>
    </r>
    <r>
      <rPr>
        <strike/>
        <sz val="11"/>
        <color rgb="FFFF0000"/>
        <rFont val="Calibri"/>
        <family val="2"/>
        <scheme val="minor"/>
      </rPr>
      <t>- full setback</t>
    </r>
    <r>
      <rPr>
        <sz val="11"/>
        <rFont val="Calibri"/>
        <family val="2"/>
        <scheme val="minor"/>
      </rPr>
      <t xml:space="preserve"> - gas heating / central AC MF</t>
    </r>
  </si>
  <si>
    <t>404050_2019_12_</t>
  </si>
  <si>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for SF </t>
    </r>
    <r>
      <rPr>
        <strike/>
        <sz val="11"/>
        <color rgb="FFFF0000"/>
        <rFont val="Calibri"/>
        <family val="2"/>
        <scheme val="minor"/>
      </rPr>
      <t>- full setback</t>
    </r>
    <r>
      <rPr>
        <sz val="11"/>
        <rFont val="Calibri"/>
        <family val="2"/>
        <scheme val="minor"/>
      </rPr>
      <t xml:space="preserve"> - gas heating / central AC </t>
    </r>
  </si>
  <si>
    <r>
      <t>S</t>
    </r>
    <r>
      <rPr>
        <sz val="11"/>
        <color rgb="FFFF0000"/>
        <rFont val="Calibri"/>
        <family val="2"/>
        <scheme val="minor"/>
      </rPr>
      <t>tandard Programmable</t>
    </r>
    <r>
      <rPr>
        <strike/>
        <sz val="11"/>
        <color rgb="FFFF0000"/>
        <rFont val="Calibri"/>
        <family val="2"/>
        <scheme val="minor"/>
      </rPr>
      <t>etback</t>
    </r>
    <r>
      <rPr>
        <sz val="11"/>
        <rFont val="Calibri"/>
        <family val="2"/>
        <scheme val="minor"/>
      </rPr>
      <t xml:space="preserve"> thermostat for SF - full setback - gas heating / central AC </t>
    </r>
  </si>
  <si>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</si>
  <si>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</si>
  <si>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</si>
  <si>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</si>
  <si>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</si>
  <si>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</si>
  <si>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</si>
  <si>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</si>
  <si>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</si>
  <si>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</si>
  <si>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</si>
  <si>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</si>
  <si>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 page 26</t>
  </si>
  <si>
    <r>
      <t>EF</t>
    </r>
    <r>
      <rPr>
        <vertAlign val="subscript"/>
        <sz val="11"/>
        <rFont val="Calibri"/>
        <family val="2"/>
        <scheme val="minor"/>
      </rPr>
      <t>cooling</t>
    </r>
  </si>
  <si>
    <t>Ameren Missouri Community Savers Evaluation PY2018 Program Data, page 26</t>
  </si>
  <si>
    <t>Evaluation recommendation PY2019</t>
  </si>
  <si>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</si>
  <si>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</si>
  <si>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</si>
  <si>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</si>
  <si>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</si>
  <si>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</si>
  <si>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</si>
  <si>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</si>
  <si>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</si>
  <si>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</si>
  <si>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</si>
  <si>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In-service rate</t>
  </si>
  <si>
    <t>Assumption</t>
  </si>
  <si>
    <t>MO - TRM, page 108</t>
  </si>
  <si>
    <t>No common area measures in PY18</t>
  </si>
  <si>
    <r>
      <t>Lighting</t>
    </r>
    <r>
      <rPr>
        <sz val="11"/>
        <color rgb="FFFF0000"/>
        <rFont val="Calibri"/>
        <family val="2"/>
        <scheme val="minor"/>
      </rPr>
      <t>LED bulbs</t>
    </r>
  </si>
  <si>
    <t>** CFL baseline is Post 2021, EISA baseline is pre-2021 **</t>
  </si>
  <si>
    <t>End Use - RES</t>
  </si>
  <si>
    <t>kW Factor - RES</t>
  </si>
  <si>
    <t>End Use - BUS</t>
  </si>
  <si>
    <t>kW Factor - BUS</t>
  </si>
  <si>
    <t>kWh RES</t>
  </si>
  <si>
    <t>kWh BUS</t>
  </si>
  <si>
    <t>EUL - RES</t>
  </si>
  <si>
    <t>EUL - BUS**</t>
  </si>
  <si>
    <t>PAYS/SFIE / MFIE</t>
  </si>
  <si>
    <t>404450_2024_12_</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</si>
  <si>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</si>
  <si>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</si>
  <si>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</si>
  <si>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</si>
  <si>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</si>
  <si>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</si>
  <si>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</si>
  <si>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</si>
  <si>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</si>
  <si>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</si>
  <si>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</si>
  <si>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</si>
  <si>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</si>
  <si>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</si>
  <si>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</si>
  <si>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</si>
  <si>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</si>
  <si>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</si>
  <si>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</si>
  <si>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</si>
  <si>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</si>
  <si>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</si>
  <si>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3.5.1 - 3.5.3</t>
  </si>
  <si>
    <t>Watt Base</t>
  </si>
  <si>
    <t>3.5.2 Reflector lamp types with medium screw bases (PAR20, PAR30(S,L), PAR38, R40, etc.) w/ diameter &gt;2.25 (650-899 lumens)</t>
  </si>
  <si>
    <t>3.5.2 Omni-Directional 3-Way, 1100-1999 lumens.</t>
  </si>
  <si>
    <t>3.5.2 BR30, BR40, or ER40, 950-1099 lumens</t>
  </si>
  <si>
    <t>3.5.2 Reflector lamp types with medium screw bases (PAR20, PAR30(S,L), PAR38, R40, etc.), 1200-1499 lumens, 15.9</t>
  </si>
  <si>
    <t>3.5.2 Reflector lamp types with medium screw bases (PAR20, PAR30(S,L), PAR38, R40, etc.), 1500-1999 lumens, 18.9W</t>
  </si>
  <si>
    <t>3.5.2 Decorative (Shapes B, BA, C, CA, DC, F, G, candelabra bases less than 1050 lumens) (320-499 lumens)</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</si>
  <si>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</si>
  <si>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</si>
  <si>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</si>
  <si>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</si>
  <si>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</si>
  <si>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</si>
  <si>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</si>
  <si>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</si>
  <si>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</si>
  <si>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</si>
  <si>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HOU_Res</t>
  </si>
  <si>
    <t>Ameren Missouri Community Savers Evaluation PY2018 workpapers- Weighted Avg. HOU from ADM workpapers</t>
  </si>
  <si>
    <t>Nightlight</t>
  </si>
  <si>
    <t>IL TRM V9.0, section 5.5.11</t>
  </si>
  <si>
    <t>WHF_Res</t>
  </si>
  <si>
    <t>Res  energy</t>
  </si>
  <si>
    <t>PY 14 Eval</t>
  </si>
  <si>
    <t>HOU_NRES</t>
  </si>
  <si>
    <t>WHF_Nres</t>
  </si>
  <si>
    <t>Ameren Missouri Community Savers Evaluation PY2018 workpapers- Weighted Avg. calculated from ADM workpapers</t>
  </si>
  <si>
    <t>%Res</t>
  </si>
  <si>
    <t>PY16 Intercept Survey</t>
  </si>
  <si>
    <t>KW Factor_RES</t>
  </si>
  <si>
    <t>Ameren EE Plan PY16-PY18, Appendix E</t>
  </si>
  <si>
    <t>KW Factor _ BUS</t>
  </si>
  <si>
    <t>Hours24/7</t>
  </si>
  <si>
    <t>24/7 hours</t>
  </si>
  <si>
    <t>24*365</t>
  </si>
  <si>
    <t>Hours12/7</t>
  </si>
  <si>
    <t>12/7 hours</t>
  </si>
  <si>
    <t>12*365</t>
  </si>
  <si>
    <t>Effective Useful Life - Residential</t>
  </si>
  <si>
    <t>Illinois TRM Version 12.0,  page 311</t>
  </si>
  <si>
    <t>Effective Useful Life - Nightlights</t>
  </si>
  <si>
    <t>Southern California Edison Company, “LED, Electroluminescent &amp; Fluorescent Night Lights”, Work Paper WPSCRELG0029 Rev. 1, February 2009, p. 2. and p.3.</t>
  </si>
  <si>
    <t>Effective Useful Life - Business</t>
  </si>
  <si>
    <t>Illinois TRM Version 12.0, page 311</t>
  </si>
  <si>
    <t>Illinois TRM Version 12.0, page 329</t>
  </si>
  <si>
    <t>Average cost data provided in Stanley Mertz, “LED Nightlights Energy Efficiency Retail products programs”, March 2018</t>
  </si>
  <si>
    <r>
      <t xml:space="preserve">Advanced </t>
    </r>
    <r>
      <rPr>
        <sz val="11"/>
        <color rgb="FFFF0000"/>
        <rFont val="Calibri"/>
        <family val="2"/>
        <scheme val="minor"/>
      </rPr>
      <t xml:space="preserve">Tier 2 </t>
    </r>
    <r>
      <rPr>
        <sz val="11"/>
        <rFont val="Calibri"/>
        <family val="2"/>
        <scheme val="minor"/>
      </rPr>
      <t>Power Strips</t>
    </r>
    <r>
      <rPr>
        <strike/>
        <sz val="11"/>
        <color rgb="FFFF0000"/>
        <rFont val="Calibri"/>
        <family val="2"/>
        <scheme val="minor"/>
      </rPr>
      <t xml:space="preserve"> Tier 2</t>
    </r>
  </si>
  <si>
    <t>405750_2024_12_</t>
  </si>
  <si>
    <t>Advanced Tier 2 Power Strips: Infrared ,TOS/NC</t>
  </si>
  <si>
    <t>Miscellaneous RES</t>
  </si>
  <si>
    <t>405751_2024_12_</t>
  </si>
  <si>
    <t>Advanced Tier 2 Power Strips: Infrared DI</t>
  </si>
  <si>
    <t>3.2.2</t>
  </si>
  <si>
    <t>*The actual full installation cost of the Tier 2 AV APS (including equipment and labor) should be used.</t>
  </si>
  <si>
    <t>ΔkWh	=  ERP * BaselineEnergyAV * ISR</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</si>
  <si>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</si>
  <si>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</si>
  <si>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</si>
  <si>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</si>
  <si>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</si>
  <si>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</si>
  <si>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</si>
  <si>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 service rate</t>
  </si>
  <si>
    <t>Ameren Missouri Single Family Income Eligible Evaluation PY2019 (Table 10-10)</t>
  </si>
  <si>
    <t>KWh</t>
  </si>
  <si>
    <t>“Advanced Power Strip Research Report,” NYSERDA, August 2011</t>
  </si>
  <si>
    <t>Actual for SF Income Eligible program.</t>
  </si>
  <si>
    <t>Refrigerator</t>
  </si>
  <si>
    <t>SFIE / MFIE</t>
  </si>
  <si>
    <t>405800_2024_12_</t>
  </si>
  <si>
    <t>Refrigerator - early replacement ER1</t>
  </si>
  <si>
    <t>Refrigeration RES</t>
  </si>
  <si>
    <t>Refrigerator - early replacement ER2</t>
  </si>
  <si>
    <t>Refrigeration RES ER2</t>
  </si>
  <si>
    <t>405825_2024_12_</t>
  </si>
  <si>
    <t>Refrigerator - Pre 1993 - ER1</t>
  </si>
  <si>
    <t>Refrigerator - Pre 1993 - ER2</t>
  </si>
  <si>
    <t>3.1.1</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</si>
  <si>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</si>
  <si>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</si>
  <si>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rFont val="Calibri"/>
        <family val="2"/>
        <scheme val="minor"/>
      </rPr>
      <t>Exist</t>
    </r>
  </si>
  <si>
    <t>Existing kWh Consumption</t>
  </si>
  <si>
    <t>Baseline Refrigerator Usage</t>
  </si>
  <si>
    <t>Existing kWh Consumption - Pre 1993</t>
  </si>
  <si>
    <r>
      <t>kWh</t>
    </r>
    <r>
      <rPr>
        <vertAlign val="subscript"/>
        <sz val="11"/>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</si>
  <si>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</si>
  <si>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</si>
  <si>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</si>
  <si>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</si>
  <si>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</si>
  <si>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</si>
  <si>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ee</t>
    </r>
  </si>
  <si>
    <t>Efficient kWh Consumption</t>
  </si>
  <si>
    <t>16 cubic ft.</t>
  </si>
  <si>
    <t>14 cubic ft.</t>
  </si>
  <si>
    <t>15 cubic ft.</t>
  </si>
  <si>
    <t>17 cubic ft.</t>
  </si>
  <si>
    <t>18 cubic ft.</t>
  </si>
  <si>
    <t>% Savings</t>
  </si>
  <si>
    <t>Savings factor for ENERGY STAR and CEE Tier 1 refrigerators</t>
  </si>
  <si>
    <t>MO TRM, page 31</t>
  </si>
  <si>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</si>
  <si>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</si>
  <si>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</si>
  <si>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</si>
  <si>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</si>
  <si>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</si>
  <si>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</si>
  <si>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</si>
  <si>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</si>
  <si>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</si>
  <si>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</si>
  <si>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</si>
  <si>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</si>
  <si>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</si>
  <si>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</si>
  <si>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</si>
  <si>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</si>
  <si>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</si>
  <si>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</si>
  <si>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</si>
  <si>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t>Estimate</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</si>
  <si>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</si>
  <si>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</si>
  <si>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</si>
  <si>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</si>
  <si>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</si>
  <si>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</si>
  <si>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</si>
  <si>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</si>
  <si>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</si>
  <si>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</si>
  <si>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</si>
  <si>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</si>
  <si>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</si>
  <si>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r>
      <rPr>
        <strike/>
        <sz val="11"/>
        <color rgb="FFFF0000"/>
        <rFont val="Calibri"/>
        <family val="2"/>
        <scheme val="minor"/>
      </rPr>
      <t xml:space="preserve">Energy Star </t>
    </r>
    <r>
      <rPr>
        <sz val="11"/>
        <rFont val="Calibri"/>
        <family val="2"/>
        <scheme val="minor"/>
      </rPr>
      <t>Room A</t>
    </r>
    <r>
      <rPr>
        <sz val="11"/>
        <color rgb="FFFF0000"/>
        <rFont val="Calibri"/>
        <family val="2"/>
        <scheme val="minor"/>
      </rPr>
      <t xml:space="preserve">ir </t>
    </r>
    <r>
      <rPr>
        <sz val="11"/>
        <rFont val="Calibri"/>
        <family val="2"/>
        <scheme val="minor"/>
      </rPr>
      <t>C</t>
    </r>
    <r>
      <rPr>
        <sz val="11"/>
        <color rgb="FFFF0000"/>
        <rFont val="Calibri"/>
        <family val="2"/>
        <scheme val="minor"/>
      </rPr>
      <t>onditioner</t>
    </r>
  </si>
  <si>
    <t>406000_2024_12_</t>
  </si>
  <si>
    <r>
      <rPr>
        <sz val="11"/>
        <color rgb="FFFF0000"/>
        <rFont val="Calibri"/>
        <family val="2"/>
        <scheme val="minor"/>
      </rPr>
      <t>Room</t>
    </r>
    <r>
      <rPr>
        <sz val="11"/>
        <rFont val="Calibri"/>
        <family val="2"/>
        <scheme val="minor"/>
      </rPr>
      <t xml:space="preserve"> A</t>
    </r>
    <r>
      <rPr>
        <sz val="11"/>
        <color rgb="FFFF0000"/>
        <rFont val="Calibri"/>
        <family val="2"/>
        <scheme val="minor"/>
      </rPr>
      <t xml:space="preserve">ir </t>
    </r>
    <r>
      <rPr>
        <sz val="11"/>
        <rFont val="Calibri"/>
        <family val="2"/>
        <scheme val="minor"/>
      </rPr>
      <t>C</t>
    </r>
    <r>
      <rPr>
        <sz val="11"/>
        <color rgb="FFFF0000"/>
        <rFont val="Calibri"/>
        <family val="2"/>
        <scheme val="minor"/>
      </rPr>
      <t>onditioner</t>
    </r>
    <r>
      <rPr>
        <sz val="11"/>
        <rFont val="Calibri"/>
        <family val="2"/>
        <scheme val="minor"/>
      </rPr>
      <t xml:space="preserve"> - Energy Star</t>
    </r>
    <r>
      <rPr>
        <strike/>
        <sz val="11"/>
        <color rgb="FFFF0000"/>
        <rFont val="Calibri"/>
        <family val="2"/>
        <scheme val="minor"/>
      </rPr>
      <t xml:space="preserve"> Room </t>
    </r>
    <r>
      <rPr>
        <sz val="11"/>
        <rFont val="Calibri"/>
        <family val="2"/>
        <scheme val="minor"/>
      </rPr>
      <t>_unknown size_SF</t>
    </r>
  </si>
  <si>
    <t>406004_2024_12_</t>
  </si>
  <si>
    <r>
      <rPr>
        <sz val="11"/>
        <color rgb="FFFF0000"/>
        <rFont val="Calibri"/>
        <family val="2"/>
        <scheme val="minor"/>
      </rPr>
      <t xml:space="preserve">Room </t>
    </r>
    <r>
      <rPr>
        <sz val="11"/>
        <rFont val="Calibri"/>
        <family val="2"/>
        <scheme val="minor"/>
      </rPr>
      <t>A</t>
    </r>
    <r>
      <rPr>
        <sz val="11"/>
        <color rgb="FFFF0000"/>
        <rFont val="Calibri"/>
        <family val="2"/>
        <scheme val="minor"/>
      </rPr>
      <t xml:space="preserve">ir </t>
    </r>
    <r>
      <rPr>
        <sz val="11"/>
        <rFont val="Calibri"/>
        <family val="2"/>
        <scheme val="minor"/>
      </rPr>
      <t>C</t>
    </r>
    <r>
      <rPr>
        <sz val="11"/>
        <color rgb="FFFF0000"/>
        <rFont val="Calibri"/>
        <family val="2"/>
        <scheme val="minor"/>
      </rPr>
      <t>onditioner</t>
    </r>
    <r>
      <rPr>
        <sz val="11"/>
        <rFont val="Calibri"/>
        <family val="2"/>
        <scheme val="minor"/>
      </rPr>
      <t xml:space="preserve"> - Energy Star </t>
    </r>
    <r>
      <rPr>
        <strike/>
        <sz val="11"/>
        <color rgb="FFFF0000"/>
        <rFont val="Calibri"/>
        <family val="2"/>
        <scheme val="minor"/>
      </rPr>
      <t>Room</t>
    </r>
    <r>
      <rPr>
        <sz val="11"/>
        <rFont val="Calibri"/>
        <family val="2"/>
        <scheme val="minor"/>
      </rPr>
      <t>_12kBtu_SF</t>
    </r>
  </si>
  <si>
    <t>3.4.11</t>
  </si>
  <si>
    <t>ΔkWh = (FLHRoomAC  * Btuh * (1/CEERbase  - 1/CEERee)) / 1,000</t>
  </si>
  <si>
    <t>SFIE Source</t>
  </si>
  <si>
    <t>Value SFIE</t>
  </si>
  <si>
    <t>MF Source</t>
  </si>
  <si>
    <t>Value MFIE</t>
  </si>
  <si>
    <t>SF Value</t>
  </si>
  <si>
    <t>MF Value</t>
  </si>
  <si>
    <t>Btu/hr</t>
  </si>
  <si>
    <t>PY13 RebateSavers Database (average Btu)</t>
  </si>
  <si>
    <t>Ameren Missouri Efficient Products Evaluation PY2017, page 39</t>
  </si>
  <si>
    <t>NONE</t>
  </si>
  <si>
    <t>Standard size:  12000 Btu</t>
  </si>
  <si>
    <r>
      <t>CEER</t>
    </r>
    <r>
      <rPr>
        <vertAlign val="subscript"/>
        <sz val="11"/>
        <rFont val="Calibri"/>
        <family val="2"/>
        <scheme val="minor"/>
      </rPr>
      <t>BASE</t>
    </r>
  </si>
  <si>
    <t>Federal minimum efficiency standard (updated from EER to CEER in March 2017)</t>
  </si>
  <si>
    <r>
      <t>EER</t>
    </r>
    <r>
      <rPr>
        <vertAlign val="subscript"/>
        <sz val="11"/>
        <color theme="1"/>
        <rFont val="Calibri"/>
        <family val="2"/>
        <scheme val="minor"/>
      </rPr>
      <t>BASE</t>
    </r>
  </si>
  <si>
    <t>N/A</t>
  </si>
  <si>
    <r>
      <t>CEER</t>
    </r>
    <r>
      <rPr>
        <vertAlign val="subscript"/>
        <sz val="11"/>
        <rFont val="Calibri"/>
        <family val="2"/>
        <scheme val="minor"/>
      </rPr>
      <t>EFF</t>
    </r>
  </si>
  <si>
    <t>PY16 Efficient Products Database (average CEER)</t>
  </si>
  <si>
    <r>
      <t>EER</t>
    </r>
    <r>
      <rPr>
        <vertAlign val="subscript"/>
        <sz val="11"/>
        <color theme="1"/>
        <rFont val="Calibri"/>
        <family val="2"/>
        <scheme val="minor"/>
      </rPr>
      <t>EFF</t>
    </r>
  </si>
  <si>
    <r>
      <t>CEER</t>
    </r>
    <r>
      <rPr>
        <vertAlign val="subscript"/>
        <sz val="11"/>
        <rFont val="Calibri"/>
        <family val="2"/>
        <scheme val="minor"/>
      </rPr>
      <t>existing</t>
    </r>
  </si>
  <si>
    <t>Illinois TRM Version 12.0, page 70</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</si>
  <si>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</si>
  <si>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</si>
  <si>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</si>
  <si>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t>Ameren Missouri Efficient Products PY 2016 Evaluation, page 64</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</si>
  <si>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</si>
  <si>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</si>
  <si>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</si>
  <si>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t>Ameren Missouri Efficient Products Evaluation PY2016, page 64</t>
  </si>
  <si>
    <t>Same source for SF &amp; MF</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</si>
  <si>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</si>
  <si>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</si>
  <si>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 xml:space="preserve">PY16 Participant Survey </t>
  </si>
  <si>
    <t>Ameren Missouri Efficient Products Evaluation PY2016, page 63</t>
  </si>
  <si>
    <t>Measure Life Report, Residential and Commercial/Industrial Lighting and HVAC Measures</t>
  </si>
  <si>
    <t>Illinois TRM Version 12.0, page 69</t>
  </si>
  <si>
    <t>Cool Roofs</t>
  </si>
  <si>
    <t>406804_2024_12_</t>
  </si>
  <si>
    <t>Cool Roof: Multi-Family Vintage Up to 1979-Non-Electric Heating</t>
  </si>
  <si>
    <t>per sq ft</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</si>
  <si>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</si>
  <si>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</si>
  <si>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</si>
  <si>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</si>
  <si>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</si>
  <si>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</si>
  <si>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</si>
  <si>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</si>
  <si>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</si>
  <si>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</si>
  <si>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</si>
  <si>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</si>
  <si>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</si>
  <si>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</si>
  <si>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3.6.5</t>
  </si>
  <si>
    <t>ΔkWh = SavingsFactor * SF / 1,000</t>
  </si>
  <si>
    <t>SavingsFactor</t>
  </si>
  <si>
    <t>kWh savings per square foot of installed cool roof</t>
  </si>
  <si>
    <t>MFIE Vintage Up to 1979</t>
  </si>
  <si>
    <t>Leidos. (2015b) Energy savings of high albedo roofs for the Kansas City Area</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</si>
  <si>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</si>
  <si>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</si>
  <si>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</si>
  <si>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</si>
  <si>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</si>
  <si>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</si>
  <si>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</si>
  <si>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</si>
  <si>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</si>
  <si>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</si>
  <si>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</si>
  <si>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</si>
  <si>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PAY AS YOU SAVE</t>
  </si>
  <si>
    <t>&lt;------ Use the "Grouping" Features to expand or hide the formulas/input variables</t>
  </si>
  <si>
    <r>
      <rPr>
        <sz val="11"/>
        <rFont val="Calibri"/>
        <family val="2"/>
        <scheme val="minor"/>
      </rPr>
      <t xml:space="preserve">LED </t>
    </r>
    <r>
      <rPr>
        <strike/>
        <sz val="11"/>
        <color rgb="FFFF0000"/>
        <rFont val="Calibri"/>
        <family val="2"/>
        <scheme val="minor"/>
      </rPr>
      <t xml:space="preserve">Lamp </t>
    </r>
    <r>
      <rPr>
        <sz val="11"/>
        <color rgb="FFFF0000"/>
        <rFont val="Calibri"/>
        <family val="2"/>
        <scheme val="minor"/>
      </rPr>
      <t>bulbs</t>
    </r>
  </si>
  <si>
    <r>
      <t xml:space="preserve">Measure </t>
    </r>
    <r>
      <rPr>
        <strike/>
        <sz val="11"/>
        <color rgb="FFFF0000"/>
        <rFont val="Calibri"/>
        <family val="2"/>
        <scheme val="minor"/>
      </rPr>
      <t>*</t>
    </r>
  </si>
  <si>
    <t>KW RES</t>
  </si>
  <si>
    <t>KW BUS</t>
  </si>
  <si>
    <t>450100_2024_12_</t>
  </si>
  <si>
    <t>LED - 10W (750-899 lumens) DI</t>
  </si>
  <si>
    <t xml:space="preserve">  per bulb</t>
  </si>
  <si>
    <t>3.5.1 - 3.5.4</t>
  </si>
  <si>
    <t>  Watts Base</t>
  </si>
  <si>
    <t>Baseline wattage, based on lumens of LED bulb installed.</t>
  </si>
  <si>
    <t>  Watts EE</t>
  </si>
  <si>
    <t>Actual wattage of LED purchased / installed</t>
  </si>
  <si>
    <t>Mid point of 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</si>
  <si>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</si>
  <si>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</si>
  <si>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</si>
  <si>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</si>
  <si>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Average hours of use per year for residential homes</t>
  </si>
  <si>
    <t>Ameren Missouri Lighting Evaluation PY2018, page 36</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</si>
  <si>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</si>
  <si>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</si>
  <si>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</si>
  <si>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</si>
  <si>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</si>
  <si>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Average hours of use per year for non- residential homes</t>
  </si>
  <si>
    <t xml:space="preserve">Illinois TRM v5.0, Lighting Reference Tables (Sec. 4.5.1), "Unknown" Building type, screw base lamp operating hours / 365  </t>
  </si>
  <si>
    <t>NonRes energy, Interior</t>
  </si>
  <si>
    <t>Set equal to Community Lighting Deemed Tables</t>
  </si>
  <si>
    <t>NonRes energy, Exterior</t>
  </si>
  <si>
    <t>Percentage of bulbs sold to residential customers</t>
  </si>
  <si>
    <t>EUL Residential</t>
  </si>
  <si>
    <t>Illinois TRM Version 12.0, page 327</t>
  </si>
  <si>
    <t>EUL Business</t>
  </si>
  <si>
    <t>Incremental costs from IL-TRM V12.0, page 311</t>
  </si>
  <si>
    <t>450700_2024_12_</t>
  </si>
  <si>
    <t>Advanced Tier 1 Power Strips DI - Home Office</t>
  </si>
  <si>
    <t>3.2.1</t>
  </si>
  <si>
    <t>ΔkWh = (kWhOffice * WeightingOffice + kWhEnt * WeightingEnt) * ISR</t>
  </si>
  <si>
    <t>Source:</t>
  </si>
  <si>
    <t>kWh Installation by Location</t>
  </si>
  <si>
    <t>Home Office</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</si>
  <si>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</si>
  <si>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Weighting Office</t>
  </si>
  <si>
    <t>% OFFICE</t>
  </si>
  <si>
    <t>1 - % Entertainment</t>
  </si>
  <si>
    <t>In service/installation rate</t>
  </si>
  <si>
    <t>TOS/NC/DI</t>
  </si>
  <si>
    <t>Advanced Power Strip Research Report, NYSERDA, August 2011, page 30</t>
  </si>
  <si>
    <t>Tier 1 APS - Direct Install</t>
  </si>
  <si>
    <t>459999_2025_12</t>
  </si>
  <si>
    <t>RESIDENTIAL DEMAND RESPONSE</t>
  </si>
  <si>
    <r>
      <t xml:space="preserve">Demand Response </t>
    </r>
    <r>
      <rPr>
        <sz val="11"/>
        <color rgb="FFFF0000"/>
        <rFont val="Calibri"/>
        <family val="2"/>
        <scheme val="minor"/>
      </rPr>
      <t>Smart</t>
    </r>
    <r>
      <rPr>
        <sz val="11"/>
        <rFont val="Calibri"/>
        <family val="2"/>
        <scheme val="minor"/>
      </rPr>
      <t xml:space="preserve"> Thermostat</t>
    </r>
  </si>
  <si>
    <t>Measure [1]</t>
  </si>
  <si>
    <t>Gross kWh Annual Savings [2]</t>
  </si>
  <si>
    <t>End Use [3]</t>
  </si>
  <si>
    <t>kW Factor [4]</t>
  </si>
  <si>
    <t>Summer kW (Annual) [5]</t>
  </si>
  <si>
    <t>Winter kW (Annual) [6]</t>
  </si>
  <si>
    <t>600050_2024_12_</t>
  </si>
  <si>
    <t>DR</t>
  </si>
  <si>
    <r>
      <t xml:space="preserve">Summer Demand Response </t>
    </r>
    <r>
      <rPr>
        <sz val="11"/>
        <color rgb="FFFF0000"/>
        <rFont val="Calibri"/>
        <family val="2"/>
        <scheme val="minor"/>
      </rPr>
      <t>Smart</t>
    </r>
    <r>
      <rPr>
        <strike/>
        <sz val="11"/>
        <color rgb="FFFF0000"/>
        <rFont val="Calibri"/>
        <family val="2"/>
        <scheme val="minor"/>
      </rPr>
      <t>Advanced</t>
    </r>
    <r>
      <rPr>
        <sz val="11"/>
        <rFont val="Calibri"/>
        <family val="2"/>
        <scheme val="minor"/>
      </rPr>
      <t xml:space="preserve"> Thermostat - with Program-driven Optimization</t>
    </r>
  </si>
  <si>
    <t>-</t>
  </si>
  <si>
    <t>per thermostat</t>
  </si>
  <si>
    <t>600060_2023_12_</t>
  </si>
  <si>
    <r>
      <t xml:space="preserve">Winter Demand Response </t>
    </r>
    <r>
      <rPr>
        <sz val="11"/>
        <color rgb="FFFF0000"/>
        <rFont val="Calibri"/>
        <family val="2"/>
        <scheme val="minor"/>
      </rPr>
      <t xml:space="preserve">Smart </t>
    </r>
    <r>
      <rPr>
        <strike/>
        <sz val="11"/>
        <color rgb="FFFF0000"/>
        <rFont val="Calibri"/>
        <family val="2"/>
        <scheme val="minor"/>
      </rPr>
      <t>Advanced</t>
    </r>
    <r>
      <rPr>
        <sz val="11"/>
        <rFont val="Calibri"/>
        <family val="2"/>
        <scheme val="minor"/>
      </rPr>
      <t xml:space="preserve"> Thermostat - with Program-driven Optimization</t>
    </r>
  </si>
  <si>
    <t>600100_2021_12_</t>
  </si>
  <si>
    <r>
      <t xml:space="preserve">Summer Demand Response </t>
    </r>
    <r>
      <rPr>
        <sz val="11"/>
        <color rgb="FFFF0000"/>
        <rFont val="Calibri"/>
        <family val="2"/>
        <scheme val="minor"/>
      </rPr>
      <t>Smart</t>
    </r>
    <r>
      <rPr>
        <strike/>
        <sz val="11"/>
        <color rgb="FFFF0000"/>
        <rFont val="Calibri"/>
        <family val="2"/>
        <scheme val="minor"/>
      </rPr>
      <t>Advanced</t>
    </r>
    <r>
      <rPr>
        <sz val="11"/>
        <rFont val="Calibri"/>
        <family val="2"/>
        <scheme val="minor"/>
      </rPr>
      <t xml:space="preserve"> Thermostat - without Program-Driven Optimization</t>
    </r>
  </si>
  <si>
    <t>600110_2023_12_</t>
  </si>
  <si>
    <r>
      <t xml:space="preserve">Winter Demand Response </t>
    </r>
    <r>
      <rPr>
        <sz val="11"/>
        <color rgb="FFFF0000"/>
        <rFont val="Calibri"/>
        <family val="2"/>
        <scheme val="minor"/>
      </rPr>
      <t>Smart</t>
    </r>
    <r>
      <rPr>
        <strike/>
        <sz val="11"/>
        <color rgb="FFFF0000"/>
        <rFont val="Calibri"/>
        <family val="2"/>
        <scheme val="minor"/>
      </rPr>
      <t>Advanced</t>
    </r>
    <r>
      <rPr>
        <sz val="11"/>
        <rFont val="Calibri"/>
        <family val="2"/>
        <scheme val="minor"/>
      </rPr>
      <t xml:space="preserve"> Thermostat - without Program-Driven Optimization</t>
    </r>
  </si>
  <si>
    <t>3.7.2</t>
  </si>
  <si>
    <t xml:space="preserve">[Note 1] </t>
  </si>
  <si>
    <r>
      <t xml:space="preserve">As </t>
    </r>
    <r>
      <rPr>
        <strike/>
        <sz val="11"/>
        <color rgb="FFFF0000"/>
        <rFont val="Calibri"/>
        <family val="2"/>
        <scheme val="minor"/>
      </rPr>
      <t>advanced</t>
    </r>
    <r>
      <rPr>
        <sz val="11"/>
        <color rgb="FFFF0000"/>
        <rFont val="Calibri"/>
        <family val="2"/>
        <scheme val="minor"/>
      </rPr>
      <t>smart</t>
    </r>
    <r>
      <rPr>
        <sz val="11"/>
        <rFont val="Calibri"/>
        <family val="2"/>
        <scheme val="minor"/>
      </rPr>
      <t xml:space="preserve">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r>
  </si>
  <si>
    <t xml:space="preserve">[Note 2] </t>
  </si>
  <si>
    <r>
      <rPr>
        <strike/>
        <sz val="11"/>
        <color rgb="FFFF0000"/>
        <rFont val="Calibri"/>
        <family val="2"/>
        <scheme val="minor"/>
      </rPr>
      <t xml:space="preserve">Source for Savings: Ameren MO PY2023 Final Report
Device Optimization Energy Savings Summary, Aggregate: Table 19. 
Total Number of Devices Enrolled at the end of the 2023 event season: Ameren Missouri Demand Response PY2023 Program Tracking Data
Gross kWh Annual Savings are calculated as the total aggregate PY2023 energy savings (502.57 MWh) divided by the number of devices active at the end of the 2023 event season (8,140).
</t>
    </r>
    <r>
      <rPr>
        <sz val="11"/>
        <color rgb="FFFF0000"/>
        <rFont val="Calibri"/>
        <family val="2"/>
        <scheme val="minor"/>
      </rPr>
      <t>Source for Summer Savings: Ameren MO PY2024 Final Report and program tracking data:
Table 3-16: Event Day Energy Savings by Device Manufacturer
Table 3-5: Summary of PY2024 Demand and Energy Impacts
Account-to-device adjustment factor: 0.8082 (based on review of program tracking data).
Gross kWh Annual Savings without Program-Driven Optimization are calculated as the total aggregate PY2024 energy savings associated with demand response events (18.30 MWh), divided by the average number of accounts participating in an event (18,421), and then multiplied by the account-to-device adjustment factor (0.8082), and adjusted to kWh terms by factoring by 1,000.
Gross kWh Annual Savings with Program-Driven Optimization are calculated as equal to the Gross kWh Annual Savings without Program-Driven Optimization, plus the result of dividing the total aggregate PY2024 energy savings associated with program-driven optimization (586.56 MWh) by the number of accounts for which optimization was applied (8,657), and multiplying by the same account-to-device adjustment factor (0.8082), and adjusted to kWh terms by factoring by 1,000.</t>
    </r>
  </si>
  <si>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</si>
  <si>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</si>
  <si>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</si>
  <si>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</si>
  <si>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</si>
  <si>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r>
      <rPr>
        <strike/>
        <sz val="11"/>
        <color rgb="FFFF0000"/>
        <rFont val="Calibri"/>
        <family val="2"/>
        <scheme val="minor"/>
      </rPr>
      <t xml:space="preserve">Summer demand savings are calculated for demand response events, therefore no demand savings are calculated based on the energy savings for this measure. For planning estimates a value of 0.95 kW/thermostat is assumed based on the PY23 evaluation results; refer to Table 17. Residential DR Program: Event Day Energy Savings by Device Manufacturer for the number of devices and Table 13. Residential DR Program: Resource Capability Impacts for the per account kW impacts and number of accounts.
Per device kW impact is calculated as the per account kW load impact (1.13) multiplied by the number of accounts (46,213) all divided by the number of devices (54,808).
</t>
    </r>
    <r>
      <rPr>
        <sz val="11"/>
        <color rgb="FFFF0000"/>
        <rFont val="Calibri"/>
        <family val="2"/>
        <scheme val="minor"/>
      </rPr>
      <t>Source for Summer Planning Estimates of Savings: Ameren MO PY2024 Final Report and program tracking data:
Table 3-11 Resource Capability Impacts
Account-to-device adjustment factor: 0.8082 (based on review of program tracking data).
Planning estimate of per device kW impact is calculated as per account load impact (0.86 kW) multiplied by the account-to-device adjustment factor (0.8082), which equals 0.6951 kW.</t>
    </r>
  </si>
  <si>
    <t xml:space="preserve">[Note 6] </t>
  </si>
  <si>
    <r>
      <rPr>
        <strike/>
        <sz val="11"/>
        <color rgb="FFFF0000"/>
        <rFont val="Calibri"/>
        <family val="2"/>
        <scheme val="minor"/>
      </rPr>
      <t>Winter demand savings are calculated for demand response events. For planning estimates a value of 1.3 kW/thermostat. Calculated by examining the average hourly kW reduction during a summer event, adjusting for winter conditions by reducing the estimate by 30%, and applying an adjustment factor of 0.78. (Source: ADM Associates, Inc., "py2024_residential_dr_winter_savings_estimation_07.12.2024.xlsx").</t>
    </r>
    <r>
      <rPr>
        <sz val="11"/>
        <color rgb="FFFF0000"/>
        <rFont val="Calibri"/>
        <family val="2"/>
        <scheme val="minor"/>
      </rPr>
      <t xml:space="preserve">
Source for Winter Planning Estimates of Savings: Ameren MO PY2024 Final Report and program tracking data:
Table 3-6 Demand Impacts by Event and Device Manufacturer
Account-to-device adjustment factor: 0.8082 (based on review of program tracking data).
Planning estimate of per device kW impact is calculated as the average per account load impact during winter events (1.36 kW on 12/03/2024 and 0.91 kW on 12/05/2024: average value is 1.02 kW) multiplied by the account-to-device adjustment factor (0.8082), which equals 0.8244 kW.</t>
    </r>
  </si>
  <si>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</si>
  <si>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</si>
  <si>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</si>
  <si>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</si>
  <si>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</si>
  <si>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</si>
  <si>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</si>
  <si>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</si>
  <si>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</si>
  <si>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</si>
  <si>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</si>
  <si>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3.7.3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</si>
  <si>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</si>
  <si>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</si>
  <si>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</si>
  <si>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Demand Response Electric Vehicle Charging</t>
  </si>
  <si>
    <t>600500_2024_12_</t>
  </si>
  <si>
    <t>3.7.4</t>
  </si>
  <si>
    <t>Summer demand savings are calculated for demand response events, focusing solely on demand reduction rather than energy savings. These values have not yet been reviewed through evaluation. The demand reduction impact planning value of 0.16 kW per EV charger was calculated based on the reduction in charging amperage during a DR event applied to the coincident peak load. Specifically:
EV Charging: The reduction from 48 amps (11.5 kW) to 16 amps (3.8 kW) during a DR event results in a raw potential reduction of 7.7 kW. However, this is adjusted using a normalization factor of 1.513, which reflects real-world charger engagement and behavior patterns, leading to a final demand reduction impact of 0.16 kW per charger.
These calculations utilize the EVIPro model and average loadshape data for EV chargers, with assumptions about charging behavior based on an 80% home charging rate. The derived values consider typical charging patterns and the likelihood that not all chargers are actively charging during peak periods.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</si>
  <si>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</si>
  <si>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</si>
  <si>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</si>
  <si>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</si>
  <si>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</si>
  <si>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</si>
  <si>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</si>
  <si>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</si>
  <si>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</si>
  <si>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</si>
  <si>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</si>
  <si>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</si>
  <si>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</si>
  <si>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</si>
  <si>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</si>
  <si>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</si>
  <si>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</si>
  <si>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</si>
  <si>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</si>
  <si>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Inc Cost</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</si>
  <si>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</si>
  <si>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</si>
  <si>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</si>
  <si>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</si>
  <si>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</si>
  <si>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</si>
  <si>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</si>
  <si>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</si>
  <si>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</si>
  <si>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</si>
  <si>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</si>
  <si>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</si>
  <si>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</si>
  <si>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</si>
  <si>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</si>
  <si>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</si>
  <si>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</si>
  <si>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</si>
  <si>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</si>
  <si>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</si>
  <si>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</si>
  <si>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</si>
  <si>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</si>
  <si>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</si>
  <si>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</si>
  <si>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</si>
  <si>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</si>
  <si>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</si>
  <si>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</si>
  <si>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</si>
  <si>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</si>
  <si>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</si>
  <si>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Copied directly from file :  DSM2018_BT_MEEIA_4_RESandBUS_20YR Submittal Tool_01_16_2024.xlsb</t>
  </si>
  <si>
    <t>Avoided Cost Benefits per Measure per kWh</t>
  </si>
  <si>
    <t>Air Comp BUS 1 Year EUL</t>
  </si>
  <si>
    <t>Starting/Discount Year:</t>
  </si>
  <si>
    <t>Air Comp BUS 10 Year EUL</t>
  </si>
  <si>
    <t>Ending Year:</t>
  </si>
  <si>
    <t>Air Comp BUS 11 Year EUL</t>
  </si>
  <si>
    <t>Discount Rate:</t>
  </si>
  <si>
    <t>Air Comp BUS 12 Year EUL</t>
  </si>
  <si>
    <t>Inflation Rate:</t>
  </si>
  <si>
    <t>Air Comp BUS 13 Year EUL</t>
  </si>
  <si>
    <t>Current Year</t>
  </si>
  <si>
    <t>* Year of current programs being represented</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</si>
  <si>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</si>
  <si>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</si>
  <si>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</si>
  <si>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</si>
  <si>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</si>
  <si>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</si>
  <si>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</si>
  <si>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</si>
  <si>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</si>
  <si>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</si>
  <si>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</si>
  <si>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</si>
  <si>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</si>
  <si>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</si>
  <si>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</si>
  <si>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</si>
  <si>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</si>
  <si>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</si>
  <si>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</si>
  <si>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</si>
  <si>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</si>
  <si>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</si>
  <si>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</si>
  <si>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</si>
  <si>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</si>
  <si>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</si>
  <si>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</si>
  <si>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</si>
  <si>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</si>
  <si>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</si>
  <si>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</si>
  <si>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</si>
  <si>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</si>
  <si>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</si>
  <si>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</si>
  <si>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</si>
  <si>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</si>
  <si>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</si>
  <si>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</si>
  <si>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</si>
  <si>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</si>
  <si>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</si>
  <si>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</si>
  <si>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</si>
  <si>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</si>
  <si>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</si>
  <si>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</si>
  <si>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</si>
  <si>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</si>
  <si>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</si>
  <si>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</si>
  <si>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</si>
  <si>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</si>
  <si>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</si>
  <si>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</si>
  <si>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</si>
  <si>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</si>
  <si>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</si>
  <si>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</si>
  <si>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</si>
  <si>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</si>
  <si>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</si>
  <si>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</si>
  <si>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</si>
  <si>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</si>
  <si>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</si>
  <si>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</si>
  <si>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</si>
  <si>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</si>
  <si>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</si>
  <si>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</si>
  <si>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</si>
  <si>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</si>
  <si>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</si>
  <si>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</si>
  <si>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</si>
  <si>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</si>
  <si>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</si>
  <si>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</si>
  <si>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</si>
  <si>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</si>
  <si>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</si>
  <si>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</si>
  <si>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</si>
  <si>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</si>
  <si>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</si>
  <si>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</si>
  <si>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</si>
  <si>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</si>
  <si>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</si>
  <si>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</si>
  <si>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</si>
  <si>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</si>
  <si>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</si>
  <si>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</si>
  <si>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</si>
  <si>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</si>
  <si>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</si>
  <si>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</si>
  <si>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</si>
  <si>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</si>
  <si>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</si>
  <si>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</si>
  <si>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</si>
  <si>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</si>
  <si>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</si>
  <si>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</si>
  <si>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</si>
  <si>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</si>
  <si>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</si>
  <si>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</si>
  <si>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</si>
  <si>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</si>
  <si>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</si>
  <si>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</si>
  <si>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</si>
  <si>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</si>
  <si>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</si>
  <si>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</si>
  <si>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</si>
  <si>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</si>
  <si>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</si>
  <si>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</si>
  <si>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</si>
  <si>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</si>
  <si>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</si>
  <si>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</si>
  <si>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</si>
  <si>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</si>
  <si>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</si>
  <si>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</si>
  <si>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</si>
  <si>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</si>
  <si>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</si>
  <si>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</si>
  <si>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</si>
  <si>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</si>
  <si>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</si>
  <si>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</si>
  <si>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</si>
  <si>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</si>
  <si>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</si>
  <si>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</si>
  <si>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</si>
  <si>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</si>
  <si>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</si>
  <si>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</si>
  <si>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</si>
  <si>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</si>
  <si>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</si>
  <si>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</si>
  <si>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</si>
  <si>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</si>
  <si>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</si>
  <si>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</si>
  <si>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</si>
  <si>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</si>
  <si>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</si>
  <si>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</si>
  <si>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</si>
  <si>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</si>
  <si>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</si>
  <si>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</si>
  <si>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</si>
  <si>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</si>
  <si>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</si>
  <si>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</si>
  <si>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</si>
  <si>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</si>
  <si>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</si>
  <si>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</si>
  <si>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</si>
  <si>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</si>
  <si>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</si>
  <si>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</si>
  <si>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</si>
  <si>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</si>
  <si>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</si>
  <si>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</si>
  <si>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</si>
  <si>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</si>
  <si>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</si>
  <si>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</si>
  <si>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</si>
  <si>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</si>
  <si>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</si>
  <si>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</si>
  <si>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</si>
  <si>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</si>
  <si>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</si>
  <si>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</si>
  <si>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</si>
  <si>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</si>
  <si>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</si>
  <si>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</si>
  <si>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</si>
  <si>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</si>
  <si>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</si>
  <si>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</si>
  <si>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</si>
  <si>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</si>
  <si>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</si>
  <si>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</si>
  <si>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</si>
  <si>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</si>
  <si>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</si>
  <si>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</si>
  <si>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</si>
  <si>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</si>
  <si>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</si>
  <si>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</si>
  <si>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</si>
  <si>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</si>
  <si>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</si>
  <si>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</si>
  <si>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</si>
  <si>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</si>
  <si>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</si>
  <si>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</si>
  <si>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</si>
  <si>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</si>
  <si>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</si>
  <si>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</si>
  <si>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</si>
  <si>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</si>
  <si>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</si>
  <si>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</si>
  <si>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</si>
  <si>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</si>
  <si>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</si>
  <si>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</si>
  <si>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</si>
  <si>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</si>
  <si>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</si>
  <si>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</si>
  <si>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</si>
  <si>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</si>
  <si>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</si>
  <si>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</si>
  <si>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</si>
  <si>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</si>
  <si>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</si>
  <si>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</si>
  <si>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</si>
  <si>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</si>
  <si>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</si>
  <si>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</si>
  <si>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</si>
  <si>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</si>
  <si>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</si>
  <si>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</si>
  <si>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</si>
  <si>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</si>
  <si>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</si>
  <si>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</si>
  <si>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</si>
  <si>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</si>
  <si>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</si>
  <si>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</si>
  <si>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</si>
  <si>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</si>
  <si>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</si>
  <si>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</si>
  <si>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</si>
  <si>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</si>
  <si>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</si>
  <si>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</si>
  <si>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</si>
  <si>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</si>
  <si>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</si>
  <si>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</si>
  <si>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</si>
  <si>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</si>
  <si>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</si>
  <si>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</si>
  <si>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</si>
  <si>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</si>
  <si>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</si>
  <si>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</si>
  <si>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</si>
  <si>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</si>
  <si>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</si>
  <si>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</si>
  <si>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</si>
  <si>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</si>
  <si>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</si>
  <si>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</si>
  <si>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</si>
  <si>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</si>
  <si>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</si>
  <si>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</si>
  <si>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</si>
  <si>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</si>
  <si>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</si>
  <si>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</si>
  <si>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</si>
  <si>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</si>
  <si>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</si>
  <si>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</si>
  <si>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</si>
  <si>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</si>
  <si>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</si>
  <si>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</si>
  <si>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</si>
  <si>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</si>
  <si>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</si>
  <si>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</si>
  <si>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</si>
  <si>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</si>
  <si>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</si>
  <si>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</si>
  <si>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</si>
  <si>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</si>
  <si>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</si>
  <si>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</si>
  <si>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</si>
  <si>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</si>
  <si>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</si>
  <si>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</si>
  <si>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</si>
  <si>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</si>
  <si>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</si>
  <si>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</si>
  <si>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</si>
  <si>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</si>
  <si>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</si>
  <si>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</si>
  <si>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</si>
  <si>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</si>
  <si>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</si>
  <si>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</si>
  <si>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</si>
  <si>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</si>
  <si>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</si>
  <si>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</si>
  <si>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</si>
  <si>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</si>
  <si>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</si>
  <si>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</si>
  <si>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</si>
  <si>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</si>
  <si>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</si>
  <si>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</si>
  <si>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</si>
  <si>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</si>
  <si>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</si>
  <si>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</si>
  <si>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</si>
  <si>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</si>
  <si>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</si>
  <si>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</si>
  <si>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</si>
  <si>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</si>
  <si>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</si>
  <si>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</si>
  <si>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</si>
  <si>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</si>
  <si>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</si>
  <si>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</si>
  <si>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</si>
  <si>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</si>
  <si>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</si>
  <si>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</si>
  <si>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</si>
  <si>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</si>
  <si>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</si>
  <si>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</si>
  <si>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</si>
  <si>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</si>
  <si>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</si>
  <si>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</si>
  <si>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</si>
  <si>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</si>
  <si>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</si>
  <si>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</si>
  <si>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</si>
  <si>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</si>
  <si>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</si>
  <si>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</si>
  <si>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</si>
  <si>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</si>
  <si>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</si>
  <si>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</si>
  <si>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</si>
  <si>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</si>
  <si>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</si>
  <si>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</si>
  <si>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</si>
  <si>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</si>
  <si>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</si>
  <si>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</si>
  <si>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</si>
  <si>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</si>
  <si>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</si>
  <si>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</si>
  <si>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</si>
  <si>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</si>
  <si>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</si>
  <si>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</si>
  <si>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</si>
  <si>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</si>
  <si>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</si>
  <si>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</si>
  <si>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</si>
  <si>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</si>
  <si>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</si>
  <si>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</si>
  <si>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</si>
  <si>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</si>
  <si>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</si>
  <si>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</si>
  <si>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</si>
  <si>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</si>
  <si>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</si>
  <si>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</si>
  <si>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</si>
  <si>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</si>
  <si>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</si>
  <si>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</si>
  <si>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</si>
  <si>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</si>
  <si>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</si>
  <si>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</si>
  <si>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</si>
  <si>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</si>
  <si>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</si>
  <si>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</si>
  <si>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</si>
  <si>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</si>
  <si>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</si>
  <si>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</si>
  <si>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</si>
  <si>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</si>
  <si>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</si>
  <si>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</si>
  <si>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</si>
  <si>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</si>
  <si>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</si>
  <si>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</si>
  <si>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</si>
  <si>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</si>
  <si>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</si>
  <si>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</si>
  <si>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</si>
  <si>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</si>
  <si>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</si>
  <si>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</si>
  <si>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</si>
  <si>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</si>
  <si>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</si>
  <si>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</si>
  <si>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</si>
  <si>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</si>
  <si>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</si>
  <si>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</si>
  <si>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</si>
  <si>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</si>
  <si>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</si>
  <si>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</si>
  <si>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</si>
  <si>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</si>
  <si>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</si>
  <si>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</si>
  <si>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</si>
  <si>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</si>
  <si>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</si>
  <si>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</si>
  <si>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</si>
  <si>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</si>
  <si>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</si>
  <si>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</si>
  <si>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</si>
  <si>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</si>
  <si>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</si>
  <si>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</si>
  <si>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</si>
  <si>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</si>
  <si>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</si>
  <si>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</si>
  <si>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</si>
  <si>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</si>
  <si>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</si>
  <si>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</si>
  <si>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</si>
  <si>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</si>
  <si>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</si>
  <si>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</si>
  <si>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</si>
  <si>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</si>
  <si>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</si>
  <si>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</si>
  <si>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</si>
  <si>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</si>
  <si>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</si>
  <si>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</si>
  <si>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</si>
  <si>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</si>
  <si>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</si>
  <si>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</si>
  <si>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</si>
  <si>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</si>
  <si>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</si>
  <si>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</si>
  <si>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</si>
  <si>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</si>
  <si>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</si>
  <si>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</si>
  <si>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</si>
  <si>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</si>
  <si>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</si>
  <si>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</si>
  <si>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</si>
  <si>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</si>
  <si>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</si>
  <si>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</si>
  <si>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</si>
  <si>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</si>
  <si>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</si>
  <si>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</si>
  <si>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</si>
  <si>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</si>
  <si>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</si>
  <si>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</si>
  <si>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</si>
  <si>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</si>
  <si>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</si>
  <si>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</si>
  <si>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</si>
  <si>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</si>
  <si>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</si>
  <si>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</si>
  <si>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</si>
  <si>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</si>
  <si>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</si>
  <si>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</si>
  <si>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</si>
  <si>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</si>
  <si>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</si>
  <si>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</si>
  <si>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</si>
  <si>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</si>
  <si>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</si>
  <si>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</si>
  <si>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</si>
  <si>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</si>
  <si>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</si>
  <si>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</si>
  <si>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</si>
  <si>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</si>
  <si>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</si>
  <si>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</si>
  <si>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</si>
  <si>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</si>
  <si>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</si>
  <si>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</si>
  <si>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</si>
  <si>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</si>
  <si>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</si>
  <si>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</si>
  <si>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</si>
  <si>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</si>
  <si>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</si>
  <si>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</si>
  <si>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</si>
  <si>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</si>
  <si>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</si>
  <si>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</si>
  <si>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</si>
  <si>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</si>
  <si>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</si>
  <si>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</si>
  <si>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</si>
  <si>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</si>
  <si>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</si>
  <si>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</si>
  <si>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</si>
  <si>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</si>
  <si>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</si>
  <si>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</si>
  <si>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</si>
  <si>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</si>
  <si>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</si>
  <si>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</si>
  <si>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</si>
  <si>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</si>
  <si>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</si>
  <si>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</si>
  <si>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</si>
  <si>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</si>
  <si>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</si>
  <si>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</si>
  <si>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</si>
  <si>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</si>
  <si>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</si>
  <si>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</si>
  <si>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</si>
  <si>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</si>
  <si>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</si>
  <si>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</si>
  <si>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</si>
  <si>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</si>
  <si>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</si>
  <si>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</si>
  <si>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</si>
  <si>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</si>
  <si>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</si>
  <si>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</si>
  <si>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</si>
  <si>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</si>
  <si>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</si>
  <si>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</si>
  <si>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</si>
  <si>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</si>
  <si>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</si>
  <si>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</si>
  <si>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</si>
  <si>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</si>
  <si>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</si>
  <si>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</si>
  <si>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</si>
  <si>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</si>
  <si>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</si>
  <si>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</si>
  <si>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</si>
  <si>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</si>
  <si>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</si>
  <si>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</si>
  <si>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</si>
  <si>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</si>
  <si>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</si>
  <si>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</si>
  <si>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</si>
  <si>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</si>
  <si>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</si>
  <si>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</si>
  <si>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</si>
  <si>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</si>
  <si>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</si>
  <si>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</si>
  <si>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</si>
  <si>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</si>
  <si>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</si>
  <si>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</si>
  <si>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</si>
  <si>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</si>
  <si>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</si>
  <si>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</si>
  <si>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</si>
  <si>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</si>
  <si>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</si>
  <si>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</si>
  <si>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</si>
  <si>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</si>
  <si>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</si>
  <si>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</si>
  <si>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</si>
  <si>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</si>
  <si>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</si>
  <si>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</si>
  <si>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</si>
  <si>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</si>
  <si>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</si>
  <si>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</si>
  <si>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</si>
  <si>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</si>
  <si>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</si>
  <si>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</si>
  <si>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</si>
  <si>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</si>
  <si>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</si>
  <si>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</si>
  <si>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</si>
  <si>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</si>
  <si>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</si>
  <si>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</si>
  <si>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</si>
  <si>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</si>
  <si>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</si>
  <si>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</si>
  <si>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</si>
  <si>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</si>
  <si>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</si>
  <si>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</si>
  <si>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</si>
  <si>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</si>
  <si>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</si>
  <si>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</si>
  <si>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</si>
  <si>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</si>
  <si>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</si>
  <si>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</si>
  <si>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</si>
  <si>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</si>
  <si>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</si>
  <si>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</si>
  <si>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</si>
  <si>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</si>
  <si>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</si>
  <si>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</si>
  <si>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</si>
  <si>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</si>
  <si>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</si>
  <si>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</si>
  <si>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</si>
  <si>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</si>
  <si>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</si>
  <si>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</si>
  <si>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</si>
  <si>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</si>
  <si>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</si>
  <si>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</si>
  <si>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</si>
  <si>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</si>
  <si>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</si>
  <si>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</si>
  <si>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</si>
  <si>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</si>
  <si>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</si>
  <si>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</si>
  <si>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</si>
  <si>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</si>
  <si>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</si>
  <si>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</si>
  <si>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</si>
  <si>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</si>
  <si>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</si>
  <si>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</si>
  <si>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</si>
  <si>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</si>
  <si>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</si>
  <si>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</si>
  <si>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</si>
  <si>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</si>
  <si>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</si>
  <si>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</si>
  <si>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</si>
  <si>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</si>
  <si>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</si>
  <si>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</si>
  <si>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</si>
  <si>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</si>
  <si>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</si>
  <si>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</si>
  <si>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</si>
  <si>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</si>
  <si>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</si>
  <si>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</si>
  <si>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</si>
  <si>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</si>
  <si>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</si>
  <si>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</si>
  <si>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</si>
  <si>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</si>
  <si>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</si>
  <si>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</si>
  <si>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</si>
  <si>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</si>
  <si>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</si>
  <si>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</si>
  <si>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</si>
  <si>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</si>
  <si>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</si>
  <si>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</si>
  <si>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</si>
  <si>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</si>
  <si>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</si>
  <si>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</si>
  <si>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</si>
  <si>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</si>
  <si>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</si>
  <si>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</si>
  <si>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</si>
  <si>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</si>
  <si>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</si>
  <si>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</si>
  <si>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</si>
  <si>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</si>
  <si>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</si>
  <si>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</si>
  <si>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</si>
  <si>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</si>
  <si>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</si>
  <si>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</si>
  <si>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</si>
  <si>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</si>
  <si>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</si>
  <si>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</si>
  <si>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</si>
  <si>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</si>
  <si>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</si>
  <si>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</si>
  <si>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</si>
  <si>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</si>
  <si>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</si>
  <si>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</si>
  <si>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</si>
  <si>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</si>
  <si>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</si>
  <si>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</si>
  <si>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</si>
  <si>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</si>
  <si>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</si>
  <si>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</si>
  <si>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</si>
  <si>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</si>
  <si>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</si>
  <si>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</si>
  <si>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</si>
  <si>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</si>
  <si>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</si>
  <si>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</si>
  <si>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</si>
  <si>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</si>
  <si>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</si>
  <si>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</si>
  <si>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</si>
  <si>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</si>
  <si>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</si>
  <si>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</si>
  <si>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</si>
  <si>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</si>
  <si>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</si>
  <si>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</si>
  <si>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</si>
  <si>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</si>
  <si>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</si>
  <si>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</si>
  <si>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</si>
  <si>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</si>
  <si>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</si>
  <si>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</si>
  <si>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</si>
  <si>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</si>
  <si>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</si>
  <si>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</si>
  <si>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</si>
  <si>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</si>
  <si>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</si>
  <si>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</si>
  <si>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</si>
  <si>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</si>
  <si>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</si>
  <si>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</si>
  <si>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</si>
  <si>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</si>
  <si>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</si>
  <si>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</si>
  <si>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</si>
  <si>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</si>
  <si>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</si>
  <si>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</si>
  <si>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</si>
  <si>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</si>
  <si>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</si>
  <si>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</si>
  <si>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</si>
  <si>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</si>
  <si>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</si>
  <si>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</si>
  <si>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</si>
  <si>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</si>
  <si>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</si>
  <si>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</si>
  <si>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</si>
  <si>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</si>
  <si>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</si>
  <si>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</si>
  <si>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</si>
  <si>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</si>
  <si>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</si>
  <si>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</si>
  <si>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Pool Spa RES</t>
  </si>
  <si>
    <t>BUSINESS</t>
  </si>
  <si>
    <t>Ext Lighting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</si>
  <si>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</si>
  <si>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</si>
  <si>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</si>
  <si>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</si>
  <si>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</si>
  <si>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</si>
  <si>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</si>
  <si>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</si>
  <si>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</si>
  <si>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</si>
  <si>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</si>
  <si>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</si>
  <si>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</si>
  <si>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</si>
  <si>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</si>
  <si>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</si>
  <si>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</si>
  <si>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</si>
  <si>
    <t>Advanced Tier 1 Power Strips Tier 1  / Load Sensing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</si>
</sst>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0.00000"/>
    <numFmt numFmtId="186" formatCode="0.00000000"/>
    <numFmt numFmtId="187" formatCode="#,##0.000_);\(#,##0.000\)"/>
    <numFmt numFmtId="188" formatCode="0.000%"/>
    <numFmt numFmtId="189" formatCode="#,##0.000000_);\(#,##0.000000\)"/>
    <numFmt numFmtId="190" formatCode="_(* #,##0.0000000_);_(* \(#,##0.0000000\);_(* &quot;-&quot;??_);_(@_)"/>
    <numFmt numFmtId="191" formatCode="_(* #,##0.0_);_(* \(#,##0.0\);_(* &quot;-&quot;??_);_(@_)"/>
    <numFmt numFmtId="192" formatCode="&quot;$&quot;#,##0.00000_);\(&quot;$&quot;#,##0.00000\)"/>
    <numFmt numFmtId="193" formatCode="&quot;$&quot;#,##0.000_);\(&quot;$&quot;#,##0.000\)"/>
    <numFmt numFmtId="194" formatCode="[$$-409]#,##0.00_);\([$$-409]#,##0.00\)"/>
    <numFmt numFmtId="195" formatCode="0.000000000000"/>
    <numFmt numFmtId="196" formatCode="0.0000%"/>
    <numFmt numFmtId="197" formatCode="_(* #,##0.000000_);_(* \(#,##0.000000\);_(* &quot;-&quot;??????_);_(@_)"/>
    <numFmt numFmtId="198" formatCode="&quot;$&quot;#,##0.0000"/>
    <numFmt numFmtId="199" formatCode="0.00000%"/>
    <numFmt numFmtId="200" formatCode="0.00000000%"/>
    <numFmt numFmtId="201" formatCode="0.000000%"/>
    <numFmt numFmtId="202" formatCode="0.00000000000000"/>
    <numFmt numFmtId="203" formatCode="_(* #,##0.000000_);_(* \(#,##0.000000\);_(* &quot;-&quot;??_);_(@_)"/>
    <numFmt numFmtId="204" formatCode="#,##0.000000"/>
    <numFmt numFmtId="205" formatCode="_(* #,##0.0000_);_(* \(#,##0.0000\);_(* &quot;-&quot;??_);_(@_)"/>
    <numFmt numFmtId="206" formatCode="&quot;$&quot;#,##0"/>
    <numFmt numFmtId="207" formatCode="0.000000000%"/>
    <numFmt numFmtId="208" formatCode="_(&quot;$&quot;* #,##0.0000_);_(&quot;$&quot;* \(#,##0.0000\);_(&quot;$&quot;* &quot;-&quot;??_);_(@_)"/>
  </numFmts>
  <fonts count="124" x14ac:knownFonts="1">
    <font>
      <sz val="11"/>
      <color theme="1"/>
      <name val="Calibri"/>
      <family val="2"/>
      <scheme val="minor"/>
    </font>
    <font>
      <sz val="11"/>
      <color theme="1"/>
      <name val="Calibri"/>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i/>
      <vertAlign val="subscript"/>
      <sz val="11"/>
      <name val="Calibri"/>
      <family val="2"/>
      <scheme val="minor"/>
    </font>
    <font>
      <u/>
      <sz val="11"/>
      <color theme="10"/>
      <name val="Calibri"/>
      <family val="2"/>
      <scheme val="minor"/>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u/>
      <sz val="11"/>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b/>
      <sz val="11"/>
      <name val="Calibri"/>
      <family val="2"/>
    </font>
    <font>
      <b/>
      <strike/>
      <sz val="11"/>
      <color rgb="FFFF0000"/>
      <name val="Calibri"/>
      <family val="2"/>
      <scheme val="minor"/>
    </font>
    <font>
      <b/>
      <sz val="14"/>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b/>
      <sz val="10"/>
      <color rgb="FFFFFFFF"/>
      <name val="Calibri"/>
      <family val="2"/>
    </font>
    <font>
      <sz val="11"/>
      <name val="Aptos Narrow"/>
      <family val="2"/>
    </font>
    <font>
      <b/>
      <sz val="9"/>
      <color rgb="FFFFFFFF"/>
      <name val="Calibri"/>
      <family val="2"/>
    </font>
    <font>
      <i/>
      <sz val="10"/>
      <color theme="1"/>
      <name val="Calibri"/>
      <family val="2"/>
      <scheme val="minor"/>
    </font>
    <font>
      <i/>
      <sz val="10"/>
      <name val="Calibri"/>
      <family val="2"/>
      <scheme val="minor"/>
    </font>
    <font>
      <sz val="12"/>
      <color rgb="FFFF0000"/>
      <name val="Calibri"/>
      <family val="2"/>
      <scheme val="minor"/>
    </font>
    <font>
      <b/>
      <sz val="11"/>
      <color indexed="81"/>
      <name val="Tahoma"/>
      <family val="2"/>
    </font>
    <font>
      <b/>
      <sz val="12"/>
      <color indexed="81"/>
      <name val="Tahoma"/>
      <family val="2"/>
    </font>
    <font>
      <sz val="12"/>
      <name val="Times New Roman"/>
      <family val="1"/>
    </font>
    <font>
      <i/>
      <sz val="12"/>
      <name val="Times New Roman"/>
      <family val="1"/>
    </font>
    <font>
      <vertAlign val="subscript"/>
      <sz val="12"/>
      <name val="Times New Roman"/>
      <family val="1"/>
    </font>
    <font>
      <sz val="9"/>
      <name val="Times New Roman"/>
      <family val="1"/>
    </font>
    <font>
      <sz val="10"/>
      <color theme="0" tint="-0.249977111117893"/>
      <name val="Calibri"/>
      <family val="2"/>
      <scheme val="minor"/>
    </font>
    <font>
      <sz val="11"/>
      <name val="Times New Roman"/>
      <family val="1"/>
    </font>
    <font>
      <sz val="11"/>
      <name val="Times New Roman"/>
      <family val="1"/>
      <charset val="1"/>
    </font>
    <font>
      <sz val="11"/>
      <color rgb="FF002060"/>
      <name val="Calibri"/>
      <family val="2"/>
      <scheme val="minor"/>
    </font>
    <font>
      <sz val="11"/>
      <color theme="8"/>
      <name val="Calibri"/>
      <family val="2"/>
      <scheme val="minor"/>
    </font>
    <font>
      <sz val="11"/>
      <color theme="9" tint="-0.499984740745262"/>
      <name val="Calibri"/>
      <family val="2"/>
      <scheme val="minor"/>
    </font>
    <font>
      <sz val="11"/>
      <color rgb="FF990099"/>
      <name val="Calibri"/>
      <family val="2"/>
      <scheme val="minor"/>
    </font>
    <font>
      <sz val="11"/>
      <color theme="9" tint="0.39997558519241921"/>
      <name val="Calibri"/>
      <family val="2"/>
      <scheme val="minor"/>
    </font>
    <font>
      <b/>
      <sz val="9"/>
      <color indexed="10"/>
      <name val="Tahoma"/>
      <family val="2"/>
    </font>
    <font>
      <strike/>
      <sz val="11"/>
      <color theme="1"/>
      <name val="Calibri"/>
      <family val="2"/>
      <scheme val="minor"/>
    </font>
    <font>
      <strike/>
      <sz val="11"/>
      <color rgb="FFFF0000"/>
      <name val="Calibri"/>
      <family val="2"/>
      <scheme val="minor"/>
    </font>
    <font>
      <sz val="11"/>
      <color rgb="FF33CC33"/>
      <name val="Calibri"/>
      <family val="2"/>
      <scheme val="minor"/>
    </font>
    <font>
      <sz val="10"/>
      <color rgb="FF33CC33"/>
      <name val="Calibri"/>
      <family val="2"/>
      <scheme val="minor"/>
    </font>
    <font>
      <sz val="10"/>
      <color rgb="FFFF0000"/>
      <name val="Times New Roman"/>
      <family val="1"/>
    </font>
    <font>
      <i/>
      <sz val="11"/>
      <color rgb="FFFF0000"/>
      <name val="Calibri"/>
      <family val="2"/>
      <scheme val="minor"/>
    </font>
    <font>
      <vertAlign val="subscript"/>
      <sz val="11"/>
      <color rgb="FFFF0000"/>
      <name val="Calibri"/>
      <family val="2"/>
      <scheme val="minor"/>
    </font>
    <font>
      <strike/>
      <sz val="10"/>
      <color rgb="FFFF0000"/>
      <name val="Calibri"/>
      <family val="2"/>
      <scheme val="minor"/>
    </font>
    <font>
      <b/>
      <u/>
      <sz val="11"/>
      <color rgb="FFFF0000"/>
      <name val="Calibri"/>
      <family val="2"/>
      <scheme val="minor"/>
    </font>
    <font>
      <sz val="11"/>
      <color rgb="FFFF0000"/>
      <name val="Calibri"/>
      <scheme val="minor"/>
    </font>
    <font>
      <sz val="11"/>
      <color rgb="FF000000"/>
      <name val="Calibri"/>
      <scheme val="minor"/>
    </font>
    <font>
      <sz val="11"/>
      <name val="Calibri"/>
      <scheme val="minor"/>
    </font>
    <font>
      <sz val="9"/>
      <color indexed="81"/>
      <name val="Tahoma"/>
      <charset val="1"/>
    </font>
    <font>
      <b/>
      <sz val="9"/>
      <color indexed="81"/>
      <name val="Tahoma"/>
      <charset val="1"/>
    </font>
    <font>
      <strike/>
      <sz val="10"/>
      <name val="Calibri"/>
      <family val="2"/>
      <scheme val="minor"/>
    </font>
    <font>
      <strike/>
      <sz val="10"/>
      <color theme="0"/>
      <name val="Calibri"/>
      <family val="2"/>
      <scheme val="minor"/>
    </font>
    <font>
      <strike/>
      <sz val="11"/>
      <color theme="0"/>
      <name val="Calibri"/>
      <family val="2"/>
      <scheme val="minor"/>
    </font>
    <font>
      <strike/>
      <vertAlign val="subscript"/>
      <sz val="11"/>
      <color rgb="FFFF0000"/>
      <name val="Calibri"/>
      <family val="2"/>
      <scheme val="minor"/>
    </font>
    <font>
      <strike/>
      <sz val="10"/>
      <color theme="1"/>
      <name val="Calibri"/>
      <family val="2"/>
      <scheme val="minor"/>
    </font>
    <font>
      <i/>
      <strike/>
      <sz val="11"/>
      <color rgb="FFFF0000"/>
      <name val="Calibri"/>
      <family val="2"/>
      <scheme val="minor"/>
    </font>
  </fonts>
  <fills count="53">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
      <patternFill patternType="solid">
        <fgColor rgb="FF33CC33"/>
        <bgColor indexed="64"/>
      </patternFill>
    </fill>
    <fill>
      <patternFill patternType="solid">
        <fgColor theme="2" tint="-9.9978637043366805E-2"/>
        <bgColor rgb="FF000000"/>
      </patternFill>
    </fill>
    <fill>
      <patternFill patternType="solid">
        <fgColor rgb="FF00B050"/>
        <bgColor indexed="64"/>
      </patternFill>
    </fill>
  </fills>
  <borders count="96">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23">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3" borderId="1" applyNumberFormat="0" applyAlignment="0" applyProtection="0"/>
    <xf numFmtId="0" fontId="10" fillId="0" borderId="0"/>
    <xf numFmtId="0" fontId="2" fillId="0" borderId="0"/>
    <xf numFmtId="9" fontId="15" fillId="0" borderId="0">
      <alignment horizontal="right" vertical="center" wrapText="1" readingOrder="1"/>
    </xf>
    <xf numFmtId="0" fontId="16"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3" fillId="0" borderId="0"/>
    <xf numFmtId="0" fontId="2" fillId="0" borderId="0"/>
    <xf numFmtId="0" fontId="25" fillId="2" borderId="0" applyNumberFormat="0" applyBorder="0" applyAlignment="0" applyProtection="0"/>
    <xf numFmtId="9" fontId="30" fillId="0" borderId="0" applyFont="0" applyFill="0" applyBorder="0" applyAlignment="0" applyProtection="0"/>
    <xf numFmtId="9" fontId="31" fillId="0" borderId="0" applyFont="0" applyFill="0" applyBorder="0" applyAlignment="0" applyProtection="0"/>
    <xf numFmtId="0" fontId="39" fillId="0" borderId="0" applyNumberFormat="0" applyFill="0" applyBorder="0" applyAlignment="0" applyProtection="0"/>
    <xf numFmtId="0" fontId="23" fillId="0" borderId="0"/>
    <xf numFmtId="44" fontId="2" fillId="0" borderId="0" applyFont="0" applyFill="0" applyBorder="0" applyAlignment="0" applyProtection="0"/>
    <xf numFmtId="9" fontId="2" fillId="0" borderId="0" applyFont="0" applyFill="0" applyBorder="0" applyAlignment="0" applyProtection="0"/>
    <xf numFmtId="0" fontId="19" fillId="0" borderId="0"/>
    <xf numFmtId="0" fontId="23" fillId="0" borderId="0"/>
  </cellStyleXfs>
  <cellXfs count="2734">
    <xf numFmtId="0" fontId="0" fillId="0" borderId="0" xfId="0"/>
    <xf numFmtId="0" fontId="0" fillId="0" borderId="0" xfId="0" applyAlignment="1">
      <alignment horizontal="center" wrapText="1"/>
    </xf>
    <xf numFmtId="0" fontId="10" fillId="0" borderId="0" xfId="5"/>
    <xf numFmtId="0" fontId="11" fillId="9" borderId="0" xfId="5" applyFont="1" applyFill="1"/>
    <xf numFmtId="0" fontId="12" fillId="9" borderId="0" xfId="5" applyFont="1" applyFill="1"/>
    <xf numFmtId="0" fontId="10" fillId="9" borderId="0" xfId="5" applyFill="1"/>
    <xf numFmtId="0" fontId="2" fillId="0" borderId="0" xfId="6"/>
    <xf numFmtId="0" fontId="13" fillId="0" borderId="0" xfId="5" applyFont="1"/>
    <xf numFmtId="0" fontId="10" fillId="0" borderId="0" xfId="6" applyFont="1"/>
    <xf numFmtId="0" fontId="13" fillId="11" borderId="9" xfId="6" applyFont="1" applyFill="1" applyBorder="1" applyAlignment="1">
      <alignment horizontal="center" vertical="center" wrapText="1"/>
    </xf>
    <xf numFmtId="166" fontId="13" fillId="11" borderId="9" xfId="5" applyNumberFormat="1" applyFont="1" applyFill="1" applyBorder="1" applyAlignment="1">
      <alignment horizontal="center" vertical="center" wrapText="1"/>
    </xf>
    <xf numFmtId="0" fontId="13" fillId="11" borderId="19" xfId="6" applyFont="1" applyFill="1" applyBorder="1" applyAlignment="1">
      <alignment horizontal="center" vertical="center" wrapText="1"/>
    </xf>
    <xf numFmtId="0" fontId="13" fillId="8" borderId="9" xfId="0" applyFont="1" applyFill="1" applyBorder="1"/>
    <xf numFmtId="0" fontId="0" fillId="12" borderId="0" xfId="0" applyFill="1"/>
    <xf numFmtId="0" fontId="13" fillId="12" borderId="9" xfId="0" applyFont="1" applyFill="1" applyBorder="1" applyAlignment="1">
      <alignment horizontal="center" vertical="center" wrapText="1"/>
    </xf>
    <xf numFmtId="166" fontId="13" fillId="12"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3" fillId="0" borderId="9" xfId="0" applyNumberFormat="1" applyFont="1" applyBorder="1" applyAlignment="1">
      <alignment horizontal="center"/>
    </xf>
    <xf numFmtId="0" fontId="13" fillId="0" borderId="9" xfId="0" applyFont="1" applyBorder="1" applyAlignment="1">
      <alignment horizontal="center"/>
    </xf>
    <xf numFmtId="170" fontId="13" fillId="0" borderId="9" xfId="5" applyNumberFormat="1" applyFont="1" applyBorder="1" applyAlignment="1">
      <alignment horizontal="center"/>
    </xf>
    <xf numFmtId="2" fontId="13" fillId="4" borderId="9" xfId="0" applyNumberFormat="1" applyFont="1" applyFill="1" applyBorder="1" applyAlignment="1">
      <alignment horizontal="center"/>
    </xf>
    <xf numFmtId="0" fontId="10" fillId="0" borderId="0" xfId="5" applyAlignment="1">
      <alignment horizontal="center"/>
    </xf>
    <xf numFmtId="165" fontId="13" fillId="0" borderId="9" xfId="0" applyNumberFormat="1" applyFont="1" applyBorder="1" applyAlignment="1">
      <alignment horizontal="center"/>
    </xf>
    <xf numFmtId="2" fontId="13" fillId="0" borderId="0" xfId="5" applyNumberFormat="1" applyFont="1" applyAlignment="1">
      <alignment horizontal="center"/>
    </xf>
    <xf numFmtId="165" fontId="2" fillId="0" borderId="29" xfId="6" applyNumberFormat="1" applyBorder="1" applyAlignment="1">
      <alignment horizontal="center"/>
    </xf>
    <xf numFmtId="165" fontId="2" fillId="0" borderId="9" xfId="5" applyNumberFormat="1" applyFont="1" applyBorder="1" applyAlignment="1">
      <alignment horizontal="center"/>
    </xf>
    <xf numFmtId="0" fontId="13" fillId="11" borderId="30" xfId="5" applyFont="1" applyFill="1" applyBorder="1" applyAlignment="1">
      <alignment horizontal="center" vertical="center" wrapText="1"/>
    </xf>
    <xf numFmtId="0" fontId="13" fillId="11" borderId="23" xfId="5" applyFont="1" applyFill="1" applyBorder="1" applyAlignment="1">
      <alignment horizontal="center" vertical="center" wrapText="1"/>
    </xf>
    <xf numFmtId="0" fontId="13" fillId="11" borderId="20" xfId="5" applyFont="1" applyFill="1" applyBorder="1" applyAlignment="1">
      <alignment vertical="center" wrapText="1"/>
    </xf>
    <xf numFmtId="170" fontId="2" fillId="0" borderId="9" xfId="5" applyNumberFormat="1" applyFont="1" applyBorder="1" applyAlignment="1">
      <alignment horizontal="center"/>
    </xf>
    <xf numFmtId="0" fontId="13" fillId="11" borderId="9" xfId="5" applyFont="1" applyFill="1" applyBorder="1" applyAlignment="1">
      <alignment vertical="center" wrapText="1"/>
    </xf>
    <xf numFmtId="0" fontId="19" fillId="11" borderId="19" xfId="5" applyFont="1" applyFill="1" applyBorder="1" applyAlignment="1">
      <alignment horizontal="center" vertical="center" wrapText="1"/>
    </xf>
    <xf numFmtId="1" fontId="13" fillId="11" borderId="19" xfId="5" applyNumberFormat="1" applyFont="1" applyFill="1" applyBorder="1" applyAlignment="1">
      <alignment horizontal="center" vertical="center" wrapText="1"/>
    </xf>
    <xf numFmtId="165" fontId="2" fillId="0" borderId="9" xfId="6" applyNumberFormat="1" applyBorder="1" applyAlignment="1">
      <alignment horizontal="center"/>
    </xf>
    <xf numFmtId="165" fontId="13" fillId="0" borderId="9" xfId="5" applyNumberFormat="1" applyFont="1" applyBorder="1" applyAlignment="1">
      <alignment horizontal="center" vertical="center"/>
    </xf>
    <xf numFmtId="180" fontId="13" fillId="0" borderId="9" xfId="5" applyNumberFormat="1" applyFont="1" applyBorder="1" applyAlignment="1">
      <alignment horizontal="center" vertical="center"/>
    </xf>
    <xf numFmtId="9" fontId="13" fillId="0" borderId="9" xfId="3" applyFont="1" applyFill="1" applyBorder="1" applyAlignment="1">
      <alignment horizontal="center" vertical="center"/>
    </xf>
    <xf numFmtId="0" fontId="14" fillId="0" borderId="0" xfId="5" applyFont="1"/>
    <xf numFmtId="165" fontId="5" fillId="0" borderId="9" xfId="6" applyNumberFormat="1" applyFont="1" applyBorder="1" applyAlignment="1">
      <alignment horizontal="center"/>
    </xf>
    <xf numFmtId="0" fontId="5" fillId="0" borderId="0" xfId="0" applyFont="1"/>
    <xf numFmtId="171" fontId="5" fillId="4" borderId="9" xfId="5" applyNumberFormat="1" applyFont="1" applyFill="1" applyBorder="1" applyAlignment="1">
      <alignment horizontal="center" vertical="center" wrapText="1"/>
    </xf>
    <xf numFmtId="0" fontId="0" fillId="0" borderId="0" xfId="0" applyAlignment="1">
      <alignment horizontal="center"/>
    </xf>
    <xf numFmtId="2" fontId="13" fillId="4" borderId="9" xfId="0" applyNumberFormat="1" applyFont="1" applyFill="1" applyBorder="1" applyAlignment="1">
      <alignment horizontal="center" vertical="center" wrapText="1"/>
    </xf>
    <xf numFmtId="169" fontId="13" fillId="0" borderId="9" xfId="0" applyNumberFormat="1" applyFont="1" applyBorder="1" applyAlignment="1">
      <alignment horizontal="center" vertical="center" wrapText="1"/>
    </xf>
    <xf numFmtId="165" fontId="13" fillId="0" borderId="9" xfId="0" applyNumberFormat="1" applyFont="1" applyBorder="1" applyAlignment="1">
      <alignment horizontal="center" vertical="center" wrapText="1"/>
    </xf>
    <xf numFmtId="2" fontId="13" fillId="4" borderId="9" xfId="0" applyNumberFormat="1" applyFont="1" applyFill="1" applyBorder="1"/>
    <xf numFmtId="2" fontId="5" fillId="4" borderId="9" xfId="0" applyNumberFormat="1" applyFont="1" applyFill="1" applyBorder="1"/>
    <xf numFmtId="2" fontId="5" fillId="4"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0" fontId="13" fillId="0" borderId="0" xfId="0" applyFont="1" applyAlignment="1">
      <alignment horizontal="center"/>
    </xf>
    <xf numFmtId="0" fontId="13" fillId="0" borderId="0" xfId="0" applyFont="1"/>
    <xf numFmtId="2" fontId="0" fillId="4" borderId="9" xfId="0" applyNumberFormat="1" applyFill="1" applyBorder="1"/>
    <xf numFmtId="2" fontId="0" fillId="0" borderId="9" xfId="0" applyNumberFormat="1" applyBorder="1"/>
    <xf numFmtId="2" fontId="13" fillId="0" borderId="9" xfId="0" applyNumberFormat="1" applyFont="1" applyBorder="1"/>
    <xf numFmtId="165" fontId="5" fillId="0" borderId="9" xfId="0" applyNumberFormat="1" applyFont="1" applyBorder="1"/>
    <xf numFmtId="39" fontId="13" fillId="4" borderId="9" xfId="5" applyNumberFormat="1" applyFont="1" applyFill="1" applyBorder="1" applyAlignment="1">
      <alignment horizontal="center"/>
    </xf>
    <xf numFmtId="39" fontId="5" fillId="0" borderId="9" xfId="5" applyNumberFormat="1" applyFont="1" applyBorder="1" applyAlignment="1">
      <alignment horizontal="center"/>
    </xf>
    <xf numFmtId="165" fontId="13" fillId="4" borderId="9" xfId="0" applyNumberFormat="1" applyFont="1" applyFill="1" applyBorder="1" applyAlignment="1">
      <alignment horizontal="center" vertical="center" wrapText="1"/>
    </xf>
    <xf numFmtId="0" fontId="26" fillId="0" borderId="0" xfId="5" applyFont="1" applyAlignment="1">
      <alignment horizontal="center"/>
    </xf>
    <xf numFmtId="0" fontId="27" fillId="0" borderId="0" xfId="0" applyFont="1" applyAlignment="1">
      <alignment horizontal="center"/>
    </xf>
    <xf numFmtId="0" fontId="27" fillId="0" borderId="0" xfId="0" applyFont="1" applyAlignment="1">
      <alignment horizontal="left"/>
    </xf>
    <xf numFmtId="2" fontId="13" fillId="0" borderId="0" xfId="0" applyNumberFormat="1" applyFont="1"/>
    <xf numFmtId="0" fontId="13" fillId="0" borderId="0" xfId="6" applyFont="1" applyAlignment="1">
      <alignment horizontal="center"/>
    </xf>
    <xf numFmtId="0" fontId="13" fillId="0" borderId="0" xfId="6" applyFont="1" applyAlignment="1">
      <alignment horizontal="left"/>
    </xf>
    <xf numFmtId="0" fontId="13" fillId="0" borderId="0" xfId="6" applyFont="1"/>
    <xf numFmtId="0" fontId="13" fillId="4" borderId="9" xfId="6" applyFont="1" applyFill="1" applyBorder="1" applyAlignment="1">
      <alignment horizontal="left"/>
    </xf>
    <xf numFmtId="182" fontId="13" fillId="4" borderId="9" xfId="1" applyNumberFormat="1" applyFont="1" applyFill="1" applyBorder="1" applyAlignment="1">
      <alignment horizontal="center"/>
    </xf>
    <xf numFmtId="165" fontId="13" fillId="4" borderId="9" xfId="6" applyNumberFormat="1" applyFont="1" applyFill="1" applyBorder="1" applyAlignment="1">
      <alignment horizontal="center"/>
    </xf>
    <xf numFmtId="0" fontId="0" fillId="0" borderId="9" xfId="0" applyBorder="1"/>
    <xf numFmtId="180" fontId="27" fillId="0" borderId="0" xfId="6" applyNumberFormat="1" applyFont="1"/>
    <xf numFmtId="0" fontId="13" fillId="0" borderId="0" xfId="13" applyFont="1" applyAlignment="1">
      <alignment horizontal="center"/>
    </xf>
    <xf numFmtId="0" fontId="13" fillId="4" borderId="0" xfId="13" applyFont="1" applyFill="1" applyAlignment="1">
      <alignment horizontal="left"/>
    </xf>
    <xf numFmtId="0" fontId="13" fillId="0" borderId="0" xfId="13" applyFont="1"/>
    <xf numFmtId="0" fontId="2" fillId="0" borderId="0" xfId="0" applyFont="1"/>
    <xf numFmtId="0" fontId="13" fillId="0" borderId="0" xfId="13" applyFont="1" applyAlignment="1">
      <alignment horizontal="left"/>
    </xf>
    <xf numFmtId="2" fontId="13" fillId="4" borderId="9" xfId="13" applyNumberFormat="1" applyFont="1" applyFill="1" applyBorder="1" applyAlignment="1">
      <alignment horizontal="center" vertical="center" wrapText="1"/>
    </xf>
    <xf numFmtId="2" fontId="5" fillId="0" borderId="9" xfId="13" applyNumberFormat="1" applyFont="1" applyBorder="1" applyAlignment="1">
      <alignment horizontal="center" vertical="center" wrapText="1"/>
    </xf>
    <xf numFmtId="2" fontId="13" fillId="0" borderId="9" xfId="13" applyNumberFormat="1" applyFont="1" applyBorder="1" applyAlignment="1">
      <alignment horizontal="center" vertical="center" wrapText="1"/>
    </xf>
    <xf numFmtId="165" fontId="5" fillId="0" borderId="9" xfId="13" applyNumberFormat="1" applyFont="1" applyBorder="1" applyAlignment="1">
      <alignment horizontal="center" vertical="center" wrapText="1"/>
    </xf>
    <xf numFmtId="1" fontId="13" fillId="4" borderId="9" xfId="13" applyNumberFormat="1" applyFont="1" applyFill="1" applyBorder="1" applyAlignment="1">
      <alignment horizontal="center" vertical="center" wrapText="1"/>
    </xf>
    <xf numFmtId="0" fontId="13" fillId="4" borderId="9" xfId="13" applyFont="1" applyFill="1" applyBorder="1" applyAlignment="1">
      <alignment horizontal="left"/>
    </xf>
    <xf numFmtId="9" fontId="13" fillId="4" borderId="9" xfId="3" applyFont="1" applyFill="1" applyBorder="1" applyAlignment="1">
      <alignment horizontal="center" vertical="center" wrapText="1"/>
    </xf>
    <xf numFmtId="9" fontId="2" fillId="4" borderId="9" xfId="3" applyFont="1" applyFill="1" applyBorder="1" applyAlignment="1">
      <alignment horizontal="center" vertical="center" wrapText="1"/>
    </xf>
    <xf numFmtId="9" fontId="2" fillId="0" borderId="9" xfId="3" applyFont="1" applyFill="1" applyBorder="1" applyAlignment="1">
      <alignment horizontal="center" vertical="center" wrapText="1"/>
    </xf>
    <xf numFmtId="170" fontId="13" fillId="4" borderId="9" xfId="1" applyNumberFormat="1" applyFont="1" applyFill="1" applyBorder="1" applyAlignment="1">
      <alignment horizontal="center"/>
    </xf>
    <xf numFmtId="170" fontId="5" fillId="4" borderId="9" xfId="1" applyNumberFormat="1" applyFont="1" applyFill="1" applyBorder="1" applyAlignment="1">
      <alignment horizontal="center"/>
    </xf>
    <xf numFmtId="39" fontId="5" fillId="4" borderId="9" xfId="1" applyNumberFormat="1" applyFont="1" applyFill="1" applyBorder="1" applyAlignment="1">
      <alignment horizontal="center"/>
    </xf>
    <xf numFmtId="9" fontId="13" fillId="0" borderId="0" xfId="3" applyFont="1" applyFill="1" applyBorder="1"/>
    <xf numFmtId="9" fontId="13" fillId="0" borderId="0" xfId="0" applyNumberFormat="1" applyFont="1"/>
    <xf numFmtId="0" fontId="5" fillId="0" borderId="0" xfId="13" applyFont="1"/>
    <xf numFmtId="172" fontId="5" fillId="4" borderId="9" xfId="16" applyNumberFormat="1" applyFont="1" applyFill="1" applyBorder="1" applyAlignment="1">
      <alignment horizontal="center"/>
    </xf>
    <xf numFmtId="3" fontId="5" fillId="4" borderId="9" xfId="0" applyNumberFormat="1" applyFont="1" applyFill="1" applyBorder="1" applyAlignment="1">
      <alignment horizontal="center"/>
    </xf>
    <xf numFmtId="172" fontId="5" fillId="0" borderId="9" xfId="3" applyNumberFormat="1" applyFont="1" applyFill="1" applyBorder="1" applyAlignment="1">
      <alignment horizontal="center"/>
    </xf>
    <xf numFmtId="188" fontId="5" fillId="0" borderId="9" xfId="3" applyNumberFormat="1" applyFont="1" applyFill="1" applyBorder="1" applyAlignment="1">
      <alignment horizontal="center"/>
    </xf>
    <xf numFmtId="179" fontId="5" fillId="0" borderId="9" xfId="0" applyNumberFormat="1" applyFont="1" applyBorder="1" applyAlignment="1">
      <alignment horizontal="center"/>
    </xf>
    <xf numFmtId="171" fontId="13" fillId="0" borderId="9" xfId="6" applyNumberFormat="1" applyFont="1" applyBorder="1" applyAlignment="1">
      <alignment horizontal="center"/>
    </xf>
    <xf numFmtId="179" fontId="13" fillId="0" borderId="0" xfId="9" applyNumberFormat="1" applyFont="1" applyFill="1" applyBorder="1" applyAlignment="1">
      <alignment horizontal="left" vertical="center" wrapText="1"/>
    </xf>
    <xf numFmtId="165" fontId="13" fillId="0" borderId="9" xfId="6" applyNumberFormat="1" applyFont="1" applyBorder="1" applyAlignment="1">
      <alignment horizontal="center" vertical="center" wrapText="1"/>
    </xf>
    <xf numFmtId="9" fontId="13" fillId="0" borderId="9" xfId="3" applyFont="1" applyFill="1" applyBorder="1" applyAlignment="1">
      <alignment horizontal="center" vertical="center" wrapText="1"/>
    </xf>
    <xf numFmtId="165" fontId="13" fillId="0" borderId="9" xfId="6" applyNumberFormat="1" applyFont="1" applyBorder="1" applyAlignment="1">
      <alignment horizontal="center"/>
    </xf>
    <xf numFmtId="0" fontId="13" fillId="0" borderId="0" xfId="0" applyFont="1" applyAlignment="1">
      <alignment horizontal="left"/>
    </xf>
    <xf numFmtId="0" fontId="5" fillId="0" borderId="9" xfId="0" applyFont="1" applyBorder="1" applyAlignment="1">
      <alignment horizontal="center" vertical="center" wrapText="1"/>
    </xf>
    <xf numFmtId="182" fontId="13" fillId="4" borderId="9" xfId="1" applyNumberFormat="1" applyFont="1" applyFill="1" applyBorder="1" applyAlignment="1">
      <alignment horizontal="center" vertical="center"/>
    </xf>
    <xf numFmtId="0" fontId="13" fillId="0" borderId="9" xfId="6" applyFont="1" applyBorder="1" applyAlignment="1">
      <alignment horizontal="center"/>
    </xf>
    <xf numFmtId="0" fontId="13" fillId="0" borderId="9" xfId="6" applyFont="1" applyBorder="1"/>
    <xf numFmtId="171" fontId="13" fillId="0" borderId="9" xfId="13" applyNumberFormat="1" applyFont="1" applyBorder="1" applyAlignment="1">
      <alignment horizontal="center"/>
    </xf>
    <xf numFmtId="0" fontId="13" fillId="11" borderId="9" xfId="0" applyFont="1" applyFill="1" applyBorder="1" applyAlignment="1">
      <alignment horizontal="center" vertical="center"/>
    </xf>
    <xf numFmtId="0" fontId="13" fillId="4" borderId="0" xfId="6" applyFont="1" applyFill="1"/>
    <xf numFmtId="0" fontId="13" fillId="0" borderId="0" xfId="13" applyFont="1" applyAlignment="1">
      <alignment horizontal="left" vertical="center"/>
    </xf>
    <xf numFmtId="0" fontId="13" fillId="11" borderId="9" xfId="0" applyFont="1" applyFill="1" applyBorder="1" applyAlignment="1">
      <alignment horizontal="left" vertical="center"/>
    </xf>
    <xf numFmtId="167" fontId="6" fillId="12" borderId="0" xfId="0" applyNumberFormat="1" applyFont="1" applyFill="1" applyAlignment="1">
      <alignment horizontal="center"/>
    </xf>
    <xf numFmtId="165" fontId="13" fillId="0" borderId="9" xfId="6" applyNumberFormat="1" applyFont="1" applyBorder="1" applyAlignment="1">
      <alignment horizontal="center" vertical="center"/>
    </xf>
    <xf numFmtId="2" fontId="5" fillId="0" borderId="9" xfId="0" applyNumberFormat="1" applyFont="1" applyBorder="1" applyAlignment="1">
      <alignment horizontal="center"/>
    </xf>
    <xf numFmtId="0" fontId="5" fillId="0" borderId="9" xfId="0" applyFont="1" applyBorder="1" applyAlignment="1">
      <alignment horizontal="center" vertical="center"/>
    </xf>
    <xf numFmtId="9" fontId="2" fillId="0" borderId="0" xfId="3" applyFont="1"/>
    <xf numFmtId="0" fontId="24" fillId="0" borderId="0" xfId="6" applyFont="1"/>
    <xf numFmtId="165" fontId="5" fillId="0" borderId="9" xfId="6" applyNumberFormat="1" applyFont="1" applyBorder="1" applyAlignment="1">
      <alignment horizontal="center" vertical="center" wrapText="1"/>
    </xf>
    <xf numFmtId="0" fontId="13" fillId="0" borderId="0" xfId="6" applyFont="1" applyAlignment="1">
      <alignment horizontal="center" wrapText="1"/>
    </xf>
    <xf numFmtId="168" fontId="24" fillId="0" borderId="0" xfId="9" applyNumberFormat="1" applyFont="1" applyBorder="1" applyAlignment="1">
      <alignment horizontal="left" vertical="center" wrapText="1"/>
    </xf>
    <xf numFmtId="168" fontId="24" fillId="0" borderId="0" xfId="9" applyNumberFormat="1" applyFont="1" applyBorder="1" applyAlignment="1">
      <alignment vertical="center" wrapText="1"/>
    </xf>
    <xf numFmtId="168" fontId="24" fillId="0" borderId="0" xfId="9" applyNumberFormat="1" applyFont="1" applyFill="1" applyBorder="1" applyAlignment="1">
      <alignment vertical="center" wrapText="1"/>
    </xf>
    <xf numFmtId="0" fontId="13" fillId="0" borderId="9" xfId="8" applyFont="1" applyBorder="1" applyAlignment="1">
      <alignment horizontal="left"/>
    </xf>
    <xf numFmtId="0" fontId="0" fillId="4" borderId="0" xfId="0" applyFill="1"/>
    <xf numFmtId="170" fontId="13" fillId="4"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0" fontId="13" fillId="0" borderId="19" xfId="8" applyFont="1" applyBorder="1" applyAlignment="1">
      <alignment horizontal="left"/>
    </xf>
    <xf numFmtId="0" fontId="13" fillId="0" borderId="0" xfId="8" applyFont="1" applyAlignment="1">
      <alignment horizontal="left"/>
    </xf>
    <xf numFmtId="165" fontId="13" fillId="4" borderId="9" xfId="8" applyNumberFormat="1" applyFont="1" applyFill="1" applyBorder="1" applyAlignment="1">
      <alignment horizontal="center"/>
    </xf>
    <xf numFmtId="7" fontId="13" fillId="4" borderId="9" xfId="2" applyNumberFormat="1" applyFont="1" applyFill="1" applyBorder="1" applyAlignment="1">
      <alignment horizontal="center"/>
    </xf>
    <xf numFmtId="2" fontId="13" fillId="4" borderId="9" xfId="0" applyNumberFormat="1" applyFont="1" applyFill="1" applyBorder="1" applyAlignment="1">
      <alignment horizontal="center" vertical="center"/>
    </xf>
    <xf numFmtId="182" fontId="13" fillId="0" borderId="9" xfId="1" applyNumberFormat="1" applyFont="1" applyFill="1" applyBorder="1" applyAlignment="1">
      <alignment horizontal="center"/>
    </xf>
    <xf numFmtId="169" fontId="13" fillId="0" borderId="9" xfId="0" applyNumberFormat="1" applyFont="1" applyBorder="1" applyAlignment="1">
      <alignment horizontal="center" vertical="center"/>
    </xf>
    <xf numFmtId="0" fontId="13" fillId="0" borderId="9" xfId="8" applyFont="1" applyBorder="1" applyAlignment="1">
      <alignment horizontal="center"/>
    </xf>
    <xf numFmtId="2" fontId="5" fillId="4" borderId="9" xfId="0" applyNumberFormat="1" applyFont="1" applyFill="1" applyBorder="1" applyAlignment="1">
      <alignment horizontal="center" vertical="center"/>
    </xf>
    <xf numFmtId="39" fontId="13"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3" fontId="13" fillId="0" borderId="9" xfId="0" applyNumberFormat="1" applyFont="1" applyBorder="1" applyAlignment="1">
      <alignment horizontal="left" vertical="center"/>
    </xf>
    <xf numFmtId="3" fontId="13" fillId="0" borderId="9" xfId="0" applyNumberFormat="1" applyFont="1" applyBorder="1" applyAlignment="1">
      <alignment horizontal="center" vertical="center"/>
    </xf>
    <xf numFmtId="9" fontId="5" fillId="0" borderId="9" xfId="0" applyNumberFormat="1" applyFont="1" applyBorder="1" applyAlignment="1">
      <alignment horizontal="center" vertical="center"/>
    </xf>
    <xf numFmtId="9" fontId="13" fillId="0" borderId="9" xfId="3" applyFont="1" applyFill="1" applyBorder="1" applyAlignment="1">
      <alignment horizontal="center"/>
    </xf>
    <xf numFmtId="9" fontId="5" fillId="0" borderId="9" xfId="3" applyFont="1" applyFill="1" applyBorder="1" applyAlignment="1">
      <alignment horizontal="center"/>
    </xf>
    <xf numFmtId="0" fontId="13" fillId="0" borderId="0" xfId="0" applyFont="1" applyAlignment="1">
      <alignment horizontal="left" vertical="center"/>
    </xf>
    <xf numFmtId="0" fontId="13" fillId="0" borderId="0" xfId="0" applyFont="1" applyAlignment="1">
      <alignment horizontal="center" wrapText="1"/>
    </xf>
    <xf numFmtId="0" fontId="5" fillId="0" borderId="0" xfId="0" applyFont="1" applyAlignment="1">
      <alignment wrapText="1"/>
    </xf>
    <xf numFmtId="171" fontId="13" fillId="0" borderId="9" xfId="0" applyNumberFormat="1" applyFont="1" applyBorder="1" applyAlignment="1">
      <alignment horizontal="center" vertical="center" wrapText="1"/>
    </xf>
    <xf numFmtId="178" fontId="13" fillId="4" borderId="9" xfId="0" applyNumberFormat="1" applyFont="1" applyFill="1" applyBorder="1" applyAlignment="1">
      <alignment horizontal="center" vertical="center"/>
    </xf>
    <xf numFmtId="178" fontId="13" fillId="0" borderId="9" xfId="0" applyNumberFormat="1" applyFont="1" applyBorder="1" applyAlignment="1">
      <alignment horizontal="center" vertical="center"/>
    </xf>
    <xf numFmtId="178" fontId="5" fillId="0" borderId="9" xfId="0" applyNumberFormat="1" applyFont="1" applyBorder="1" applyAlignment="1">
      <alignment horizontal="center" vertical="center"/>
    </xf>
    <xf numFmtId="3" fontId="13" fillId="4" borderId="9" xfId="0" applyNumberFormat="1" applyFont="1" applyFill="1" applyBorder="1" applyAlignment="1">
      <alignment horizontal="center" vertical="center" wrapText="1"/>
    </xf>
    <xf numFmtId="0" fontId="13" fillId="4" borderId="0" xfId="0" applyFont="1" applyFill="1"/>
    <xf numFmtId="180" fontId="13" fillId="0" borderId="9" xfId="0" applyNumberFormat="1" applyFont="1" applyBorder="1" applyAlignment="1">
      <alignment horizontal="center" vertical="center" wrapText="1"/>
    </xf>
    <xf numFmtId="2" fontId="13" fillId="0" borderId="9" xfId="0" applyNumberFormat="1" applyFont="1" applyBorder="1" applyAlignment="1">
      <alignment horizontal="center" vertical="center" wrapText="1"/>
    </xf>
    <xf numFmtId="7" fontId="13" fillId="4" borderId="9" xfId="2" applyNumberFormat="1" applyFont="1" applyFill="1" applyBorder="1" applyAlignment="1">
      <alignment horizontal="center" vertical="center" wrapText="1"/>
    </xf>
    <xf numFmtId="165" fontId="5" fillId="4" borderId="9" xfId="0" applyNumberFormat="1" applyFont="1" applyFill="1" applyBorder="1" applyAlignment="1">
      <alignment horizontal="center" vertical="center" wrapText="1"/>
    </xf>
    <xf numFmtId="7" fontId="5" fillId="4" borderId="9" xfId="2" applyNumberFormat="1" applyFont="1" applyFill="1" applyBorder="1" applyAlignment="1">
      <alignment horizontal="center" vertical="center" wrapText="1"/>
    </xf>
    <xf numFmtId="9" fontId="5" fillId="0" borderId="9" xfId="0" applyNumberFormat="1" applyFont="1" applyBorder="1" applyAlignment="1">
      <alignment horizontal="center" vertical="center" wrapText="1"/>
    </xf>
    <xf numFmtId="0" fontId="13" fillId="0" borderId="9" xfId="0" applyFont="1" applyBorder="1" applyAlignment="1">
      <alignment horizontal="center" wrapText="1"/>
    </xf>
    <xf numFmtId="165" fontId="5" fillId="4" borderId="9" xfId="8" applyNumberFormat="1" applyFont="1" applyFill="1" applyBorder="1" applyAlignment="1">
      <alignment horizontal="center"/>
    </xf>
    <xf numFmtId="7" fontId="5" fillId="0" borderId="9" xfId="2" applyNumberFormat="1" applyFont="1" applyFill="1" applyBorder="1" applyAlignment="1">
      <alignment horizontal="center"/>
    </xf>
    <xf numFmtId="171" fontId="13" fillId="4" borderId="9" xfId="0" applyNumberFormat="1" applyFont="1" applyFill="1" applyBorder="1" applyAlignment="1">
      <alignment horizontal="center" vertical="center" wrapText="1"/>
    </xf>
    <xf numFmtId="2" fontId="5" fillId="4" borderId="9" xfId="0" applyNumberFormat="1" applyFont="1" applyFill="1" applyBorder="1" applyAlignment="1">
      <alignment horizontal="center"/>
    </xf>
    <xf numFmtId="0" fontId="0" fillId="0" borderId="9" xfId="0" applyBorder="1" applyAlignment="1">
      <alignment horizontal="center"/>
    </xf>
    <xf numFmtId="0" fontId="27" fillId="12" borderId="0" xfId="0" applyFont="1" applyFill="1"/>
    <xf numFmtId="167" fontId="27" fillId="12" borderId="0" xfId="0" applyNumberFormat="1" applyFont="1" applyFill="1"/>
    <xf numFmtId="180" fontId="13" fillId="4" borderId="9" xfId="0" applyNumberFormat="1" applyFont="1" applyFill="1" applyBorder="1" applyAlignment="1">
      <alignment horizontal="center"/>
    </xf>
    <xf numFmtId="179" fontId="13" fillId="4" borderId="9" xfId="0" applyNumberFormat="1" applyFont="1" applyFill="1" applyBorder="1" applyAlignment="1">
      <alignment horizontal="center" vertical="center" wrapText="1"/>
    </xf>
    <xf numFmtId="0" fontId="13" fillId="0" borderId="0" xfId="0" applyFont="1" applyAlignment="1">
      <alignment wrapText="1"/>
    </xf>
    <xf numFmtId="39" fontId="13" fillId="4"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4" fillId="4" borderId="0" xfId="5" applyFont="1" applyFill="1"/>
    <xf numFmtId="39" fontId="13" fillId="0" borderId="9" xfId="1" applyNumberFormat="1" applyFont="1" applyBorder="1" applyAlignment="1">
      <alignment horizontal="center"/>
    </xf>
    <xf numFmtId="0" fontId="13" fillId="4" borderId="19" xfId="8" applyFont="1" applyFill="1" applyBorder="1" applyAlignment="1">
      <alignment horizontal="left"/>
    </xf>
    <xf numFmtId="7" fontId="13" fillId="4" borderId="0" xfId="0" applyNumberFormat="1" applyFont="1" applyFill="1"/>
    <xf numFmtId="9" fontId="13" fillId="4" borderId="9" xfId="3" applyFont="1" applyFill="1" applyBorder="1" applyAlignment="1">
      <alignment horizontal="center"/>
    </xf>
    <xf numFmtId="0" fontId="13" fillId="4" borderId="9" xfId="8" applyFont="1" applyFill="1" applyBorder="1"/>
    <xf numFmtId="9" fontId="5" fillId="4" borderId="9" xfId="3" applyFont="1" applyFill="1" applyBorder="1" applyAlignment="1">
      <alignment horizontal="center"/>
    </xf>
    <xf numFmtId="165" fontId="5" fillId="0" borderId="9" xfId="3" applyNumberFormat="1" applyFont="1" applyBorder="1" applyAlignment="1">
      <alignment horizontal="center"/>
    </xf>
    <xf numFmtId="165" fontId="5" fillId="4" borderId="9" xfId="3" applyNumberFormat="1" applyFont="1" applyFill="1" applyBorder="1" applyAlignment="1">
      <alignment horizontal="center"/>
    </xf>
    <xf numFmtId="165" fontId="13" fillId="0" borderId="9" xfId="3" applyNumberFormat="1" applyFont="1" applyBorder="1" applyAlignment="1">
      <alignment horizontal="center"/>
    </xf>
    <xf numFmtId="10" fontId="5" fillId="4" borderId="9" xfId="3" applyNumberFormat="1" applyFont="1" applyFill="1" applyBorder="1" applyAlignment="1">
      <alignment horizontal="center"/>
    </xf>
    <xf numFmtId="10" fontId="13" fillId="4" borderId="9" xfId="3" applyNumberFormat="1" applyFont="1" applyFill="1" applyBorder="1" applyAlignment="1">
      <alignment horizontal="center"/>
    </xf>
    <xf numFmtId="44" fontId="13" fillId="0" borderId="27" xfId="2" applyFont="1" applyFill="1" applyBorder="1"/>
    <xf numFmtId="37" fontId="13" fillId="0" borderId="9" xfId="0" applyNumberFormat="1" applyFont="1" applyBorder="1" applyAlignment="1">
      <alignment horizontal="center"/>
    </xf>
    <xf numFmtId="5" fontId="13" fillId="4" borderId="9" xfId="2" applyNumberFormat="1" applyFont="1" applyFill="1" applyBorder="1" applyAlignment="1">
      <alignment horizontal="center"/>
    </xf>
    <xf numFmtId="168" fontId="5" fillId="0" borderId="9" xfId="1" applyNumberFormat="1" applyFont="1" applyBorder="1"/>
    <xf numFmtId="43" fontId="13" fillId="0" borderId="9" xfId="1" applyFont="1" applyBorder="1"/>
    <xf numFmtId="39" fontId="13" fillId="4" borderId="9" xfId="1" applyNumberFormat="1" applyFont="1" applyFill="1" applyBorder="1" applyAlignment="1">
      <alignment horizontal="center"/>
    </xf>
    <xf numFmtId="168" fontId="13" fillId="4" borderId="9" xfId="0" applyNumberFormat="1" applyFont="1" applyFill="1" applyBorder="1" applyAlignment="1">
      <alignment horizontal="left"/>
    </xf>
    <xf numFmtId="39" fontId="5" fillId="0" borderId="9" xfId="1" applyNumberFormat="1" applyFont="1" applyBorder="1" applyAlignment="1">
      <alignment horizontal="center"/>
    </xf>
    <xf numFmtId="7" fontId="5" fillId="4" borderId="9" xfId="2" applyNumberFormat="1" applyFont="1" applyFill="1" applyBorder="1" applyAlignment="1">
      <alignment horizontal="center"/>
    </xf>
    <xf numFmtId="7" fontId="13" fillId="0" borderId="9" xfId="2" applyNumberFormat="1" applyFont="1" applyBorder="1" applyAlignment="1">
      <alignment horizontal="center"/>
    </xf>
    <xf numFmtId="44" fontId="13" fillId="0" borderId="9" xfId="2" applyFont="1" applyBorder="1"/>
    <xf numFmtId="2" fontId="13" fillId="0" borderId="0" xfId="0" applyNumberFormat="1" applyFont="1" applyAlignment="1">
      <alignment horizontal="left"/>
    </xf>
    <xf numFmtId="0" fontId="13" fillId="4" borderId="30" xfId="0" applyFont="1" applyFill="1" applyBorder="1" applyAlignment="1">
      <alignment horizontal="left" vertical="top" wrapText="1"/>
    </xf>
    <xf numFmtId="2" fontId="13" fillId="4" borderId="9" xfId="0" applyNumberFormat="1" applyFont="1" applyFill="1" applyBorder="1" applyAlignment="1">
      <alignment horizontal="left" vertical="top" wrapText="1"/>
    </xf>
    <xf numFmtId="2" fontId="5" fillId="4" borderId="9" xfId="0" applyNumberFormat="1" applyFont="1" applyFill="1" applyBorder="1" applyAlignment="1">
      <alignment horizontal="left" vertical="top" wrapText="1"/>
    </xf>
    <xf numFmtId="9" fontId="13" fillId="4" borderId="9" xfId="0" applyNumberFormat="1" applyFont="1" applyFill="1" applyBorder="1" applyAlignment="1">
      <alignment horizontal="left" vertical="top"/>
    </xf>
    <xf numFmtId="9" fontId="5" fillId="4" borderId="9" xfId="0" applyNumberFormat="1" applyFont="1" applyFill="1" applyBorder="1" applyAlignment="1">
      <alignment horizontal="left" vertical="top"/>
    </xf>
    <xf numFmtId="0" fontId="13" fillId="4" borderId="19" xfId="0" applyFont="1" applyFill="1" applyBorder="1" applyAlignment="1">
      <alignment horizontal="left" vertical="top"/>
    </xf>
    <xf numFmtId="39" fontId="13" fillId="4" borderId="9" xfId="1" applyNumberFormat="1" applyFont="1" applyFill="1" applyBorder="1" applyAlignment="1">
      <alignment horizontal="center" vertical="top"/>
    </xf>
    <xf numFmtId="39" fontId="5" fillId="4" borderId="9" xfId="1" applyNumberFormat="1" applyFont="1" applyFill="1" applyBorder="1" applyAlignment="1">
      <alignment horizontal="center" vertical="top"/>
    </xf>
    <xf numFmtId="193" fontId="13" fillId="4" borderId="9" xfId="2" applyNumberFormat="1" applyFont="1" applyFill="1" applyBorder="1" applyAlignment="1">
      <alignment horizontal="center"/>
    </xf>
    <xf numFmtId="193" fontId="5" fillId="4" borderId="9" xfId="2" applyNumberFormat="1" applyFont="1" applyFill="1" applyBorder="1" applyAlignment="1">
      <alignment horizontal="center"/>
    </xf>
    <xf numFmtId="0" fontId="13" fillId="10" borderId="17" xfId="0" applyFont="1" applyFill="1" applyBorder="1" applyAlignment="1">
      <alignment horizontal="center"/>
    </xf>
    <xf numFmtId="43" fontId="5" fillId="0" borderId="9" xfId="0" applyNumberFormat="1" applyFont="1" applyBorder="1"/>
    <xf numFmtId="43" fontId="5" fillId="4" borderId="9" xfId="0" applyNumberFormat="1" applyFont="1" applyFill="1" applyBorder="1"/>
    <xf numFmtId="165" fontId="13" fillId="0" borderId="19" xfId="0" applyNumberFormat="1" applyFont="1" applyBorder="1" applyAlignment="1">
      <alignment horizontal="center" vertical="center" wrapText="1"/>
    </xf>
    <xf numFmtId="7" fontId="13" fillId="4" borderId="19" xfId="2" applyNumberFormat="1" applyFont="1" applyFill="1" applyBorder="1" applyAlignment="1">
      <alignment horizontal="center"/>
    </xf>
    <xf numFmtId="39" fontId="13" fillId="4" borderId="9" xfId="1" quotePrefix="1" applyNumberFormat="1" applyFont="1" applyFill="1" applyBorder="1" applyAlignment="1">
      <alignment horizontal="center" vertical="center" wrapText="1"/>
    </xf>
    <xf numFmtId="2" fontId="5" fillId="0" borderId="9" xfId="1" applyNumberFormat="1" applyFont="1" applyBorder="1"/>
    <xf numFmtId="39" fontId="5" fillId="4"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9" fontId="13" fillId="4" borderId="9" xfId="0" applyNumberFormat="1" applyFont="1" applyFill="1" applyBorder="1" applyAlignment="1">
      <alignment horizontal="left" vertical="top" wrapText="1"/>
    </xf>
    <xf numFmtId="0" fontId="13" fillId="8" borderId="9" xfId="0" applyFont="1" applyFill="1" applyBorder="1" applyAlignment="1">
      <alignment horizontal="left" vertical="top" wrapText="1"/>
    </xf>
    <xf numFmtId="9" fontId="5" fillId="4" borderId="9" xfId="0" applyNumberFormat="1" applyFont="1" applyFill="1" applyBorder="1" applyAlignment="1">
      <alignment horizontal="left" vertical="top" wrapText="1"/>
    </xf>
    <xf numFmtId="39" fontId="13" fillId="4" borderId="9" xfId="1" applyNumberFormat="1" applyFont="1" applyFill="1" applyBorder="1" applyAlignment="1">
      <alignment horizontal="left" vertical="top" wrapText="1"/>
    </xf>
    <xf numFmtId="7" fontId="5" fillId="4" borderId="9" xfId="2" applyNumberFormat="1" applyFont="1" applyFill="1" applyBorder="1" applyAlignment="1">
      <alignment horizontal="left"/>
    </xf>
    <xf numFmtId="7" fontId="13" fillId="4" borderId="9" xfId="2" applyNumberFormat="1" applyFont="1" applyFill="1" applyBorder="1" applyAlignment="1">
      <alignment horizontal="left"/>
    </xf>
    <xf numFmtId="7" fontId="5" fillId="4" borderId="9" xfId="2" applyNumberFormat="1" applyFont="1" applyFill="1" applyBorder="1" applyAlignment="1">
      <alignment horizontal="left" vertical="center" wrapText="1"/>
    </xf>
    <xf numFmtId="7" fontId="13" fillId="4" borderId="9" xfId="2" applyNumberFormat="1" applyFont="1" applyFill="1" applyBorder="1" applyAlignment="1">
      <alignment horizontal="left" vertical="center" wrapText="1"/>
    </xf>
    <xf numFmtId="7" fontId="13" fillId="0" borderId="9" xfId="2" applyNumberFormat="1" applyFont="1" applyFill="1" applyBorder="1" applyAlignment="1">
      <alignment horizontal="left" vertical="center" wrapText="1"/>
    </xf>
    <xf numFmtId="8" fontId="13" fillId="0" borderId="0" xfId="0" applyNumberFormat="1" applyFont="1"/>
    <xf numFmtId="9" fontId="5" fillId="4" borderId="9" xfId="3" applyFont="1" applyFill="1" applyBorder="1" applyAlignment="1">
      <alignment horizontal="left" vertical="top" wrapText="1"/>
    </xf>
    <xf numFmtId="9" fontId="13" fillId="4" borderId="9" xfId="3" applyFont="1" applyFill="1" applyBorder="1" applyAlignment="1">
      <alignment horizontal="left" vertical="top" wrapText="1"/>
    </xf>
    <xf numFmtId="39" fontId="5" fillId="4" borderId="9" xfId="1" applyNumberFormat="1" applyFont="1" applyFill="1" applyBorder="1" applyAlignment="1">
      <alignment horizontal="left" vertical="top" wrapText="1"/>
    </xf>
    <xf numFmtId="7" fontId="5" fillId="4" borderId="9" xfId="2" applyNumberFormat="1" applyFont="1" applyFill="1" applyBorder="1" applyAlignment="1">
      <alignment horizontal="left" vertical="top" wrapText="1"/>
    </xf>
    <xf numFmtId="7" fontId="13" fillId="4" borderId="9" xfId="2" applyNumberFormat="1" applyFont="1" applyFill="1" applyBorder="1" applyAlignment="1">
      <alignment horizontal="left" vertical="top" wrapText="1"/>
    </xf>
    <xf numFmtId="0" fontId="13" fillId="16" borderId="0" xfId="0" applyFont="1" applyFill="1" applyAlignment="1">
      <alignment horizontal="left" vertical="top" wrapText="1"/>
    </xf>
    <xf numFmtId="170" fontId="13" fillId="4" borderId="9" xfId="1" quotePrefix="1" applyNumberFormat="1" applyFont="1" applyFill="1" applyBorder="1" applyAlignment="1">
      <alignment horizontal="center" vertical="center" wrapText="1"/>
    </xf>
    <xf numFmtId="170" fontId="5" fillId="0" borderId="9" xfId="0" applyNumberFormat="1" applyFont="1" applyBorder="1"/>
    <xf numFmtId="170" fontId="5" fillId="4" borderId="9" xfId="1" quotePrefix="1" applyNumberFormat="1" applyFont="1" applyFill="1" applyBorder="1" applyAlignment="1">
      <alignment horizontal="center" vertical="center" wrapText="1"/>
    </xf>
    <xf numFmtId="170" fontId="5" fillId="4" borderId="9" xfId="0" applyNumberFormat="1" applyFont="1" applyFill="1" applyBorder="1" applyAlignment="1">
      <alignment horizontal="center" vertical="center" wrapText="1"/>
    </xf>
    <xf numFmtId="165" fontId="5" fillId="4" borderId="9" xfId="0" applyNumberFormat="1" applyFont="1" applyFill="1" applyBorder="1" applyAlignment="1">
      <alignment horizontal="left" vertical="top" wrapText="1"/>
    </xf>
    <xf numFmtId="37" fontId="5" fillId="4" borderId="9" xfId="1" quotePrefix="1" applyNumberFormat="1" applyFont="1" applyFill="1" applyBorder="1" applyAlignment="1">
      <alignment horizontal="center" vertical="center" wrapText="1"/>
    </xf>
    <xf numFmtId="7" fontId="13" fillId="0" borderId="0" xfId="2" applyNumberFormat="1" applyFont="1" applyFill="1" applyBorder="1" applyAlignment="1">
      <alignment horizontal="center" vertical="center" wrapText="1"/>
    </xf>
    <xf numFmtId="0" fontId="13" fillId="4" borderId="23" xfId="0" applyFont="1" applyFill="1" applyBorder="1" applyAlignment="1">
      <alignment horizontal="left" vertical="top"/>
    </xf>
    <xf numFmtId="37" fontId="13" fillId="4" borderId="9" xfId="1" quotePrefix="1" applyNumberFormat="1" applyFont="1" applyFill="1" applyBorder="1" applyAlignment="1">
      <alignment horizontal="center" vertical="center" wrapText="1"/>
    </xf>
    <xf numFmtId="170" fontId="13" fillId="4" borderId="9" xfId="1" applyNumberFormat="1" applyFont="1" applyFill="1" applyBorder="1" applyAlignment="1">
      <alignment horizontal="center" vertical="center" wrapText="1"/>
    </xf>
    <xf numFmtId="0" fontId="13" fillId="4" borderId="0" xfId="0" applyFont="1" applyFill="1" applyAlignment="1">
      <alignment horizontal="left"/>
    </xf>
    <xf numFmtId="2" fontId="13" fillId="0" borderId="9" xfId="0" applyNumberFormat="1" applyFont="1" applyBorder="1" applyAlignment="1">
      <alignment wrapText="1"/>
    </xf>
    <xf numFmtId="171" fontId="13" fillId="4" borderId="9" xfId="2" applyNumberFormat="1" applyFont="1" applyFill="1" applyBorder="1" applyAlignment="1">
      <alignment horizontal="center"/>
    </xf>
    <xf numFmtId="171" fontId="13" fillId="0" borderId="9" xfId="0" applyNumberFormat="1" applyFont="1" applyBorder="1" applyAlignment="1">
      <alignment horizontal="center"/>
    </xf>
    <xf numFmtId="188" fontId="13" fillId="0" borderId="9" xfId="3" applyNumberFormat="1" applyFont="1" applyBorder="1"/>
    <xf numFmtId="2" fontId="13" fillId="0" borderId="0" xfId="0" applyNumberFormat="1" applyFont="1" applyAlignment="1">
      <alignment horizontal="center"/>
    </xf>
    <xf numFmtId="2" fontId="13" fillId="8" borderId="9" xfId="0" applyNumberFormat="1" applyFont="1" applyFill="1" applyBorder="1" applyAlignment="1">
      <alignment wrapText="1"/>
    </xf>
    <xf numFmtId="170" fontId="13" fillId="4" borderId="9" xfId="1" applyNumberFormat="1" applyFont="1" applyFill="1" applyBorder="1" applyAlignment="1">
      <alignment horizontal="left" vertical="top" wrapText="1"/>
    </xf>
    <xf numFmtId="0" fontId="27" fillId="0" borderId="0" xfId="5" applyFont="1" applyAlignment="1">
      <alignment horizontal="center" vertical="center" wrapText="1"/>
    </xf>
    <xf numFmtId="0" fontId="24" fillId="0" borderId="0" xfId="5" applyFont="1"/>
    <xf numFmtId="168" fontId="13" fillId="0" borderId="9" xfId="0" applyNumberFormat="1" applyFont="1" applyBorder="1" applyAlignment="1">
      <alignment horizontal="left"/>
    </xf>
    <xf numFmtId="165" fontId="13" fillId="4" borderId="9" xfId="13" applyNumberFormat="1" applyFont="1" applyFill="1" applyBorder="1" applyAlignment="1">
      <alignment horizontal="center"/>
    </xf>
    <xf numFmtId="171" fontId="13" fillId="4" borderId="9" xfId="13" applyNumberFormat="1" applyFont="1" applyFill="1" applyBorder="1" applyAlignment="1">
      <alignment horizontal="center"/>
    </xf>
    <xf numFmtId="187" fontId="13" fillId="4" borderId="9" xfId="0" applyNumberFormat="1" applyFont="1" applyFill="1" applyBorder="1" applyAlignment="1">
      <alignment horizontal="center" vertical="center" wrapText="1"/>
    </xf>
    <xf numFmtId="39" fontId="13" fillId="4" borderId="9" xfId="0" applyNumberFormat="1" applyFont="1" applyFill="1" applyBorder="1" applyAlignment="1">
      <alignment horizontal="center" vertical="center" wrapText="1"/>
    </xf>
    <xf numFmtId="2" fontId="5" fillId="0" borderId="9" xfId="13" applyNumberFormat="1" applyFont="1" applyBorder="1" applyAlignment="1">
      <alignment horizontal="center"/>
    </xf>
    <xf numFmtId="39" fontId="5" fillId="4" borderId="9" xfId="0" applyNumberFormat="1" applyFont="1" applyFill="1" applyBorder="1" applyAlignment="1">
      <alignment horizontal="center" vertical="center" wrapText="1"/>
    </xf>
    <xf numFmtId="0" fontId="2" fillId="0" borderId="0" xfId="8" applyFont="1"/>
    <xf numFmtId="169" fontId="13" fillId="0" borderId="9" xfId="2" applyNumberFormat="1" applyFont="1" applyBorder="1" applyAlignment="1">
      <alignment horizontal="center"/>
    </xf>
    <xf numFmtId="7" fontId="2" fillId="0" borderId="9" xfId="2" applyNumberFormat="1" applyFont="1" applyFill="1" applyBorder="1" applyAlignment="1">
      <alignment horizontal="center"/>
    </xf>
    <xf numFmtId="180" fontId="2" fillId="0" borderId="9" xfId="8" applyNumberFormat="1" applyFont="1" applyBorder="1" applyAlignment="1">
      <alignment horizontal="center"/>
    </xf>
    <xf numFmtId="180" fontId="5" fillId="0" borderId="9" xfId="8" applyNumberFormat="1" applyFont="1" applyBorder="1" applyAlignment="1">
      <alignment horizontal="center"/>
    </xf>
    <xf numFmtId="1" fontId="5" fillId="0" borderId="9" xfId="3" applyNumberFormat="1" applyFont="1" applyFill="1" applyBorder="1" applyAlignment="1">
      <alignment horizontal="center"/>
    </xf>
    <xf numFmtId="1" fontId="2" fillId="0" borderId="9" xfId="3" applyNumberFormat="1" applyFont="1" applyBorder="1" applyAlignment="1">
      <alignment horizontal="center"/>
    </xf>
    <xf numFmtId="180" fontId="5" fillId="4" borderId="9" xfId="8" applyNumberFormat="1" applyFont="1" applyFill="1" applyBorder="1" applyAlignment="1">
      <alignment horizontal="center"/>
    </xf>
    <xf numFmtId="0" fontId="13" fillId="0" borderId="0" xfId="8" applyFont="1" applyAlignment="1">
      <alignment horizontal="center"/>
    </xf>
    <xf numFmtId="0" fontId="13" fillId="0" borderId="34" xfId="8" applyFont="1" applyBorder="1"/>
    <xf numFmtId="0" fontId="13" fillId="0" borderId="0" xfId="8" applyFont="1"/>
    <xf numFmtId="0" fontId="2" fillId="0" borderId="0" xfId="8" applyFont="1" applyAlignment="1">
      <alignment horizontal="center"/>
    </xf>
    <xf numFmtId="0" fontId="13" fillId="0" borderId="35" xfId="8" applyFont="1" applyBorder="1" applyAlignment="1">
      <alignment horizontal="center"/>
    </xf>
    <xf numFmtId="0" fontId="13" fillId="0" borderId="33" xfId="8" applyFont="1" applyBorder="1" applyAlignment="1">
      <alignment horizontal="center"/>
    </xf>
    <xf numFmtId="9" fontId="2" fillId="0" borderId="9" xfId="3" applyFont="1" applyBorder="1" applyAlignment="1">
      <alignment horizontal="center"/>
    </xf>
    <xf numFmtId="2" fontId="5" fillId="0" borderId="9" xfId="3" applyNumberFormat="1" applyFont="1" applyBorder="1" applyAlignment="1">
      <alignment horizontal="center"/>
    </xf>
    <xf numFmtId="0" fontId="36" fillId="0" borderId="9" xfId="8" applyFont="1" applyBorder="1" applyAlignment="1">
      <alignment horizontal="left" vertical="center"/>
    </xf>
    <xf numFmtId="2" fontId="2" fillId="0" borderId="9" xfId="3" applyNumberFormat="1" applyFont="1" applyBorder="1" applyAlignment="1">
      <alignment horizontal="center"/>
    </xf>
    <xf numFmtId="10" fontId="2" fillId="0" borderId="9" xfId="3" applyNumberFormat="1" applyFont="1" applyBorder="1" applyAlignment="1">
      <alignment horizontal="center"/>
    </xf>
    <xf numFmtId="1" fontId="2" fillId="0" borderId="21" xfId="3" applyNumberFormat="1" applyFont="1" applyBorder="1" applyAlignment="1">
      <alignment horizontal="center"/>
    </xf>
    <xf numFmtId="1" fontId="2" fillId="0" borderId="19" xfId="3" applyNumberFormat="1" applyFont="1" applyBorder="1" applyAlignment="1">
      <alignment horizontal="center"/>
    </xf>
    <xf numFmtId="165" fontId="2" fillId="0" borderId="9" xfId="3" applyNumberFormat="1" applyFont="1" applyFill="1" applyBorder="1" applyAlignment="1">
      <alignment horizontal="center"/>
    </xf>
    <xf numFmtId="0" fontId="36" fillId="4" borderId="9" xfId="8" applyFont="1" applyFill="1" applyBorder="1" applyAlignment="1">
      <alignment horizontal="left" vertical="center"/>
    </xf>
    <xf numFmtId="165" fontId="2" fillId="4" borderId="9" xfId="3" applyNumberFormat="1" applyFont="1" applyFill="1" applyBorder="1" applyAlignment="1">
      <alignment horizontal="center"/>
    </xf>
    <xf numFmtId="0" fontId="2" fillId="0" borderId="9" xfId="8" applyFont="1" applyBorder="1" applyAlignment="1">
      <alignment horizontal="left"/>
    </xf>
    <xf numFmtId="7" fontId="2" fillId="4" borderId="9" xfId="2" applyNumberFormat="1" applyFont="1" applyFill="1" applyBorder="1" applyAlignment="1">
      <alignment horizontal="center"/>
    </xf>
    <xf numFmtId="0" fontId="13" fillId="0" borderId="0" xfId="8" applyFont="1" applyAlignment="1">
      <alignment vertical="center" wrapText="1"/>
    </xf>
    <xf numFmtId="1" fontId="5" fillId="0" borderId="9" xfId="3" applyNumberFormat="1" applyFont="1" applyBorder="1" applyAlignment="1">
      <alignment horizontal="center"/>
    </xf>
    <xf numFmtId="1" fontId="2" fillId="4" borderId="9" xfId="3" applyNumberFormat="1" applyFont="1" applyFill="1" applyBorder="1" applyAlignment="1">
      <alignment horizontal="center"/>
    </xf>
    <xf numFmtId="9" fontId="2" fillId="4" borderId="9" xfId="3" applyFont="1" applyFill="1" applyBorder="1" applyAlignment="1">
      <alignment horizontal="center"/>
    </xf>
    <xf numFmtId="2" fontId="2" fillId="4" borderId="9" xfId="3" applyNumberFormat="1" applyFont="1" applyFill="1" applyBorder="1" applyAlignment="1">
      <alignment horizontal="center"/>
    </xf>
    <xf numFmtId="2" fontId="5" fillId="4" borderId="9" xfId="3" applyNumberFormat="1" applyFont="1" applyFill="1" applyBorder="1" applyAlignment="1">
      <alignment horizontal="center"/>
    </xf>
    <xf numFmtId="9" fontId="2" fillId="0" borderId="9" xfId="3" applyFont="1" applyFill="1" applyBorder="1" applyAlignment="1">
      <alignment horizontal="center"/>
    </xf>
    <xf numFmtId="1" fontId="2" fillId="0" borderId="9" xfId="3" applyNumberFormat="1" applyFont="1" applyFill="1" applyBorder="1" applyAlignment="1">
      <alignment horizontal="center"/>
    </xf>
    <xf numFmtId="165" fontId="36" fillId="0" borderId="9" xfId="8" applyNumberFormat="1" applyFont="1" applyBorder="1" applyAlignment="1">
      <alignment horizontal="left" vertical="center"/>
    </xf>
    <xf numFmtId="0" fontId="33" fillId="4" borderId="9" xfId="8" applyFont="1" applyFill="1" applyBorder="1" applyAlignment="1">
      <alignment horizontal="left" vertical="center"/>
    </xf>
    <xf numFmtId="2" fontId="13" fillId="0" borderId="9" xfId="3" applyNumberFormat="1" applyFont="1" applyBorder="1" applyAlignment="1">
      <alignment horizontal="center"/>
    </xf>
    <xf numFmtId="2" fontId="2" fillId="0" borderId="9" xfId="3" applyNumberFormat="1" applyFont="1" applyFill="1" applyBorder="1" applyAlignment="1">
      <alignment horizontal="center"/>
    </xf>
    <xf numFmtId="1" fontId="5" fillId="4" borderId="9" xfId="3" applyNumberFormat="1" applyFont="1" applyFill="1" applyBorder="1" applyAlignment="1">
      <alignment horizontal="center"/>
    </xf>
    <xf numFmtId="10" fontId="13" fillId="0" borderId="9" xfId="3" applyNumberFormat="1" applyFont="1" applyBorder="1" applyAlignment="1">
      <alignment horizontal="center"/>
    </xf>
    <xf numFmtId="9" fontId="13" fillId="0" borderId="9" xfId="3" applyFont="1" applyBorder="1" applyAlignment="1">
      <alignment horizontal="center"/>
    </xf>
    <xf numFmtId="10" fontId="5" fillId="0" borderId="9" xfId="3" applyNumberFormat="1" applyFont="1" applyBorder="1" applyAlignment="1">
      <alignment horizontal="center"/>
    </xf>
    <xf numFmtId="1" fontId="13" fillId="4" borderId="9" xfId="3" applyNumberFormat="1" applyFont="1" applyFill="1" applyBorder="1" applyAlignment="1">
      <alignment horizontal="center"/>
    </xf>
    <xf numFmtId="165" fontId="33" fillId="4" borderId="9" xfId="8" applyNumberFormat="1" applyFont="1" applyFill="1" applyBorder="1" applyAlignment="1">
      <alignment horizontal="left" vertical="center"/>
    </xf>
    <xf numFmtId="165" fontId="13" fillId="4" borderId="9" xfId="3" applyNumberFormat="1" applyFont="1" applyFill="1" applyBorder="1" applyAlignment="1">
      <alignment horizontal="center"/>
    </xf>
    <xf numFmtId="2" fontId="13" fillId="4" borderId="9" xfId="8" applyNumberFormat="1" applyFont="1" applyFill="1" applyBorder="1" applyAlignment="1">
      <alignment horizontal="center"/>
    </xf>
    <xf numFmtId="170" fontId="2" fillId="4" borderId="9" xfId="8" applyNumberFormat="1" applyFont="1" applyFill="1" applyBorder="1" applyAlignment="1">
      <alignment horizontal="center"/>
    </xf>
    <xf numFmtId="39" fontId="5" fillId="4" borderId="9" xfId="8" applyNumberFormat="1" applyFont="1" applyFill="1" applyBorder="1" applyAlignment="1">
      <alignment horizontal="center"/>
    </xf>
    <xf numFmtId="0" fontId="2" fillId="4" borderId="0" xfId="8" applyFont="1" applyFill="1"/>
    <xf numFmtId="0" fontId="13" fillId="4" borderId="0" xfId="8" applyFont="1" applyFill="1"/>
    <xf numFmtId="0" fontId="2" fillId="0" borderId="9" xfId="8" applyFont="1" applyBorder="1" applyAlignment="1">
      <alignment horizontal="center" vertical="center" wrapText="1"/>
    </xf>
    <xf numFmtId="165" fontId="2" fillId="0" borderId="9" xfId="8" applyNumberFormat="1" applyFont="1" applyBorder="1" applyAlignment="1">
      <alignment horizontal="center" vertical="center" wrapText="1"/>
    </xf>
    <xf numFmtId="165" fontId="2" fillId="0" borderId="16" xfId="8" applyNumberFormat="1" applyFont="1" applyBorder="1" applyAlignment="1">
      <alignment horizontal="center" vertical="center" wrapText="1"/>
    </xf>
    <xf numFmtId="1" fontId="5" fillId="0" borderId="9" xfId="13" applyNumberFormat="1" applyFont="1" applyBorder="1" applyAlignment="1">
      <alignment horizontal="center" vertical="center" wrapText="1"/>
    </xf>
    <xf numFmtId="9" fontId="2" fillId="0" borderId="9" xfId="0" applyNumberFormat="1" applyFont="1" applyBorder="1" applyAlignment="1">
      <alignment horizontal="center" vertical="center" wrapText="1"/>
    </xf>
    <xf numFmtId="39" fontId="2" fillId="0" borderId="9" xfId="1" applyNumberFormat="1" applyFont="1" applyBorder="1" applyAlignment="1">
      <alignment horizontal="center" wrapText="1"/>
    </xf>
    <xf numFmtId="170" fontId="2" fillId="4" borderId="9" xfId="1" applyNumberFormat="1" applyFont="1" applyFill="1" applyBorder="1" applyAlignment="1">
      <alignment horizontal="center" vertical="center" wrapText="1"/>
    </xf>
    <xf numFmtId="187" fontId="2" fillId="0" borderId="9" xfId="1" applyNumberFormat="1" applyFont="1" applyBorder="1" applyAlignment="1">
      <alignment horizontal="center"/>
    </xf>
    <xf numFmtId="0" fontId="2" fillId="0" borderId="9" xfId="8" applyFont="1" applyBorder="1" applyAlignment="1">
      <alignment horizontal="center" wrapText="1"/>
    </xf>
    <xf numFmtId="2" fontId="2" fillId="0" borderId="9" xfId="8" applyNumberFormat="1" applyFont="1" applyBorder="1" applyAlignment="1">
      <alignment horizontal="center" wrapText="1"/>
    </xf>
    <xf numFmtId="0" fontId="13" fillId="0" borderId="9" xfId="8" applyFont="1" applyBorder="1" applyAlignment="1">
      <alignment horizontal="center" wrapText="1"/>
    </xf>
    <xf numFmtId="170" fontId="2" fillId="0" borderId="9" xfId="1" applyNumberFormat="1" applyFont="1" applyBorder="1" applyAlignment="1">
      <alignment horizontal="center"/>
    </xf>
    <xf numFmtId="2" fontId="5" fillId="0" borderId="9" xfId="1" applyNumberFormat="1" applyFont="1" applyBorder="1" applyAlignment="1">
      <alignment horizontal="center"/>
    </xf>
    <xf numFmtId="165" fontId="13" fillId="0" borderId="9" xfId="8" applyNumberFormat="1" applyFont="1" applyBorder="1" applyAlignment="1">
      <alignment horizontal="center"/>
    </xf>
    <xf numFmtId="1" fontId="13" fillId="0" borderId="9" xfId="3" applyNumberFormat="1" applyFont="1" applyFill="1" applyBorder="1" applyAlignment="1">
      <alignment horizontal="center"/>
    </xf>
    <xf numFmtId="2" fontId="13" fillId="0" borderId="9" xfId="3" applyNumberFormat="1" applyFont="1" applyFill="1" applyBorder="1" applyAlignment="1">
      <alignment horizontal="center"/>
    </xf>
    <xf numFmtId="165" fontId="13" fillId="0" borderId="9" xfId="3" applyNumberFormat="1" applyFont="1" applyFill="1" applyBorder="1" applyAlignment="1">
      <alignment horizontal="center"/>
    </xf>
    <xf numFmtId="170" fontId="13" fillId="0" borderId="9" xfId="1" applyNumberFormat="1" applyFont="1" applyFill="1" applyBorder="1" applyAlignment="1">
      <alignment horizontal="center"/>
    </xf>
    <xf numFmtId="170" fontId="2" fillId="4" borderId="9" xfId="1" applyNumberFormat="1" applyFont="1" applyFill="1" applyBorder="1" applyAlignment="1">
      <alignment horizontal="center"/>
    </xf>
    <xf numFmtId="170" fontId="2" fillId="0" borderId="9" xfId="1" applyNumberFormat="1" applyFont="1" applyFill="1" applyBorder="1" applyAlignment="1">
      <alignment horizontal="center"/>
    </xf>
    <xf numFmtId="0" fontId="10" fillId="0" borderId="0" xfId="13" applyFont="1"/>
    <xf numFmtId="165" fontId="13" fillId="0" borderId="9" xfId="13" applyNumberFormat="1" applyFont="1" applyBorder="1" applyAlignment="1">
      <alignment horizontal="center"/>
    </xf>
    <xf numFmtId="0" fontId="13" fillId="0" borderId="9" xfId="13" applyFont="1" applyBorder="1" applyAlignment="1">
      <alignment horizontal="center"/>
    </xf>
    <xf numFmtId="1" fontId="13" fillId="0" borderId="16" xfId="13" applyNumberFormat="1" applyFont="1" applyBorder="1" applyAlignment="1">
      <alignment horizontal="center" vertical="center" wrapText="1"/>
    </xf>
    <xf numFmtId="1" fontId="13" fillId="4" borderId="16" xfId="13" applyNumberFormat="1" applyFont="1" applyFill="1" applyBorder="1" applyAlignment="1">
      <alignment horizontal="center" vertical="center" wrapText="1"/>
    </xf>
    <xf numFmtId="1" fontId="5" fillId="4" borderId="9" xfId="13" applyNumberFormat="1" applyFont="1" applyFill="1" applyBorder="1" applyAlignment="1">
      <alignment horizontal="center" vertical="center" wrapText="1"/>
    </xf>
    <xf numFmtId="0" fontId="13" fillId="0" borderId="9" xfId="13" applyFont="1" applyBorder="1" applyAlignment="1">
      <alignment wrapText="1"/>
    </xf>
    <xf numFmtId="1" fontId="13" fillId="0" borderId="9" xfId="13" applyNumberFormat="1" applyFont="1" applyBorder="1" applyAlignment="1">
      <alignment horizontal="left" vertical="center" wrapText="1"/>
    </xf>
    <xf numFmtId="0" fontId="13" fillId="0" borderId="9" xfId="8" applyFont="1" applyBorder="1" applyAlignment="1">
      <alignment horizontal="left" wrapText="1"/>
    </xf>
    <xf numFmtId="1" fontId="5" fillId="4" borderId="16" xfId="13" applyNumberFormat="1" applyFont="1" applyFill="1" applyBorder="1" applyAlignment="1">
      <alignment horizontal="center" vertical="center" wrapText="1"/>
    </xf>
    <xf numFmtId="2" fontId="13" fillId="0" borderId="16" xfId="13" applyNumberFormat="1" applyFont="1" applyBorder="1" applyAlignment="1">
      <alignment horizontal="center" vertical="center" wrapText="1"/>
    </xf>
    <xf numFmtId="2" fontId="13" fillId="4" borderId="16" xfId="13" applyNumberFormat="1" applyFont="1" applyFill="1" applyBorder="1" applyAlignment="1">
      <alignment horizontal="center" vertical="center" wrapText="1"/>
    </xf>
    <xf numFmtId="0" fontId="2" fillId="0" borderId="9" xfId="0" applyFont="1" applyBorder="1"/>
    <xf numFmtId="170" fontId="2" fillId="0" borderId="9" xfId="0" applyNumberFormat="1" applyFont="1" applyBorder="1" applyAlignment="1">
      <alignment horizontal="center" vertical="center" wrapText="1"/>
    </xf>
    <xf numFmtId="187" fontId="2" fillId="0" borderId="0" xfId="8" applyNumberFormat="1" applyFont="1"/>
    <xf numFmtId="170" fontId="2" fillId="0" borderId="9" xfId="1" applyNumberFormat="1" applyFont="1" applyFill="1" applyBorder="1" applyAlignment="1">
      <alignment horizontal="center" wrapText="1"/>
    </xf>
    <xf numFmtId="0" fontId="2" fillId="0" borderId="9" xfId="0" applyFont="1" applyBorder="1" applyAlignment="1">
      <alignment horizontal="center" vertical="center" wrapText="1"/>
    </xf>
    <xf numFmtId="39" fontId="5" fillId="0" borderId="9" xfId="1" applyNumberFormat="1" applyFont="1" applyBorder="1" applyAlignment="1">
      <alignment horizontal="center" wrapText="1"/>
    </xf>
    <xf numFmtId="39" fontId="13" fillId="0" borderId="9" xfId="1" applyNumberFormat="1" applyFont="1" applyBorder="1" applyAlignment="1">
      <alignment horizontal="center" wrapText="1"/>
    </xf>
    <xf numFmtId="39" fontId="5" fillId="4" borderId="9" xfId="1" applyNumberFormat="1" applyFont="1" applyFill="1" applyBorder="1" applyAlignment="1">
      <alignment horizontal="center" wrapText="1"/>
    </xf>
    <xf numFmtId="9" fontId="2" fillId="0" borderId="9" xfId="3" applyFont="1" applyBorder="1" applyAlignment="1">
      <alignment horizontal="center" wrapText="1"/>
    </xf>
    <xf numFmtId="39" fontId="5" fillId="0" borderId="9" xfId="1" applyNumberFormat="1" applyFont="1" applyFill="1" applyBorder="1" applyAlignment="1">
      <alignment horizontal="center" wrapText="1"/>
    </xf>
    <xf numFmtId="9" fontId="13" fillId="0" borderId="0" xfId="0" applyNumberFormat="1" applyFont="1" applyAlignment="1">
      <alignment horizontal="center" vertical="center" wrapText="1"/>
    </xf>
    <xf numFmtId="9" fontId="13" fillId="0" borderId="9" xfId="0" applyNumberFormat="1" applyFont="1" applyBorder="1" applyAlignment="1">
      <alignment horizontal="center" vertical="center" wrapText="1"/>
    </xf>
    <xf numFmtId="178" fontId="13" fillId="0" borderId="9" xfId="0" applyNumberFormat="1" applyFont="1" applyBorder="1" applyAlignment="1">
      <alignment horizontal="center" vertical="center" wrapText="1"/>
    </xf>
    <xf numFmtId="178" fontId="5" fillId="0" borderId="9" xfId="0" applyNumberFormat="1" applyFont="1" applyBorder="1" applyAlignment="1">
      <alignment horizontal="center" vertical="center" wrapText="1"/>
    </xf>
    <xf numFmtId="39" fontId="13" fillId="0" borderId="0" xfId="1" applyNumberFormat="1" applyFont="1" applyBorder="1" applyAlignment="1">
      <alignment horizontal="center" wrapText="1"/>
    </xf>
    <xf numFmtId="37" fontId="2" fillId="0" borderId="9" xfId="1" applyNumberFormat="1" applyFont="1" applyBorder="1" applyAlignment="1">
      <alignment horizontal="center" wrapText="1"/>
    </xf>
    <xf numFmtId="37" fontId="13" fillId="0" borderId="0" xfId="1" applyNumberFormat="1" applyFont="1" applyBorder="1" applyAlignment="1">
      <alignment horizontal="center" wrapText="1"/>
    </xf>
    <xf numFmtId="37" fontId="13" fillId="0" borderId="9" xfId="1" applyNumberFormat="1" applyFont="1" applyBorder="1" applyAlignment="1">
      <alignment horizontal="center" wrapText="1"/>
    </xf>
    <xf numFmtId="9" fontId="13" fillId="0" borderId="0" xfId="3" applyFont="1" applyBorder="1" applyAlignment="1">
      <alignment horizontal="center" wrapText="1"/>
    </xf>
    <xf numFmtId="187" fontId="13" fillId="0" borderId="9" xfId="1" applyNumberFormat="1" applyFont="1" applyBorder="1" applyAlignment="1">
      <alignment horizontal="center" wrapText="1"/>
    </xf>
    <xf numFmtId="187" fontId="2" fillId="0" borderId="9" xfId="1" applyNumberFormat="1" applyFont="1" applyBorder="1" applyAlignment="1">
      <alignment horizontal="center" wrapText="1"/>
    </xf>
    <xf numFmtId="187" fontId="5" fillId="0" borderId="9" xfId="1" applyNumberFormat="1" applyFont="1" applyBorder="1" applyAlignment="1">
      <alignment horizontal="center" wrapText="1"/>
    </xf>
    <xf numFmtId="170" fontId="2" fillId="0" borderId="9" xfId="2" applyNumberFormat="1" applyFont="1" applyFill="1" applyBorder="1" applyAlignment="1">
      <alignment horizontal="center" vertical="center" wrapText="1"/>
    </xf>
    <xf numFmtId="7" fontId="13" fillId="0" borderId="9" xfId="2" applyNumberFormat="1" applyFont="1" applyFill="1" applyBorder="1" applyAlignment="1">
      <alignment horizontal="center" vertical="center" wrapText="1"/>
    </xf>
    <xf numFmtId="7" fontId="2" fillId="0" borderId="9" xfId="2" applyNumberFormat="1" applyFont="1" applyBorder="1" applyAlignment="1">
      <alignment horizontal="center" wrapText="1"/>
    </xf>
    <xf numFmtId="7" fontId="13"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87" fontId="2" fillId="4" borderId="9" xfId="1" applyNumberFormat="1" applyFont="1" applyFill="1" applyBorder="1" applyAlignment="1">
      <alignment horizontal="center"/>
    </xf>
    <xf numFmtId="0" fontId="2" fillId="0" borderId="0" xfId="0" applyFont="1" applyAlignment="1">
      <alignment horizontal="center"/>
    </xf>
    <xf numFmtId="0" fontId="2" fillId="0" borderId="9" xfId="0" applyFont="1" applyBorder="1" applyAlignment="1">
      <alignment horizontal="left" vertical="center"/>
    </xf>
    <xf numFmtId="180" fontId="5" fillId="4" borderId="9" xfId="0" applyNumberFormat="1" applyFont="1" applyFill="1" applyBorder="1" applyAlignment="1">
      <alignment horizontal="center"/>
    </xf>
    <xf numFmtId="178" fontId="13" fillId="0" borderId="0" xfId="8" applyNumberFormat="1" applyFont="1"/>
    <xf numFmtId="180" fontId="2" fillId="4" borderId="9" xfId="0" applyNumberFormat="1" applyFont="1" applyFill="1" applyBorder="1" applyAlignment="1">
      <alignment horizontal="center"/>
    </xf>
    <xf numFmtId="39" fontId="13" fillId="4" borderId="9" xfId="1" applyNumberFormat="1" applyFont="1" applyFill="1" applyBorder="1" applyAlignment="1">
      <alignment horizontal="center" wrapText="1"/>
    </xf>
    <xf numFmtId="39" fontId="30" fillId="4" borderId="9" xfId="1" applyNumberFormat="1" applyFont="1" applyFill="1" applyBorder="1" applyAlignment="1">
      <alignment horizontal="center" wrapText="1"/>
    </xf>
    <xf numFmtId="2" fontId="2" fillId="4" borderId="9" xfId="0" applyNumberFormat="1" applyFont="1" applyFill="1" applyBorder="1" applyAlignment="1">
      <alignment horizontal="center" vertical="center"/>
    </xf>
    <xf numFmtId="0" fontId="2" fillId="0" borderId="9" xfId="0" applyFont="1" applyBorder="1" applyAlignment="1">
      <alignment horizontal="center"/>
    </xf>
    <xf numFmtId="179" fontId="5" fillId="4" borderId="9" xfId="0" applyNumberFormat="1" applyFont="1" applyFill="1" applyBorder="1" applyAlignment="1">
      <alignment horizontal="center" vertical="center" wrapText="1"/>
    </xf>
    <xf numFmtId="9" fontId="30" fillId="0" borderId="9" xfId="0" applyNumberFormat="1" applyFont="1" applyBorder="1" applyAlignment="1">
      <alignment horizontal="center" vertical="center" wrapText="1"/>
    </xf>
    <xf numFmtId="39" fontId="30" fillId="0" borderId="9" xfId="1" applyNumberFormat="1" applyFont="1" applyFill="1" applyBorder="1" applyAlignment="1">
      <alignment horizontal="center" wrapText="1"/>
    </xf>
    <xf numFmtId="39" fontId="13" fillId="0" borderId="9" xfId="1" applyNumberFormat="1" applyFont="1" applyFill="1" applyBorder="1" applyAlignment="1">
      <alignment horizontal="center" wrapText="1"/>
    </xf>
    <xf numFmtId="7" fontId="2" fillId="4" borderId="9" xfId="2" applyNumberFormat="1" applyFont="1" applyFill="1" applyBorder="1" applyAlignment="1">
      <alignment horizontal="center" wrapText="1"/>
    </xf>
    <xf numFmtId="2" fontId="13" fillId="4" borderId="9" xfId="3" applyNumberFormat="1" applyFont="1" applyFill="1" applyBorder="1" applyAlignment="1">
      <alignment horizontal="center"/>
    </xf>
    <xf numFmtId="180" fontId="13" fillId="4" borderId="9" xfId="3" applyNumberFormat="1" applyFont="1" applyFill="1" applyBorder="1" applyAlignment="1">
      <alignment horizontal="center"/>
    </xf>
    <xf numFmtId="180" fontId="2" fillId="4" borderId="9" xfId="3" applyNumberFormat="1" applyFont="1" applyFill="1" applyBorder="1" applyAlignment="1">
      <alignment horizontal="center"/>
    </xf>
    <xf numFmtId="165" fontId="2" fillId="0" borderId="9" xfId="0" applyNumberFormat="1" applyFont="1" applyBorder="1" applyAlignment="1">
      <alignment horizontal="center" vertical="center" wrapText="1"/>
    </xf>
    <xf numFmtId="170" fontId="13" fillId="0" borderId="9" xfId="1" applyNumberFormat="1" applyFont="1" applyFill="1" applyBorder="1" applyAlignment="1">
      <alignment horizontal="center" vertical="center" wrapText="1"/>
    </xf>
    <xf numFmtId="0" fontId="24" fillId="0" borderId="9" xfId="12" applyFont="1" applyBorder="1" applyAlignment="1">
      <alignment horizontal="center"/>
    </xf>
    <xf numFmtId="187" fontId="13" fillId="0" borderId="9" xfId="0" applyNumberFormat="1" applyFont="1" applyBorder="1" applyAlignment="1">
      <alignment horizontal="center" vertical="center" wrapText="1"/>
    </xf>
    <xf numFmtId="0" fontId="24" fillId="4" borderId="9" xfId="12" applyFont="1" applyFill="1" applyBorder="1" applyAlignment="1">
      <alignment horizontal="center"/>
    </xf>
    <xf numFmtId="171" fontId="13" fillId="0" borderId="9" xfId="4" applyNumberFormat="1" applyFont="1" applyFill="1" applyBorder="1" applyAlignment="1" applyProtection="1">
      <alignment horizontal="center"/>
      <protection locked="0"/>
    </xf>
    <xf numFmtId="0" fontId="13" fillId="0" borderId="0" xfId="0" applyFont="1" applyAlignment="1">
      <alignment horizontal="left" vertical="center" wrapText="1"/>
    </xf>
    <xf numFmtId="165" fontId="13" fillId="0" borderId="0" xfId="0" applyNumberFormat="1" applyFont="1" applyAlignment="1">
      <alignment horizontal="center" vertical="center" wrapText="1"/>
    </xf>
    <xf numFmtId="0" fontId="13" fillId="4" borderId="0" xfId="0" applyFont="1" applyFill="1" applyAlignment="1">
      <alignment horizontal="left" vertical="center" wrapText="1"/>
    </xf>
    <xf numFmtId="180" fontId="13" fillId="0" borderId="0" xfId="0" applyNumberFormat="1" applyFont="1" applyAlignment="1">
      <alignment horizontal="center" vertical="center" wrapText="1"/>
    </xf>
    <xf numFmtId="0" fontId="13" fillId="0" borderId="24" xfId="0" applyFont="1" applyBorder="1" applyAlignment="1">
      <alignment horizontal="center"/>
    </xf>
    <xf numFmtId="0" fontId="13" fillId="11" borderId="9" xfId="5" applyFont="1" applyFill="1" applyBorder="1" applyAlignment="1">
      <alignment horizontal="left" vertical="center" wrapText="1"/>
    </xf>
    <xf numFmtId="168" fontId="13" fillId="0" borderId="9" xfId="5" applyNumberFormat="1" applyFont="1" applyBorder="1" applyAlignment="1">
      <alignment horizontal="left" vertical="center"/>
    </xf>
    <xf numFmtId="2" fontId="2" fillId="0" borderId="9" xfId="0" applyNumberFormat="1" applyFont="1" applyBorder="1" applyAlignment="1">
      <alignment horizontal="center"/>
    </xf>
    <xf numFmtId="2" fontId="2" fillId="4" borderId="9" xfId="0" applyNumberFormat="1" applyFont="1" applyFill="1" applyBorder="1" applyAlignment="1">
      <alignment horizontal="center"/>
    </xf>
    <xf numFmtId="0" fontId="2" fillId="4" borderId="9" xfId="0" applyFont="1" applyFill="1" applyBorder="1" applyAlignment="1">
      <alignment horizontal="center"/>
    </xf>
    <xf numFmtId="9" fontId="13" fillId="0" borderId="0" xfId="3" applyFont="1"/>
    <xf numFmtId="39" fontId="13" fillId="0" borderId="9" xfId="5" applyNumberFormat="1" applyFont="1" applyBorder="1" applyAlignment="1">
      <alignment horizontal="center"/>
    </xf>
    <xf numFmtId="9" fontId="13" fillId="0" borderId="9" xfId="7" applyFont="1" applyBorder="1" applyAlignment="1">
      <alignment horizontal="center" vertical="center" wrapText="1"/>
    </xf>
    <xf numFmtId="189" fontId="13" fillId="0" borderId="9" xfId="5" applyNumberFormat="1" applyFont="1" applyBorder="1" applyAlignment="1">
      <alignment horizontal="center"/>
    </xf>
    <xf numFmtId="189" fontId="2" fillId="0" borderId="9" xfId="5" applyNumberFormat="1" applyFont="1" applyBorder="1" applyAlignment="1">
      <alignment horizontal="center"/>
    </xf>
    <xf numFmtId="171" fontId="13" fillId="4" borderId="9" xfId="4" applyNumberFormat="1" applyFont="1" applyFill="1" applyBorder="1" applyAlignment="1" applyProtection="1">
      <alignment horizontal="center"/>
      <protection locked="0"/>
    </xf>
    <xf numFmtId="39" fontId="13" fillId="0" borderId="9" xfId="1" applyNumberFormat="1" applyFont="1" applyFill="1" applyBorder="1" applyAlignment="1">
      <alignment horizontal="center" vertical="center" wrapText="1"/>
    </xf>
    <xf numFmtId="39" fontId="46" fillId="0" borderId="9" xfId="1" applyNumberFormat="1" applyFont="1" applyFill="1" applyBorder="1" applyAlignment="1">
      <alignment horizontal="center" vertical="center" wrapText="1"/>
    </xf>
    <xf numFmtId="9" fontId="46" fillId="0" borderId="9" xfId="3" applyFont="1" applyFill="1" applyBorder="1" applyAlignment="1">
      <alignment horizontal="center" vertical="center" wrapText="1"/>
    </xf>
    <xf numFmtId="37" fontId="13" fillId="0" borderId="9" xfId="1" applyNumberFormat="1" applyFont="1" applyFill="1" applyBorder="1" applyAlignment="1">
      <alignment horizontal="center" vertical="center" wrapText="1"/>
    </xf>
    <xf numFmtId="37" fontId="46" fillId="0" borderId="9" xfId="1" applyNumberFormat="1" applyFont="1" applyFill="1" applyBorder="1" applyAlignment="1">
      <alignment horizontal="center" vertical="center" wrapText="1"/>
    </xf>
    <xf numFmtId="171" fontId="46" fillId="0" borderId="9" xfId="0" applyNumberFormat="1" applyFont="1" applyBorder="1" applyAlignment="1">
      <alignment horizontal="center" vertical="center" wrapText="1"/>
    </xf>
    <xf numFmtId="171" fontId="13" fillId="4" borderId="9" xfId="13" applyNumberFormat="1" applyFont="1" applyFill="1" applyBorder="1" applyAlignment="1">
      <alignment horizontal="center" vertical="center"/>
    </xf>
    <xf numFmtId="0" fontId="13" fillId="4" borderId="14" xfId="6" applyFont="1" applyFill="1" applyBorder="1" applyAlignment="1">
      <alignment horizontal="left"/>
    </xf>
    <xf numFmtId="0" fontId="5" fillId="4" borderId="0" xfId="6" applyFont="1" applyFill="1" applyAlignment="1">
      <alignment horizontal="center"/>
    </xf>
    <xf numFmtId="2" fontId="13" fillId="0" borderId="9" xfId="6" applyNumberFormat="1" applyFont="1" applyBorder="1"/>
    <xf numFmtId="37" fontId="5" fillId="0" borderId="9" xfId="1" applyNumberFormat="1" applyFont="1" applyFill="1" applyBorder="1" applyAlignment="1">
      <alignment horizontal="center" vertical="center" wrapText="1"/>
    </xf>
    <xf numFmtId="165" fontId="35" fillId="0" borderId="9" xfId="6" applyNumberFormat="1" applyFont="1" applyBorder="1" applyAlignment="1">
      <alignment horizontal="left" vertical="center" wrapText="1"/>
    </xf>
    <xf numFmtId="165" fontId="13" fillId="4" borderId="9" xfId="6" applyNumberFormat="1" applyFont="1" applyFill="1" applyBorder="1" applyAlignment="1">
      <alignment horizontal="center" vertical="center" wrapText="1"/>
    </xf>
    <xf numFmtId="165" fontId="5" fillId="4" borderId="9" xfId="6" applyNumberFormat="1" applyFont="1" applyFill="1" applyBorder="1" applyAlignment="1">
      <alignment horizontal="center" vertical="center" wrapText="1"/>
    </xf>
    <xf numFmtId="165" fontId="13" fillId="0" borderId="23" xfId="6" applyNumberFormat="1" applyFont="1" applyBorder="1" applyAlignment="1">
      <alignment horizontal="center" vertical="center"/>
    </xf>
    <xf numFmtId="0" fontId="47" fillId="4" borderId="0" xfId="5" applyFont="1" applyFill="1" applyAlignment="1">
      <alignment vertical="center" wrapText="1"/>
    </xf>
    <xf numFmtId="194" fontId="13" fillId="0" borderId="9" xfId="8" applyNumberFormat="1" applyFont="1" applyBorder="1" applyAlignment="1">
      <alignment horizontal="center"/>
    </xf>
    <xf numFmtId="39" fontId="13" fillId="0" borderId="9" xfId="0" applyNumberFormat="1" applyFont="1" applyBorder="1" applyAlignment="1">
      <alignment horizontal="center" vertical="center" wrapText="1"/>
    </xf>
    <xf numFmtId="1" fontId="13" fillId="0" borderId="9" xfId="3" applyNumberFormat="1" applyFont="1" applyBorder="1" applyAlignment="1">
      <alignment horizontal="center"/>
    </xf>
    <xf numFmtId="44" fontId="13" fillId="0" borderId="9" xfId="2" applyFont="1" applyFill="1" applyBorder="1"/>
    <xf numFmtId="0" fontId="24" fillId="0" borderId="0" xfId="12" applyFont="1" applyAlignment="1">
      <alignment horizontal="center"/>
    </xf>
    <xf numFmtId="0" fontId="13" fillId="4" borderId="9" xfId="0" applyFont="1" applyFill="1" applyBorder="1" applyAlignment="1">
      <alignment horizontal="center"/>
    </xf>
    <xf numFmtId="195" fontId="0" fillId="0" borderId="0" xfId="0" applyNumberFormat="1"/>
    <xf numFmtId="0" fontId="0" fillId="18" borderId="16" xfId="0" applyFill="1" applyBorder="1"/>
    <xf numFmtId="166" fontId="0" fillId="18" borderId="18" xfId="0" applyNumberFormat="1" applyFill="1" applyBorder="1"/>
    <xf numFmtId="0" fontId="23" fillId="4" borderId="9" xfId="12" applyFill="1" applyBorder="1"/>
    <xf numFmtId="0" fontId="23" fillId="14" borderId="16" xfId="12" applyFill="1" applyBorder="1"/>
    <xf numFmtId="166" fontId="0" fillId="0" borderId="0" xfId="0" applyNumberFormat="1"/>
    <xf numFmtId="170" fontId="13" fillId="4" borderId="27" xfId="1" applyNumberFormat="1" applyFont="1" applyFill="1" applyBorder="1" applyAlignment="1">
      <alignment horizontal="center"/>
    </xf>
    <xf numFmtId="170" fontId="13" fillId="4" borderId="27" xfId="0" applyNumberFormat="1" applyFont="1" applyFill="1" applyBorder="1" applyAlignment="1">
      <alignment horizontal="center" vertical="center" wrapText="1"/>
    </xf>
    <xf numFmtId="0" fontId="5" fillId="0" borderId="27" xfId="0" applyFont="1" applyBorder="1" applyAlignment="1">
      <alignment horizontal="center"/>
    </xf>
    <xf numFmtId="0" fontId="26" fillId="0" borderId="0" xfId="5" applyFont="1"/>
    <xf numFmtId="0" fontId="27" fillId="4" borderId="0" xfId="6" applyFont="1" applyFill="1" applyAlignment="1">
      <alignment horizontal="left" vertical="center"/>
    </xf>
    <xf numFmtId="0" fontId="26" fillId="4" borderId="0" xfId="6" applyFont="1" applyFill="1" applyAlignment="1">
      <alignment horizontal="left" vertical="center"/>
    </xf>
    <xf numFmtId="166" fontId="26" fillId="4" borderId="0" xfId="6" applyNumberFormat="1" applyFont="1" applyFill="1" applyAlignment="1">
      <alignment horizontal="center" vertical="center"/>
    </xf>
    <xf numFmtId="0" fontId="32" fillId="0" borderId="0" xfId="6" applyFont="1"/>
    <xf numFmtId="166" fontId="13" fillId="0" borderId="0" xfId="5" applyNumberFormat="1" applyFont="1" applyAlignment="1">
      <alignment horizontal="center"/>
    </xf>
    <xf numFmtId="168" fontId="13" fillId="0" borderId="9" xfId="5" applyNumberFormat="1" applyFont="1" applyBorder="1" applyAlignment="1">
      <alignment horizontal="center"/>
    </xf>
    <xf numFmtId="166" fontId="13" fillId="0" borderId="9" xfId="5" applyNumberFormat="1" applyFont="1" applyBorder="1" applyAlignment="1">
      <alignment horizontal="center"/>
    </xf>
    <xf numFmtId="165" fontId="13" fillId="4" borderId="9" xfId="6" applyNumberFormat="1" applyFont="1" applyFill="1" applyBorder="1" applyAlignment="1">
      <alignment horizontal="left" vertical="center" wrapText="1" indent="3"/>
    </xf>
    <xf numFmtId="168" fontId="24" fillId="0" borderId="0" xfId="5" applyNumberFormat="1" applyFont="1"/>
    <xf numFmtId="4" fontId="13" fillId="0" borderId="0" xfId="5" applyNumberFormat="1" applyFont="1"/>
    <xf numFmtId="9" fontId="19" fillId="0" borderId="0" xfId="7" applyFont="1">
      <alignment horizontal="right" vertical="center" wrapText="1" readingOrder="1"/>
    </xf>
    <xf numFmtId="169" fontId="13" fillId="0" borderId="0" xfId="5" applyNumberFormat="1" applyFont="1"/>
    <xf numFmtId="172" fontId="19" fillId="0" borderId="0" xfId="7" applyNumberFormat="1" applyFont="1">
      <alignment horizontal="right" vertical="center" wrapText="1" readingOrder="1"/>
    </xf>
    <xf numFmtId="166" fontId="13" fillId="0" borderId="0" xfId="5" applyNumberFormat="1" applyFont="1" applyAlignment="1">
      <alignment horizontal="center" wrapText="1"/>
    </xf>
    <xf numFmtId="0" fontId="27" fillId="0" borderId="0" xfId="5" applyFont="1"/>
    <xf numFmtId="166" fontId="24" fillId="0" borderId="0" xfId="5" applyNumberFormat="1" applyFont="1" applyAlignment="1">
      <alignment horizontal="center" wrapText="1"/>
    </xf>
    <xf numFmtId="168" fontId="13" fillId="4" borderId="9" xfId="5" applyNumberFormat="1" applyFont="1" applyFill="1" applyBorder="1" applyAlignment="1">
      <alignment horizontal="left" vertical="center"/>
    </xf>
    <xf numFmtId="0" fontId="24" fillId="0" borderId="0" xfId="6" applyFont="1" applyAlignment="1">
      <alignment horizontal="right"/>
    </xf>
    <xf numFmtId="3" fontId="24" fillId="0" borderId="0" xfId="6" applyNumberFormat="1" applyFont="1" applyAlignment="1">
      <alignment horizontal="right"/>
    </xf>
    <xf numFmtId="0" fontId="24" fillId="0" borderId="0" xfId="5" applyFont="1" applyAlignment="1">
      <alignment horizontal="right"/>
    </xf>
    <xf numFmtId="3" fontId="24" fillId="0" borderId="0" xfId="5" applyNumberFormat="1" applyFont="1" applyAlignment="1">
      <alignment horizontal="right"/>
    </xf>
    <xf numFmtId="168" fontId="13" fillId="0" borderId="0" xfId="5" applyNumberFormat="1" applyFont="1"/>
    <xf numFmtId="168" fontId="13" fillId="0" borderId="9" xfId="5" applyNumberFormat="1" applyFont="1" applyBorder="1"/>
    <xf numFmtId="0" fontId="13" fillId="0" borderId="9" xfId="5" applyFont="1" applyBorder="1" applyAlignment="1">
      <alignment horizontal="center"/>
    </xf>
    <xf numFmtId="9" fontId="13" fillId="7" borderId="9" xfId="3" applyFont="1" applyFill="1" applyBorder="1" applyAlignment="1">
      <alignment horizontal="center"/>
    </xf>
    <xf numFmtId="168" fontId="13" fillId="4" borderId="0" xfId="5" applyNumberFormat="1" applyFont="1" applyFill="1" applyAlignment="1">
      <alignment horizontal="left" vertical="center"/>
    </xf>
    <xf numFmtId="39" fontId="13" fillId="0" borderId="0" xfId="5" applyNumberFormat="1" applyFont="1" applyAlignment="1">
      <alignment horizontal="center"/>
    </xf>
    <xf numFmtId="37" fontId="13" fillId="0" borderId="0" xfId="5" applyNumberFormat="1" applyFont="1" applyAlignment="1">
      <alignment horizontal="center"/>
    </xf>
    <xf numFmtId="165" fontId="13" fillId="0" borderId="29" xfId="6" applyNumberFormat="1" applyFont="1" applyBorder="1" applyAlignment="1">
      <alignment horizontal="center"/>
    </xf>
    <xf numFmtId="165" fontId="13" fillId="0" borderId="9" xfId="5" applyNumberFormat="1" applyFont="1" applyBorder="1" applyAlignment="1">
      <alignment horizontal="center"/>
    </xf>
    <xf numFmtId="7" fontId="24" fillId="0" borderId="22" xfId="5" applyNumberFormat="1" applyFont="1" applyBorder="1" applyAlignment="1">
      <alignment wrapText="1"/>
    </xf>
    <xf numFmtId="0" fontId="24" fillId="0" borderId="0" xfId="5" applyFont="1" applyAlignment="1">
      <alignment wrapText="1"/>
    </xf>
    <xf numFmtId="174" fontId="13" fillId="0" borderId="9" xfId="9" applyNumberFormat="1" applyFont="1" applyFill="1" applyBorder="1" applyAlignment="1">
      <alignment horizontal="center"/>
    </xf>
    <xf numFmtId="2" fontId="13" fillId="0" borderId="9" xfId="5" applyNumberFormat="1" applyFont="1" applyBorder="1" applyAlignment="1">
      <alignment horizontal="center" vertical="center"/>
    </xf>
    <xf numFmtId="175" fontId="13" fillId="0" borderId="9" xfId="9" applyNumberFormat="1" applyFont="1" applyFill="1" applyBorder="1" applyAlignment="1">
      <alignment horizontal="center"/>
    </xf>
    <xf numFmtId="176" fontId="13" fillId="0" borderId="9" xfId="9" applyNumberFormat="1" applyFont="1" applyFill="1" applyBorder="1" applyAlignment="1">
      <alignment horizontal="center"/>
    </xf>
    <xf numFmtId="168" fontId="13" fillId="0" borderId="9" xfId="5" applyNumberFormat="1" applyFont="1" applyBorder="1" applyAlignment="1">
      <alignment horizontal="center" vertical="center"/>
    </xf>
    <xf numFmtId="9" fontId="13" fillId="0" borderId="9" xfId="11" applyFont="1" applyFill="1" applyBorder="1" applyAlignment="1">
      <alignment horizontal="center" vertical="center"/>
    </xf>
    <xf numFmtId="166" fontId="24" fillId="0" borderId="0" xfId="5" applyNumberFormat="1" applyFont="1" applyAlignment="1">
      <alignment horizontal="center"/>
    </xf>
    <xf numFmtId="2" fontId="13" fillId="4" borderId="9" xfId="10" applyNumberFormat="1" applyFont="1" applyFill="1" applyBorder="1" applyAlignment="1">
      <alignment horizontal="center"/>
    </xf>
    <xf numFmtId="0" fontId="29" fillId="0" borderId="0" xfId="5" applyFont="1"/>
    <xf numFmtId="2" fontId="13" fillId="0" borderId="9" xfId="10" applyNumberFormat="1" applyFont="1" applyFill="1" applyBorder="1" applyAlignment="1">
      <alignment horizontal="center"/>
    </xf>
    <xf numFmtId="165" fontId="13" fillId="0" borderId="0" xfId="6" applyNumberFormat="1" applyFont="1" applyAlignment="1">
      <alignment horizontal="center"/>
    </xf>
    <xf numFmtId="168" fontId="13" fillId="8" borderId="9" xfId="5" applyNumberFormat="1" applyFont="1" applyFill="1" applyBorder="1" applyAlignment="1">
      <alignment horizontal="center" vertical="center"/>
    </xf>
    <xf numFmtId="1" fontId="13" fillId="0" borderId="9" xfId="11" applyNumberFormat="1" applyFont="1" applyFill="1" applyBorder="1" applyAlignment="1">
      <alignment horizontal="center" vertical="center"/>
    </xf>
    <xf numFmtId="1" fontId="13" fillId="8" borderId="9" xfId="11" applyNumberFormat="1" applyFont="1" applyFill="1" applyBorder="1" applyAlignment="1">
      <alignment horizontal="center" vertical="center"/>
    </xf>
    <xf numFmtId="1" fontId="13" fillId="8" borderId="9" xfId="11" applyNumberFormat="1" applyFont="1" applyFill="1" applyBorder="1" applyAlignment="1">
      <alignment horizontal="center"/>
    </xf>
    <xf numFmtId="173" fontId="24" fillId="0" borderId="0" xfId="2" applyNumberFormat="1" applyFont="1"/>
    <xf numFmtId="173" fontId="24" fillId="0" borderId="0" xfId="2" applyNumberFormat="1" applyFont="1" applyFill="1" applyBorder="1"/>
    <xf numFmtId="168" fontId="13" fillId="0" borderId="9" xfId="5" applyNumberFormat="1" applyFont="1" applyBorder="1" applyAlignment="1">
      <alignment horizontal="left"/>
    </xf>
    <xf numFmtId="169" fontId="13" fillId="0" borderId="9" xfId="5" applyNumberFormat="1" applyFont="1" applyBorder="1" applyAlignment="1">
      <alignment horizontal="center"/>
    </xf>
    <xf numFmtId="1" fontId="13" fillId="0" borderId="9" xfId="6" applyNumberFormat="1" applyFont="1" applyBorder="1" applyAlignment="1">
      <alignment horizontal="center" vertical="center" wrapText="1"/>
    </xf>
    <xf numFmtId="7" fontId="13" fillId="0" borderId="0" xfId="5" applyNumberFormat="1" applyFont="1"/>
    <xf numFmtId="0" fontId="24" fillId="14" borderId="3" xfId="5" applyFont="1" applyFill="1" applyBorder="1"/>
    <xf numFmtId="0" fontId="24" fillId="14" borderId="5" xfId="5" applyFont="1" applyFill="1" applyBorder="1"/>
    <xf numFmtId="0" fontId="24" fillId="0" borderId="8" xfId="5" applyFont="1" applyBorder="1"/>
    <xf numFmtId="0" fontId="24" fillId="0" borderId="10" xfId="5" applyFont="1" applyBorder="1"/>
    <xf numFmtId="0" fontId="24" fillId="0" borderId="8" xfId="5" applyFont="1" applyBorder="1" applyAlignment="1">
      <alignment horizontal="right"/>
    </xf>
    <xf numFmtId="0" fontId="24" fillId="0" borderId="13" xfId="5" applyFont="1" applyBorder="1" applyAlignment="1">
      <alignment horizontal="right"/>
    </xf>
    <xf numFmtId="0" fontId="24" fillId="0" borderId="15" xfId="5" applyFont="1" applyBorder="1"/>
    <xf numFmtId="172" fontId="13" fillId="0" borderId="9" xfId="3" applyNumberFormat="1" applyFont="1" applyFill="1" applyBorder="1" applyAlignment="1">
      <alignment horizontal="center" vertical="center"/>
    </xf>
    <xf numFmtId="0" fontId="24" fillId="0" borderId="0" xfId="5" applyFont="1" applyAlignment="1">
      <alignment horizontal="center" vertical="center"/>
    </xf>
    <xf numFmtId="2" fontId="13" fillId="0" borderId="9" xfId="11" applyNumberFormat="1" applyFont="1" applyFill="1" applyBorder="1" applyAlignment="1">
      <alignment horizontal="center" vertical="center"/>
    </xf>
    <xf numFmtId="44" fontId="24" fillId="0" borderId="0" xfId="2" applyFont="1"/>
    <xf numFmtId="179" fontId="13" fillId="0" borderId="9" xfId="1" applyNumberFormat="1" applyFont="1" applyFill="1" applyBorder="1" applyAlignment="1">
      <alignment horizontal="center" vertical="center"/>
    </xf>
    <xf numFmtId="181" fontId="13" fillId="0" borderId="9" xfId="1" applyNumberFormat="1" applyFont="1" applyFill="1" applyBorder="1" applyAlignment="1">
      <alignment horizontal="center" vertical="center"/>
    </xf>
    <xf numFmtId="180" fontId="13" fillId="0" borderId="9" xfId="3" applyNumberFormat="1" applyFont="1" applyFill="1" applyBorder="1" applyAlignment="1">
      <alignment horizontal="center" vertical="center"/>
    </xf>
    <xf numFmtId="9" fontId="13" fillId="8" borderId="9" xfId="3" applyFont="1" applyFill="1" applyBorder="1" applyAlignment="1">
      <alignment horizontal="center"/>
    </xf>
    <xf numFmtId="168" fontId="13" fillId="4" borderId="0" xfId="5" applyNumberFormat="1" applyFont="1" applyFill="1" applyAlignment="1">
      <alignment horizontal="center" vertical="center"/>
    </xf>
    <xf numFmtId="0" fontId="27" fillId="4" borderId="0" xfId="5" applyFont="1" applyFill="1"/>
    <xf numFmtId="180" fontId="13" fillId="0" borderId="9" xfId="11" applyNumberFormat="1" applyFont="1" applyFill="1" applyBorder="1" applyAlignment="1">
      <alignment horizontal="center" vertical="center"/>
    </xf>
    <xf numFmtId="178" fontId="13" fillId="0" borderId="16" xfId="5" applyNumberFormat="1" applyFont="1" applyBorder="1" applyAlignment="1">
      <alignment horizontal="center"/>
    </xf>
    <xf numFmtId="183" fontId="13" fillId="0" borderId="9" xfId="1" applyNumberFormat="1" applyFont="1" applyBorder="1" applyAlignment="1">
      <alignment horizontal="center"/>
    </xf>
    <xf numFmtId="181" fontId="13" fillId="0" borderId="0" xfId="6" applyNumberFormat="1" applyFont="1"/>
    <xf numFmtId="9" fontId="13" fillId="0" borderId="0" xfId="3" applyFont="1" applyFill="1"/>
    <xf numFmtId="4" fontId="13" fillId="0" borderId="0" xfId="6" applyNumberFormat="1" applyFont="1"/>
    <xf numFmtId="180" fontId="13" fillId="0" borderId="0" xfId="6" applyNumberFormat="1" applyFont="1"/>
    <xf numFmtId="0" fontId="24" fillId="0" borderId="0" xfId="6" applyFont="1" applyAlignment="1">
      <alignment wrapText="1"/>
    </xf>
    <xf numFmtId="3" fontId="13" fillId="0" borderId="0" xfId="0" applyNumberFormat="1" applyFont="1" applyAlignment="1">
      <alignment horizontal="left" vertical="center"/>
    </xf>
    <xf numFmtId="2" fontId="13" fillId="0" borderId="9" xfId="8" applyNumberFormat="1" applyFont="1" applyBorder="1" applyAlignment="1">
      <alignment horizontal="center"/>
    </xf>
    <xf numFmtId="0" fontId="13" fillId="4" borderId="0" xfId="8" applyFont="1" applyFill="1" applyAlignment="1">
      <alignment horizontal="center"/>
    </xf>
    <xf numFmtId="2" fontId="13" fillId="0" borderId="0" xfId="8" applyNumberFormat="1" applyFont="1" applyAlignment="1">
      <alignment horizontal="center"/>
    </xf>
    <xf numFmtId="39" fontId="13" fillId="0" borderId="0" xfId="1" applyNumberFormat="1" applyFont="1" applyAlignment="1">
      <alignment horizontal="center"/>
    </xf>
    <xf numFmtId="0" fontId="33" fillId="0" borderId="0" xfId="0" applyFont="1"/>
    <xf numFmtId="0" fontId="13" fillId="0" borderId="0" xfId="0" applyFont="1" applyAlignment="1">
      <alignment vertical="center"/>
    </xf>
    <xf numFmtId="9" fontId="13" fillId="0" borderId="0" xfId="3" applyFont="1" applyFill="1" applyBorder="1" applyAlignment="1">
      <alignment horizontal="center"/>
    </xf>
    <xf numFmtId="9" fontId="13" fillId="0" borderId="0" xfId="3" applyFont="1" applyBorder="1" applyAlignment="1">
      <alignment horizontal="center"/>
    </xf>
    <xf numFmtId="0" fontId="27" fillId="0" borderId="0" xfId="0" applyFont="1"/>
    <xf numFmtId="43" fontId="13" fillId="0" borderId="0" xfId="1" applyFont="1"/>
    <xf numFmtId="189" fontId="13" fillId="0" borderId="9" xfId="0" applyNumberFormat="1" applyFont="1" applyBorder="1" applyAlignment="1">
      <alignment horizontal="center"/>
    </xf>
    <xf numFmtId="168" fontId="13" fillId="0" borderId="9" xfId="0" applyNumberFormat="1" applyFont="1" applyBorder="1" applyAlignment="1">
      <alignment horizontal="center"/>
    </xf>
    <xf numFmtId="7" fontId="13" fillId="0" borderId="0" xfId="0" applyNumberFormat="1" applyFont="1"/>
    <xf numFmtId="170" fontId="13" fillId="0" borderId="0" xfId="0" applyNumberFormat="1" applyFont="1"/>
    <xf numFmtId="37" fontId="13" fillId="0" borderId="0" xfId="1" quotePrefix="1" applyNumberFormat="1" applyFont="1" applyFill="1" applyBorder="1" applyAlignment="1">
      <alignment horizontal="center" vertical="center" wrapText="1"/>
    </xf>
    <xf numFmtId="191" fontId="13" fillId="0" borderId="0" xfId="0" applyNumberFormat="1" applyFont="1" applyAlignment="1">
      <alignment horizontal="center"/>
    </xf>
    <xf numFmtId="184" fontId="13" fillId="0" borderId="0" xfId="0" applyNumberFormat="1" applyFont="1" applyAlignment="1">
      <alignment horizontal="center"/>
    </xf>
    <xf numFmtId="192" fontId="13" fillId="0" borderId="0" xfId="0" applyNumberFormat="1" applyFont="1"/>
    <xf numFmtId="0" fontId="13" fillId="4" borderId="0" xfId="0" applyFont="1" applyFill="1" applyAlignment="1">
      <alignment horizontal="left" vertical="top" wrapText="1"/>
    </xf>
    <xf numFmtId="2" fontId="13" fillId="0" borderId="0" xfId="0" applyNumberFormat="1" applyFont="1" applyAlignment="1">
      <alignment wrapText="1"/>
    </xf>
    <xf numFmtId="189" fontId="13" fillId="0" borderId="0" xfId="0" applyNumberFormat="1" applyFont="1"/>
    <xf numFmtId="168" fontId="13" fillId="0" borderId="19" xfId="0" applyNumberFormat="1" applyFont="1" applyBorder="1" applyAlignment="1">
      <alignment horizontal="center"/>
    </xf>
    <xf numFmtId="2" fontId="13" fillId="0" borderId="0" xfId="3" applyNumberFormat="1" applyFont="1" applyFill="1"/>
    <xf numFmtId="0" fontId="13" fillId="4" borderId="9" xfId="0" applyFont="1" applyFill="1" applyBorder="1" applyAlignment="1">
      <alignment horizontal="center" wrapText="1"/>
    </xf>
    <xf numFmtId="0" fontId="33" fillId="0" borderId="0" xfId="0" applyFont="1" applyAlignment="1">
      <alignment horizontal="left"/>
    </xf>
    <xf numFmtId="9" fontId="13" fillId="4" borderId="9" xfId="3" applyFont="1" applyFill="1" applyBorder="1" applyAlignment="1">
      <alignment horizontal="center" vertical="center"/>
    </xf>
    <xf numFmtId="0" fontId="13" fillId="0" borderId="0" xfId="0" applyFont="1" applyAlignment="1">
      <alignment horizontal="center" vertical="center"/>
    </xf>
    <xf numFmtId="184" fontId="13" fillId="0" borderId="0" xfId="0" applyNumberFormat="1" applyFont="1"/>
    <xf numFmtId="2" fontId="13" fillId="0" borderId="0" xfId="1" applyNumberFormat="1" applyFont="1"/>
    <xf numFmtId="2" fontId="13" fillId="0" borderId="24" xfId="0" applyNumberFormat="1" applyFont="1" applyBorder="1"/>
    <xf numFmtId="171" fontId="13" fillId="0" borderId="9" xfId="0" applyNumberFormat="1" applyFont="1" applyBorder="1"/>
    <xf numFmtId="2" fontId="13" fillId="0" borderId="9" xfId="13" applyNumberFormat="1" applyFont="1" applyBorder="1" applyAlignment="1">
      <alignment horizontal="center"/>
    </xf>
    <xf numFmtId="179" fontId="13" fillId="0" borderId="0" xfId="9" applyNumberFormat="1" applyFont="1" applyFill="1" applyBorder="1" applyAlignment="1">
      <alignment horizontal="center" vertical="center" wrapText="1"/>
    </xf>
    <xf numFmtId="165" fontId="13" fillId="0" borderId="9" xfId="6" applyNumberFormat="1" applyFont="1" applyBorder="1"/>
    <xf numFmtId="0" fontId="13" fillId="0" borderId="33" xfId="8" applyFont="1" applyBorder="1"/>
    <xf numFmtId="0" fontId="13" fillId="4" borderId="9" xfId="0" applyFont="1" applyFill="1" applyBorder="1" applyAlignment="1">
      <alignment horizontal="left"/>
    </xf>
    <xf numFmtId="180" fontId="13" fillId="0" borderId="9" xfId="8" applyNumberFormat="1" applyFont="1" applyBorder="1" applyAlignment="1">
      <alignment horizontal="center"/>
    </xf>
    <xf numFmtId="180" fontId="13" fillId="4" borderId="9" xfId="8" applyNumberFormat="1" applyFont="1" applyFill="1" applyBorder="1" applyAlignment="1">
      <alignment horizontal="center"/>
    </xf>
    <xf numFmtId="0" fontId="13" fillId="0" borderId="34" xfId="8" applyFont="1" applyBorder="1" applyAlignment="1">
      <alignment horizontal="left"/>
    </xf>
    <xf numFmtId="0" fontId="13" fillId="4" borderId="34" xfId="8" applyFont="1" applyFill="1" applyBorder="1"/>
    <xf numFmtId="0" fontId="13" fillId="0" borderId="22" xfId="8" applyFont="1" applyBorder="1" applyAlignment="1">
      <alignment horizontal="left"/>
    </xf>
    <xf numFmtId="0" fontId="13" fillId="0" borderId="19" xfId="8" applyFont="1" applyBorder="1" applyAlignment="1">
      <alignment horizontal="center"/>
    </xf>
    <xf numFmtId="2" fontId="13" fillId="0" borderId="19" xfId="8" applyNumberFormat="1" applyFont="1" applyBorder="1" applyAlignment="1">
      <alignment horizontal="center"/>
    </xf>
    <xf numFmtId="0" fontId="13" fillId="0" borderId="36" xfId="8" applyFont="1" applyBorder="1"/>
    <xf numFmtId="44" fontId="13" fillId="0" borderId="27" xfId="2" applyFont="1" applyBorder="1"/>
    <xf numFmtId="0" fontId="13" fillId="0" borderId="27" xfId="8" applyFont="1" applyBorder="1"/>
    <xf numFmtId="1" fontId="13" fillId="0" borderId="21" xfId="3" applyNumberFormat="1" applyFont="1" applyBorder="1" applyAlignment="1">
      <alignment horizontal="center"/>
    </xf>
    <xf numFmtId="1" fontId="13" fillId="0" borderId="19" xfId="3" applyNumberFormat="1" applyFont="1" applyBorder="1" applyAlignment="1">
      <alignment horizontal="center"/>
    </xf>
    <xf numFmtId="172" fontId="13" fillId="0" borderId="0" xfId="3" applyNumberFormat="1" applyFont="1" applyBorder="1"/>
    <xf numFmtId="9" fontId="13" fillId="0" borderId="0" xfId="3" applyFont="1" applyBorder="1"/>
    <xf numFmtId="0" fontId="13" fillId="4" borderId="0" xfId="8" applyFont="1" applyFill="1" applyAlignment="1">
      <alignment horizontal="left"/>
    </xf>
    <xf numFmtId="165" fontId="13" fillId="0" borderId="19" xfId="13" applyNumberFormat="1" applyFont="1" applyBorder="1" applyAlignment="1">
      <alignment horizontal="center" vertical="center" wrapText="1"/>
    </xf>
    <xf numFmtId="0" fontId="13" fillId="0" borderId="9" xfId="8" applyFont="1" applyBorder="1" applyAlignment="1">
      <alignment horizontal="center" vertical="center" wrapText="1"/>
    </xf>
    <xf numFmtId="165" fontId="13" fillId="0" borderId="9" xfId="8" applyNumberFormat="1" applyFont="1" applyBorder="1" applyAlignment="1">
      <alignment horizontal="center" vertical="center" wrapText="1"/>
    </xf>
    <xf numFmtId="165" fontId="13" fillId="0" borderId="16" xfId="8" applyNumberFormat="1" applyFont="1" applyBorder="1" applyAlignment="1">
      <alignment horizontal="center" vertical="center" wrapText="1"/>
    </xf>
    <xf numFmtId="1" fontId="13" fillId="0" borderId="9" xfId="13" applyNumberFormat="1" applyFont="1" applyBorder="1" applyAlignment="1">
      <alignment horizontal="center" vertical="center" wrapText="1"/>
    </xf>
    <xf numFmtId="0" fontId="13" fillId="4" borderId="0" xfId="8" applyFont="1" applyFill="1" applyAlignment="1">
      <alignment wrapText="1"/>
    </xf>
    <xf numFmtId="10" fontId="13" fillId="0" borderId="9" xfId="13" applyNumberFormat="1" applyFont="1" applyBorder="1" applyAlignment="1">
      <alignment horizontal="center" vertical="center" wrapText="1"/>
    </xf>
    <xf numFmtId="3" fontId="13" fillId="0" borderId="9" xfId="8" applyNumberFormat="1" applyFont="1" applyBorder="1" applyAlignment="1">
      <alignment horizontal="left" vertical="center" wrapText="1"/>
    </xf>
    <xf numFmtId="9" fontId="13" fillId="0" borderId="9" xfId="13" applyNumberFormat="1" applyFont="1" applyBorder="1" applyAlignment="1">
      <alignment horizontal="left" vertical="center" wrapText="1"/>
    </xf>
    <xf numFmtId="9" fontId="13" fillId="0" borderId="9" xfId="13" applyNumberFormat="1" applyFont="1" applyBorder="1" applyAlignment="1">
      <alignment horizontal="center" vertical="center" wrapText="1"/>
    </xf>
    <xf numFmtId="0" fontId="13" fillId="0" borderId="0" xfId="8" applyFont="1" applyAlignment="1">
      <alignment wrapText="1"/>
    </xf>
    <xf numFmtId="2" fontId="13" fillId="0" borderId="9" xfId="8" applyNumberFormat="1" applyFont="1" applyBorder="1" applyAlignment="1">
      <alignment horizontal="center" wrapText="1"/>
    </xf>
    <xf numFmtId="2" fontId="13" fillId="0" borderId="9" xfId="1" applyNumberFormat="1" applyFont="1" applyBorder="1" applyAlignment="1">
      <alignment horizontal="center"/>
    </xf>
    <xf numFmtId="1" fontId="13" fillId="0" borderId="9" xfId="8" applyNumberFormat="1" applyFont="1" applyBorder="1" applyAlignment="1">
      <alignment horizontal="center"/>
    </xf>
    <xf numFmtId="44" fontId="13" fillId="0" borderId="9" xfId="2" applyFont="1" applyBorder="1" applyAlignment="1">
      <alignment horizontal="center"/>
    </xf>
    <xf numFmtId="0" fontId="24" fillId="0" borderId="0" xfId="13" applyFont="1"/>
    <xf numFmtId="9" fontId="13" fillId="0" borderId="9" xfId="3" applyFont="1" applyBorder="1" applyAlignment="1">
      <alignment horizontal="center" wrapText="1"/>
    </xf>
    <xf numFmtId="170" fontId="13" fillId="0" borderId="9" xfId="2" applyNumberFormat="1" applyFont="1" applyFill="1" applyBorder="1" applyAlignment="1">
      <alignment horizontal="center" vertical="center" wrapText="1"/>
    </xf>
    <xf numFmtId="0" fontId="13" fillId="4" borderId="44" xfId="8" applyFont="1" applyFill="1" applyBorder="1"/>
    <xf numFmtId="0" fontId="13" fillId="4" borderId="45" xfId="8" applyFont="1" applyFill="1" applyBorder="1" applyAlignment="1">
      <alignment horizontal="left"/>
    </xf>
    <xf numFmtId="0" fontId="13" fillId="4" borderId="46" xfId="8" applyFont="1" applyFill="1" applyBorder="1"/>
    <xf numFmtId="0" fontId="13" fillId="0" borderId="45" xfId="8" applyFont="1" applyBorder="1" applyAlignment="1">
      <alignment horizontal="left"/>
    </xf>
    <xf numFmtId="0" fontId="13" fillId="0" borderId="46" xfId="8" applyFont="1" applyBorder="1" applyAlignment="1">
      <alignment horizontal="left"/>
    </xf>
    <xf numFmtId="0" fontId="13" fillId="0" borderId="46" xfId="8" applyFont="1" applyBorder="1"/>
    <xf numFmtId="0" fontId="13" fillId="0" borderId="47" xfId="8" applyFont="1" applyBorder="1"/>
    <xf numFmtId="7" fontId="13" fillId="4" borderId="9" xfId="2" applyNumberFormat="1" applyFont="1" applyFill="1" applyBorder="1" applyAlignment="1">
      <alignment horizontal="center" wrapText="1"/>
    </xf>
    <xf numFmtId="166" fontId="13" fillId="0" borderId="0" xfId="8" applyNumberFormat="1" applyFont="1"/>
    <xf numFmtId="1" fontId="13" fillId="0" borderId="0" xfId="8" applyNumberFormat="1" applyFont="1"/>
    <xf numFmtId="183" fontId="13" fillId="4" borderId="9" xfId="1" applyNumberFormat="1" applyFont="1" applyFill="1" applyBorder="1" applyAlignment="1">
      <alignment horizontal="center"/>
    </xf>
    <xf numFmtId="1" fontId="13" fillId="0" borderId="0" xfId="0" applyNumberFormat="1" applyFont="1" applyAlignment="1">
      <alignment horizontal="center" vertical="center" wrapText="1"/>
    </xf>
    <xf numFmtId="0" fontId="13" fillId="0" borderId="27" xfId="0" applyFont="1" applyBorder="1" applyAlignment="1">
      <alignment horizontal="left" vertical="center"/>
    </xf>
    <xf numFmtId="0" fontId="13" fillId="4" borderId="9" xfId="6" applyFont="1" applyFill="1" applyBorder="1" applyAlignment="1">
      <alignment horizontal="center"/>
    </xf>
    <xf numFmtId="0" fontId="13" fillId="4" borderId="14" xfId="0" applyFont="1" applyFill="1" applyBorder="1" applyAlignment="1">
      <alignment horizontal="center" vertical="center" wrapText="1"/>
    </xf>
    <xf numFmtId="182" fontId="13" fillId="4" borderId="14" xfId="1" applyNumberFormat="1" applyFont="1" applyFill="1" applyBorder="1" applyAlignment="1">
      <alignment horizontal="center"/>
    </xf>
    <xf numFmtId="0" fontId="13" fillId="4" borderId="14" xfId="6" applyFont="1" applyFill="1" applyBorder="1" applyAlignment="1">
      <alignment horizontal="center"/>
    </xf>
    <xf numFmtId="0" fontId="51" fillId="4" borderId="0" xfId="0" applyFont="1" applyFill="1" applyAlignment="1">
      <alignment vertical="center" wrapText="1"/>
    </xf>
    <xf numFmtId="0" fontId="13" fillId="0" borderId="9" xfId="13" applyFont="1" applyBorder="1" applyAlignment="1">
      <alignment horizontal="left"/>
    </xf>
    <xf numFmtId="0" fontId="48" fillId="0" borderId="0" xfId="0" applyFont="1"/>
    <xf numFmtId="39" fontId="13" fillId="4" borderId="0" xfId="1" applyNumberFormat="1" applyFont="1" applyFill="1" applyAlignment="1">
      <alignment horizontal="center"/>
    </xf>
    <xf numFmtId="178" fontId="13" fillId="0" borderId="9" xfId="0" applyNumberFormat="1" applyFont="1" applyBorder="1"/>
    <xf numFmtId="39" fontId="5" fillId="0" borderId="9" xfId="0" applyNumberFormat="1" applyFont="1" applyBorder="1" applyAlignment="1">
      <alignment horizontal="center" vertical="center" wrapText="1"/>
    </xf>
    <xf numFmtId="0" fontId="37" fillId="19" borderId="19" xfId="0" applyFont="1" applyFill="1" applyBorder="1" applyAlignment="1">
      <alignment horizontal="center" wrapText="1"/>
    </xf>
    <xf numFmtId="0" fontId="27" fillId="19" borderId="9" xfId="0" applyFont="1" applyFill="1" applyBorder="1" applyAlignment="1">
      <alignment horizontal="center" wrapText="1"/>
    </xf>
    <xf numFmtId="43" fontId="0" fillId="0" borderId="0" xfId="1" applyFont="1"/>
    <xf numFmtId="7" fontId="0" fillId="0" borderId="0" xfId="1" applyNumberFormat="1" applyFont="1"/>
    <xf numFmtId="0" fontId="27" fillId="19" borderId="30" xfId="0" applyFont="1" applyFill="1" applyBorder="1" applyAlignment="1">
      <alignment horizontal="center" wrapText="1"/>
    </xf>
    <xf numFmtId="0" fontId="27" fillId="21" borderId="9" xfId="0" applyFont="1" applyFill="1" applyBorder="1" applyAlignment="1">
      <alignment horizontal="center" wrapText="1"/>
    </xf>
    <xf numFmtId="0" fontId="59" fillId="24" borderId="9" xfId="0" applyFont="1" applyFill="1" applyBorder="1" applyAlignment="1">
      <alignment horizontal="center" wrapText="1"/>
    </xf>
    <xf numFmtId="171" fontId="47" fillId="13" borderId="9" xfId="0" applyNumberFormat="1" applyFont="1" applyFill="1" applyBorder="1" applyAlignment="1">
      <alignment horizontal="center" wrapText="1"/>
    </xf>
    <xf numFmtId="171" fontId="47" fillId="13" borderId="9" xfId="2" applyNumberFormat="1" applyFont="1" applyFill="1" applyBorder="1" applyAlignment="1">
      <alignment horizontal="center" wrapText="1"/>
    </xf>
    <xf numFmtId="39" fontId="0" fillId="0" borderId="9" xfId="0" applyNumberFormat="1" applyBorder="1"/>
    <xf numFmtId="43" fontId="47" fillId="27" borderId="20" xfId="1" applyFont="1" applyFill="1" applyBorder="1" applyAlignment="1">
      <alignment horizontal="center" wrapText="1"/>
    </xf>
    <xf numFmtId="165" fontId="0" fillId="0" borderId="9" xfId="0" applyNumberFormat="1" applyBorder="1" applyAlignment="1">
      <alignment horizontal="center"/>
    </xf>
    <xf numFmtId="43" fontId="47" fillId="30" borderId="20" xfId="1" applyFont="1" applyFill="1" applyBorder="1" applyAlignment="1">
      <alignment horizontal="center" wrapText="1"/>
    </xf>
    <xf numFmtId="7" fontId="13" fillId="0" borderId="0" xfId="2" applyNumberFormat="1" applyFont="1" applyFill="1" applyBorder="1" applyAlignment="1">
      <alignment horizontal="center"/>
    </xf>
    <xf numFmtId="44" fontId="13" fillId="0" borderId="0" xfId="0" applyNumberFormat="1" applyFont="1"/>
    <xf numFmtId="2" fontId="13" fillId="0" borderId="0" xfId="0" applyNumberFormat="1" applyFont="1" applyAlignment="1">
      <alignment horizontal="left" wrapText="1"/>
    </xf>
    <xf numFmtId="44" fontId="13" fillId="0" borderId="0" xfId="2" applyFont="1" applyFill="1" applyBorder="1"/>
    <xf numFmtId="188" fontId="13" fillId="0" borderId="0" xfId="3" applyNumberFormat="1" applyFont="1" applyFill="1" applyBorder="1"/>
    <xf numFmtId="8" fontId="13" fillId="0" borderId="0" xfId="0" applyNumberFormat="1" applyFont="1" applyAlignment="1">
      <alignment horizontal="left"/>
    </xf>
    <xf numFmtId="5" fontId="5" fillId="4" borderId="9" xfId="2" applyNumberFormat="1" applyFont="1" applyFill="1" applyBorder="1" applyAlignment="1">
      <alignment horizontal="center"/>
    </xf>
    <xf numFmtId="39" fontId="5" fillId="0" borderId="9" xfId="0" applyNumberFormat="1" applyFont="1" applyBorder="1"/>
    <xf numFmtId="0" fontId="13" fillId="4" borderId="9" xfId="0" applyFont="1" applyFill="1" applyBorder="1" applyAlignment="1">
      <alignment vertical="center"/>
    </xf>
    <xf numFmtId="2" fontId="13" fillId="4" borderId="22" xfId="1" applyNumberFormat="1" applyFont="1" applyFill="1" applyBorder="1"/>
    <xf numFmtId="2" fontId="13" fillId="4" borderId="16" xfId="1" applyNumberFormat="1" applyFont="1" applyFill="1" applyBorder="1" applyAlignment="1">
      <alignment horizontal="center"/>
    </xf>
    <xf numFmtId="0" fontId="13" fillId="32" borderId="9" xfId="0" applyFont="1" applyFill="1" applyBorder="1"/>
    <xf numFmtId="0" fontId="0" fillId="18" borderId="0" xfId="0" applyFill="1"/>
    <xf numFmtId="170" fontId="5" fillId="0" borderId="9" xfId="5" applyNumberFormat="1" applyFont="1" applyBorder="1" applyAlignment="1">
      <alignment horizontal="center"/>
    </xf>
    <xf numFmtId="171" fontId="5" fillId="17" borderId="9" xfId="2" applyNumberFormat="1" applyFont="1" applyFill="1" applyBorder="1" applyAlignment="1">
      <alignment horizontal="center"/>
    </xf>
    <xf numFmtId="171" fontId="5" fillId="4" borderId="9" xfId="5" applyNumberFormat="1" applyFont="1" applyFill="1" applyBorder="1" applyAlignment="1">
      <alignment horizontal="center"/>
    </xf>
    <xf numFmtId="0" fontId="6" fillId="12" borderId="0" xfId="0" applyFont="1" applyFill="1"/>
    <xf numFmtId="167" fontId="6" fillId="12" borderId="0" xfId="0" applyNumberFormat="1" applyFont="1" applyFill="1"/>
    <xf numFmtId="2" fontId="5" fillId="0" borderId="9" xfId="0" applyNumberFormat="1" applyFont="1" applyBorder="1"/>
    <xf numFmtId="170" fontId="13" fillId="4" borderId="9" xfId="5" applyNumberFormat="1" applyFont="1" applyFill="1" applyBorder="1" applyAlignment="1">
      <alignment horizontal="center"/>
    </xf>
    <xf numFmtId="171" fontId="2" fillId="4" borderId="9" xfId="5" applyNumberFormat="1" applyFont="1" applyFill="1" applyBorder="1" applyAlignment="1">
      <alignment horizontal="center" vertical="center" wrapText="1"/>
    </xf>
    <xf numFmtId="0" fontId="13" fillId="4" borderId="23" xfId="8" applyFont="1" applyFill="1" applyBorder="1" applyAlignment="1">
      <alignment horizontal="left"/>
    </xf>
    <xf numFmtId="165" fontId="5"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5" fillId="0" borderId="9" xfId="0" applyFont="1" applyBorder="1"/>
    <xf numFmtId="0" fontId="5" fillId="4" borderId="9" xfId="0" applyFont="1" applyFill="1" applyBorder="1"/>
    <xf numFmtId="43" fontId="5" fillId="0" borderId="9" xfId="1" applyFont="1" applyBorder="1"/>
    <xf numFmtId="168" fontId="13" fillId="4" borderId="9" xfId="5" applyNumberFormat="1" applyFont="1" applyFill="1" applyBorder="1" applyAlignment="1">
      <alignment horizontal="center" vertical="center"/>
    </xf>
    <xf numFmtId="43" fontId="60" fillId="0" borderId="9" xfId="1" applyFont="1" applyBorder="1"/>
    <xf numFmtId="197" fontId="60" fillId="0" borderId="9" xfId="0" applyNumberFormat="1" applyFont="1" applyBorder="1"/>
    <xf numFmtId="0" fontId="5" fillId="0" borderId="9" xfId="0" applyFont="1" applyBorder="1" applyAlignment="1">
      <alignment horizontal="center"/>
    </xf>
    <xf numFmtId="197" fontId="5" fillId="0" borderId="9" xfId="0" applyNumberFormat="1" applyFont="1" applyBorder="1"/>
    <xf numFmtId="44" fontId="5" fillId="0" borderId="9" xfId="2" applyFont="1" applyBorder="1"/>
    <xf numFmtId="0" fontId="13" fillId="0" borderId="9" xfId="5" applyFont="1" applyBorder="1" applyAlignment="1">
      <alignment horizontal="left" vertical="center" wrapText="1"/>
    </xf>
    <xf numFmtId="169" fontId="13" fillId="0" borderId="16" xfId="5" applyNumberFormat="1" applyFont="1" applyBorder="1" applyAlignment="1">
      <alignment horizontal="center"/>
    </xf>
    <xf numFmtId="37" fontId="13" fillId="0" borderId="9" xfId="5" applyNumberFormat="1" applyFont="1" applyBorder="1" applyAlignment="1">
      <alignment horizontal="center"/>
    </xf>
    <xf numFmtId="0" fontId="13" fillId="0" borderId="9" xfId="5" applyFont="1" applyBorder="1"/>
    <xf numFmtId="171" fontId="0" fillId="0" borderId="9" xfId="0" applyNumberFormat="1" applyBorder="1"/>
    <xf numFmtId="168" fontId="13" fillId="4" borderId="9" xfId="0" applyNumberFormat="1" applyFont="1" applyFill="1" applyBorder="1" applyAlignment="1">
      <alignment horizontal="left" vertical="center" wrapText="1"/>
    </xf>
    <xf numFmtId="0" fontId="5" fillId="0" borderId="0" xfId="0" applyFont="1" applyAlignment="1">
      <alignment horizontal="center"/>
    </xf>
    <xf numFmtId="0" fontId="5" fillId="0" borderId="9" xfId="13" applyFont="1" applyBorder="1" applyAlignment="1">
      <alignment horizontal="center"/>
    </xf>
    <xf numFmtId="0" fontId="5" fillId="4" borderId="9" xfId="13" applyFont="1" applyFill="1" applyBorder="1" applyAlignment="1">
      <alignment horizontal="center"/>
    </xf>
    <xf numFmtId="9" fontId="5" fillId="0" borderId="9" xfId="3" applyFont="1" applyBorder="1" applyAlignment="1">
      <alignment horizontal="center" wrapText="1"/>
    </xf>
    <xf numFmtId="171" fontId="5" fillId="0" borderId="9" xfId="4" applyNumberFormat="1" applyFont="1" applyFill="1" applyBorder="1" applyAlignment="1" applyProtection="1">
      <alignment horizontal="center"/>
      <protection locked="0"/>
    </xf>
    <xf numFmtId="171" fontId="5" fillId="0" borderId="9" xfId="2" applyNumberFormat="1" applyFont="1" applyBorder="1" applyAlignment="1">
      <alignment horizontal="center"/>
    </xf>
    <xf numFmtId="2" fontId="13" fillId="0" borderId="9" xfId="1" applyNumberFormat="1" applyFont="1" applyBorder="1" applyAlignment="1">
      <alignment horizontal="center" wrapText="1"/>
    </xf>
    <xf numFmtId="39" fontId="13" fillId="0" borderId="9" xfId="1" applyNumberFormat="1" applyFont="1" applyFill="1" applyBorder="1" applyAlignment="1">
      <alignment horizontal="center"/>
    </xf>
    <xf numFmtId="171" fontId="13" fillId="0" borderId="9" xfId="5" applyNumberFormat="1" applyFont="1" applyBorder="1" applyAlignment="1">
      <alignment horizontal="center" vertical="center" wrapText="1"/>
    </xf>
    <xf numFmtId="165" fontId="13" fillId="0" borderId="9" xfId="6" applyNumberFormat="1" applyFont="1" applyBorder="1" applyAlignment="1">
      <alignment horizontal="left" vertical="center" wrapText="1" indent="3"/>
    </xf>
    <xf numFmtId="0" fontId="13" fillId="15" borderId="9" xfId="5" applyFont="1" applyFill="1" applyBorder="1" applyAlignment="1">
      <alignment horizontal="center" vertical="center" wrapText="1"/>
    </xf>
    <xf numFmtId="0" fontId="10" fillId="0" borderId="0" xfId="6" applyFont="1" applyAlignment="1">
      <alignment horizontal="center"/>
    </xf>
    <xf numFmtId="165" fontId="0" fillId="0" borderId="9" xfId="0" applyNumberFormat="1" applyBorder="1"/>
    <xf numFmtId="171" fontId="2" fillId="0" borderId="9" xfId="5" applyNumberFormat="1" applyFont="1" applyBorder="1" applyAlignment="1">
      <alignment horizontal="center" vertical="center" wrapText="1"/>
    </xf>
    <xf numFmtId="7" fontId="2" fillId="0" borderId="9" xfId="10" applyNumberFormat="1" applyFont="1" applyFill="1" applyBorder="1" applyAlignment="1">
      <alignment horizontal="center"/>
    </xf>
    <xf numFmtId="2" fontId="2" fillId="0" borderId="9" xfId="10" applyNumberFormat="1" applyFont="1" applyFill="1" applyBorder="1" applyAlignment="1">
      <alignment horizontal="center"/>
    </xf>
    <xf numFmtId="165" fontId="13" fillId="0" borderId="9" xfId="0" applyNumberFormat="1" applyFont="1" applyBorder="1"/>
    <xf numFmtId="9" fontId="5" fillId="0" borderId="9" xfId="13" applyNumberFormat="1" applyFont="1" applyBorder="1" applyAlignment="1">
      <alignment horizontal="center"/>
    </xf>
    <xf numFmtId="172" fontId="13" fillId="0" borderId="9" xfId="16" applyNumberFormat="1" applyFont="1" applyFill="1" applyBorder="1" applyAlignment="1">
      <alignment horizontal="center"/>
    </xf>
    <xf numFmtId="188" fontId="13" fillId="0" borderId="9" xfId="3" applyNumberFormat="1" applyFont="1" applyFill="1" applyBorder="1" applyAlignment="1">
      <alignment horizontal="center"/>
    </xf>
    <xf numFmtId="179" fontId="13" fillId="0" borderId="9" xfId="0" applyNumberFormat="1" applyFont="1" applyBorder="1" applyAlignment="1">
      <alignment horizontal="center"/>
    </xf>
    <xf numFmtId="171" fontId="5" fillId="0" borderId="9" xfId="6" applyNumberFormat="1" applyFont="1" applyBorder="1" applyAlignment="1">
      <alignment horizontal="center"/>
    </xf>
    <xf numFmtId="39" fontId="13" fillId="0" borderId="9" xfId="0" applyNumberFormat="1" applyFont="1" applyBorder="1" applyAlignment="1">
      <alignment horizontal="center"/>
    </xf>
    <xf numFmtId="180" fontId="5" fillId="0" borderId="9" xfId="0" applyNumberFormat="1" applyFont="1" applyBorder="1" applyAlignment="1">
      <alignment horizontal="center"/>
    </xf>
    <xf numFmtId="9" fontId="5" fillId="0" borderId="0" xfId="3" applyFont="1"/>
    <xf numFmtId="172" fontId="5" fillId="4" borderId="9" xfId="3" applyNumberFormat="1" applyFont="1" applyFill="1" applyBorder="1" applyAlignment="1">
      <alignment horizontal="center"/>
    </xf>
    <xf numFmtId="43" fontId="13" fillId="0" borderId="9" xfId="0" applyNumberFormat="1" applyFont="1" applyBorder="1"/>
    <xf numFmtId="43" fontId="13" fillId="4" borderId="9" xfId="0" applyNumberFormat="1" applyFont="1" applyFill="1" applyBorder="1"/>
    <xf numFmtId="170" fontId="13" fillId="0" borderId="9" xfId="0" applyNumberFormat="1" applyFont="1" applyBorder="1"/>
    <xf numFmtId="165" fontId="13" fillId="4" borderId="9" xfId="0" applyNumberFormat="1" applyFont="1" applyFill="1" applyBorder="1" applyAlignment="1">
      <alignment horizontal="left" vertical="top" wrapText="1"/>
    </xf>
    <xf numFmtId="1" fontId="5" fillId="0" borderId="9" xfId="1" applyNumberFormat="1" applyFont="1" applyFill="1" applyBorder="1" applyAlignment="1">
      <alignment horizontal="left" vertical="top" wrapText="1"/>
    </xf>
    <xf numFmtId="1" fontId="5" fillId="0" borderId="9" xfId="0" applyNumberFormat="1" applyFont="1" applyBorder="1" applyAlignment="1">
      <alignment horizontal="left" vertical="top" wrapText="1"/>
    </xf>
    <xf numFmtId="2" fontId="5" fillId="0" borderId="9" xfId="0" applyNumberFormat="1" applyFont="1" applyBorder="1" applyAlignment="1">
      <alignment horizontal="left" vertical="top" wrapText="1"/>
    </xf>
    <xf numFmtId="39" fontId="0" fillId="0" borderId="9" xfId="0" applyNumberFormat="1" applyBorder="1" applyAlignment="1">
      <alignment horizontal="center"/>
    </xf>
    <xf numFmtId="2" fontId="5" fillId="0" borderId="0" xfId="0" applyNumberFormat="1" applyFont="1" applyAlignment="1">
      <alignment horizontal="center"/>
    </xf>
    <xf numFmtId="44" fontId="5" fillId="4" borderId="9" xfId="2" applyFont="1" applyFill="1" applyBorder="1" applyAlignment="1">
      <alignment horizontal="left" vertical="top" wrapText="1"/>
    </xf>
    <xf numFmtId="165" fontId="5" fillId="0" borderId="9" xfId="0" applyNumberFormat="1" applyFont="1" applyBorder="1" applyAlignment="1">
      <alignment horizontal="left" vertical="top" wrapText="1"/>
    </xf>
    <xf numFmtId="2" fontId="13" fillId="0" borderId="9" xfId="0" applyNumberFormat="1" applyFont="1" applyBorder="1" applyAlignment="1">
      <alignment horizontal="left" vertical="top" wrapText="1"/>
    </xf>
    <xf numFmtId="7" fontId="13" fillId="0" borderId="9" xfId="2" applyNumberFormat="1" applyFont="1" applyFill="1" applyBorder="1" applyAlignment="1">
      <alignment horizontal="center"/>
    </xf>
    <xf numFmtId="170" fontId="13" fillId="13" borderId="9" xfId="5" applyNumberFormat="1" applyFont="1" applyFill="1" applyBorder="1" applyAlignment="1">
      <alignment horizontal="center"/>
    </xf>
    <xf numFmtId="39" fontId="13" fillId="4" borderId="9" xfId="8" applyNumberFormat="1" applyFont="1" applyFill="1" applyBorder="1" applyAlignment="1">
      <alignment horizontal="center"/>
    </xf>
    <xf numFmtId="2" fontId="13" fillId="0" borderId="9" xfId="1" applyNumberFormat="1" applyFont="1" applyFill="1" applyBorder="1" applyAlignment="1">
      <alignment horizontal="center"/>
    </xf>
    <xf numFmtId="2" fontId="5" fillId="0" borderId="9" xfId="8" applyNumberFormat="1" applyFont="1" applyBorder="1" applyAlignment="1">
      <alignment horizontal="center" wrapText="1"/>
    </xf>
    <xf numFmtId="0" fontId="5" fillId="0" borderId="9" xfId="8" applyFont="1" applyBorder="1" applyAlignment="1">
      <alignment horizontal="center" wrapText="1"/>
    </xf>
    <xf numFmtId="187" fontId="5" fillId="0" borderId="9" xfId="1" applyNumberFormat="1" applyFont="1" applyBorder="1" applyAlignment="1">
      <alignment horizontal="center"/>
    </xf>
    <xf numFmtId="187" fontId="5" fillId="4" borderId="9" xfId="0" applyNumberFormat="1" applyFont="1" applyFill="1" applyBorder="1" applyAlignment="1">
      <alignment horizontal="center" vertical="center" wrapText="1"/>
    </xf>
    <xf numFmtId="0" fontId="33" fillId="4" borderId="9" xfId="8" applyFont="1" applyFill="1" applyBorder="1" applyAlignment="1">
      <alignment horizontal="left" vertical="center" wrapText="1"/>
    </xf>
    <xf numFmtId="7" fontId="13" fillId="0" borderId="9" xfId="1" applyNumberFormat="1" applyFont="1" applyBorder="1" applyAlignment="1">
      <alignment horizontal="center" wrapText="1"/>
    </xf>
    <xf numFmtId="7" fontId="5" fillId="0" borderId="9" xfId="1" applyNumberFormat="1" applyFont="1" applyBorder="1" applyAlignment="1">
      <alignment horizontal="center" wrapText="1"/>
    </xf>
    <xf numFmtId="165" fontId="2" fillId="0" borderId="9" xfId="1" applyNumberFormat="1" applyFont="1" applyBorder="1" applyAlignment="1">
      <alignment horizontal="center" wrapText="1"/>
    </xf>
    <xf numFmtId="170" fontId="13" fillId="0" borderId="9" xfId="1" applyNumberFormat="1" applyFont="1" applyBorder="1" applyAlignment="1">
      <alignment horizontal="center" wrapText="1"/>
    </xf>
    <xf numFmtId="170" fontId="5" fillId="0" borderId="9" xfId="1" applyNumberFormat="1" applyFont="1" applyBorder="1" applyAlignment="1">
      <alignment horizontal="center" wrapText="1"/>
    </xf>
    <xf numFmtId="185" fontId="5" fillId="0" borderId="9" xfId="0" applyNumberFormat="1" applyFont="1" applyBorder="1" applyAlignment="1">
      <alignment horizontal="center" vertical="center" wrapText="1"/>
    </xf>
    <xf numFmtId="170" fontId="5" fillId="0" borderId="9" xfId="0" applyNumberFormat="1" applyFont="1" applyBorder="1" applyAlignment="1">
      <alignment horizontal="center" vertical="center" wrapText="1"/>
    </xf>
    <xf numFmtId="170" fontId="5" fillId="0" borderId="9" xfId="1" applyNumberFormat="1" applyFont="1" applyFill="1" applyBorder="1" applyAlignment="1">
      <alignment horizontal="center" wrapText="1"/>
    </xf>
    <xf numFmtId="165" fontId="5" fillId="0" borderId="0" xfId="0" applyNumberFormat="1" applyFont="1" applyAlignment="1">
      <alignment horizontal="left" vertical="center" wrapText="1"/>
    </xf>
    <xf numFmtId="7" fontId="5" fillId="0" borderId="0" xfId="2" applyNumberFormat="1" applyFont="1" applyFill="1" applyBorder="1" applyAlignment="1">
      <alignment horizontal="center" wrapText="1"/>
    </xf>
    <xf numFmtId="7" fontId="5" fillId="0" borderId="0" xfId="2" applyNumberFormat="1" applyFont="1" applyBorder="1" applyAlignment="1">
      <alignment horizontal="center" wrapText="1"/>
    </xf>
    <xf numFmtId="7" fontId="13" fillId="0" borderId="0" xfId="2" applyNumberFormat="1" applyFont="1" applyBorder="1" applyAlignment="1">
      <alignment horizontal="center" wrapText="1"/>
    </xf>
    <xf numFmtId="165" fontId="5" fillId="0" borderId="16" xfId="13" applyNumberFormat="1" applyFont="1" applyBorder="1" applyAlignment="1">
      <alignment horizontal="center" vertical="center" wrapText="1"/>
    </xf>
    <xf numFmtId="0" fontId="13" fillId="0" borderId="19" xfId="6" applyFont="1" applyBorder="1"/>
    <xf numFmtId="180" fontId="0" fillId="0" borderId="9" xfId="0" applyNumberFormat="1" applyBorder="1"/>
    <xf numFmtId="180" fontId="5"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5" fillId="0" borderId="9" xfId="0" applyNumberFormat="1" applyFont="1" applyBorder="1"/>
    <xf numFmtId="0" fontId="12" fillId="9" borderId="0" xfId="5" applyFont="1" applyFill="1" applyAlignment="1">
      <alignment horizontal="center"/>
    </xf>
    <xf numFmtId="167" fontId="27" fillId="12" borderId="0" xfId="0" applyNumberFormat="1" applyFont="1" applyFill="1" applyAlignment="1">
      <alignment horizontal="center"/>
    </xf>
    <xf numFmtId="0" fontId="26" fillId="0" borderId="0" xfId="5" applyFont="1" applyAlignment="1">
      <alignment horizontal="left"/>
    </xf>
    <xf numFmtId="0" fontId="13" fillId="11" borderId="9" xfId="0" applyFont="1" applyFill="1" applyBorder="1" applyAlignment="1">
      <alignment vertical="center"/>
    </xf>
    <xf numFmtId="0" fontId="13" fillId="0" borderId="9" xfId="0" applyFont="1" applyBorder="1" applyAlignment="1">
      <alignment vertical="center"/>
    </xf>
    <xf numFmtId="2" fontId="13" fillId="0" borderId="9" xfId="0" applyNumberFormat="1" applyFont="1" applyBorder="1" applyAlignment="1">
      <alignment horizontal="center" wrapText="1"/>
    </xf>
    <xf numFmtId="171" fontId="5" fillId="0" borderId="9" xfId="0" applyNumberFormat="1" applyFont="1" applyBorder="1" applyAlignment="1">
      <alignment horizontal="center"/>
    </xf>
    <xf numFmtId="172" fontId="13" fillId="0" borderId="9" xfId="0" applyNumberFormat="1" applyFont="1" applyBorder="1" applyAlignment="1">
      <alignment horizontal="center" vertical="center" wrapText="1"/>
    </xf>
    <xf numFmtId="171" fontId="5" fillId="29" borderId="9" xfId="2" applyNumberFormat="1" applyFont="1" applyFill="1" applyBorder="1" applyAlignment="1">
      <alignment horizontal="center"/>
    </xf>
    <xf numFmtId="171" fontId="5" fillId="27" borderId="9" xfId="2" applyNumberFormat="1" applyFont="1" applyFill="1" applyBorder="1" applyAlignment="1">
      <alignment horizontal="center"/>
    </xf>
    <xf numFmtId="43" fontId="27" fillId="0" borderId="9" xfId="1" applyFont="1" applyBorder="1"/>
    <xf numFmtId="197" fontId="27" fillId="0" borderId="9" xfId="0" applyNumberFormat="1" applyFont="1" applyBorder="1"/>
    <xf numFmtId="197" fontId="13" fillId="0" borderId="9" xfId="0" applyNumberFormat="1" applyFont="1" applyBorder="1"/>
    <xf numFmtId="197" fontId="13" fillId="26" borderId="9" xfId="0" applyNumberFormat="1" applyFont="1" applyFill="1" applyBorder="1"/>
    <xf numFmtId="43" fontId="0" fillId="0" borderId="9" xfId="1" applyFont="1" applyBorder="1"/>
    <xf numFmtId="171" fontId="13" fillId="17" borderId="9" xfId="2" applyNumberFormat="1" applyFont="1" applyFill="1" applyBorder="1" applyAlignment="1">
      <alignment horizontal="center"/>
    </xf>
    <xf numFmtId="44" fontId="5" fillId="0" borderId="9" xfId="2" applyFont="1" applyBorder="1" applyAlignment="1">
      <alignment horizontal="center"/>
    </xf>
    <xf numFmtId="0" fontId="27" fillId="0" borderId="0" xfId="5" applyFont="1" applyAlignment="1">
      <alignment horizontal="center"/>
    </xf>
    <xf numFmtId="1" fontId="13" fillId="0" borderId="9" xfId="1" applyNumberFormat="1" applyFont="1" applyBorder="1" applyAlignment="1">
      <alignment horizontal="center" vertical="center"/>
    </xf>
    <xf numFmtId="1" fontId="13" fillId="4" borderId="9" xfId="1" applyNumberFormat="1" applyFont="1" applyFill="1" applyBorder="1" applyAlignment="1">
      <alignment horizontal="center" vertical="center"/>
    </xf>
    <xf numFmtId="171" fontId="13" fillId="0" borderId="50" xfId="13" applyNumberFormat="1" applyFont="1" applyBorder="1" applyAlignment="1">
      <alignment horizontal="center"/>
    </xf>
    <xf numFmtId="9" fontId="13" fillId="0" borderId="9" xfId="0" applyNumberFormat="1" applyFont="1" applyBorder="1" applyAlignment="1">
      <alignment horizontal="center" vertical="center"/>
    </xf>
    <xf numFmtId="0" fontId="27" fillId="12" borderId="9" xfId="0" applyFont="1" applyFill="1" applyBorder="1"/>
    <xf numFmtId="0" fontId="64" fillId="9" borderId="0" xfId="5" applyFont="1" applyFill="1"/>
    <xf numFmtId="0" fontId="13" fillId="12" borderId="0" xfId="0" applyFont="1" applyFill="1"/>
    <xf numFmtId="1" fontId="13" fillId="4" borderId="9" xfId="0" applyNumberFormat="1" applyFont="1" applyFill="1" applyBorder="1" applyAlignment="1">
      <alignment horizontal="left" vertical="top" wrapText="1"/>
    </xf>
    <xf numFmtId="1" fontId="13" fillId="0" borderId="9" xfId="0" applyNumberFormat="1" applyFont="1" applyBorder="1" applyAlignment="1">
      <alignment horizontal="left" vertical="top" wrapText="1"/>
    </xf>
    <xf numFmtId="185" fontId="13" fillId="0" borderId="0" xfId="0" applyNumberFormat="1" applyFont="1"/>
    <xf numFmtId="169" fontId="13" fillId="0" borderId="9" xfId="2" applyNumberFormat="1" applyFont="1" applyFill="1" applyBorder="1" applyAlignment="1">
      <alignment horizontal="center"/>
    </xf>
    <xf numFmtId="178" fontId="13" fillId="0" borderId="9" xfId="0" applyNumberFormat="1" applyFont="1" applyBorder="1" applyAlignment="1">
      <alignment horizontal="left" vertical="center" wrapText="1"/>
    </xf>
    <xf numFmtId="171" fontId="13" fillId="0" borderId="9" xfId="2" applyNumberFormat="1" applyFont="1" applyBorder="1" applyAlignment="1">
      <alignment horizontal="center"/>
    </xf>
    <xf numFmtId="0" fontId="13" fillId="0" borderId="19" xfId="6" applyFont="1" applyBorder="1" applyAlignment="1">
      <alignment vertical="center"/>
    </xf>
    <xf numFmtId="2" fontId="24" fillId="0" borderId="0" xfId="5" applyNumberFormat="1" applyFont="1" applyAlignment="1">
      <alignment horizontal="center"/>
    </xf>
    <xf numFmtId="2" fontId="13" fillId="33" borderId="9" xfId="1" applyNumberFormat="1" applyFont="1" applyFill="1" applyBorder="1" applyAlignment="1">
      <alignment horizontal="center"/>
    </xf>
    <xf numFmtId="2" fontId="13" fillId="8" borderId="9" xfId="1" applyNumberFormat="1" applyFont="1" applyFill="1" applyBorder="1"/>
    <xf numFmtId="2" fontId="13" fillId="8" borderId="23" xfId="1" applyNumberFormat="1" applyFont="1" applyFill="1" applyBorder="1"/>
    <xf numFmtId="44" fontId="13" fillId="4" borderId="17" xfId="2" applyFont="1" applyFill="1" applyBorder="1"/>
    <xf numFmtId="44" fontId="13" fillId="0" borderId="24" xfId="2" applyFont="1" applyFill="1" applyBorder="1"/>
    <xf numFmtId="165" fontId="9" fillId="0" borderId="8" xfId="0" applyNumberFormat="1" applyFont="1" applyBorder="1" applyAlignment="1">
      <alignment horizontal="center" vertical="center" wrapText="1"/>
    </xf>
    <xf numFmtId="165" fontId="9" fillId="0" borderId="9" xfId="0" applyNumberFormat="1" applyFont="1" applyBorder="1" applyAlignment="1">
      <alignment horizontal="center" vertical="center" wrapText="1"/>
    </xf>
    <xf numFmtId="0" fontId="9" fillId="0" borderId="10" xfId="0" applyFont="1" applyBorder="1" applyAlignment="1">
      <alignment horizontal="left" vertical="center" wrapText="1"/>
    </xf>
    <xf numFmtId="0" fontId="13" fillId="4" borderId="9" xfId="13" applyFont="1" applyFill="1" applyBorder="1" applyAlignment="1">
      <alignment horizontal="center"/>
    </xf>
    <xf numFmtId="14" fontId="9" fillId="0" borderId="9" xfId="0" applyNumberFormat="1" applyFont="1" applyBorder="1" applyAlignment="1">
      <alignment horizontal="center" vertical="center" wrapText="1"/>
    </xf>
    <xf numFmtId="9" fontId="13" fillId="0" borderId="9" xfId="3" applyFont="1" applyFill="1" applyBorder="1" applyAlignment="1">
      <alignment horizontal="center" wrapText="1"/>
    </xf>
    <xf numFmtId="165" fontId="5" fillId="0" borderId="0" xfId="0" applyNumberFormat="1" applyFont="1" applyAlignment="1">
      <alignment horizontal="center" vertical="center" wrapText="1"/>
    </xf>
    <xf numFmtId="0" fontId="13" fillId="16" borderId="9" xfId="0" applyFont="1" applyFill="1" applyBorder="1" applyAlignment="1">
      <alignment horizontal="left" vertical="top" wrapText="1"/>
    </xf>
    <xf numFmtId="2" fontId="5" fillId="0" borderId="9" xfId="1" applyNumberFormat="1" applyFont="1" applyBorder="1" applyAlignment="1">
      <alignment horizontal="center" wrapText="1"/>
    </xf>
    <xf numFmtId="171" fontId="13" fillId="4" borderId="18" xfId="4" applyNumberFormat="1" applyFont="1" applyFill="1" applyBorder="1" applyAlignment="1" applyProtection="1">
      <alignment horizontal="center"/>
      <protection locked="0"/>
    </xf>
    <xf numFmtId="1" fontId="5" fillId="4" borderId="9" xfId="0" applyNumberFormat="1" applyFont="1" applyFill="1" applyBorder="1" applyAlignment="1">
      <alignment horizontal="left" vertical="top" wrapText="1"/>
    </xf>
    <xf numFmtId="39" fontId="5" fillId="0" borderId="9" xfId="0" applyNumberFormat="1" applyFont="1" applyBorder="1" applyAlignment="1">
      <alignment horizontal="right"/>
    </xf>
    <xf numFmtId="0" fontId="13" fillId="4" borderId="30" xfId="0" applyFont="1" applyFill="1" applyBorder="1" applyAlignment="1">
      <alignment horizontal="left" vertical="top"/>
    </xf>
    <xf numFmtId="165" fontId="5" fillId="0" borderId="9" xfId="6" applyNumberFormat="1" applyFont="1" applyBorder="1" applyAlignment="1">
      <alignment horizontal="left" vertical="center" wrapText="1"/>
    </xf>
    <xf numFmtId="0" fontId="5" fillId="4" borderId="9" xfId="0" applyFont="1" applyFill="1" applyBorder="1" applyAlignment="1">
      <alignment horizontal="left" vertical="top" wrapText="1"/>
    </xf>
    <xf numFmtId="0" fontId="13" fillId="0" borderId="0" xfId="8" applyFont="1" applyAlignment="1">
      <alignment horizontal="left" vertical="center" wrapText="1"/>
    </xf>
    <xf numFmtId="7" fontId="13" fillId="4" borderId="23" xfId="2" applyNumberFormat="1" applyFont="1" applyFill="1" applyBorder="1" applyAlignment="1">
      <alignment horizontal="center" vertical="center" wrapText="1"/>
    </xf>
    <xf numFmtId="7" fontId="5" fillId="4" borderId="23" xfId="2" applyNumberFormat="1" applyFont="1" applyFill="1" applyBorder="1" applyAlignment="1">
      <alignment horizontal="center" vertical="center" wrapText="1"/>
    </xf>
    <xf numFmtId="0" fontId="24" fillId="0" borderId="54" xfId="6" applyFont="1" applyBorder="1"/>
    <xf numFmtId="2" fontId="0" fillId="19" borderId="9" xfId="0" applyNumberFormat="1" applyFill="1" applyBorder="1"/>
    <xf numFmtId="2" fontId="13" fillId="19" borderId="9" xfId="0" applyNumberFormat="1" applyFont="1" applyFill="1" applyBorder="1"/>
    <xf numFmtId="170" fontId="13" fillId="19" borderId="9" xfId="5" applyNumberFormat="1" applyFont="1" applyFill="1" applyBorder="1" applyAlignment="1">
      <alignment horizontal="center"/>
    </xf>
    <xf numFmtId="171" fontId="2" fillId="19" borderId="9" xfId="5" applyNumberFormat="1" applyFont="1" applyFill="1" applyBorder="1" applyAlignment="1">
      <alignment horizontal="center" vertical="center" wrapText="1"/>
    </xf>
    <xf numFmtId="165" fontId="13" fillId="19" borderId="9" xfId="0" applyNumberFormat="1" applyFont="1" applyFill="1" applyBorder="1" applyAlignment="1">
      <alignment horizontal="center"/>
    </xf>
    <xf numFmtId="165" fontId="0" fillId="19" borderId="9" xfId="0" applyNumberFormat="1" applyFill="1" applyBorder="1" applyAlignment="1">
      <alignment horizontal="center"/>
    </xf>
    <xf numFmtId="2" fontId="0" fillId="19" borderId="9" xfId="0" applyNumberFormat="1" applyFill="1" applyBorder="1" applyAlignment="1">
      <alignment horizontal="center"/>
    </xf>
    <xf numFmtId="2" fontId="13" fillId="19" borderId="9" xfId="0" applyNumberFormat="1" applyFont="1" applyFill="1" applyBorder="1" applyAlignment="1">
      <alignment horizontal="center"/>
    </xf>
    <xf numFmtId="187" fontId="0" fillId="0" borderId="9" xfId="0" applyNumberFormat="1" applyBorder="1" applyAlignment="1">
      <alignment horizontal="center"/>
    </xf>
    <xf numFmtId="37" fontId="0" fillId="0" borderId="9" xfId="0" applyNumberFormat="1" applyBorder="1"/>
    <xf numFmtId="170" fontId="0" fillId="0" borderId="9" xfId="0" applyNumberFormat="1" applyBorder="1"/>
    <xf numFmtId="171" fontId="5" fillId="0" borderId="9" xfId="13" applyNumberFormat="1" applyFont="1" applyBorder="1" applyAlignment="1">
      <alignment horizontal="center"/>
    </xf>
    <xf numFmtId="187" fontId="13" fillId="25" borderId="9" xfId="0" applyNumberFormat="1" applyFont="1" applyFill="1" applyBorder="1" applyAlignment="1">
      <alignment horizontal="center" vertical="center" wrapText="1"/>
    </xf>
    <xf numFmtId="39" fontId="13" fillId="25" borderId="9" xfId="0" applyNumberFormat="1" applyFont="1" applyFill="1" applyBorder="1" applyAlignment="1">
      <alignment horizontal="center" vertical="center" wrapText="1"/>
    </xf>
    <xf numFmtId="165" fontId="13" fillId="25" borderId="9" xfId="0" applyNumberFormat="1" applyFont="1" applyFill="1" applyBorder="1" applyAlignment="1">
      <alignment horizontal="center" vertical="center" wrapText="1"/>
    </xf>
    <xf numFmtId="2" fontId="5" fillId="25" borderId="9" xfId="0" applyNumberFormat="1" applyFont="1" applyFill="1" applyBorder="1" applyAlignment="1">
      <alignment horizontal="center"/>
    </xf>
    <xf numFmtId="2" fontId="13" fillId="25" borderId="9" xfId="0" applyNumberFormat="1" applyFont="1" applyFill="1" applyBorder="1" applyAlignment="1">
      <alignment horizontal="center"/>
    </xf>
    <xf numFmtId="0" fontId="24" fillId="0" borderId="0" xfId="5" applyFont="1" applyAlignment="1">
      <alignment vertical="center" wrapText="1"/>
    </xf>
    <xf numFmtId="0" fontId="6" fillId="12" borderId="9" xfId="0" applyFont="1" applyFill="1" applyBorder="1"/>
    <xf numFmtId="168" fontId="0" fillId="0" borderId="9" xfId="1" applyNumberFormat="1" applyFont="1" applyFill="1" applyBorder="1" applyAlignment="1">
      <alignment horizontal="center"/>
    </xf>
    <xf numFmtId="168" fontId="5" fillId="0" borderId="9" xfId="1" applyNumberFormat="1" applyFont="1" applyFill="1" applyBorder="1" applyAlignment="1">
      <alignment horizontal="center"/>
    </xf>
    <xf numFmtId="168" fontId="13" fillId="0" borderId="9" xfId="1" applyNumberFormat="1" applyFont="1" applyFill="1" applyBorder="1" applyAlignment="1">
      <alignment horizontal="center"/>
    </xf>
    <xf numFmtId="168" fontId="17"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3" fillId="19" borderId="9" xfId="1" applyNumberFormat="1" applyFont="1" applyFill="1" applyBorder="1" applyAlignment="1">
      <alignment horizontal="center"/>
    </xf>
    <xf numFmtId="37" fontId="13" fillId="4" borderId="9" xfId="0" applyNumberFormat="1" applyFont="1" applyFill="1" applyBorder="1" applyAlignment="1">
      <alignment horizontal="center" vertical="center" wrapText="1"/>
    </xf>
    <xf numFmtId="171" fontId="13" fillId="0" borderId="9" xfId="13" applyNumberFormat="1" applyFont="1" applyBorder="1" applyAlignment="1">
      <alignment horizontal="center" vertical="center" wrapText="1"/>
    </xf>
    <xf numFmtId="1" fontId="13" fillId="0" borderId="9" xfId="13" applyNumberFormat="1" applyFont="1" applyBorder="1" applyAlignment="1">
      <alignment horizontal="center"/>
    </xf>
    <xf numFmtId="168" fontId="13" fillId="0" borderId="0" xfId="0" applyNumberFormat="1" applyFont="1" applyAlignment="1">
      <alignment horizontal="center"/>
    </xf>
    <xf numFmtId="2" fontId="5" fillId="8" borderId="9" xfId="1" applyNumberFormat="1" applyFont="1" applyFill="1" applyBorder="1" applyAlignment="1">
      <alignment horizontal="center"/>
    </xf>
    <xf numFmtId="44" fontId="5" fillId="8" borderId="9" xfId="0" applyNumberFormat="1" applyFont="1" applyFill="1" applyBorder="1" applyAlignment="1">
      <alignment horizontal="center" wrapText="1"/>
    </xf>
    <xf numFmtId="0" fontId="5" fillId="4" borderId="23" xfId="8" applyFont="1" applyFill="1" applyBorder="1" applyAlignment="1">
      <alignment horizontal="left"/>
    </xf>
    <xf numFmtId="165" fontId="13" fillId="0" borderId="0" xfId="6" applyNumberFormat="1" applyFont="1"/>
    <xf numFmtId="10" fontId="13" fillId="0" borderId="0" xfId="3" applyNumberFormat="1" applyFont="1" applyFill="1"/>
    <xf numFmtId="43" fontId="27" fillId="0" borderId="0" xfId="1" applyFont="1" applyAlignment="1">
      <alignment horizontal="center"/>
    </xf>
    <xf numFmtId="43" fontId="13" fillId="0" borderId="0" xfId="1" applyFont="1" applyAlignment="1">
      <alignment horizontal="center"/>
    </xf>
    <xf numFmtId="43" fontId="47" fillId="30" borderId="30" xfId="1" applyFont="1" applyFill="1" applyBorder="1" applyAlignment="1">
      <alignment horizontal="center" wrapText="1"/>
    </xf>
    <xf numFmtId="43" fontId="51" fillId="22" borderId="30" xfId="1" applyFont="1" applyFill="1" applyBorder="1" applyAlignment="1">
      <alignment horizontal="center" wrapText="1"/>
    </xf>
    <xf numFmtId="0" fontId="47" fillId="27" borderId="30" xfId="0" applyFont="1" applyFill="1" applyBorder="1" applyAlignment="1">
      <alignment horizontal="center" wrapText="1"/>
    </xf>
    <xf numFmtId="0" fontId="51" fillId="23" borderId="30" xfId="0" applyFont="1" applyFill="1" applyBorder="1" applyAlignment="1">
      <alignment horizontal="center" wrapText="1"/>
    </xf>
    <xf numFmtId="0" fontId="13" fillId="19" borderId="9" xfId="0" applyFont="1" applyFill="1" applyBorder="1" applyAlignment="1">
      <alignment horizontal="center" wrapText="1"/>
    </xf>
    <xf numFmtId="43" fontId="47" fillId="30" borderId="9" xfId="1" applyFont="1" applyFill="1" applyBorder="1" applyAlignment="1">
      <alignment horizontal="center" wrapText="1"/>
    </xf>
    <xf numFmtId="43" fontId="51" fillId="22" borderId="9" xfId="1" applyFont="1" applyFill="1" applyBorder="1" applyAlignment="1">
      <alignment horizontal="center" wrapText="1"/>
    </xf>
    <xf numFmtId="0" fontId="47" fillId="27" borderId="9" xfId="0" applyFont="1" applyFill="1" applyBorder="1" applyAlignment="1">
      <alignment horizontal="center" wrapText="1"/>
    </xf>
    <xf numFmtId="0" fontId="51" fillId="23" borderId="9" xfId="0" applyFont="1" applyFill="1" applyBorder="1" applyAlignment="1">
      <alignment horizontal="center" wrapText="1"/>
    </xf>
    <xf numFmtId="43" fontId="13" fillId="25" borderId="9" xfId="1" applyFont="1" applyFill="1" applyBorder="1"/>
    <xf numFmtId="9" fontId="13" fillId="0" borderId="9" xfId="0" applyNumberFormat="1" applyFont="1" applyBorder="1"/>
    <xf numFmtId="43" fontId="13" fillId="5" borderId="9" xfId="1" applyFont="1" applyFill="1" applyBorder="1"/>
    <xf numFmtId="197" fontId="13" fillId="5" borderId="9" xfId="0" applyNumberFormat="1" applyFont="1" applyFill="1" applyBorder="1"/>
    <xf numFmtId="39" fontId="13" fillId="0" borderId="9" xfId="0" applyNumberFormat="1" applyFont="1" applyBorder="1"/>
    <xf numFmtId="43" fontId="27" fillId="0" borderId="0" xfId="1" applyFont="1"/>
    <xf numFmtId="165" fontId="13" fillId="0" borderId="0" xfId="0" applyNumberFormat="1" applyFont="1" applyAlignment="1">
      <alignment horizontal="center"/>
    </xf>
    <xf numFmtId="171" fontId="13" fillId="0" borderId="0" xfId="0" applyNumberFormat="1" applyFont="1" applyAlignment="1">
      <alignment horizontal="center"/>
    </xf>
    <xf numFmtId="171" fontId="13" fillId="0" borderId="0" xfId="2" applyNumberFormat="1" applyFont="1" applyAlignment="1">
      <alignment horizontal="center"/>
    </xf>
    <xf numFmtId="171" fontId="13" fillId="30" borderId="0" xfId="0" applyNumberFormat="1" applyFont="1" applyFill="1" applyAlignment="1">
      <alignment horizontal="center"/>
    </xf>
    <xf numFmtId="171" fontId="13" fillId="30" borderId="0" xfId="2" applyNumberFormat="1" applyFont="1" applyFill="1" applyAlignment="1">
      <alignment horizontal="center"/>
    </xf>
    <xf numFmtId="0" fontId="13" fillId="18" borderId="0" xfId="0" applyFont="1" applyFill="1"/>
    <xf numFmtId="165" fontId="51" fillId="13" borderId="30" xfId="0" applyNumberFormat="1" applyFont="1" applyFill="1" applyBorder="1" applyAlignment="1">
      <alignment horizontal="center" wrapText="1"/>
    </xf>
    <xf numFmtId="165" fontId="51" fillId="13" borderId="9" xfId="0" applyNumberFormat="1" applyFont="1" applyFill="1" applyBorder="1" applyAlignment="1">
      <alignment horizontal="center" wrapText="1"/>
    </xf>
    <xf numFmtId="0" fontId="51" fillId="13" borderId="9" xfId="0" applyFont="1" applyFill="1" applyBorder="1" applyAlignment="1">
      <alignment horizontal="center" wrapText="1"/>
    </xf>
    <xf numFmtId="171" fontId="51" fillId="13" borderId="9" xfId="0" applyNumberFormat="1" applyFont="1" applyFill="1" applyBorder="1" applyAlignment="1">
      <alignment horizontal="center" wrapText="1"/>
    </xf>
    <xf numFmtId="171" fontId="13" fillId="29" borderId="9" xfId="2" applyNumberFormat="1" applyFont="1" applyFill="1" applyBorder="1" applyAlignment="1">
      <alignment horizontal="center"/>
    </xf>
    <xf numFmtId="171" fontId="13" fillId="27" borderId="9" xfId="2" applyNumberFormat="1" applyFont="1" applyFill="1" applyBorder="1" applyAlignment="1">
      <alignment horizontal="center"/>
    </xf>
    <xf numFmtId="7" fontId="13" fillId="4" borderId="9" xfId="0" applyNumberFormat="1" applyFont="1" applyFill="1" applyBorder="1"/>
    <xf numFmtId="44" fontId="27" fillId="0" borderId="9" xfId="2" applyFont="1" applyBorder="1"/>
    <xf numFmtId="43" fontId="13" fillId="20" borderId="9" xfId="0" applyNumberFormat="1" applyFont="1" applyFill="1" applyBorder="1"/>
    <xf numFmtId="0" fontId="13" fillId="20" borderId="9" xfId="0" applyFont="1" applyFill="1" applyBorder="1"/>
    <xf numFmtId="0" fontId="13" fillId="22" borderId="9" xfId="0" applyFont="1" applyFill="1" applyBorder="1"/>
    <xf numFmtId="0" fontId="13" fillId="33" borderId="9" xfId="0" applyFont="1" applyFill="1" applyBorder="1"/>
    <xf numFmtId="7" fontId="13" fillId="33" borderId="9" xfId="0" applyNumberFormat="1" applyFont="1" applyFill="1" applyBorder="1"/>
    <xf numFmtId="0" fontId="13" fillId="31" borderId="9" xfId="0" applyFont="1" applyFill="1" applyBorder="1"/>
    <xf numFmtId="2" fontId="13" fillId="5" borderId="9" xfId="0" applyNumberFormat="1" applyFont="1" applyFill="1" applyBorder="1" applyAlignment="1">
      <alignment horizontal="center"/>
    </xf>
    <xf numFmtId="44" fontId="13" fillId="5" borderId="9" xfId="2" applyFont="1" applyFill="1" applyBorder="1" applyAlignment="1">
      <alignment horizontal="center"/>
    </xf>
    <xf numFmtId="1" fontId="13" fillId="4" borderId="9" xfId="0" applyNumberFormat="1" applyFont="1" applyFill="1" applyBorder="1"/>
    <xf numFmtId="1" fontId="13" fillId="22" borderId="9" xfId="0" applyNumberFormat="1" applyFont="1" applyFill="1" applyBorder="1"/>
    <xf numFmtId="2" fontId="13" fillId="8" borderId="9" xfId="0" applyNumberFormat="1" applyFont="1" applyFill="1" applyBorder="1" applyAlignment="1">
      <alignment horizontal="center"/>
    </xf>
    <xf numFmtId="171" fontId="13" fillId="17" borderId="9" xfId="0" applyNumberFormat="1" applyFont="1" applyFill="1" applyBorder="1" applyAlignment="1">
      <alignment horizontal="center"/>
    </xf>
    <xf numFmtId="43" fontId="5" fillId="0" borderId="0" xfId="1" applyFont="1"/>
    <xf numFmtId="7" fontId="5" fillId="0" borderId="9" xfId="2" applyNumberFormat="1" applyFont="1" applyBorder="1"/>
    <xf numFmtId="170" fontId="5" fillId="0" borderId="9" xfId="1" applyNumberFormat="1" applyFont="1" applyFill="1" applyBorder="1" applyAlignment="1">
      <alignment horizontal="center"/>
    </xf>
    <xf numFmtId="165" fontId="33" fillId="4" borderId="0" xfId="8" applyNumberFormat="1" applyFont="1" applyFill="1" applyAlignment="1">
      <alignment horizontal="left" vertical="center"/>
    </xf>
    <xf numFmtId="7" fontId="13" fillId="4" borderId="0" xfId="2" applyNumberFormat="1" applyFont="1" applyFill="1" applyBorder="1" applyAlignment="1">
      <alignment horizontal="center"/>
    </xf>
    <xf numFmtId="0" fontId="36" fillId="0" borderId="0" xfId="8" applyFont="1" applyAlignment="1">
      <alignment horizontal="left" vertical="center"/>
    </xf>
    <xf numFmtId="7" fontId="2" fillId="4" borderId="0" xfId="2" applyNumberFormat="1" applyFont="1" applyFill="1" applyBorder="1" applyAlignment="1">
      <alignment horizontal="center"/>
    </xf>
    <xf numFmtId="1" fontId="2" fillId="0" borderId="0" xfId="3" applyNumberFormat="1" applyFont="1" applyBorder="1" applyAlignment="1">
      <alignment horizontal="center"/>
    </xf>
    <xf numFmtId="9" fontId="13" fillId="0" borderId="0" xfId="3" applyFont="1" applyFill="1" applyBorder="1" applyAlignment="1">
      <alignment horizontal="left" vertical="top" wrapText="1"/>
    </xf>
    <xf numFmtId="4" fontId="13" fillId="4" borderId="9" xfId="8" applyNumberFormat="1" applyFont="1" applyFill="1" applyBorder="1" applyAlignment="1">
      <alignment horizontal="center"/>
    </xf>
    <xf numFmtId="0" fontId="13" fillId="4" borderId="9" xfId="0" applyFont="1" applyFill="1" applyBorder="1" applyAlignment="1">
      <alignment horizontal="left" vertical="top"/>
    </xf>
    <xf numFmtId="39" fontId="13" fillId="4" borderId="9" xfId="1" applyNumberFormat="1" applyFont="1" applyFill="1" applyBorder="1" applyAlignment="1">
      <alignment horizontal="left" vertical="top"/>
    </xf>
    <xf numFmtId="0" fontId="13" fillId="16" borderId="9" xfId="0" applyFont="1" applyFill="1" applyBorder="1" applyAlignment="1">
      <alignment horizontal="left" vertical="top"/>
    </xf>
    <xf numFmtId="169" fontId="13" fillId="16" borderId="9" xfId="0" applyNumberFormat="1" applyFont="1" applyFill="1" applyBorder="1" applyAlignment="1">
      <alignment horizontal="left" vertical="top"/>
    </xf>
    <xf numFmtId="166" fontId="13" fillId="0" borderId="9" xfId="0" applyNumberFormat="1" applyFont="1" applyBorder="1" applyAlignment="1">
      <alignment horizontal="center" vertical="center" wrapText="1"/>
    </xf>
    <xf numFmtId="165" fontId="13" fillId="0" borderId="18" xfId="0" applyNumberFormat="1" applyFont="1" applyBorder="1" applyAlignment="1">
      <alignment horizontal="center" vertical="center" wrapText="1"/>
    </xf>
    <xf numFmtId="0" fontId="13" fillId="0" borderId="23" xfId="8" applyFont="1" applyBorder="1" applyAlignment="1">
      <alignment horizontal="left"/>
    </xf>
    <xf numFmtId="165" fontId="13" fillId="0" borderId="27" xfId="0" applyNumberFormat="1" applyFont="1" applyBorder="1" applyAlignment="1">
      <alignment horizontal="left" vertical="center" wrapText="1"/>
    </xf>
    <xf numFmtId="7" fontId="13" fillId="0" borderId="27" xfId="2" applyNumberFormat="1" applyFont="1" applyFill="1" applyBorder="1" applyAlignment="1">
      <alignment horizontal="center" wrapText="1"/>
    </xf>
    <xf numFmtId="0" fontId="13" fillId="11" borderId="54" xfId="5" applyFont="1" applyFill="1" applyBorder="1" applyAlignment="1">
      <alignment horizontal="center" vertical="center" wrapText="1"/>
    </xf>
    <xf numFmtId="0" fontId="24" fillId="0" borderId="54" xfId="6" applyFont="1" applyBorder="1" applyAlignment="1">
      <alignment horizontal="right"/>
    </xf>
    <xf numFmtId="4" fontId="5" fillId="0" borderId="9" xfId="0" applyNumberFormat="1" applyFont="1" applyBorder="1" applyAlignment="1">
      <alignment horizontal="left" vertical="top" wrapText="1"/>
    </xf>
    <xf numFmtId="37" fontId="5" fillId="0" borderId="9" xfId="1" applyNumberFormat="1" applyFont="1" applyBorder="1" applyAlignment="1">
      <alignment horizontal="center" wrapText="1"/>
    </xf>
    <xf numFmtId="168" fontId="5" fillId="0" borderId="9" xfId="1" applyNumberFormat="1" applyFont="1" applyBorder="1" applyAlignment="1"/>
    <xf numFmtId="39" fontId="5" fillId="0" borderId="9" xfId="1" quotePrefix="1" applyNumberFormat="1" applyFont="1" applyFill="1" applyBorder="1" applyAlignment="1">
      <alignment horizontal="center" vertical="center" wrapText="1"/>
    </xf>
    <xf numFmtId="3" fontId="13" fillId="0" borderId="0" xfId="0" applyNumberFormat="1" applyFont="1"/>
    <xf numFmtId="4" fontId="13" fillId="0" borderId="0" xfId="0" applyNumberFormat="1" applyFont="1"/>
    <xf numFmtId="2" fontId="13" fillId="34" borderId="9" xfId="0" applyNumberFormat="1" applyFont="1" applyFill="1" applyBorder="1" applyAlignment="1">
      <alignment horizontal="right"/>
    </xf>
    <xf numFmtId="39" fontId="2" fillId="0" borderId="9" xfId="0" applyNumberFormat="1" applyFont="1" applyBorder="1"/>
    <xf numFmtId="2" fontId="2" fillId="0" borderId="9" xfId="0" applyNumberFormat="1" applyFont="1" applyBorder="1"/>
    <xf numFmtId="168" fontId="2" fillId="0" borderId="9" xfId="1" applyNumberFormat="1" applyFont="1" applyBorder="1"/>
    <xf numFmtId="0" fontId="2" fillId="4" borderId="9" xfId="0" applyFont="1" applyFill="1" applyBorder="1" applyAlignment="1">
      <alignment horizontal="left" vertical="top" wrapText="1"/>
    </xf>
    <xf numFmtId="1" fontId="2" fillId="4" borderId="9" xfId="0" applyNumberFormat="1" applyFont="1" applyFill="1" applyBorder="1" applyAlignment="1">
      <alignment horizontal="left" vertical="top" wrapText="1"/>
    </xf>
    <xf numFmtId="2" fontId="2" fillId="0" borderId="9" xfId="0" applyNumberFormat="1" applyFont="1" applyBorder="1" applyAlignment="1">
      <alignment horizontal="left" vertical="top" wrapText="1"/>
    </xf>
    <xf numFmtId="39" fontId="2" fillId="4" borderId="9" xfId="1" applyNumberFormat="1" applyFont="1" applyFill="1" applyBorder="1" applyAlignment="1">
      <alignment horizontal="left" vertical="top"/>
    </xf>
    <xf numFmtId="168" fontId="2" fillId="0" borderId="9" xfId="1" applyNumberFormat="1" applyFont="1" applyBorder="1" applyAlignment="1"/>
    <xf numFmtId="2" fontId="2" fillId="0" borderId="9" xfId="1" applyNumberFormat="1" applyFont="1" applyBorder="1" applyAlignment="1"/>
    <xf numFmtId="2" fontId="2" fillId="0" borderId="0" xfId="3" applyNumberFormat="1" applyFont="1"/>
    <xf numFmtId="2" fontId="2" fillId="0" borderId="0" xfId="0" applyNumberFormat="1" applyFont="1"/>
    <xf numFmtId="4" fontId="2" fillId="0" borderId="9" xfId="0" applyNumberFormat="1" applyFont="1" applyBorder="1"/>
    <xf numFmtId="39" fontId="2" fillId="4" borderId="9" xfId="1" quotePrefix="1" applyNumberFormat="1" applyFont="1" applyFill="1" applyBorder="1" applyAlignment="1">
      <alignment horizontal="center" vertical="center" wrapText="1"/>
    </xf>
    <xf numFmtId="39" fontId="2" fillId="0" borderId="9" xfId="0" applyNumberFormat="1" applyFont="1" applyBorder="1" applyAlignment="1">
      <alignment horizontal="center"/>
    </xf>
    <xf numFmtId="170" fontId="2" fillId="4" borderId="9" xfId="1" quotePrefix="1" applyNumberFormat="1" applyFont="1" applyFill="1" applyBorder="1" applyAlignment="1">
      <alignment horizontal="center" vertical="center" wrapText="1"/>
    </xf>
    <xf numFmtId="37" fontId="2" fillId="0" borderId="0" xfId="0" applyNumberFormat="1" applyFont="1"/>
    <xf numFmtId="185" fontId="2" fillId="0" borderId="0" xfId="0" applyNumberFormat="1" applyFont="1"/>
    <xf numFmtId="0" fontId="5" fillId="0" borderId="9" xfId="0" applyFont="1" applyBorder="1" applyAlignment="1">
      <alignment horizontal="left" vertical="top" wrapText="1"/>
    </xf>
    <xf numFmtId="165" fontId="5" fillId="4" borderId="23" xfId="0" applyNumberFormat="1" applyFont="1" applyFill="1" applyBorder="1" applyAlignment="1">
      <alignment horizontal="center" vertical="center" wrapText="1"/>
    </xf>
    <xf numFmtId="3" fontId="5" fillId="4" borderId="9" xfId="0" applyNumberFormat="1" applyFont="1" applyFill="1" applyBorder="1" applyAlignment="1">
      <alignment horizontal="left" vertical="top" wrapText="1"/>
    </xf>
    <xf numFmtId="3" fontId="13" fillId="36" borderId="9" xfId="0" applyNumberFormat="1" applyFont="1" applyFill="1" applyBorder="1" applyAlignment="1">
      <alignment horizontal="left" vertical="top" wrapText="1"/>
    </xf>
    <xf numFmtId="2" fontId="5" fillId="4" borderId="9" xfId="0" applyNumberFormat="1" applyFont="1" applyFill="1" applyBorder="1" applyAlignment="1">
      <alignment horizontal="left"/>
    </xf>
    <xf numFmtId="2" fontId="13" fillId="4" borderId="9" xfId="0" applyNumberFormat="1" applyFont="1" applyFill="1" applyBorder="1" applyAlignment="1">
      <alignment horizontal="left"/>
    </xf>
    <xf numFmtId="2" fontId="13" fillId="36" borderId="9" xfId="0" applyNumberFormat="1" applyFont="1" applyFill="1" applyBorder="1" applyAlignment="1">
      <alignment horizontal="left" vertical="top" wrapText="1"/>
    </xf>
    <xf numFmtId="2" fontId="13" fillId="34" borderId="9" xfId="0" applyNumberFormat="1" applyFont="1" applyFill="1" applyBorder="1" applyAlignment="1">
      <alignment wrapText="1"/>
    </xf>
    <xf numFmtId="168" fontId="13" fillId="0" borderId="0" xfId="0" applyNumberFormat="1" applyFont="1" applyAlignment="1">
      <alignment horizontal="left"/>
    </xf>
    <xf numFmtId="182" fontId="13" fillId="0" borderId="0" xfId="1" applyNumberFormat="1" applyFont="1" applyFill="1" applyBorder="1" applyAlignment="1">
      <alignment horizontal="center"/>
    </xf>
    <xf numFmtId="190" fontId="13" fillId="0" borderId="0" xfId="0" applyNumberFormat="1" applyFont="1" applyAlignment="1">
      <alignment horizontal="center"/>
    </xf>
    <xf numFmtId="43" fontId="13" fillId="0" borderId="0" xfId="0" applyNumberFormat="1" applyFont="1" applyAlignment="1">
      <alignment horizontal="center"/>
    </xf>
    <xf numFmtId="182" fontId="13" fillId="4" borderId="19" xfId="1" applyNumberFormat="1" applyFont="1" applyFill="1" applyBorder="1" applyAlignment="1">
      <alignment horizontal="center"/>
    </xf>
    <xf numFmtId="182" fontId="13" fillId="4" borderId="23" xfId="1" applyNumberFormat="1" applyFont="1" applyFill="1" applyBorder="1" applyAlignment="1">
      <alignment horizontal="center"/>
    </xf>
    <xf numFmtId="189" fontId="13" fillId="4" borderId="9" xfId="0" applyNumberFormat="1" applyFont="1" applyFill="1" applyBorder="1" applyAlignment="1">
      <alignment horizontal="center"/>
    </xf>
    <xf numFmtId="39" fontId="13" fillId="0" borderId="0" xfId="1" applyNumberFormat="1" applyFont="1" applyFill="1" applyAlignment="1">
      <alignment horizontal="center"/>
    </xf>
    <xf numFmtId="171" fontId="5" fillId="0" borderId="9" xfId="13" applyNumberFormat="1" applyFont="1" applyBorder="1" applyAlignment="1">
      <alignment horizontal="center" vertical="center" wrapText="1"/>
    </xf>
    <xf numFmtId="0" fontId="13" fillId="0" borderId="18" xfId="8" applyFont="1" applyBorder="1" applyAlignment="1">
      <alignment horizontal="center"/>
    </xf>
    <xf numFmtId="39" fontId="13" fillId="0" borderId="0" xfId="1" applyNumberFormat="1" applyFont="1" applyFill="1" applyAlignment="1">
      <alignment horizontal="center" wrapText="1"/>
    </xf>
    <xf numFmtId="37" fontId="5" fillId="4" borderId="9" xfId="0" applyNumberFormat="1" applyFont="1" applyFill="1" applyBorder="1" applyAlignment="1">
      <alignment horizontal="center" vertical="center" wrapText="1"/>
    </xf>
    <xf numFmtId="171" fontId="13" fillId="4" borderId="9" xfId="6" applyNumberFormat="1" applyFont="1" applyFill="1" applyBorder="1" applyAlignment="1">
      <alignment horizontal="center"/>
    </xf>
    <xf numFmtId="0" fontId="24" fillId="4" borderId="9" xfId="6" applyFont="1" applyFill="1" applyBorder="1" applyAlignment="1">
      <alignment horizontal="center"/>
    </xf>
    <xf numFmtId="172" fontId="24" fillId="0" borderId="54" xfId="6" applyNumberFormat="1" applyFont="1" applyBorder="1"/>
    <xf numFmtId="0" fontId="67" fillId="0" borderId="0" xfId="0" applyFont="1" applyAlignment="1">
      <alignment horizontal="left"/>
    </xf>
    <xf numFmtId="2" fontId="13" fillId="0" borderId="20" xfId="1" applyNumberFormat="1" applyFont="1" applyBorder="1"/>
    <xf numFmtId="44" fontId="13" fillId="0" borderId="20" xfId="0" applyNumberFormat="1" applyFont="1" applyBorder="1" applyAlignment="1">
      <alignment horizontal="center"/>
    </xf>
    <xf numFmtId="44" fontId="13" fillId="0" borderId="21" xfId="2" applyFont="1" applyFill="1" applyBorder="1"/>
    <xf numFmtId="2" fontId="13" fillId="8" borderId="25" xfId="1" applyNumberFormat="1" applyFont="1" applyFill="1" applyBorder="1"/>
    <xf numFmtId="44" fontId="13" fillId="0" borderId="25" xfId="0" applyNumberFormat="1" applyFont="1" applyBorder="1" applyAlignment="1">
      <alignment horizontal="center"/>
    </xf>
    <xf numFmtId="2" fontId="13" fillId="0" borderId="16" xfId="1" applyNumberFormat="1" applyFont="1" applyBorder="1"/>
    <xf numFmtId="37" fontId="5" fillId="4" borderId="9" xfId="1" applyNumberFormat="1" applyFont="1" applyFill="1" applyBorder="1" applyAlignment="1">
      <alignment horizontal="center"/>
    </xf>
    <xf numFmtId="37" fontId="13" fillId="4" borderId="9" xfId="1" applyNumberFormat="1" applyFont="1" applyFill="1" applyBorder="1" applyAlignment="1">
      <alignment horizontal="center"/>
    </xf>
    <xf numFmtId="170" fontId="13" fillId="0" borderId="9" xfId="0" applyNumberFormat="1" applyFont="1" applyBorder="1" applyAlignment="1">
      <alignment horizontal="center"/>
    </xf>
    <xf numFmtId="167" fontId="60" fillId="12" borderId="0" xfId="0" applyNumberFormat="1" applyFont="1" applyFill="1"/>
    <xf numFmtId="39" fontId="5" fillId="0" borderId="9" xfId="5" applyNumberFormat="1" applyFont="1" applyBorder="1" applyAlignment="1">
      <alignment horizontal="right"/>
    </xf>
    <xf numFmtId="0" fontId="5" fillId="0" borderId="9" xfId="0" applyFont="1" applyBorder="1" applyAlignment="1">
      <alignment horizontal="right"/>
    </xf>
    <xf numFmtId="2" fontId="5" fillId="0" borderId="9" xfId="0" applyNumberFormat="1" applyFont="1" applyBorder="1" applyAlignment="1">
      <alignment horizontal="right"/>
    </xf>
    <xf numFmtId="37" fontId="5" fillId="0" borderId="9" xfId="1" applyNumberFormat="1" applyFont="1" applyFill="1" applyBorder="1" applyAlignment="1">
      <alignment horizontal="center"/>
    </xf>
    <xf numFmtId="0" fontId="60" fillId="12" borderId="0" xfId="0" applyFont="1" applyFill="1"/>
    <xf numFmtId="7" fontId="13" fillId="0" borderId="27" xfId="0" applyNumberFormat="1" applyFont="1" applyBorder="1"/>
    <xf numFmtId="44" fontId="13" fillId="0" borderId="22" xfId="0" applyNumberFormat="1" applyFont="1" applyBorder="1" applyAlignment="1">
      <alignment horizontal="center"/>
    </xf>
    <xf numFmtId="180" fontId="2" fillId="19" borderId="9" xfId="8" applyNumberFormat="1" applyFont="1" applyFill="1" applyBorder="1" applyAlignment="1">
      <alignment horizontal="center"/>
    </xf>
    <xf numFmtId="180" fontId="13" fillId="19" borderId="9" xfId="8" applyNumberFormat="1" applyFont="1" applyFill="1" applyBorder="1" applyAlignment="1">
      <alignment horizontal="center"/>
    </xf>
    <xf numFmtId="180" fontId="5" fillId="19" borderId="9" xfId="8" applyNumberFormat="1" applyFont="1" applyFill="1" applyBorder="1" applyAlignment="1">
      <alignment horizontal="center"/>
    </xf>
    <xf numFmtId="1" fontId="2" fillId="19" borderId="9" xfId="3" applyNumberFormat="1" applyFont="1" applyFill="1" applyBorder="1" applyAlignment="1">
      <alignment horizontal="center"/>
    </xf>
    <xf numFmtId="1" fontId="5" fillId="19" borderId="9" xfId="3" applyNumberFormat="1" applyFont="1" applyFill="1" applyBorder="1" applyAlignment="1">
      <alignment horizontal="center"/>
    </xf>
    <xf numFmtId="1" fontId="13" fillId="19" borderId="9" xfId="3" applyNumberFormat="1" applyFont="1" applyFill="1" applyBorder="1" applyAlignment="1">
      <alignment horizontal="center"/>
    </xf>
    <xf numFmtId="187" fontId="13" fillId="19" borderId="9" xfId="0" applyNumberFormat="1" applyFont="1" applyFill="1" applyBorder="1" applyAlignment="1">
      <alignment horizontal="center" vertical="center" wrapText="1"/>
    </xf>
    <xf numFmtId="39" fontId="5" fillId="19" borderId="9" xfId="0" applyNumberFormat="1" applyFont="1" applyFill="1" applyBorder="1" applyAlignment="1">
      <alignment horizontal="center" vertical="center" wrapText="1"/>
    </xf>
    <xf numFmtId="39" fontId="13" fillId="19" borderId="9" xfId="0" applyNumberFormat="1" applyFont="1" applyFill="1" applyBorder="1" applyAlignment="1">
      <alignment horizontal="center" vertical="center" wrapText="1"/>
    </xf>
    <xf numFmtId="39" fontId="13" fillId="19" borderId="9" xfId="1" applyNumberFormat="1" applyFont="1" applyFill="1" applyBorder="1" applyAlignment="1">
      <alignment horizontal="center"/>
    </xf>
    <xf numFmtId="187" fontId="13" fillId="4" borderId="9" xfId="1" applyNumberFormat="1" applyFont="1" applyFill="1" applyBorder="1" applyAlignment="1">
      <alignment horizontal="center"/>
    </xf>
    <xf numFmtId="0" fontId="0" fillId="4" borderId="9" xfId="0" applyFill="1" applyBorder="1"/>
    <xf numFmtId="39" fontId="5" fillId="4" borderId="9" xfId="0" applyNumberFormat="1" applyFont="1" applyFill="1" applyBorder="1" applyAlignment="1">
      <alignment horizontal="center"/>
    </xf>
    <xf numFmtId="39" fontId="13" fillId="4" borderId="9" xfId="0" applyNumberFormat="1" applyFont="1" applyFill="1" applyBorder="1" applyAlignment="1">
      <alignment horizontal="center"/>
    </xf>
    <xf numFmtId="169" fontId="13" fillId="4" borderId="9" xfId="0" applyNumberFormat="1" applyFont="1" applyFill="1" applyBorder="1" applyAlignment="1">
      <alignment horizontal="center" vertical="center" wrapText="1"/>
    </xf>
    <xf numFmtId="0" fontId="13" fillId="4" borderId="9" xfId="0" applyFont="1" applyFill="1" applyBorder="1" applyAlignment="1">
      <alignment vertical="top" wrapText="1"/>
    </xf>
    <xf numFmtId="170" fontId="5" fillId="4" borderId="9" xfId="1" applyNumberFormat="1" applyFont="1" applyFill="1" applyBorder="1" applyAlignment="1">
      <alignment horizontal="left" vertical="top" wrapText="1"/>
    </xf>
    <xf numFmtId="2" fontId="13" fillId="4" borderId="9" xfId="0" applyNumberFormat="1" applyFont="1" applyFill="1" applyBorder="1" applyAlignment="1">
      <alignment horizontal="center" vertical="top" wrapText="1"/>
    </xf>
    <xf numFmtId="2" fontId="5" fillId="4" borderId="23" xfId="0" applyNumberFormat="1" applyFont="1" applyFill="1" applyBorder="1" applyAlignment="1">
      <alignment horizontal="center" vertical="center" wrapText="1"/>
    </xf>
    <xf numFmtId="3" fontId="13" fillId="4" borderId="9" xfId="0" applyNumberFormat="1" applyFont="1" applyFill="1" applyBorder="1" applyAlignment="1">
      <alignment horizontal="left" vertical="top" wrapText="1"/>
    </xf>
    <xf numFmtId="2" fontId="13" fillId="4" borderId="9" xfId="0" applyNumberFormat="1" applyFont="1" applyFill="1" applyBorder="1" applyAlignment="1">
      <alignment horizontal="center" wrapText="1"/>
    </xf>
    <xf numFmtId="187"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3" fillId="12" borderId="18" xfId="0" applyFont="1" applyFill="1" applyBorder="1" applyAlignment="1">
      <alignment horizontal="center" vertical="center" wrapText="1"/>
    </xf>
    <xf numFmtId="170" fontId="13" fillId="19" borderId="9" xfId="5" applyNumberFormat="1" applyFont="1" applyFill="1" applyBorder="1"/>
    <xf numFmtId="166" fontId="13" fillId="12" borderId="9" xfId="0" applyNumberFormat="1" applyFont="1" applyFill="1" applyBorder="1" applyAlignment="1">
      <alignment vertical="center" wrapText="1"/>
    </xf>
    <xf numFmtId="1" fontId="5" fillId="4" borderId="9" xfId="0" applyNumberFormat="1" applyFont="1" applyFill="1" applyBorder="1"/>
    <xf numFmtId="4" fontId="13" fillId="0" borderId="9" xfId="0" applyNumberFormat="1" applyFont="1" applyBorder="1" applyAlignment="1">
      <alignment horizontal="left" vertical="top" wrapText="1"/>
    </xf>
    <xf numFmtId="2" fontId="13" fillId="8" borderId="9" xfId="0" applyNumberFormat="1" applyFont="1" applyFill="1" applyBorder="1" applyAlignment="1">
      <alignment horizontal="left" vertical="top" wrapText="1"/>
    </xf>
    <xf numFmtId="39" fontId="13" fillId="0" borderId="9" xfId="1" quotePrefix="1" applyNumberFormat="1" applyFont="1" applyFill="1" applyBorder="1" applyAlignment="1">
      <alignment horizontal="center" vertical="center" wrapText="1"/>
    </xf>
    <xf numFmtId="3" fontId="13" fillId="0" borderId="9" xfId="0" applyNumberFormat="1" applyFont="1" applyBorder="1" applyAlignment="1">
      <alignment horizontal="left" vertical="top" wrapText="1"/>
    </xf>
    <xf numFmtId="39" fontId="13" fillId="4" borderId="23" xfId="1" quotePrefix="1" applyNumberFormat="1" applyFont="1" applyFill="1" applyBorder="1" applyAlignment="1">
      <alignment horizontal="center" vertical="center" wrapText="1"/>
    </xf>
    <xf numFmtId="9" fontId="13" fillId="4" borderId="23" xfId="3" applyFont="1" applyFill="1" applyBorder="1" applyAlignment="1">
      <alignment horizontal="center" vertical="center" wrapText="1"/>
    </xf>
    <xf numFmtId="169" fontId="13" fillId="4" borderId="23" xfId="0" applyNumberFormat="1" applyFont="1" applyFill="1" applyBorder="1" applyAlignment="1">
      <alignment horizontal="center" vertical="center" wrapText="1"/>
    </xf>
    <xf numFmtId="165" fontId="13" fillId="4" borderId="23" xfId="0" applyNumberFormat="1" applyFont="1" applyFill="1" applyBorder="1" applyAlignment="1">
      <alignment horizontal="center" vertical="center" wrapText="1"/>
    </xf>
    <xf numFmtId="171" fontId="13" fillId="4" borderId="23" xfId="0" applyNumberFormat="1" applyFont="1" applyFill="1" applyBorder="1" applyAlignment="1">
      <alignment horizontal="center" vertical="center" wrapText="1"/>
    </xf>
    <xf numFmtId="2" fontId="13" fillId="4" borderId="23" xfId="0" applyNumberFormat="1" applyFont="1" applyFill="1" applyBorder="1" applyAlignment="1">
      <alignment horizontal="center" wrapText="1"/>
    </xf>
    <xf numFmtId="2" fontId="13" fillId="0" borderId="0" xfId="13" applyNumberFormat="1" applyFont="1" applyAlignment="1">
      <alignment horizontal="center"/>
    </xf>
    <xf numFmtId="189" fontId="13" fillId="0" borderId="0" xfId="0" applyNumberFormat="1" applyFont="1" applyAlignment="1">
      <alignment horizontal="center"/>
    </xf>
    <xf numFmtId="165" fontId="13" fillId="0" borderId="0" xfId="13" applyNumberFormat="1" applyFont="1" applyAlignment="1">
      <alignment horizontal="center"/>
    </xf>
    <xf numFmtId="168" fontId="13" fillId="0" borderId="0" xfId="1" applyNumberFormat="1" applyFont="1"/>
    <xf numFmtId="0" fontId="24" fillId="4" borderId="0" xfId="6" applyFont="1" applyFill="1"/>
    <xf numFmtId="2" fontId="13" fillId="0" borderId="0" xfId="6" applyNumberFormat="1" applyFont="1" applyAlignment="1">
      <alignment horizontal="center"/>
    </xf>
    <xf numFmtId="2" fontId="13" fillId="8" borderId="9" xfId="1" applyNumberFormat="1" applyFont="1" applyFill="1" applyBorder="1" applyAlignment="1">
      <alignment horizontal="center"/>
    </xf>
    <xf numFmtId="0" fontId="13" fillId="8" borderId="9" xfId="0" applyFont="1" applyFill="1" applyBorder="1" applyAlignment="1">
      <alignment horizontal="center" wrapText="1"/>
    </xf>
    <xf numFmtId="2" fontId="13" fillId="0" borderId="20" xfId="1" applyNumberFormat="1" applyFont="1" applyBorder="1" applyAlignment="1">
      <alignment horizontal="center"/>
    </xf>
    <xf numFmtId="2" fontId="13" fillId="0" borderId="22" xfId="1" applyNumberFormat="1" applyFont="1" applyBorder="1" applyAlignment="1">
      <alignment horizontal="center"/>
    </xf>
    <xf numFmtId="2" fontId="13" fillId="0" borderId="25" xfId="1" applyNumberFormat="1" applyFont="1" applyBorder="1" applyAlignment="1">
      <alignment horizontal="center"/>
    </xf>
    <xf numFmtId="2" fontId="24" fillId="0" borderId="0" xfId="6" applyNumberFormat="1" applyFont="1" applyAlignment="1">
      <alignment horizontal="center"/>
    </xf>
    <xf numFmtId="44" fontId="13" fillId="0" borderId="28" xfId="2" applyFont="1" applyFill="1" applyBorder="1"/>
    <xf numFmtId="2" fontId="13" fillId="0" borderId="16" xfId="1" applyNumberFormat="1" applyFont="1" applyBorder="1" applyAlignment="1">
      <alignment horizontal="center"/>
    </xf>
    <xf numFmtId="44" fontId="13" fillId="0" borderId="17" xfId="2" applyFont="1" applyFill="1" applyBorder="1"/>
    <xf numFmtId="2" fontId="13" fillId="0" borderId="30" xfId="1" applyNumberFormat="1" applyFont="1" applyBorder="1" applyAlignment="1">
      <alignment horizontal="center"/>
    </xf>
    <xf numFmtId="2" fontId="13" fillId="0" borderId="23" xfId="1" applyNumberFormat="1" applyFont="1" applyBorder="1" applyAlignment="1">
      <alignment horizontal="center"/>
    </xf>
    <xf numFmtId="2" fontId="13" fillId="0" borderId="16" xfId="1" applyNumberFormat="1" applyFont="1" applyFill="1" applyBorder="1" applyAlignment="1">
      <alignment horizontal="center"/>
    </xf>
    <xf numFmtId="7" fontId="13" fillId="0" borderId="28" xfId="0" applyNumberFormat="1" applyFont="1" applyBorder="1"/>
    <xf numFmtId="2" fontId="13" fillId="0" borderId="0" xfId="6" applyNumberFormat="1" applyFont="1"/>
    <xf numFmtId="2" fontId="13" fillId="0" borderId="0" xfId="13" applyNumberFormat="1" applyFont="1"/>
    <xf numFmtId="44" fontId="13" fillId="8" borderId="9" xfId="1" applyNumberFormat="1" applyFont="1" applyFill="1" applyBorder="1" applyAlignment="1">
      <alignment horizontal="center" wrapText="1"/>
    </xf>
    <xf numFmtId="2" fontId="13" fillId="8" borderId="9" xfId="1" applyNumberFormat="1" applyFont="1" applyFill="1" applyBorder="1" applyAlignment="1">
      <alignment horizontal="center" wrapText="1"/>
    </xf>
    <xf numFmtId="7" fontId="13" fillId="0" borderId="17" xfId="0" applyNumberFormat="1" applyFont="1" applyBorder="1"/>
    <xf numFmtId="7" fontId="13" fillId="4" borderId="17" xfId="0" applyNumberFormat="1" applyFont="1" applyFill="1" applyBorder="1"/>
    <xf numFmtId="2" fontId="13" fillId="8" borderId="22" xfId="1" applyNumberFormat="1" applyFont="1" applyFill="1" applyBorder="1" applyAlignment="1">
      <alignment horizontal="center"/>
    </xf>
    <xf numFmtId="2" fontId="13" fillId="8" borderId="25" xfId="1" applyNumberFormat="1" applyFont="1" applyFill="1" applyBorder="1" applyAlignment="1">
      <alignment horizontal="center"/>
    </xf>
    <xf numFmtId="2" fontId="24" fillId="0" borderId="0" xfId="1" applyNumberFormat="1" applyFont="1"/>
    <xf numFmtId="44" fontId="24" fillId="0" borderId="0" xfId="5" applyNumberFormat="1" applyFont="1" applyAlignment="1">
      <alignment horizontal="center"/>
    </xf>
    <xf numFmtId="2" fontId="24" fillId="0" borderId="0" xfId="1" applyNumberFormat="1" applyFont="1" applyFill="1"/>
    <xf numFmtId="2" fontId="13" fillId="0" borderId="0" xfId="1" applyNumberFormat="1" applyFont="1" applyFill="1"/>
    <xf numFmtId="44" fontId="13" fillId="0" borderId="27" xfId="0" applyNumberFormat="1" applyFont="1" applyBorder="1" applyAlignment="1">
      <alignment horizontal="center"/>
    </xf>
    <xf numFmtId="44" fontId="13" fillId="0" borderId="28" xfId="0" applyNumberFormat="1" applyFont="1" applyBorder="1" applyAlignment="1">
      <alignment horizontal="center"/>
    </xf>
    <xf numFmtId="44" fontId="13" fillId="0" borderId="17" xfId="0" applyNumberFormat="1" applyFont="1" applyBorder="1" applyAlignment="1">
      <alignment horizontal="center"/>
    </xf>
    <xf numFmtId="2" fontId="13" fillId="0" borderId="22" xfId="1" applyNumberFormat="1" applyFont="1" applyBorder="1"/>
    <xf numFmtId="44" fontId="13" fillId="0" borderId="0" xfId="0" applyNumberFormat="1" applyFont="1" applyAlignment="1">
      <alignment horizontal="center"/>
    </xf>
    <xf numFmtId="2" fontId="13" fillId="8" borderId="22" xfId="1" applyNumberFormat="1" applyFont="1" applyFill="1" applyBorder="1"/>
    <xf numFmtId="2" fontId="13" fillId="0" borderId="0" xfId="1" applyNumberFormat="1" applyFont="1" applyAlignment="1"/>
    <xf numFmtId="2" fontId="13" fillId="13" borderId="22" xfId="1" applyNumberFormat="1" applyFont="1" applyFill="1" applyBorder="1"/>
    <xf numFmtId="2" fontId="13" fillId="0" borderId="19" xfId="1" applyNumberFormat="1" applyFont="1" applyBorder="1"/>
    <xf numFmtId="2" fontId="13" fillId="8" borderId="30" xfId="1" applyNumberFormat="1" applyFont="1" applyFill="1" applyBorder="1"/>
    <xf numFmtId="0" fontId="24" fillId="0" borderId="0" xfId="5" applyFont="1" applyAlignment="1">
      <alignment horizontal="center" wrapText="1"/>
    </xf>
    <xf numFmtId="7" fontId="13" fillId="0" borderId="9" xfId="0" applyNumberFormat="1" applyFont="1" applyBorder="1" applyAlignment="1">
      <alignment horizontal="center" wrapText="1"/>
    </xf>
    <xf numFmtId="2" fontId="24" fillId="0" borderId="0" xfId="5" applyNumberFormat="1" applyFont="1"/>
    <xf numFmtId="2" fontId="5" fillId="0" borderId="9" xfId="0" applyNumberFormat="1" applyFont="1" applyBorder="1" applyAlignment="1">
      <alignment horizontal="left"/>
    </xf>
    <xf numFmtId="44" fontId="5" fillId="0" borderId="0" xfId="2" applyFont="1"/>
    <xf numFmtId="44" fontId="5" fillId="8" borderId="9" xfId="2" applyFont="1" applyFill="1" applyBorder="1" applyAlignment="1">
      <alignment horizontal="center" wrapText="1"/>
    </xf>
    <xf numFmtId="44" fontId="5" fillId="5" borderId="9" xfId="2" applyFont="1" applyFill="1" applyBorder="1" applyAlignment="1">
      <alignment horizontal="center"/>
    </xf>
    <xf numFmtId="3" fontId="5" fillId="36" borderId="9" xfId="0" applyNumberFormat="1" applyFont="1" applyFill="1" applyBorder="1" applyAlignment="1">
      <alignment horizontal="left" vertical="top" wrapText="1"/>
    </xf>
    <xf numFmtId="2" fontId="5" fillId="36" borderId="9" xfId="0" applyNumberFormat="1" applyFont="1" applyFill="1" applyBorder="1" applyAlignment="1">
      <alignment horizontal="left" vertical="top" wrapText="1"/>
    </xf>
    <xf numFmtId="3" fontId="5" fillId="0" borderId="9" xfId="0" applyNumberFormat="1" applyFont="1" applyBorder="1" applyAlignment="1">
      <alignment horizontal="left" vertical="top" wrapText="1"/>
    </xf>
    <xf numFmtId="39" fontId="13" fillId="0" borderId="0" xfId="0" applyNumberFormat="1" applyFont="1"/>
    <xf numFmtId="180" fontId="13" fillId="0" borderId="9" xfId="0" applyNumberFormat="1" applyFont="1" applyBorder="1" applyAlignment="1">
      <alignment horizontal="center"/>
    </xf>
    <xf numFmtId="37" fontId="13" fillId="0" borderId="9" xfId="1" applyNumberFormat="1" applyFont="1" applyFill="1" applyBorder="1" applyAlignment="1">
      <alignment horizontal="center"/>
    </xf>
    <xf numFmtId="171" fontId="13" fillId="0" borderId="9" xfId="5" applyNumberFormat="1" applyFont="1" applyBorder="1" applyAlignment="1">
      <alignment horizontal="center"/>
    </xf>
    <xf numFmtId="0" fontId="2" fillId="0" borderId="0" xfId="0" applyFont="1" applyAlignment="1">
      <alignment vertical="center"/>
    </xf>
    <xf numFmtId="0" fontId="2" fillId="0" borderId="0" xfId="8" applyFont="1" applyAlignment="1">
      <alignment vertical="center"/>
    </xf>
    <xf numFmtId="0" fontId="13" fillId="0" borderId="0" xfId="8" applyFont="1" applyAlignment="1">
      <alignment vertical="center"/>
    </xf>
    <xf numFmtId="2" fontId="13" fillId="0" borderId="0" xfId="8" applyNumberFormat="1" applyFont="1" applyAlignment="1">
      <alignment horizontal="center" vertical="center"/>
    </xf>
    <xf numFmtId="187" fontId="2" fillId="0" borderId="0" xfId="8" applyNumberFormat="1" applyFont="1" applyAlignment="1">
      <alignment vertical="center"/>
    </xf>
    <xf numFmtId="7" fontId="13" fillId="0" borderId="0" xfId="2" applyNumberFormat="1" applyFont="1" applyBorder="1" applyAlignment="1">
      <alignment horizontal="center" vertical="center" wrapText="1"/>
    </xf>
    <xf numFmtId="167" fontId="63" fillId="12" borderId="0" xfId="0" applyNumberFormat="1" applyFont="1" applyFill="1" applyAlignment="1">
      <alignment horizontal="center" vertical="center"/>
    </xf>
    <xf numFmtId="167" fontId="6" fillId="12" borderId="0" xfId="0" applyNumberFormat="1" applyFont="1" applyFill="1" applyAlignment="1">
      <alignment vertical="center"/>
    </xf>
    <xf numFmtId="7" fontId="13" fillId="0" borderId="27" xfId="0" applyNumberFormat="1" applyFont="1" applyBorder="1" applyAlignment="1">
      <alignment vertical="center"/>
    </xf>
    <xf numFmtId="2" fontId="13" fillId="0" borderId="20" xfId="1" applyNumberFormat="1" applyFont="1" applyBorder="1" applyAlignment="1">
      <alignment horizontal="center" vertical="center"/>
    </xf>
    <xf numFmtId="0" fontId="13" fillId="0" borderId="0" xfId="8" applyFont="1" applyAlignment="1">
      <alignment horizontal="left" vertical="center"/>
    </xf>
    <xf numFmtId="0" fontId="27" fillId="12" borderId="0" xfId="0" applyFont="1" applyFill="1" applyAlignment="1">
      <alignment vertical="center"/>
    </xf>
    <xf numFmtId="10" fontId="30" fillId="0" borderId="9" xfId="7" applyNumberFormat="1" applyFont="1" applyBorder="1" applyAlignment="1">
      <alignment horizontal="center" vertical="center" wrapText="1"/>
    </xf>
    <xf numFmtId="0" fontId="2" fillId="0" borderId="0" xfId="5" applyFont="1" applyAlignment="1">
      <alignment vertical="center"/>
    </xf>
    <xf numFmtId="0" fontId="13" fillId="0" borderId="0" xfId="5" applyFont="1" applyAlignment="1">
      <alignment vertical="center"/>
    </xf>
    <xf numFmtId="0" fontId="2" fillId="9" borderId="0" xfId="5" applyFont="1" applyFill="1" applyAlignment="1">
      <alignment vertical="center"/>
    </xf>
    <xf numFmtId="0" fontId="7" fillId="9" borderId="0" xfId="5" applyFont="1" applyFill="1" applyAlignment="1">
      <alignment vertical="center"/>
    </xf>
    <xf numFmtId="2" fontId="5" fillId="19" borderId="9" xfId="0" applyNumberFormat="1" applyFont="1" applyFill="1" applyBorder="1" applyAlignment="1">
      <alignment vertical="center"/>
    </xf>
    <xf numFmtId="0" fontId="5" fillId="19" borderId="9" xfId="0" applyFont="1" applyFill="1" applyBorder="1" applyAlignment="1">
      <alignment vertical="center"/>
    </xf>
    <xf numFmtId="0" fontId="27" fillId="9" borderId="0" xfId="5" applyFont="1" applyFill="1" applyAlignment="1">
      <alignment vertical="center"/>
    </xf>
    <xf numFmtId="165" fontId="13" fillId="0" borderId="0" xfId="0" applyNumberFormat="1" applyFont="1" applyAlignment="1">
      <alignment horizontal="left" vertical="center" wrapText="1"/>
    </xf>
    <xf numFmtId="165" fontId="5" fillId="0" borderId="9" xfId="13" applyNumberFormat="1" applyFont="1" applyBorder="1" applyAlignment="1">
      <alignment horizontal="left" vertical="center" wrapText="1"/>
    </xf>
    <xf numFmtId="165" fontId="5" fillId="25" borderId="9" xfId="0" applyNumberFormat="1" applyFont="1" applyFill="1" applyBorder="1" applyAlignment="1">
      <alignment horizontal="center" vertical="center" wrapText="1"/>
    </xf>
    <xf numFmtId="0" fontId="24" fillId="37" borderId="0" xfId="5" applyFont="1" applyFill="1"/>
    <xf numFmtId="9" fontId="13" fillId="0" borderId="9" xfId="0" applyNumberFormat="1" applyFont="1" applyBorder="1" applyAlignment="1">
      <alignment horizontal="left" vertical="top" wrapText="1"/>
    </xf>
    <xf numFmtId="39" fontId="13" fillId="0" borderId="9" xfId="1" applyNumberFormat="1" applyFont="1" applyFill="1" applyBorder="1" applyAlignment="1">
      <alignment horizontal="left" vertical="top" wrapText="1"/>
    </xf>
    <xf numFmtId="7" fontId="5" fillId="0" borderId="9" xfId="2" applyNumberFormat="1" applyFont="1" applyFill="1" applyBorder="1" applyAlignment="1">
      <alignment horizontal="left"/>
    </xf>
    <xf numFmtId="39" fontId="13" fillId="4" borderId="19" xfId="1" applyNumberFormat="1" applyFont="1" applyFill="1" applyBorder="1" applyAlignment="1">
      <alignment horizontal="center"/>
    </xf>
    <xf numFmtId="39" fontId="5" fillId="0" borderId="18" xfId="0" applyNumberFormat="1" applyFont="1" applyBorder="1" applyAlignment="1">
      <alignment horizontal="center"/>
    </xf>
    <xf numFmtId="39" fontId="5" fillId="0" borderId="21" xfId="0" applyNumberFormat="1" applyFont="1" applyBorder="1" applyAlignment="1">
      <alignment horizontal="center"/>
    </xf>
    <xf numFmtId="189" fontId="13" fillId="4" borderId="9" xfId="1" quotePrefix="1" applyNumberFormat="1" applyFont="1" applyFill="1" applyBorder="1" applyAlignment="1">
      <alignment horizontal="center" vertical="center" wrapText="1"/>
    </xf>
    <xf numFmtId="44" fontId="14" fillId="0" borderId="0" xfId="2" applyFont="1"/>
    <xf numFmtId="44" fontId="5" fillId="8" borderId="19" xfId="2" applyFont="1" applyFill="1" applyBorder="1" applyAlignment="1">
      <alignment horizontal="center" wrapText="1"/>
    </xf>
    <xf numFmtId="44" fontId="5" fillId="0" borderId="0" xfId="2" applyFont="1" applyFill="1"/>
    <xf numFmtId="44" fontId="5" fillId="0" borderId="0" xfId="2" applyFont="1" applyFill="1" applyBorder="1"/>
    <xf numFmtId="44" fontId="5" fillId="0" borderId="0" xfId="2" applyFont="1" applyAlignment="1">
      <alignment vertical="center"/>
    </xf>
    <xf numFmtId="0" fontId="5" fillId="0" borderId="0" xfId="0" applyFont="1" applyAlignment="1">
      <alignment vertical="center"/>
    </xf>
    <xf numFmtId="199" fontId="0" fillId="0" borderId="0" xfId="0" applyNumberFormat="1"/>
    <xf numFmtId="167" fontId="60" fillId="12" borderId="0" xfId="0" applyNumberFormat="1" applyFont="1" applyFill="1" applyAlignment="1">
      <alignment horizontal="center"/>
    </xf>
    <xf numFmtId="2" fontId="5" fillId="8" borderId="9" xfId="1" applyNumberFormat="1" applyFont="1" applyFill="1" applyBorder="1"/>
    <xf numFmtId="44" fontId="5" fillId="8" borderId="9" xfId="1" applyNumberFormat="1" applyFont="1" applyFill="1" applyBorder="1" applyAlignment="1">
      <alignment horizontal="center" wrapText="1"/>
    </xf>
    <xf numFmtId="178" fontId="13" fillId="0" borderId="9" xfId="0" applyNumberFormat="1" applyFont="1" applyBorder="1" applyAlignment="1">
      <alignment horizontal="center" wrapText="1"/>
    </xf>
    <xf numFmtId="171" fontId="13" fillId="0" borderId="9" xfId="0" applyNumberFormat="1" applyFont="1" applyBorder="1" applyAlignment="1">
      <alignment horizontal="center" wrapText="1"/>
    </xf>
    <xf numFmtId="0" fontId="6" fillId="4" borderId="0" xfId="0" applyFont="1" applyFill="1" applyAlignment="1">
      <alignment horizontal="left"/>
    </xf>
    <xf numFmtId="0" fontId="60" fillId="4" borderId="0" xfId="0" applyFont="1" applyFill="1" applyAlignment="1">
      <alignment horizontal="left"/>
    </xf>
    <xf numFmtId="0" fontId="60" fillId="4" borderId="58" xfId="0" applyFont="1" applyFill="1" applyBorder="1" applyAlignment="1">
      <alignment horizontal="left"/>
    </xf>
    <xf numFmtId="0" fontId="0" fillId="38" borderId="59" xfId="0" applyFill="1" applyBorder="1"/>
    <xf numFmtId="0" fontId="6" fillId="4" borderId="65" xfId="0" applyFont="1" applyFill="1" applyBorder="1"/>
    <xf numFmtId="0" fontId="6" fillId="4" borderId="13" xfId="0" applyFont="1" applyFill="1" applyBorder="1" applyAlignment="1">
      <alignment horizontal="left" vertical="top" wrapText="1"/>
    </xf>
    <xf numFmtId="0" fontId="6" fillId="4" borderId="66"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67" xfId="0" applyFont="1" applyFill="1" applyBorder="1" applyAlignment="1">
      <alignment horizontal="left" vertical="top" wrapText="1"/>
    </xf>
    <xf numFmtId="0" fontId="0" fillId="4" borderId="68" xfId="0" applyFill="1" applyBorder="1"/>
    <xf numFmtId="196" fontId="13" fillId="4" borderId="3" xfId="0" applyNumberFormat="1" applyFont="1" applyFill="1" applyBorder="1" applyAlignment="1">
      <alignment horizontal="center"/>
    </xf>
    <xf numFmtId="196" fontId="13" fillId="4" borderId="69" xfId="0" applyNumberFormat="1" applyFont="1" applyFill="1" applyBorder="1" applyAlignment="1">
      <alignment horizontal="center"/>
    </xf>
    <xf numFmtId="0" fontId="0" fillId="4" borderId="70" xfId="0" applyFill="1" applyBorder="1"/>
    <xf numFmtId="196" fontId="13" fillId="4" borderId="71" xfId="0" applyNumberFormat="1" applyFont="1" applyFill="1" applyBorder="1"/>
    <xf numFmtId="196" fontId="13" fillId="4" borderId="72" xfId="0" applyNumberFormat="1" applyFont="1" applyFill="1" applyBorder="1"/>
    <xf numFmtId="0" fontId="0" fillId="4" borderId="73" xfId="0" applyFill="1" applyBorder="1"/>
    <xf numFmtId="196" fontId="13" fillId="4" borderId="8" xfId="0" applyNumberFormat="1" applyFont="1" applyFill="1" applyBorder="1" applyAlignment="1">
      <alignment horizontal="center"/>
    </xf>
    <xf numFmtId="196" fontId="13" fillId="4" borderId="74" xfId="0" applyNumberFormat="1" applyFont="1" applyFill="1" applyBorder="1" applyAlignment="1">
      <alignment horizontal="center"/>
    </xf>
    <xf numFmtId="0" fontId="0" fillId="4" borderId="75" xfId="0" applyFill="1" applyBorder="1"/>
    <xf numFmtId="196" fontId="13" fillId="4" borderId="76" xfId="0" applyNumberFormat="1" applyFont="1" applyFill="1" applyBorder="1"/>
    <xf numFmtId="196" fontId="13" fillId="4" borderId="77" xfId="0" applyNumberFormat="1" applyFont="1" applyFill="1" applyBorder="1"/>
    <xf numFmtId="0" fontId="0" fillId="4" borderId="78" xfId="0" applyFill="1" applyBorder="1"/>
    <xf numFmtId="196" fontId="13" fillId="4" borderId="79" xfId="0" applyNumberFormat="1" applyFont="1" applyFill="1" applyBorder="1" applyAlignment="1">
      <alignment horizontal="center"/>
    </xf>
    <xf numFmtId="196" fontId="13" fillId="4" borderId="80" xfId="0" applyNumberFormat="1" applyFont="1" applyFill="1" applyBorder="1" applyAlignment="1">
      <alignment horizontal="center"/>
    </xf>
    <xf numFmtId="0" fontId="0" fillId="4" borderId="81" xfId="0" applyFill="1" applyBorder="1"/>
    <xf numFmtId="196" fontId="13" fillId="4" borderId="82" xfId="0" applyNumberFormat="1" applyFont="1" applyFill="1" applyBorder="1"/>
    <xf numFmtId="196" fontId="13" fillId="4" borderId="83" xfId="0" applyNumberFormat="1" applyFont="1" applyFill="1" applyBorder="1"/>
    <xf numFmtId="0" fontId="6" fillId="4" borderId="58" xfId="0" applyFont="1" applyFill="1" applyBorder="1" applyAlignment="1">
      <alignment horizontal="left"/>
    </xf>
    <xf numFmtId="0" fontId="27" fillId="4" borderId="58" xfId="0" applyFont="1" applyFill="1" applyBorder="1" applyAlignment="1">
      <alignment horizontal="left"/>
    </xf>
    <xf numFmtId="0" fontId="0" fillId="38" borderId="84" xfId="0" applyFill="1" applyBorder="1"/>
    <xf numFmtId="0" fontId="27" fillId="4" borderId="85" xfId="0" applyFont="1" applyFill="1" applyBorder="1" applyAlignment="1">
      <alignment horizontal="left" vertical="top" wrapText="1"/>
    </xf>
    <xf numFmtId="0" fontId="27" fillId="4" borderId="86" xfId="0" applyFont="1" applyFill="1" applyBorder="1" applyAlignment="1">
      <alignment horizontal="left" vertical="top" wrapText="1"/>
    </xf>
    <xf numFmtId="0" fontId="0" fillId="38" borderId="87" xfId="0" applyFill="1" applyBorder="1"/>
    <xf numFmtId="166" fontId="13" fillId="4" borderId="82" xfId="0" applyNumberFormat="1" applyFont="1" applyFill="1" applyBorder="1"/>
    <xf numFmtId="200" fontId="69" fillId="12" borderId="0" xfId="0" applyNumberFormat="1" applyFont="1" applyFill="1"/>
    <xf numFmtId="0" fontId="70" fillId="0" borderId="0" xfId="0" applyFont="1"/>
    <xf numFmtId="201" fontId="70" fillId="0" borderId="0" xfId="0" applyNumberFormat="1" applyFont="1"/>
    <xf numFmtId="43" fontId="27" fillId="4" borderId="9" xfId="1" applyFont="1" applyFill="1" applyBorder="1"/>
    <xf numFmtId="43" fontId="13" fillId="4" borderId="9" xfId="1" applyFont="1" applyFill="1" applyBorder="1"/>
    <xf numFmtId="197" fontId="27" fillId="4" borderId="9" xfId="0" applyNumberFormat="1" applyFont="1" applyFill="1" applyBorder="1"/>
    <xf numFmtId="7" fontId="5" fillId="0" borderId="9" xfId="2" applyNumberFormat="1" applyFont="1" applyBorder="1" applyAlignment="1">
      <alignment horizontal="center"/>
    </xf>
    <xf numFmtId="0" fontId="27" fillId="4" borderId="0" xfId="0" applyFont="1" applyFill="1"/>
    <xf numFmtId="202" fontId="0" fillId="4" borderId="9" xfId="0" applyNumberFormat="1" applyFill="1" applyBorder="1"/>
    <xf numFmtId="202" fontId="0" fillId="0" borderId="0" xfId="0" applyNumberFormat="1"/>
    <xf numFmtId="202" fontId="0" fillId="14" borderId="18" xfId="0" applyNumberFormat="1" applyFill="1" applyBorder="1"/>
    <xf numFmtId="202" fontId="0" fillId="0" borderId="9" xfId="0" applyNumberFormat="1" applyBorder="1"/>
    <xf numFmtId="0" fontId="72" fillId="5" borderId="8" xfId="0" applyFont="1" applyFill="1" applyBorder="1" applyAlignment="1">
      <alignment horizontal="center" vertical="center" wrapText="1"/>
    </xf>
    <xf numFmtId="0" fontId="72" fillId="5" borderId="9" xfId="0" applyFont="1" applyFill="1" applyBorder="1" applyAlignment="1">
      <alignment horizontal="center" vertical="center" wrapText="1"/>
    </xf>
    <xf numFmtId="0" fontId="72"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165" fontId="9" fillId="0" borderId="3"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165" fontId="9" fillId="0" borderId="4" xfId="0" applyNumberFormat="1" applyFont="1" applyBorder="1" applyAlignment="1">
      <alignment horizontal="center" vertical="center" wrapText="1"/>
    </xf>
    <xf numFmtId="0" fontId="9" fillId="0" borderId="5" xfId="0" applyFont="1" applyBorder="1" applyAlignment="1">
      <alignment horizontal="left" vertical="center" wrapText="1"/>
    </xf>
    <xf numFmtId="14" fontId="9" fillId="0" borderId="9" xfId="0" applyNumberFormat="1" applyFont="1" applyBorder="1" applyAlignment="1">
      <alignment horizontal="justify" vertical="center" wrapText="1"/>
    </xf>
    <xf numFmtId="165" fontId="9" fillId="0" borderId="13" xfId="0" applyNumberFormat="1" applyFont="1" applyBorder="1" applyAlignment="1">
      <alignment horizontal="center" vertical="center" wrapText="1"/>
    </xf>
    <xf numFmtId="14" fontId="9" fillId="0" borderId="14" xfId="0" applyNumberFormat="1" applyFont="1" applyBorder="1" applyAlignment="1">
      <alignment horizontal="justify" vertical="center" wrapText="1"/>
    </xf>
    <xf numFmtId="165" fontId="9" fillId="0" borderId="14" xfId="0" applyNumberFormat="1" applyFont="1" applyBorder="1" applyAlignment="1">
      <alignment horizontal="center" vertical="center" wrapText="1"/>
    </xf>
    <xf numFmtId="0" fontId="9" fillId="0" borderId="15" xfId="0" applyFont="1" applyBorder="1" applyAlignment="1">
      <alignment horizontal="left" vertical="center" wrapText="1"/>
    </xf>
    <xf numFmtId="0" fontId="24" fillId="0" borderId="0" xfId="0" applyFont="1" applyAlignment="1">
      <alignment horizontal="left"/>
    </xf>
    <xf numFmtId="189" fontId="13" fillId="0" borderId="9" xfId="1" quotePrefix="1" applyNumberFormat="1" applyFont="1" applyFill="1" applyBorder="1" applyAlignment="1">
      <alignment horizontal="center" vertical="center" wrapText="1"/>
    </xf>
    <xf numFmtId="0" fontId="27" fillId="0" borderId="0" xfId="5" applyFont="1" applyAlignment="1">
      <alignment vertical="center"/>
    </xf>
    <xf numFmtId="0" fontId="27" fillId="0" borderId="0" xfId="5" applyFont="1" applyAlignment="1">
      <alignment horizontal="center" vertical="center"/>
    </xf>
    <xf numFmtId="0" fontId="27" fillId="0" borderId="0" xfId="0" applyFont="1" applyAlignment="1">
      <alignment horizontal="center" vertical="center"/>
    </xf>
    <xf numFmtId="0" fontId="13" fillId="4" borderId="0" xfId="0" applyFont="1" applyFill="1" applyAlignment="1">
      <alignment vertical="center"/>
    </xf>
    <xf numFmtId="0" fontId="13" fillId="0" borderId="0" xfId="8" applyFont="1" applyAlignment="1">
      <alignment horizontal="center" vertical="center"/>
    </xf>
    <xf numFmtId="7" fontId="13" fillId="0" borderId="27" xfId="2" applyNumberFormat="1" applyFont="1" applyFill="1" applyBorder="1" applyAlignment="1">
      <alignment horizontal="center" vertical="center" wrapText="1"/>
    </xf>
    <xf numFmtId="165" fontId="13" fillId="0" borderId="9" xfId="0" applyNumberFormat="1" applyFont="1" applyBorder="1" applyAlignment="1">
      <alignment horizontal="center" wrapText="1"/>
    </xf>
    <xf numFmtId="178" fontId="13" fillId="4" borderId="9" xfId="0" applyNumberFormat="1" applyFont="1" applyFill="1" applyBorder="1" applyAlignment="1">
      <alignment horizontal="center" wrapText="1"/>
    </xf>
    <xf numFmtId="165" fontId="13" fillId="4" borderId="9" xfId="0" applyNumberFormat="1" applyFont="1" applyFill="1" applyBorder="1" applyAlignment="1">
      <alignment horizontal="center" wrapText="1"/>
    </xf>
    <xf numFmtId="171" fontId="13" fillId="4" borderId="9" xfId="0" applyNumberFormat="1" applyFont="1" applyFill="1" applyBorder="1" applyAlignment="1">
      <alignment horizontal="center" wrapText="1"/>
    </xf>
    <xf numFmtId="0" fontId="13" fillId="30" borderId="0" xfId="0" applyFont="1" applyFill="1" applyAlignment="1">
      <alignment horizontal="center"/>
    </xf>
    <xf numFmtId="202" fontId="13" fillId="4" borderId="9" xfId="0" applyNumberFormat="1" applyFont="1" applyFill="1" applyBorder="1"/>
    <xf numFmtId="43" fontId="13" fillId="39" borderId="9" xfId="1" applyFont="1" applyFill="1" applyBorder="1"/>
    <xf numFmtId="2" fontId="51" fillId="13" borderId="9" xfId="0" applyNumberFormat="1" applyFont="1" applyFill="1" applyBorder="1" applyAlignment="1">
      <alignment horizontal="center" wrapText="1"/>
    </xf>
    <xf numFmtId="2" fontId="5" fillId="5" borderId="9" xfId="0" applyNumberFormat="1" applyFont="1" applyFill="1" applyBorder="1" applyAlignment="1">
      <alignment horizontal="center"/>
    </xf>
    <xf numFmtId="0" fontId="73" fillId="20" borderId="41" xfId="0" applyFont="1" applyFill="1" applyBorder="1" applyAlignment="1">
      <alignment horizontal="center"/>
    </xf>
    <xf numFmtId="9" fontId="0" fillId="20" borderId="88" xfId="0" applyNumberFormat="1" applyFill="1" applyBorder="1" applyAlignment="1">
      <alignment horizontal="center"/>
    </xf>
    <xf numFmtId="9" fontId="0" fillId="20" borderId="89" xfId="0" applyNumberFormat="1" applyFill="1" applyBorder="1" applyAlignment="1">
      <alignment horizontal="center"/>
    </xf>
    <xf numFmtId="0" fontId="74" fillId="20" borderId="39" xfId="0" applyFont="1" applyFill="1" applyBorder="1" applyAlignment="1">
      <alignment horizontal="center"/>
    </xf>
    <xf numFmtId="9" fontId="75" fillId="20" borderId="41" xfId="0" applyNumberFormat="1" applyFont="1" applyFill="1" applyBorder="1" applyAlignment="1">
      <alignment horizontal="center"/>
    </xf>
    <xf numFmtId="0" fontId="74" fillId="20" borderId="40" xfId="0" applyFont="1" applyFill="1" applyBorder="1" applyAlignment="1">
      <alignment horizontal="center"/>
    </xf>
    <xf numFmtId="0" fontId="74" fillId="20" borderId="42" xfId="0" applyFont="1" applyFill="1" applyBorder="1" applyAlignment="1">
      <alignment horizontal="center"/>
    </xf>
    <xf numFmtId="9" fontId="74" fillId="20" borderId="42" xfId="0" applyNumberFormat="1" applyFont="1" applyFill="1" applyBorder="1" applyAlignment="1">
      <alignment horizontal="center"/>
    </xf>
    <xf numFmtId="0" fontId="13"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89" xfId="0" applyFill="1" applyBorder="1" applyAlignment="1">
      <alignment horizontal="center"/>
    </xf>
    <xf numFmtId="0" fontId="0" fillId="44" borderId="41" xfId="0" applyFill="1" applyBorder="1"/>
    <xf numFmtId="0" fontId="0" fillId="44" borderId="0" xfId="0" applyFill="1"/>
    <xf numFmtId="0" fontId="5" fillId="44" borderId="0" xfId="0" applyFont="1" applyFill="1"/>
    <xf numFmtId="0" fontId="13" fillId="44" borderId="0" xfId="0" applyFont="1" applyFill="1"/>
    <xf numFmtId="0" fontId="0" fillId="44" borderId="42" xfId="0" applyFill="1" applyBorder="1"/>
    <xf numFmtId="199" fontId="0" fillId="44" borderId="41" xfId="0" applyNumberFormat="1" applyFill="1" applyBorder="1"/>
    <xf numFmtId="0" fontId="0" fillId="44" borderId="88" xfId="0" applyFill="1" applyBorder="1"/>
    <xf numFmtId="199" fontId="0" fillId="44" borderId="0" xfId="0" applyNumberFormat="1" applyFill="1"/>
    <xf numFmtId="0" fontId="0" fillId="44" borderId="49" xfId="0" applyFill="1" applyBorder="1"/>
    <xf numFmtId="0" fontId="13" fillId="44" borderId="39" xfId="0" applyFont="1" applyFill="1" applyBorder="1"/>
    <xf numFmtId="0" fontId="13" fillId="44" borderId="41" xfId="0" applyFont="1" applyFill="1" applyBorder="1"/>
    <xf numFmtId="0" fontId="13" fillId="44" borderId="29" xfId="0" applyFont="1" applyFill="1" applyBorder="1"/>
    <xf numFmtId="0" fontId="13" fillId="25" borderId="0" xfId="0" applyFont="1" applyFill="1"/>
    <xf numFmtId="0" fontId="37" fillId="25" borderId="0" xfId="0" applyFont="1" applyFill="1" applyAlignment="1">
      <alignment horizontal="center"/>
    </xf>
    <xf numFmtId="0" fontId="37" fillId="25" borderId="29" xfId="0" applyFont="1" applyFill="1" applyBorder="1" applyAlignment="1">
      <alignment horizontal="center"/>
    </xf>
    <xf numFmtId="0" fontId="37" fillId="20" borderId="52" xfId="0" applyFont="1" applyFill="1" applyBorder="1"/>
    <xf numFmtId="0" fontId="13" fillId="20" borderId="51" xfId="0" applyFont="1" applyFill="1" applyBorder="1"/>
    <xf numFmtId="203" fontId="0" fillId="0" borderId="9" xfId="0" applyNumberFormat="1" applyBorder="1"/>
    <xf numFmtId="203" fontId="5" fillId="0" borderId="9" xfId="0" applyNumberFormat="1" applyFont="1" applyBorder="1"/>
    <xf numFmtId="203" fontId="5" fillId="0" borderId="10" xfId="0" applyNumberFormat="1" applyFont="1" applyBorder="1"/>
    <xf numFmtId="43" fontId="13" fillId="13" borderId="9" xfId="0" applyNumberFormat="1" applyFont="1" applyFill="1" applyBorder="1"/>
    <xf numFmtId="43" fontId="13" fillId="31" borderId="9" xfId="0" applyNumberFormat="1" applyFont="1" applyFill="1" applyBorder="1"/>
    <xf numFmtId="43" fontId="13" fillId="32" borderId="9" xfId="0" applyNumberFormat="1" applyFont="1" applyFill="1" applyBorder="1"/>
    <xf numFmtId="43" fontId="13" fillId="28" borderId="9" xfId="0" applyNumberFormat="1" applyFont="1" applyFill="1" applyBorder="1"/>
    <xf numFmtId="43" fontId="13" fillId="27" borderId="9" xfId="0" applyNumberFormat="1" applyFont="1" applyFill="1" applyBorder="1"/>
    <xf numFmtId="43" fontId="13" fillId="25" borderId="9" xfId="0" applyNumberFormat="1" applyFont="1" applyFill="1" applyBorder="1"/>
    <xf numFmtId="43" fontId="13" fillId="40" borderId="9" xfId="0" applyNumberFormat="1" applyFont="1" applyFill="1" applyBorder="1"/>
    <xf numFmtId="43" fontId="13" fillId="41" borderId="9" xfId="0" applyNumberFormat="1" applyFont="1" applyFill="1" applyBorder="1"/>
    <xf numFmtId="43" fontId="13" fillId="21" borderId="9" xfId="0" applyNumberFormat="1" applyFont="1" applyFill="1" applyBorder="1"/>
    <xf numFmtId="43" fontId="13" fillId="8" borderId="9" xfId="0" applyNumberFormat="1" applyFont="1" applyFill="1" applyBorder="1"/>
    <xf numFmtId="43" fontId="13" fillId="14" borderId="9" xfId="0" applyNumberFormat="1" applyFont="1" applyFill="1" applyBorder="1"/>
    <xf numFmtId="43" fontId="13" fillId="42" borderId="9" xfId="0" applyNumberFormat="1" applyFont="1" applyFill="1" applyBorder="1"/>
    <xf numFmtId="43" fontId="13" fillId="18" borderId="9" xfId="0" applyNumberFormat="1" applyFont="1" applyFill="1" applyBorder="1"/>
    <xf numFmtId="43" fontId="13" fillId="23" borderId="9" xfId="0" applyNumberFormat="1" applyFont="1" applyFill="1" applyBorder="1"/>
    <xf numFmtId="43" fontId="13" fillId="43" borderId="9" xfId="0" applyNumberFormat="1" applyFont="1" applyFill="1" applyBorder="1"/>
    <xf numFmtId="43" fontId="13" fillId="12" borderId="9" xfId="0" applyNumberFormat="1" applyFont="1" applyFill="1" applyBorder="1"/>
    <xf numFmtId="203" fontId="13" fillId="0" borderId="10" xfId="0" applyNumberFormat="1" applyFont="1" applyBorder="1"/>
    <xf numFmtId="203" fontId="13" fillId="0" borderId="18" xfId="0" applyNumberFormat="1" applyFont="1" applyBorder="1"/>
    <xf numFmtId="43" fontId="13" fillId="0" borderId="10" xfId="0" applyNumberFormat="1" applyFont="1" applyBorder="1"/>
    <xf numFmtId="0" fontId="76" fillId="44" borderId="0" xfId="0" applyFont="1" applyFill="1"/>
    <xf numFmtId="0" fontId="79" fillId="44" borderId="0" xfId="0" applyFont="1" applyFill="1"/>
    <xf numFmtId="0" fontId="77" fillId="27" borderId="37" xfId="0" applyFont="1" applyFill="1" applyBorder="1" applyAlignment="1">
      <alignment horizontal="center" wrapText="1"/>
    </xf>
    <xf numFmtId="0" fontId="78" fillId="27" borderId="31" xfId="0" applyFont="1" applyFill="1" applyBorder="1" applyAlignment="1">
      <alignment horizontal="center" wrapText="1"/>
    </xf>
    <xf numFmtId="0" fontId="77" fillId="27" borderId="31" xfId="0" applyFont="1" applyFill="1" applyBorder="1" applyAlignment="1">
      <alignment horizontal="center" wrapText="1"/>
    </xf>
    <xf numFmtId="0" fontId="78" fillId="27" borderId="38" xfId="0" applyFont="1" applyFill="1" applyBorder="1" applyAlignment="1">
      <alignment horizontal="center" wrapText="1"/>
    </xf>
    <xf numFmtId="0" fontId="77" fillId="22" borderId="37" xfId="0" applyFont="1" applyFill="1" applyBorder="1" applyAlignment="1">
      <alignment horizontal="center" wrapText="1"/>
    </xf>
    <xf numFmtId="0" fontId="78" fillId="22" borderId="31" xfId="0" applyFont="1" applyFill="1" applyBorder="1" applyAlignment="1">
      <alignment horizontal="center" wrapText="1"/>
    </xf>
    <xf numFmtId="0" fontId="77" fillId="22" borderId="31" xfId="0" applyFont="1" applyFill="1" applyBorder="1" applyAlignment="1">
      <alignment horizontal="center" wrapText="1"/>
    </xf>
    <xf numFmtId="0" fontId="78" fillId="22" borderId="38" xfId="0" applyFont="1" applyFill="1" applyBorder="1" applyAlignment="1">
      <alignment horizontal="center" wrapText="1"/>
    </xf>
    <xf numFmtId="0" fontId="77" fillId="27" borderId="38" xfId="0" applyFont="1" applyFill="1" applyBorder="1" applyAlignment="1">
      <alignment horizontal="center" wrapText="1"/>
    </xf>
    <xf numFmtId="0" fontId="77" fillId="22" borderId="38" xfId="0" applyFont="1" applyFill="1" applyBorder="1" applyAlignment="1">
      <alignment horizontal="center" wrapText="1"/>
    </xf>
    <xf numFmtId="0" fontId="13" fillId="0" borderId="8" xfId="0" applyFont="1" applyBorder="1"/>
    <xf numFmtId="0" fontId="13" fillId="0" borderId="13" xfId="0" applyFont="1" applyBorder="1"/>
    <xf numFmtId="0" fontId="13" fillId="0" borderId="32" xfId="0" applyFont="1" applyBorder="1"/>
    <xf numFmtId="0" fontId="13" fillId="17" borderId="17" xfId="0" applyFont="1" applyFill="1" applyBorder="1"/>
    <xf numFmtId="0" fontId="13" fillId="17" borderId="18" xfId="0" applyFont="1" applyFill="1" applyBorder="1"/>
    <xf numFmtId="0" fontId="13" fillId="11" borderId="20" xfId="5" applyFont="1" applyFill="1" applyBorder="1" applyAlignment="1">
      <alignment horizontal="center" vertical="center" wrapText="1"/>
    </xf>
    <xf numFmtId="0" fontId="47" fillId="6" borderId="0" xfId="5" applyFont="1" applyFill="1" applyAlignment="1">
      <alignment vertical="center"/>
    </xf>
    <xf numFmtId="0" fontId="13" fillId="0" borderId="0" xfId="0" applyFont="1" applyAlignment="1">
      <alignment vertical="center" wrapText="1"/>
    </xf>
    <xf numFmtId="0" fontId="13" fillId="10" borderId="16" xfId="0" applyFont="1" applyFill="1" applyBorder="1" applyAlignment="1">
      <alignment horizontal="left"/>
    </xf>
    <xf numFmtId="0" fontId="13" fillId="10" borderId="17" xfId="0" applyFont="1" applyFill="1" applyBorder="1" applyAlignment="1">
      <alignment horizontal="left"/>
    </xf>
    <xf numFmtId="0" fontId="13" fillId="11" borderId="19" xfId="5" applyFont="1" applyFill="1" applyBorder="1" applyAlignment="1">
      <alignment horizontal="center" vertical="center" wrapText="1"/>
    </xf>
    <xf numFmtId="0" fontId="13" fillId="0" borderId="9" xfId="0" applyFont="1" applyBorder="1" applyAlignment="1">
      <alignment horizontal="center" vertical="center"/>
    </xf>
    <xf numFmtId="0" fontId="13" fillId="4" borderId="9" xfId="8" applyFont="1" applyFill="1" applyBorder="1" applyAlignment="1">
      <alignment wrapText="1"/>
    </xf>
    <xf numFmtId="0" fontId="13" fillId="4" borderId="9"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13" fillId="11" borderId="9" xfId="0" applyFont="1" applyFill="1" applyBorder="1" applyAlignment="1">
      <alignment horizontal="center" vertical="center" wrapText="1"/>
    </xf>
    <xf numFmtId="165" fontId="13" fillId="0" borderId="9" xfId="13" applyNumberFormat="1" applyFont="1" applyBorder="1" applyAlignment="1">
      <alignment horizontal="left" vertical="center" wrapText="1"/>
    </xf>
    <xf numFmtId="0" fontId="13" fillId="0" borderId="23" xfId="0" applyFont="1" applyBorder="1" applyAlignment="1">
      <alignment horizontal="left" vertical="center"/>
    </xf>
    <xf numFmtId="165" fontId="13" fillId="0" borderId="9" xfId="6" applyNumberFormat="1" applyFont="1" applyBorder="1" applyAlignment="1">
      <alignment horizontal="left" vertical="center" wrapText="1"/>
    </xf>
    <xf numFmtId="0" fontId="13" fillId="0" borderId="18" xfId="0" applyFont="1" applyBorder="1" applyAlignment="1">
      <alignment horizontal="left" vertical="center" wrapText="1"/>
    </xf>
    <xf numFmtId="0" fontId="13" fillId="0" borderId="9" xfId="6" applyFont="1" applyBorder="1" applyAlignment="1">
      <alignment wrapText="1"/>
    </xf>
    <xf numFmtId="0" fontId="13" fillId="0" borderId="9" xfId="0" applyFont="1" applyBorder="1" applyAlignment="1">
      <alignment horizontal="left" vertical="center" wrapText="1"/>
    </xf>
    <xf numFmtId="0" fontId="13" fillId="0" borderId="9" xfId="0" applyFont="1" applyBorder="1"/>
    <xf numFmtId="0" fontId="13" fillId="4" borderId="9" xfId="8" applyFont="1" applyFill="1" applyBorder="1" applyAlignment="1">
      <alignment horizontal="left" vertical="center" wrapText="1"/>
    </xf>
    <xf numFmtId="0" fontId="13" fillId="0" borderId="19" xfId="0" applyFont="1" applyBorder="1" applyAlignment="1">
      <alignment horizontal="left" vertical="center" wrapText="1"/>
    </xf>
    <xf numFmtId="165" fontId="13" fillId="0" borderId="16" xfId="13" applyNumberFormat="1" applyFont="1" applyBorder="1" applyAlignment="1">
      <alignment horizontal="center" vertical="center" wrapText="1"/>
    </xf>
    <xf numFmtId="0" fontId="13" fillId="11" borderId="16" xfId="0" applyFont="1" applyFill="1" applyBorder="1" applyAlignment="1">
      <alignment horizontal="center" vertical="center" wrapText="1"/>
    </xf>
    <xf numFmtId="0" fontId="13" fillId="11" borderId="18" xfId="0" applyFont="1" applyFill="1" applyBorder="1" applyAlignment="1">
      <alignment horizontal="center" vertical="center" wrapText="1"/>
    </xf>
    <xf numFmtId="0" fontId="13" fillId="0" borderId="9" xfId="0" applyFont="1" applyBorder="1" applyAlignment="1">
      <alignment vertical="center" wrapText="1"/>
    </xf>
    <xf numFmtId="0" fontId="13" fillId="0" borderId="9" xfId="0" applyFont="1" applyBorder="1" applyAlignment="1">
      <alignment horizontal="left" vertical="center"/>
    </xf>
    <xf numFmtId="0" fontId="13" fillId="4" borderId="9" xfId="0" applyFont="1" applyFill="1" applyBorder="1" applyAlignment="1">
      <alignment vertical="center" wrapText="1"/>
    </xf>
    <xf numFmtId="7" fontId="13" fillId="0" borderId="9" xfId="2" applyNumberFormat="1" applyFont="1" applyFill="1" applyBorder="1" applyAlignment="1">
      <alignment horizontal="left"/>
    </xf>
    <xf numFmtId="165" fontId="13" fillId="0" borderId="9" xfId="8" applyNumberFormat="1" applyFont="1" applyBorder="1" applyAlignment="1">
      <alignment horizontal="left"/>
    </xf>
    <xf numFmtId="0" fontId="13" fillId="0" borderId="30" xfId="0" applyFont="1" applyBorder="1" applyAlignment="1">
      <alignment horizontal="left" vertical="center" wrapText="1"/>
    </xf>
    <xf numFmtId="0" fontId="13" fillId="4" borderId="23" xfId="0" applyFont="1" applyFill="1" applyBorder="1" applyAlignment="1">
      <alignment vertical="center" wrapText="1"/>
    </xf>
    <xf numFmtId="0" fontId="33" fillId="0" borderId="19" xfId="8" applyFont="1" applyBorder="1" applyAlignment="1">
      <alignment horizontal="left" vertical="center"/>
    </xf>
    <xf numFmtId="0" fontId="33" fillId="0" borderId="9" xfId="8" applyFont="1" applyBorder="1" applyAlignment="1">
      <alignment horizontal="left" vertical="center"/>
    </xf>
    <xf numFmtId="0" fontId="13" fillId="0" borderId="9" xfId="0" applyFont="1" applyBorder="1" applyAlignment="1">
      <alignment horizontal="left" wrapText="1"/>
    </xf>
    <xf numFmtId="0" fontId="13" fillId="4" borderId="30" xfId="0" applyFont="1" applyFill="1" applyBorder="1" applyAlignment="1">
      <alignment horizontal="left" vertical="center" wrapText="1"/>
    </xf>
    <xf numFmtId="0" fontId="13" fillId="4" borderId="19" xfId="0" applyFont="1" applyFill="1" applyBorder="1" applyAlignment="1">
      <alignment horizontal="left" vertical="center"/>
    </xf>
    <xf numFmtId="0" fontId="13" fillId="4" borderId="23" xfId="0" applyFont="1" applyFill="1" applyBorder="1" applyAlignment="1">
      <alignment horizontal="left" vertical="center"/>
    </xf>
    <xf numFmtId="0" fontId="13" fillId="4" borderId="9" xfId="0" applyFont="1" applyFill="1" applyBorder="1" applyAlignment="1">
      <alignment horizontal="left" vertical="top" wrapText="1"/>
    </xf>
    <xf numFmtId="0" fontId="13" fillId="10" borderId="18" xfId="0" applyFont="1" applyFill="1" applyBorder="1" applyAlignment="1">
      <alignment horizontal="left"/>
    </xf>
    <xf numFmtId="0" fontId="13" fillId="11" borderId="19" xfId="0" applyFont="1" applyFill="1" applyBorder="1" applyAlignment="1">
      <alignment horizontal="center" vertical="center" wrapText="1"/>
    </xf>
    <xf numFmtId="0" fontId="13" fillId="4" borderId="9" xfId="8" applyFont="1" applyFill="1" applyBorder="1" applyAlignment="1">
      <alignment horizontal="left" vertical="center"/>
    </xf>
    <xf numFmtId="0" fontId="13" fillId="4" borderId="9" xfId="8" applyFont="1" applyFill="1" applyBorder="1" applyAlignment="1">
      <alignment horizontal="left"/>
    </xf>
    <xf numFmtId="0" fontId="13" fillId="4" borderId="9" xfId="8" applyFont="1" applyFill="1" applyBorder="1" applyAlignment="1">
      <alignment horizontal="center"/>
    </xf>
    <xf numFmtId="0" fontId="13" fillId="4" borderId="23" xfId="0" applyFont="1" applyFill="1" applyBorder="1" applyAlignment="1">
      <alignment horizontal="left" vertical="top" wrapText="1"/>
    </xf>
    <xf numFmtId="0" fontId="13" fillId="0" borderId="0" xfId="0" applyFont="1" applyAlignment="1">
      <alignment horizontal="center" vertical="center" wrapText="1"/>
    </xf>
    <xf numFmtId="0" fontId="13" fillId="0" borderId="9" xfId="0" applyFont="1" applyBorder="1" applyAlignment="1">
      <alignment horizontal="left" vertical="top" wrapText="1"/>
    </xf>
    <xf numFmtId="0" fontId="13" fillId="0" borderId="0" xfId="8" applyFont="1" applyAlignment="1">
      <alignment horizontal="left" wrapText="1"/>
    </xf>
    <xf numFmtId="0" fontId="13" fillId="0" borderId="9" xfId="8" applyFont="1" applyBorder="1" applyAlignment="1">
      <alignment wrapText="1"/>
    </xf>
    <xf numFmtId="0" fontId="13" fillId="0" borderId="9" xfId="8" applyFont="1" applyBorder="1" applyAlignment="1">
      <alignment horizontal="left" vertical="center" wrapText="1"/>
    </xf>
    <xf numFmtId="165" fontId="13" fillId="0" borderId="9" xfId="0" applyNumberFormat="1" applyFont="1" applyBorder="1" applyAlignment="1">
      <alignment horizontal="left" vertical="center" wrapText="1"/>
    </xf>
    <xf numFmtId="0" fontId="13" fillId="0" borderId="14" xfId="0" applyFont="1" applyBorder="1"/>
    <xf numFmtId="0" fontId="13" fillId="0" borderId="9" xfId="0" applyFont="1" applyBorder="1" applyAlignment="1">
      <alignment horizontal="left"/>
    </xf>
    <xf numFmtId="165" fontId="13" fillId="0" borderId="19" xfId="13" applyNumberFormat="1" applyFont="1" applyBorder="1" applyAlignment="1">
      <alignment horizontal="left" vertical="center" wrapText="1"/>
    </xf>
    <xf numFmtId="165" fontId="13" fillId="0" borderId="9" xfId="13" applyNumberFormat="1" applyFont="1" applyBorder="1" applyAlignment="1">
      <alignment horizontal="center" vertical="center" wrapText="1"/>
    </xf>
    <xf numFmtId="0" fontId="13" fillId="4" borderId="9" xfId="0" applyFont="1" applyFill="1" applyBorder="1" applyAlignment="1">
      <alignment horizontal="center" vertical="center" wrapText="1"/>
    </xf>
    <xf numFmtId="0" fontId="13" fillId="0" borderId="27" xfId="0" applyFont="1" applyBorder="1" applyAlignment="1">
      <alignment horizontal="center" vertical="center" wrapText="1"/>
    </xf>
    <xf numFmtId="0" fontId="36" fillId="0" borderId="19" xfId="8" applyFont="1" applyBorder="1" applyAlignment="1">
      <alignment horizontal="left" vertical="center"/>
    </xf>
    <xf numFmtId="0" fontId="13" fillId="0" borderId="19" xfId="8" applyFont="1" applyBorder="1"/>
    <xf numFmtId="0" fontId="33" fillId="4" borderId="19" xfId="8" applyFont="1" applyFill="1" applyBorder="1" applyAlignment="1">
      <alignment horizontal="left" vertical="center"/>
    </xf>
    <xf numFmtId="0" fontId="13" fillId="0" borderId="19" xfId="8" applyFont="1" applyBorder="1" applyAlignment="1">
      <alignment horizontal="left" vertical="center" wrapText="1"/>
    </xf>
    <xf numFmtId="0" fontId="13" fillId="0" borderId="9" xfId="8" applyFont="1" applyBorder="1" applyAlignment="1">
      <alignment horizontal="left" vertical="center"/>
    </xf>
    <xf numFmtId="165" fontId="13" fillId="0" borderId="19" xfId="8" applyNumberFormat="1" applyFont="1" applyBorder="1" applyAlignment="1">
      <alignment horizontal="left" vertical="center"/>
    </xf>
    <xf numFmtId="165" fontId="13" fillId="0" borderId="9" xfId="8" applyNumberFormat="1" applyFont="1" applyBorder="1" applyAlignment="1">
      <alignment horizontal="left" vertical="center"/>
    </xf>
    <xf numFmtId="9" fontId="13" fillId="0" borderId="19" xfId="3" applyFont="1" applyFill="1" applyBorder="1" applyAlignment="1">
      <alignment horizontal="left" vertical="center" wrapText="1"/>
    </xf>
    <xf numFmtId="0" fontId="13" fillId="11" borderId="21"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9" xfId="0" applyFont="1" applyBorder="1" applyAlignment="1">
      <alignment horizontal="left" vertical="center" wrapText="1"/>
    </xf>
    <xf numFmtId="0" fontId="13" fillId="0" borderId="19" xfId="8" applyFont="1" applyBorder="1" applyAlignment="1">
      <alignment horizontal="left" vertical="center"/>
    </xf>
    <xf numFmtId="0" fontId="13" fillId="11" borderId="9" xfId="0" applyFont="1" applyFill="1" applyBorder="1" applyAlignment="1">
      <alignment vertical="center" wrapText="1"/>
    </xf>
    <xf numFmtId="0" fontId="13" fillId="0" borderId="9" xfId="8" applyFont="1" applyBorder="1"/>
    <xf numFmtId="0" fontId="13" fillId="11" borderId="9" xfId="5" applyFont="1" applyFill="1" applyBorder="1" applyAlignment="1">
      <alignment horizontal="center" vertical="center" wrapText="1"/>
    </xf>
    <xf numFmtId="0" fontId="13" fillId="15" borderId="9" xfId="0" applyFont="1" applyFill="1" applyBorder="1" applyAlignment="1">
      <alignment horizontal="center" vertical="center" wrapText="1"/>
    </xf>
    <xf numFmtId="0" fontId="13" fillId="0" borderId="0" xfId="0" applyFont="1" applyAlignment="1">
      <alignment horizontal="left" vertical="top" wrapText="1"/>
    </xf>
    <xf numFmtId="0" fontId="13" fillId="0" borderId="9" xfId="8" applyFont="1" applyBorder="1" applyAlignment="1">
      <alignment vertical="center" wrapText="1"/>
    </xf>
    <xf numFmtId="0" fontId="13" fillId="0" borderId="9" xfId="8" applyFont="1" applyBorder="1" applyAlignment="1">
      <alignment vertical="center"/>
    </xf>
    <xf numFmtId="165" fontId="33" fillId="0" borderId="9" xfId="8" applyNumberFormat="1" applyFont="1" applyBorder="1" applyAlignment="1">
      <alignment horizontal="left" vertical="center"/>
    </xf>
    <xf numFmtId="0" fontId="13" fillId="4" borderId="9" xfId="0" applyFont="1" applyFill="1" applyBorder="1"/>
    <xf numFmtId="0" fontId="13" fillId="4" borderId="9" xfId="0" applyFont="1" applyFill="1" applyBorder="1" applyAlignment="1">
      <alignment horizontal="left" wrapText="1"/>
    </xf>
    <xf numFmtId="0" fontId="13" fillId="11" borderId="9" xfId="0" applyFont="1" applyFill="1" applyBorder="1" applyAlignment="1">
      <alignment horizontal="left" vertical="center" wrapText="1"/>
    </xf>
    <xf numFmtId="0" fontId="48" fillId="0" borderId="9" xfId="0" applyFont="1" applyBorder="1" applyAlignment="1">
      <alignment horizontal="left" vertical="center" wrapText="1"/>
    </xf>
    <xf numFmtId="0" fontId="13" fillId="0" borderId="9" xfId="0" applyFont="1" applyBorder="1" applyAlignment="1">
      <alignment horizontal="center" vertical="center" wrapText="1"/>
    </xf>
    <xf numFmtId="0" fontId="13" fillId="0" borderId="16" xfId="0" applyFont="1" applyBorder="1"/>
    <xf numFmtId="0" fontId="13" fillId="0" borderId="0" xfId="6" applyFont="1" applyAlignment="1">
      <alignment horizontal="left" vertical="center" wrapText="1"/>
    </xf>
    <xf numFmtId="0" fontId="13" fillId="0" borderId="0" xfId="0" applyFont="1" applyAlignment="1">
      <alignment horizontal="left" wrapText="1"/>
    </xf>
    <xf numFmtId="0" fontId="61" fillId="0" borderId="0" xfId="0" applyFont="1"/>
    <xf numFmtId="1" fontId="0" fillId="0" borderId="0" xfId="0" applyNumberFormat="1"/>
    <xf numFmtId="179" fontId="13" fillId="0" borderId="0" xfId="9" applyNumberFormat="1" applyFont="1" applyFill="1" applyBorder="1" applyAlignment="1">
      <alignment horizontal="left" vertical="center"/>
    </xf>
    <xf numFmtId="0" fontId="82" fillId="0" borderId="0" xfId="5" applyFont="1"/>
    <xf numFmtId="164" fontId="13" fillId="0" borderId="0" xfId="0" applyNumberFormat="1" applyFont="1"/>
    <xf numFmtId="165" fontId="5" fillId="0" borderId="9" xfId="8" applyNumberFormat="1" applyFont="1" applyBorder="1" applyAlignment="1">
      <alignment horizontal="center"/>
    </xf>
    <xf numFmtId="0" fontId="5" fillId="0" borderId="0" xfId="8" applyFont="1"/>
    <xf numFmtId="165" fontId="5" fillId="4" borderId="16" xfId="13" applyNumberFormat="1" applyFont="1" applyFill="1" applyBorder="1" applyAlignment="1">
      <alignment horizontal="center" vertical="center" wrapText="1"/>
    </xf>
    <xf numFmtId="9" fontId="5" fillId="0" borderId="9" xfId="3" applyFont="1" applyBorder="1" applyAlignment="1">
      <alignment horizontal="center"/>
    </xf>
    <xf numFmtId="0" fontId="2" fillId="0" borderId="9" xfId="0" applyFont="1" applyBorder="1" applyAlignment="1">
      <alignment horizontal="center" vertical="center"/>
    </xf>
    <xf numFmtId="0" fontId="13" fillId="0" borderId="19" xfId="0" applyFont="1" applyBorder="1" applyAlignment="1">
      <alignment horizontal="left" vertical="center"/>
    </xf>
    <xf numFmtId="39" fontId="13" fillId="0" borderId="0" xfId="1" applyNumberFormat="1" applyFont="1" applyFill="1" applyBorder="1" applyAlignment="1">
      <alignment horizontal="center"/>
    </xf>
    <xf numFmtId="2" fontId="13" fillId="0" borderId="0" xfId="8" applyNumberFormat="1" applyFont="1"/>
    <xf numFmtId="2" fontId="13" fillId="0" borderId="0" xfId="2" applyNumberFormat="1" applyFont="1" applyFill="1" applyBorder="1"/>
    <xf numFmtId="44" fontId="13" fillId="0" borderId="0" xfId="2" applyFont="1" applyFill="1" applyBorder="1" applyAlignment="1">
      <alignment wrapText="1"/>
    </xf>
    <xf numFmtId="183" fontId="13" fillId="0" borderId="0" xfId="1" applyNumberFormat="1" applyFont="1" applyFill="1" applyBorder="1" applyAlignment="1">
      <alignment horizontal="center"/>
    </xf>
    <xf numFmtId="166" fontId="13" fillId="0" borderId="0" xfId="0" applyNumberFormat="1" applyFont="1" applyAlignment="1">
      <alignment horizontal="center" vertical="center" wrapText="1"/>
    </xf>
    <xf numFmtId="2" fontId="13" fillId="0" borderId="20" xfId="1" applyNumberFormat="1" applyFont="1" applyFill="1" applyBorder="1"/>
    <xf numFmtId="2" fontId="13" fillId="0" borderId="22" xfId="1" applyNumberFormat="1" applyFont="1" applyFill="1" applyBorder="1"/>
    <xf numFmtId="2" fontId="13" fillId="4" borderId="9" xfId="5" applyNumberFormat="1" applyFont="1" applyFill="1" applyBorder="1" applyAlignment="1">
      <alignment horizontal="center"/>
    </xf>
    <xf numFmtId="0" fontId="10" fillId="9" borderId="0" xfId="5" applyFill="1" applyAlignment="1">
      <alignment horizontal="center"/>
    </xf>
    <xf numFmtId="2" fontId="2" fillId="8" borderId="9" xfId="1" applyNumberFormat="1" applyFont="1" applyFill="1" applyBorder="1" applyAlignment="1">
      <alignment horizontal="center"/>
    </xf>
    <xf numFmtId="2" fontId="2" fillId="8" borderId="9" xfId="1" applyNumberFormat="1" applyFont="1" applyFill="1" applyBorder="1"/>
    <xf numFmtId="44" fontId="2" fillId="8" borderId="9" xfId="1" applyNumberFormat="1" applyFont="1" applyFill="1" applyBorder="1" applyAlignment="1">
      <alignment horizontal="center" wrapText="1"/>
    </xf>
    <xf numFmtId="0" fontId="2" fillId="0" borderId="9" xfId="6" applyBorder="1"/>
    <xf numFmtId="43" fontId="2" fillId="0" borderId="16" xfId="1" applyFont="1" applyBorder="1"/>
    <xf numFmtId="7" fontId="2" fillId="0" borderId="17" xfId="0" applyNumberFormat="1" applyFont="1" applyBorder="1"/>
    <xf numFmtId="39" fontId="2" fillId="0" borderId="9" xfId="1" applyNumberFormat="1" applyFont="1" applyBorder="1" applyAlignment="1">
      <alignment horizontal="center"/>
    </xf>
    <xf numFmtId="0" fontId="2" fillId="4" borderId="9" xfId="0" applyFont="1" applyFill="1" applyBorder="1"/>
    <xf numFmtId="165" fontId="2" fillId="4" borderId="9" xfId="0" applyNumberFormat="1" applyFont="1" applyFill="1" applyBorder="1" applyAlignment="1">
      <alignment horizontal="center" vertical="center" wrapText="1"/>
    </xf>
    <xf numFmtId="165" fontId="2" fillId="25" borderId="9"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43" fontId="2" fillId="0" borderId="0" xfId="1" applyFont="1" applyBorder="1"/>
    <xf numFmtId="7" fontId="2" fillId="0" borderId="0" xfId="0" applyNumberFormat="1" applyFont="1"/>
    <xf numFmtId="0" fontId="10" fillId="4" borderId="0" xfId="5" applyFill="1"/>
    <xf numFmtId="187" fontId="2" fillId="0" borderId="0" xfId="6" applyNumberFormat="1"/>
    <xf numFmtId="2" fontId="2" fillId="4" borderId="9" xfId="13" applyNumberFormat="1" applyFill="1" applyBorder="1" applyAlignment="1">
      <alignment horizontal="center" vertical="center" wrapText="1"/>
    </xf>
    <xf numFmtId="2" fontId="2" fillId="0" borderId="9" xfId="13" applyNumberFormat="1" applyBorder="1" applyAlignment="1">
      <alignment horizontal="center" vertical="center" wrapText="1"/>
    </xf>
    <xf numFmtId="0" fontId="2" fillId="4" borderId="0" xfId="6" applyFill="1"/>
    <xf numFmtId="0" fontId="2" fillId="0" borderId="0" xfId="13"/>
    <xf numFmtId="2" fontId="2" fillId="0" borderId="9" xfId="13" applyNumberFormat="1" applyBorder="1" applyAlignment="1">
      <alignment horizontal="center"/>
    </xf>
    <xf numFmtId="187" fontId="2" fillId="25" borderId="9" xfId="1" applyNumberFormat="1" applyFont="1" applyFill="1" applyBorder="1" applyAlignment="1">
      <alignment horizontal="center"/>
    </xf>
    <xf numFmtId="165" fontId="2" fillId="25" borderId="9" xfId="13" applyNumberFormat="1" applyFill="1" applyBorder="1" applyAlignment="1">
      <alignment horizontal="center"/>
    </xf>
    <xf numFmtId="1" fontId="2" fillId="0" borderId="9" xfId="13" applyNumberFormat="1" applyBorder="1" applyAlignment="1">
      <alignment horizontal="center" vertical="center" wrapText="1"/>
    </xf>
    <xf numFmtId="165" fontId="2" fillId="0" borderId="9" xfId="13" applyNumberFormat="1" applyBorder="1" applyAlignment="1">
      <alignment horizontal="left" vertical="center" wrapText="1"/>
    </xf>
    <xf numFmtId="165" fontId="2" fillId="0" borderId="9" xfId="13" applyNumberFormat="1" applyBorder="1" applyAlignment="1">
      <alignment horizontal="center" vertical="center" wrapText="1"/>
    </xf>
    <xf numFmtId="0" fontId="13" fillId="0" borderId="35" xfId="8" applyFont="1" applyBorder="1"/>
    <xf numFmtId="4" fontId="13" fillId="0" borderId="9" xfId="8" applyNumberFormat="1" applyFont="1" applyBorder="1" applyAlignment="1">
      <alignment horizontal="center"/>
    </xf>
    <xf numFmtId="0" fontId="2" fillId="0" borderId="0" xfId="6" applyAlignment="1">
      <alignment horizontal="center"/>
    </xf>
    <xf numFmtId="165" fontId="2" fillId="0" borderId="9" xfId="6" applyNumberFormat="1" applyBorder="1" applyAlignment="1">
      <alignment horizontal="center" vertical="center"/>
    </xf>
    <xf numFmtId="171" fontId="2" fillId="4" borderId="9" xfId="13" applyNumberFormat="1" applyFill="1" applyBorder="1" applyAlignment="1">
      <alignment horizontal="center" vertical="center"/>
    </xf>
    <xf numFmtId="1" fontId="2" fillId="0" borderId="16" xfId="13" applyNumberFormat="1" applyBorder="1" applyAlignment="1">
      <alignment horizontal="center" vertical="center" wrapText="1"/>
    </xf>
    <xf numFmtId="165" fontId="2" fillId="0" borderId="16" xfId="13" applyNumberFormat="1" applyBorder="1" applyAlignment="1">
      <alignment horizontal="center" vertical="center" wrapText="1"/>
    </xf>
    <xf numFmtId="1" fontId="2" fillId="0" borderId="9" xfId="13" applyNumberFormat="1" applyBorder="1" applyAlignment="1">
      <alignment horizontal="left" vertical="center" wrapText="1"/>
    </xf>
    <xf numFmtId="171" fontId="2" fillId="0" borderId="9" xfId="13" applyNumberFormat="1" applyBorder="1" applyAlignment="1">
      <alignment horizontal="center"/>
    </xf>
    <xf numFmtId="187" fontId="2" fillId="19" borderId="9" xfId="1" applyNumberFormat="1" applyFont="1" applyFill="1" applyBorder="1" applyAlignment="1">
      <alignment horizontal="center"/>
    </xf>
    <xf numFmtId="0" fontId="2" fillId="0" borderId="9" xfId="8" applyFont="1" applyBorder="1"/>
    <xf numFmtId="0" fontId="2" fillId="0" borderId="27" xfId="0" applyFont="1" applyBorder="1"/>
    <xf numFmtId="10" fontId="2" fillId="0" borderId="9" xfId="13" applyNumberFormat="1" applyBorder="1" applyAlignment="1">
      <alignment horizontal="center" vertical="center" wrapText="1"/>
    </xf>
    <xf numFmtId="9" fontId="2" fillId="0" borderId="9" xfId="13" applyNumberFormat="1" applyBorder="1" applyAlignment="1">
      <alignment horizontal="center" vertical="center" wrapText="1"/>
    </xf>
    <xf numFmtId="0" fontId="2" fillId="0" borderId="19" xfId="8" applyFont="1" applyBorder="1" applyAlignment="1">
      <alignment horizontal="left" vertical="center" wrapText="1"/>
    </xf>
    <xf numFmtId="39" fontId="13" fillId="0" borderId="0" xfId="1" applyNumberFormat="1" applyFont="1" applyAlignment="1">
      <alignment horizontal="left"/>
    </xf>
    <xf numFmtId="165" fontId="2" fillId="4" borderId="9" xfId="13" applyNumberFormat="1" applyFill="1" applyBorder="1" applyAlignment="1">
      <alignment horizontal="center" vertical="center" wrapText="1"/>
    </xf>
    <xf numFmtId="1" fontId="2" fillId="4" borderId="9" xfId="13" applyNumberFormat="1" applyFill="1" applyBorder="1" applyAlignment="1">
      <alignment horizontal="center" vertical="center" wrapText="1"/>
    </xf>
    <xf numFmtId="0" fontId="13" fillId="0" borderId="44" xfId="8" applyFont="1" applyBorder="1"/>
    <xf numFmtId="165" fontId="2" fillId="0" borderId="9" xfId="8" applyNumberFormat="1" applyFont="1" applyBorder="1" applyAlignment="1">
      <alignment horizontal="center"/>
    </xf>
    <xf numFmtId="0" fontId="2" fillId="4" borderId="9" xfId="8" applyFont="1" applyFill="1" applyBorder="1" applyAlignment="1">
      <alignment horizontal="center"/>
    </xf>
    <xf numFmtId="0" fontId="5" fillId="0" borderId="9" xfId="8" applyFont="1" applyBorder="1" applyAlignment="1">
      <alignment horizontal="center"/>
    </xf>
    <xf numFmtId="165" fontId="2" fillId="0" borderId="9" xfId="0" applyNumberFormat="1" applyFont="1" applyBorder="1" applyAlignment="1">
      <alignment horizontal="left" vertical="center" wrapText="1"/>
    </xf>
    <xf numFmtId="0" fontId="5" fillId="4" borderId="9" xfId="8" applyFont="1" applyFill="1" applyBorder="1" applyAlignment="1">
      <alignment horizontal="center"/>
    </xf>
    <xf numFmtId="0" fontId="13" fillId="0" borderId="43" xfId="8" applyFont="1" applyBorder="1"/>
    <xf numFmtId="0" fontId="13" fillId="0" borderId="48" xfId="8" applyFont="1" applyBorder="1" applyAlignment="1">
      <alignment horizontal="center"/>
    </xf>
    <xf numFmtId="187" fontId="5" fillId="4" borderId="9" xfId="1" applyNumberFormat="1" applyFont="1" applyFill="1" applyBorder="1" applyAlignment="1">
      <alignment horizontal="center"/>
    </xf>
    <xf numFmtId="0" fontId="33" fillId="0" borderId="0" xfId="8" applyFont="1" applyAlignment="1">
      <alignment horizontal="left" vertical="center"/>
    </xf>
    <xf numFmtId="2" fontId="2" fillId="0" borderId="9" xfId="8" applyNumberFormat="1" applyFont="1" applyBorder="1" applyAlignment="1">
      <alignment horizontal="center"/>
    </xf>
    <xf numFmtId="171" fontId="13" fillId="4" borderId="18" xfId="2" applyNumberFormat="1" applyFont="1" applyFill="1" applyBorder="1" applyAlignment="1">
      <alignment horizontal="center"/>
    </xf>
    <xf numFmtId="39" fontId="2" fillId="0" borderId="9" xfId="8" applyNumberFormat="1" applyFont="1" applyBorder="1" applyAlignment="1">
      <alignment horizontal="center"/>
    </xf>
    <xf numFmtId="2" fontId="5" fillId="0" borderId="9" xfId="8" applyNumberFormat="1" applyFont="1" applyBorder="1" applyAlignment="1">
      <alignment horizontal="center"/>
    </xf>
    <xf numFmtId="2" fontId="13" fillId="4" borderId="9" xfId="1" applyNumberFormat="1" applyFont="1" applyFill="1" applyBorder="1" applyAlignment="1">
      <alignment horizontal="center"/>
    </xf>
    <xf numFmtId="4" fontId="5" fillId="0" borderId="9" xfId="8" applyNumberFormat="1" applyFont="1" applyBorder="1" applyAlignment="1">
      <alignment horizontal="center"/>
    </xf>
    <xf numFmtId="2" fontId="2" fillId="0" borderId="9" xfId="6" applyNumberFormat="1" applyBorder="1" applyAlignment="1">
      <alignment horizontal="center"/>
    </xf>
    <xf numFmtId="0" fontId="2" fillId="4" borderId="0" xfId="6" applyFill="1" applyAlignment="1">
      <alignment horizontal="center"/>
    </xf>
    <xf numFmtId="0" fontId="2" fillId="12" borderId="0" xfId="0" applyFont="1" applyFill="1"/>
    <xf numFmtId="165" fontId="2" fillId="0" borderId="9" xfId="6" applyNumberFormat="1" applyBorder="1" applyAlignment="1">
      <alignment horizontal="left" vertical="center" wrapText="1"/>
    </xf>
    <xf numFmtId="0" fontId="2" fillId="0" borderId="9" xfId="6" applyBorder="1" applyAlignment="1">
      <alignment horizontal="center"/>
    </xf>
    <xf numFmtId="165" fontId="2" fillId="4" borderId="9" xfId="6" applyNumberFormat="1" applyFill="1" applyBorder="1" applyAlignment="1">
      <alignment horizontal="left" vertical="center" wrapText="1"/>
    </xf>
    <xf numFmtId="165" fontId="2" fillId="0" borderId="23" xfId="6" applyNumberFormat="1" applyBorder="1" applyAlignment="1">
      <alignment horizontal="center" vertical="center"/>
    </xf>
    <xf numFmtId="0" fontId="5" fillId="0" borderId="0" xfId="8" applyFont="1" applyAlignment="1">
      <alignment horizontal="center"/>
    </xf>
    <xf numFmtId="181" fontId="13" fillId="0" borderId="0" xfId="8" applyNumberFormat="1" applyFont="1"/>
    <xf numFmtId="0" fontId="13" fillId="0" borderId="0" xfId="8" applyFont="1" applyAlignment="1">
      <alignment horizontal="left" vertical="top" wrapText="1"/>
    </xf>
    <xf numFmtId="0" fontId="13" fillId="0" borderId="0" xfId="8" applyFont="1" applyAlignment="1">
      <alignment vertical="top" wrapText="1"/>
    </xf>
    <xf numFmtId="3" fontId="2" fillId="0" borderId="0" xfId="6" applyNumberFormat="1"/>
    <xf numFmtId="10" fontId="13" fillId="0" borderId="9" xfId="3" applyNumberFormat="1" applyFont="1" applyFill="1" applyBorder="1" applyAlignment="1">
      <alignment horizontal="center"/>
    </xf>
    <xf numFmtId="37" fontId="2" fillId="0" borderId="9" xfId="1" applyNumberFormat="1" applyFont="1" applyBorder="1" applyAlignment="1">
      <alignment horizontal="center"/>
    </xf>
    <xf numFmtId="37" fontId="5" fillId="0" borderId="9" xfId="1" applyNumberFormat="1" applyFont="1" applyBorder="1" applyAlignment="1">
      <alignment horizontal="center"/>
    </xf>
    <xf numFmtId="0" fontId="33" fillId="0" borderId="9" xfId="8" applyFont="1" applyBorder="1" applyAlignment="1">
      <alignment horizontal="left"/>
    </xf>
    <xf numFmtId="187" fontId="13" fillId="0" borderId="9" xfId="1" applyNumberFormat="1" applyFont="1" applyFill="1" applyBorder="1" applyAlignment="1">
      <alignment horizontal="center"/>
    </xf>
    <xf numFmtId="187" fontId="5" fillId="0" borderId="9" xfId="1" applyNumberFormat="1" applyFont="1" applyFill="1" applyBorder="1" applyAlignment="1">
      <alignment horizontal="center"/>
    </xf>
    <xf numFmtId="172" fontId="2" fillId="0" borderId="9" xfId="3" applyNumberFormat="1" applyFont="1" applyBorder="1" applyAlignment="1">
      <alignment horizontal="center"/>
    </xf>
    <xf numFmtId="172" fontId="13" fillId="0" borderId="9" xfId="3" applyNumberFormat="1" applyFont="1" applyBorder="1" applyAlignment="1">
      <alignment horizontal="center"/>
    </xf>
    <xf numFmtId="172" fontId="13" fillId="0" borderId="9" xfId="3" applyNumberFormat="1" applyFont="1" applyFill="1" applyBorder="1" applyAlignment="1">
      <alignment horizontal="center"/>
    </xf>
    <xf numFmtId="167" fontId="2" fillId="0" borderId="0" xfId="0" applyNumberFormat="1" applyFont="1"/>
    <xf numFmtId="165" fontId="2" fillId="0" borderId="9" xfId="0" applyNumberFormat="1" applyFont="1" applyBorder="1" applyAlignment="1">
      <alignment horizontal="center" vertical="center"/>
    </xf>
    <xf numFmtId="39" fontId="2" fillId="0" borderId="9" xfId="0" applyNumberFormat="1" applyFont="1" applyBorder="1" applyAlignment="1">
      <alignment horizontal="center" vertical="center"/>
    </xf>
    <xf numFmtId="3" fontId="2" fillId="0" borderId="9" xfId="0" applyNumberFormat="1" applyFont="1" applyBorder="1" applyAlignment="1">
      <alignment horizontal="center" vertical="center"/>
    </xf>
    <xf numFmtId="9" fontId="2" fillId="0" borderId="9" xfId="0" applyNumberFormat="1" applyFont="1" applyBorder="1" applyAlignment="1">
      <alignment horizontal="center" vertical="center"/>
    </xf>
    <xf numFmtId="178" fontId="2" fillId="0" borderId="9" xfId="0" applyNumberFormat="1" applyFont="1" applyBorder="1" applyAlignment="1">
      <alignment horizontal="center" vertical="center"/>
    </xf>
    <xf numFmtId="171" fontId="5" fillId="4" borderId="9" xfId="13" applyNumberFormat="1" applyFont="1" applyFill="1" applyBorder="1" applyAlignment="1">
      <alignment horizontal="center"/>
    </xf>
    <xf numFmtId="2" fontId="13" fillId="4" borderId="9" xfId="0" applyNumberFormat="1" applyFont="1" applyFill="1" applyBorder="1" applyAlignment="1">
      <alignment wrapText="1"/>
    </xf>
    <xf numFmtId="44" fontId="5" fillId="0" borderId="0" xfId="0" applyNumberFormat="1" applyFont="1"/>
    <xf numFmtId="0" fontId="5" fillId="4" borderId="9" xfId="0" applyFont="1" applyFill="1" applyBorder="1" applyAlignment="1">
      <alignment horizontal="left" vertical="top"/>
    </xf>
    <xf numFmtId="165" fontId="13" fillId="0" borderId="9" xfId="0" applyNumberFormat="1" applyFont="1" applyBorder="1" applyAlignment="1">
      <alignment horizontal="left" vertical="top" wrapText="1"/>
    </xf>
    <xf numFmtId="9" fontId="5" fillId="0" borderId="9" xfId="3" applyFont="1" applyFill="1" applyBorder="1" applyAlignment="1">
      <alignment horizontal="left"/>
    </xf>
    <xf numFmtId="9" fontId="5" fillId="0" borderId="9" xfId="0" applyNumberFormat="1" applyFont="1" applyBorder="1" applyAlignment="1">
      <alignment horizontal="left" vertical="top" wrapText="1"/>
    </xf>
    <xf numFmtId="0" fontId="13" fillId="0" borderId="30" xfId="0" applyFont="1" applyBorder="1" applyAlignment="1">
      <alignment vertical="center" wrapText="1"/>
    </xf>
    <xf numFmtId="43" fontId="24" fillId="0" borderId="0" xfId="5" applyNumberFormat="1" applyFont="1"/>
    <xf numFmtId="0" fontId="83" fillId="45" borderId="9" xfId="0" applyFont="1" applyFill="1" applyBorder="1" applyAlignment="1">
      <alignment horizontal="center" vertical="center"/>
    </xf>
    <xf numFmtId="9" fontId="13" fillId="0" borderId="9" xfId="0" applyNumberFormat="1" applyFont="1" applyBorder="1" applyAlignment="1">
      <alignment horizontal="left" vertical="center" wrapText="1"/>
    </xf>
    <xf numFmtId="0" fontId="13" fillId="15" borderId="9" xfId="0" applyFont="1" applyFill="1" applyBorder="1" applyAlignment="1">
      <alignment horizontal="left" vertical="center" wrapText="1"/>
    </xf>
    <xf numFmtId="0" fontId="2" fillId="0" borderId="0" xfId="0" applyFont="1" applyAlignment="1">
      <alignment horizontal="right"/>
    </xf>
    <xf numFmtId="2" fontId="13" fillId="8" borderId="9" xfId="0" applyNumberFormat="1" applyFont="1" applyFill="1" applyBorder="1" applyAlignment="1">
      <alignment horizontal="center" vertical="center" wrapText="1"/>
    </xf>
    <xf numFmtId="179" fontId="13" fillId="23" borderId="9" xfId="0" applyNumberFormat="1" applyFont="1" applyFill="1" applyBorder="1" applyAlignment="1">
      <alignment horizontal="center" vertical="center" wrapText="1"/>
    </xf>
    <xf numFmtId="165" fontId="13" fillId="17" borderId="9" xfId="0" applyNumberFormat="1" applyFont="1" applyFill="1" applyBorder="1" applyAlignment="1">
      <alignment horizontal="center" vertical="center" wrapText="1"/>
    </xf>
    <xf numFmtId="179" fontId="13" fillId="46" borderId="9" xfId="0" applyNumberFormat="1" applyFont="1" applyFill="1" applyBorder="1" applyAlignment="1">
      <alignment horizontal="center" vertical="center" wrapText="1"/>
    </xf>
    <xf numFmtId="2" fontId="13" fillId="17" borderId="9" xfId="0" applyNumberFormat="1" applyFont="1" applyFill="1" applyBorder="1" applyAlignment="1">
      <alignment horizontal="center" vertical="center" wrapText="1"/>
    </xf>
    <xf numFmtId="39" fontId="13" fillId="17" borderId="9" xfId="1" applyNumberFormat="1" applyFont="1" applyFill="1" applyBorder="1" applyAlignment="1">
      <alignment horizontal="center" vertical="center" wrapText="1"/>
    </xf>
    <xf numFmtId="170" fontId="13" fillId="17" borderId="9" xfId="1" applyNumberFormat="1" applyFont="1" applyFill="1" applyBorder="1" applyAlignment="1">
      <alignment horizontal="center" vertical="center" wrapText="1"/>
    </xf>
    <xf numFmtId="37" fontId="13" fillId="17" borderId="9" xfId="1" applyNumberFormat="1" applyFont="1" applyFill="1" applyBorder="1" applyAlignment="1">
      <alignment horizontal="center" vertical="center" wrapText="1"/>
    </xf>
    <xf numFmtId="44" fontId="13" fillId="46" borderId="9" xfId="2" applyFont="1" applyFill="1" applyBorder="1" applyAlignment="1">
      <alignment horizontal="center" vertical="center" wrapText="1"/>
    </xf>
    <xf numFmtId="0" fontId="0" fillId="0" borderId="9" xfId="0" applyBorder="1" applyAlignment="1">
      <alignment wrapText="1"/>
    </xf>
    <xf numFmtId="9" fontId="13" fillId="8" borderId="9" xfId="3" applyFont="1" applyFill="1" applyBorder="1" applyAlignment="1">
      <alignment horizontal="center" vertical="center" wrapText="1"/>
    </xf>
    <xf numFmtId="9" fontId="13" fillId="46" borderId="9" xfId="3" applyFont="1" applyFill="1" applyBorder="1" applyAlignment="1">
      <alignment horizontal="center" vertical="center" wrapText="1"/>
    </xf>
    <xf numFmtId="9" fontId="13" fillId="17" borderId="9" xfId="3" applyFont="1" applyFill="1" applyBorder="1" applyAlignment="1">
      <alignment horizontal="center" vertical="center" wrapText="1"/>
    </xf>
    <xf numFmtId="4" fontId="13" fillId="46" borderId="9" xfId="0" applyNumberFormat="1" applyFont="1" applyFill="1" applyBorder="1" applyAlignment="1">
      <alignment horizontal="center" vertical="center" wrapText="1"/>
    </xf>
    <xf numFmtId="181" fontId="13" fillId="46" borderId="9" xfId="0" applyNumberFormat="1" applyFont="1" applyFill="1" applyBorder="1" applyAlignment="1">
      <alignment horizontal="center" vertical="center" wrapText="1"/>
    </xf>
    <xf numFmtId="44" fontId="13" fillId="23" borderId="9" xfId="2" applyFont="1" applyFill="1" applyBorder="1" applyAlignment="1">
      <alignment horizontal="center" vertical="center" wrapText="1"/>
    </xf>
    <xf numFmtId="172" fontId="13" fillId="46" borderId="9" xfId="3" applyNumberFormat="1" applyFont="1" applyFill="1" applyBorder="1" applyAlignment="1">
      <alignment horizontal="center" vertical="center" wrapText="1"/>
    </xf>
    <xf numFmtId="37" fontId="13" fillId="17" borderId="9" xfId="1" applyNumberFormat="1" applyFont="1" applyFill="1" applyBorder="1" applyAlignment="1">
      <alignment horizontal="center" wrapText="1"/>
    </xf>
    <xf numFmtId="9" fontId="13" fillId="47" borderId="9" xfId="3" applyFont="1" applyFill="1" applyBorder="1" applyAlignment="1">
      <alignment horizontal="center" vertical="center" wrapText="1"/>
    </xf>
    <xf numFmtId="1" fontId="13" fillId="17" borderId="9" xfId="3" applyNumberFormat="1" applyFont="1" applyFill="1" applyBorder="1" applyAlignment="1">
      <alignment horizontal="center"/>
    </xf>
    <xf numFmtId="2" fontId="13" fillId="17" borderId="9" xfId="3" applyNumberFormat="1" applyFont="1" applyFill="1" applyBorder="1" applyAlignment="1">
      <alignment horizontal="center"/>
    </xf>
    <xf numFmtId="165" fontId="13" fillId="17" borderId="9" xfId="3" applyNumberFormat="1" applyFont="1" applyFill="1" applyBorder="1" applyAlignment="1">
      <alignment horizontal="center"/>
    </xf>
    <xf numFmtId="10" fontId="13" fillId="17" borderId="9" xfId="3" applyNumberFormat="1" applyFont="1" applyFill="1" applyBorder="1" applyAlignment="1">
      <alignment horizontal="center"/>
    </xf>
    <xf numFmtId="9" fontId="13" fillId="17" borderId="9" xfId="3" applyFont="1" applyFill="1" applyBorder="1" applyAlignment="1">
      <alignment horizontal="center"/>
    </xf>
    <xf numFmtId="170" fontId="13" fillId="17" borderId="9" xfId="1" applyNumberFormat="1" applyFont="1" applyFill="1" applyBorder="1" applyAlignment="1">
      <alignment horizontal="center"/>
    </xf>
    <xf numFmtId="7" fontId="13" fillId="12" borderId="9" xfId="2" applyNumberFormat="1" applyFont="1" applyFill="1" applyBorder="1" applyAlignment="1">
      <alignment horizontal="center"/>
    </xf>
    <xf numFmtId="1" fontId="13" fillId="8" borderId="9" xfId="1" applyNumberFormat="1" applyFont="1" applyFill="1" applyBorder="1" applyAlignment="1">
      <alignment horizontal="center" vertical="center"/>
    </xf>
    <xf numFmtId="0" fontId="13" fillId="46" borderId="9" xfId="3" applyNumberFormat="1" applyFont="1" applyFill="1" applyBorder="1" applyAlignment="1">
      <alignment horizontal="center" vertical="center" wrapText="1"/>
    </xf>
    <xf numFmtId="1" fontId="13" fillId="8" borderId="9" xfId="3" applyNumberFormat="1" applyFont="1" applyFill="1" applyBorder="1" applyAlignment="1">
      <alignment horizontal="center"/>
    </xf>
    <xf numFmtId="0" fontId="13" fillId="17" borderId="9" xfId="3" applyNumberFormat="1" applyFont="1" applyFill="1" applyBorder="1" applyAlignment="1">
      <alignment horizontal="center" vertical="center" wrapText="1"/>
    </xf>
    <xf numFmtId="180" fontId="13" fillId="17" borderId="9" xfId="3" applyNumberFormat="1" applyFont="1" applyFill="1" applyBorder="1" applyAlignment="1">
      <alignment horizontal="center"/>
    </xf>
    <xf numFmtId="7" fontId="13" fillId="17" borderId="9" xfId="2" applyNumberFormat="1" applyFont="1" applyFill="1" applyBorder="1" applyAlignment="1">
      <alignment horizontal="center" wrapText="1"/>
    </xf>
    <xf numFmtId="165" fontId="13" fillId="12" borderId="9" xfId="8" applyNumberFormat="1" applyFont="1" applyFill="1" applyBorder="1" applyAlignment="1">
      <alignment horizontal="center"/>
    </xf>
    <xf numFmtId="165" fontId="13" fillId="17" borderId="9" xfId="8" applyNumberFormat="1" applyFont="1" applyFill="1" applyBorder="1" applyAlignment="1">
      <alignment horizontal="center"/>
    </xf>
    <xf numFmtId="10" fontId="13" fillId="46" borderId="9" xfId="3" applyNumberFormat="1" applyFont="1" applyFill="1" applyBorder="1" applyAlignment="1">
      <alignment horizontal="center" vertical="center" wrapText="1"/>
    </xf>
    <xf numFmtId="44" fontId="13" fillId="12" borderId="9" xfId="2" applyFont="1" applyFill="1" applyBorder="1" applyAlignment="1">
      <alignment horizontal="center"/>
    </xf>
    <xf numFmtId="180" fontId="13" fillId="8" borderId="9" xfId="8" applyNumberFormat="1" applyFont="1" applyFill="1" applyBorder="1" applyAlignment="1">
      <alignment horizontal="center"/>
    </xf>
    <xf numFmtId="10" fontId="13" fillId="8" borderId="9" xfId="3" applyNumberFormat="1" applyFont="1" applyFill="1" applyBorder="1" applyAlignment="1">
      <alignment horizontal="center" vertical="center" wrapText="1"/>
    </xf>
    <xf numFmtId="44" fontId="13" fillId="8" borderId="9" xfId="2" applyFont="1" applyFill="1" applyBorder="1" applyAlignment="1">
      <alignment horizontal="center" vertical="center" wrapText="1"/>
    </xf>
    <xf numFmtId="2" fontId="13" fillId="23" borderId="9" xfId="3" applyNumberFormat="1" applyFont="1" applyFill="1" applyBorder="1" applyAlignment="1">
      <alignment horizontal="center"/>
    </xf>
    <xf numFmtId="2" fontId="13" fillId="8" borderId="9" xfId="3" applyNumberFormat="1" applyFont="1" applyFill="1" applyBorder="1" applyAlignment="1">
      <alignment horizontal="center"/>
    </xf>
    <xf numFmtId="7" fontId="13" fillId="8" borderId="9" xfId="2" applyNumberFormat="1" applyFont="1" applyFill="1" applyBorder="1" applyAlignment="1">
      <alignment horizontal="center"/>
    </xf>
    <xf numFmtId="0" fontId="13" fillId="8" borderId="9" xfId="8" applyFont="1" applyFill="1" applyBorder="1" applyAlignment="1">
      <alignment horizontal="center" vertical="center" wrapText="1"/>
    </xf>
    <xf numFmtId="165" fontId="13" fillId="8" borderId="9" xfId="8" applyNumberFormat="1" applyFont="1" applyFill="1" applyBorder="1" applyAlignment="1">
      <alignment horizontal="center" vertical="center" wrapText="1"/>
    </xf>
    <xf numFmtId="165" fontId="13" fillId="8" borderId="16" xfId="8" applyNumberFormat="1" applyFont="1" applyFill="1" applyBorder="1" applyAlignment="1">
      <alignment horizontal="center" vertical="center" wrapText="1"/>
    </xf>
    <xf numFmtId="9" fontId="13" fillId="8" borderId="9" xfId="0" applyNumberFormat="1" applyFont="1" applyFill="1" applyBorder="1" applyAlignment="1">
      <alignment horizontal="center" vertical="center" wrapText="1"/>
    </xf>
    <xf numFmtId="39" fontId="13" fillId="8" borderId="9" xfId="1" applyNumberFormat="1" applyFont="1" applyFill="1" applyBorder="1" applyAlignment="1">
      <alignment horizontal="center" wrapText="1"/>
    </xf>
    <xf numFmtId="10" fontId="13" fillId="46" borderId="9" xfId="3" applyNumberFormat="1" applyFont="1" applyFill="1" applyBorder="1" applyAlignment="1">
      <alignment horizontal="center"/>
    </xf>
    <xf numFmtId="2" fontId="13" fillId="7" borderId="9" xfId="3" applyNumberFormat="1" applyFont="1" applyFill="1" applyBorder="1" applyAlignment="1">
      <alignment horizontal="center"/>
    </xf>
    <xf numFmtId="1" fontId="13" fillId="23" borderId="9" xfId="3" applyNumberFormat="1" applyFont="1" applyFill="1" applyBorder="1" applyAlignment="1">
      <alignment horizontal="center"/>
    </xf>
    <xf numFmtId="39" fontId="13" fillId="8" borderId="9" xfId="1" applyNumberFormat="1" applyFont="1" applyFill="1" applyBorder="1" applyAlignment="1">
      <alignment horizontal="center" vertical="center" wrapText="1"/>
    </xf>
    <xf numFmtId="165" fontId="13" fillId="8" borderId="9" xfId="6" applyNumberFormat="1" applyFont="1" applyFill="1" applyBorder="1" applyAlignment="1">
      <alignment horizontal="center" vertical="center" wrapText="1"/>
    </xf>
    <xf numFmtId="2" fontId="13" fillId="8" borderId="9" xfId="6" applyNumberFormat="1" applyFont="1" applyFill="1" applyBorder="1" applyAlignment="1">
      <alignment horizontal="center" vertical="center" wrapText="1"/>
    </xf>
    <xf numFmtId="9" fontId="13" fillId="8" borderId="9" xfId="3" applyFont="1" applyFill="1" applyBorder="1" applyAlignment="1">
      <alignment horizontal="center" wrapText="1"/>
    </xf>
    <xf numFmtId="7" fontId="13" fillId="8" borderId="9" xfId="2" applyNumberFormat="1" applyFont="1" applyFill="1" applyBorder="1" applyAlignment="1">
      <alignment horizontal="center" wrapText="1"/>
    </xf>
    <xf numFmtId="172" fontId="13" fillId="7" borderId="9" xfId="3" applyNumberFormat="1" applyFont="1" applyFill="1" applyBorder="1" applyAlignment="1">
      <alignment horizontal="center"/>
    </xf>
    <xf numFmtId="7" fontId="13" fillId="8" borderId="9" xfId="1" applyNumberFormat="1" applyFont="1" applyFill="1" applyBorder="1" applyAlignment="1">
      <alignment horizontal="center" vertical="center" wrapText="1"/>
    </xf>
    <xf numFmtId="3" fontId="13" fillId="46" borderId="9" xfId="0" applyNumberFormat="1" applyFont="1" applyFill="1" applyBorder="1" applyAlignment="1">
      <alignment horizontal="center" vertical="center" wrapText="1"/>
    </xf>
    <xf numFmtId="39" fontId="13" fillId="8" borderId="9" xfId="1" applyNumberFormat="1" applyFont="1" applyFill="1" applyBorder="1" applyAlignment="1">
      <alignment horizontal="center"/>
    </xf>
    <xf numFmtId="0" fontId="13" fillId="0" borderId="0" xfId="6" applyFont="1" applyAlignment="1">
      <alignment horizontal="left" vertical="center"/>
    </xf>
    <xf numFmtId="39" fontId="2" fillId="0" borderId="0" xfId="8" applyNumberFormat="1" applyFont="1" applyAlignment="1">
      <alignment horizontal="center"/>
    </xf>
    <xf numFmtId="2" fontId="5" fillId="0" borderId="0" xfId="8" applyNumberFormat="1" applyFont="1" applyAlignment="1">
      <alignment horizontal="center"/>
    </xf>
    <xf numFmtId="2" fontId="13"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2" fontId="13" fillId="0" borderId="0" xfId="1" applyNumberFormat="1" applyFont="1" applyBorder="1" applyAlignment="1">
      <alignment horizontal="center"/>
    </xf>
    <xf numFmtId="198" fontId="5" fillId="0" borderId="0" xfId="2" applyNumberFormat="1" applyFont="1" applyFill="1" applyBorder="1"/>
    <xf numFmtId="1" fontId="5" fillId="8" borderId="9" xfId="13" applyNumberFormat="1" applyFont="1" applyFill="1" applyBorder="1" applyAlignment="1">
      <alignment horizontal="center" vertical="center" wrapText="1"/>
    </xf>
    <xf numFmtId="0" fontId="13" fillId="34" borderId="9" xfId="0" applyFont="1" applyFill="1" applyBorder="1"/>
    <xf numFmtId="1" fontId="13" fillId="0" borderId="9" xfId="0" applyNumberFormat="1" applyFont="1" applyBorder="1" applyAlignment="1">
      <alignment vertical="center"/>
    </xf>
    <xf numFmtId="1" fontId="13" fillId="0" borderId="9" xfId="0" applyNumberFormat="1" applyFont="1" applyBorder="1"/>
    <xf numFmtId="1" fontId="13" fillId="35" borderId="9" xfId="0" applyNumberFormat="1" applyFont="1" applyFill="1" applyBorder="1"/>
    <xf numFmtId="0" fontId="13" fillId="0" borderId="9" xfId="0" applyFont="1" applyBorder="1" applyAlignment="1">
      <alignment vertical="top" wrapText="1"/>
    </xf>
    <xf numFmtId="0" fontId="13" fillId="16" borderId="9" xfId="0" applyFont="1" applyFill="1" applyBorder="1" applyAlignment="1">
      <alignment vertical="top"/>
    </xf>
    <xf numFmtId="9" fontId="13" fillId="4" borderId="9" xfId="3" applyFont="1" applyFill="1" applyBorder="1" applyAlignment="1"/>
    <xf numFmtId="0" fontId="13" fillId="4" borderId="0" xfId="0" applyFont="1" applyFill="1" applyAlignment="1">
      <alignment vertical="top" wrapText="1"/>
    </xf>
    <xf numFmtId="7" fontId="13" fillId="4" borderId="0" xfId="2" applyNumberFormat="1" applyFont="1" applyFill="1" applyBorder="1" applyAlignment="1">
      <alignment horizontal="center" vertical="center" wrapText="1"/>
    </xf>
    <xf numFmtId="2" fontId="13" fillId="4" borderId="0" xfId="0" applyNumberFormat="1" applyFont="1" applyFill="1"/>
    <xf numFmtId="9" fontId="13" fillId="4" borderId="0" xfId="3" applyFont="1" applyFill="1" applyBorder="1" applyAlignment="1"/>
    <xf numFmtId="7" fontId="5" fillId="4" borderId="0" xfId="2" applyNumberFormat="1" applyFont="1" applyFill="1" applyBorder="1" applyAlignment="1">
      <alignment horizontal="center" vertical="center" wrapText="1"/>
    </xf>
    <xf numFmtId="7" fontId="13" fillId="8" borderId="9" xfId="2" applyNumberFormat="1" applyFont="1" applyFill="1" applyBorder="1" applyAlignment="1">
      <alignment horizontal="center" vertical="center" wrapText="1"/>
    </xf>
    <xf numFmtId="3" fontId="13" fillId="8" borderId="9" xfId="0" applyNumberFormat="1" applyFont="1" applyFill="1" applyBorder="1" applyAlignment="1">
      <alignment horizontal="center" vertical="top" wrapText="1"/>
    </xf>
    <xf numFmtId="3" fontId="13" fillId="48" borderId="9" xfId="0" applyNumberFormat="1" applyFont="1" applyFill="1" applyBorder="1" applyAlignment="1">
      <alignment horizontal="center" vertical="top" wrapText="1"/>
    </xf>
    <xf numFmtId="2" fontId="13" fillId="8" borderId="9" xfId="0" applyNumberFormat="1" applyFont="1" applyFill="1" applyBorder="1" applyAlignment="1">
      <alignment horizontal="center" vertical="top" wrapText="1"/>
    </xf>
    <xf numFmtId="1" fontId="13" fillId="0" borderId="9" xfId="0" applyNumberFormat="1" applyFont="1" applyBorder="1" applyAlignment="1">
      <alignment horizontal="left"/>
    </xf>
    <xf numFmtId="0" fontId="13" fillId="0" borderId="9" xfId="0" applyFont="1" applyBorder="1" applyAlignment="1">
      <alignment horizontal="left" vertical="top"/>
    </xf>
    <xf numFmtId="0" fontId="13" fillId="8" borderId="9" xfId="0" applyFont="1" applyFill="1" applyBorder="1" applyAlignment="1">
      <alignment horizontal="center"/>
    </xf>
    <xf numFmtId="0" fontId="13" fillId="16" borderId="9" xfId="0" applyFont="1" applyFill="1" applyBorder="1" applyAlignment="1">
      <alignment vertical="center"/>
    </xf>
    <xf numFmtId="43" fontId="13" fillId="16" borderId="9" xfId="1" applyFont="1" applyFill="1" applyBorder="1" applyAlignment="1">
      <alignment horizontal="left" vertical="top"/>
    </xf>
    <xf numFmtId="0" fontId="13" fillId="8" borderId="9" xfId="0" applyFont="1" applyFill="1" applyBorder="1" applyAlignment="1">
      <alignment horizontal="center" vertical="top" wrapText="1"/>
    </xf>
    <xf numFmtId="1" fontId="13" fillId="8" borderId="9" xfId="0" applyNumberFormat="1" applyFont="1" applyFill="1" applyBorder="1" applyAlignment="1">
      <alignment horizontal="center" vertical="top" wrapText="1"/>
    </xf>
    <xf numFmtId="4" fontId="13" fillId="8" borderId="9" xfId="0" applyNumberFormat="1" applyFont="1" applyFill="1" applyBorder="1" applyAlignment="1">
      <alignment horizontal="center" vertical="top" wrapText="1"/>
    </xf>
    <xf numFmtId="1" fontId="13" fillId="4" borderId="9" xfId="0" applyNumberFormat="1" applyFont="1" applyFill="1" applyBorder="1" applyAlignment="1">
      <alignment horizontal="left" vertical="top"/>
    </xf>
    <xf numFmtId="2" fontId="48" fillId="0" borderId="9" xfId="0" applyNumberFormat="1" applyFont="1" applyBorder="1" applyAlignment="1">
      <alignment vertical="center" wrapText="1"/>
    </xf>
    <xf numFmtId="10" fontId="13" fillId="0" borderId="9" xfId="0" applyNumberFormat="1" applyFont="1" applyBorder="1" applyAlignment="1">
      <alignment horizontal="left" vertical="top"/>
    </xf>
    <xf numFmtId="7" fontId="13" fillId="4" borderId="9" xfId="0" applyNumberFormat="1" applyFont="1" applyFill="1" applyBorder="1" applyAlignment="1">
      <alignment horizontal="center"/>
    </xf>
    <xf numFmtId="1" fontId="13" fillId="8" borderId="9" xfId="1" applyNumberFormat="1" applyFont="1" applyFill="1" applyBorder="1" applyAlignment="1">
      <alignment horizontal="center" vertical="top" wrapText="1"/>
    </xf>
    <xf numFmtId="7" fontId="13" fillId="8" borderId="9" xfId="2" applyNumberFormat="1" applyFont="1" applyFill="1" applyBorder="1" applyAlignment="1">
      <alignment horizontal="center" vertical="top" wrapText="1"/>
    </xf>
    <xf numFmtId="7" fontId="13" fillId="4" borderId="9" xfId="2" applyNumberFormat="1" applyFont="1" applyFill="1" applyBorder="1" applyAlignment="1">
      <alignment horizontal="center" vertical="top" wrapText="1"/>
    </xf>
    <xf numFmtId="1" fontId="13" fillId="8" borderId="9" xfId="0" applyNumberFormat="1" applyFont="1" applyFill="1" applyBorder="1" applyAlignment="1">
      <alignment horizontal="center" vertical="top"/>
    </xf>
    <xf numFmtId="0" fontId="13" fillId="17" borderId="9" xfId="0" applyFont="1" applyFill="1" applyBorder="1" applyAlignment="1">
      <alignment horizontal="center" vertical="top" wrapText="1"/>
    </xf>
    <xf numFmtId="39" fontId="13" fillId="17" borderId="9" xfId="1" applyNumberFormat="1" applyFont="1" applyFill="1" applyBorder="1" applyAlignment="1">
      <alignment horizontal="center" vertical="top"/>
    </xf>
    <xf numFmtId="1" fontId="13" fillId="17" borderId="9" xfId="0" applyNumberFormat="1" applyFont="1" applyFill="1" applyBorder="1" applyAlignment="1">
      <alignment horizontal="center" vertical="top" wrapText="1"/>
    </xf>
    <xf numFmtId="170" fontId="13" fillId="17" borderId="9" xfId="1" applyNumberFormat="1" applyFont="1" applyFill="1" applyBorder="1" applyAlignment="1">
      <alignment horizontal="center" vertical="top" wrapText="1"/>
    </xf>
    <xf numFmtId="3" fontId="13" fillId="17" borderId="9" xfId="0" applyNumberFormat="1" applyFont="1" applyFill="1" applyBorder="1" applyAlignment="1">
      <alignment horizontal="center" vertical="top" wrapText="1"/>
    </xf>
    <xf numFmtId="0" fontId="13" fillId="17" borderId="9" xfId="0" applyFont="1" applyFill="1" applyBorder="1" applyAlignment="1">
      <alignment horizontal="center" vertical="top"/>
    </xf>
    <xf numFmtId="165" fontId="13" fillId="17" borderId="9" xfId="13" applyNumberFormat="1" applyFont="1" applyFill="1" applyBorder="1" applyAlignment="1">
      <alignment horizontal="center" vertical="center" wrapText="1"/>
    </xf>
    <xf numFmtId="1" fontId="13" fillId="17" borderId="9" xfId="13" applyNumberFormat="1" applyFont="1" applyFill="1" applyBorder="1" applyAlignment="1">
      <alignment horizontal="center" vertical="center" wrapText="1"/>
    </xf>
    <xf numFmtId="172" fontId="13" fillId="17" borderId="9" xfId="3" applyNumberFormat="1" applyFont="1" applyFill="1" applyBorder="1" applyAlignment="1">
      <alignment horizontal="center"/>
    </xf>
    <xf numFmtId="37" fontId="13" fillId="17" borderId="9" xfId="1" applyNumberFormat="1" applyFont="1" applyFill="1" applyBorder="1" applyAlignment="1">
      <alignment horizontal="center"/>
    </xf>
    <xf numFmtId="165" fontId="13" fillId="17" borderId="9" xfId="6" applyNumberFormat="1" applyFont="1" applyFill="1" applyBorder="1" applyAlignment="1">
      <alignment horizontal="center" vertical="center" wrapText="1"/>
    </xf>
    <xf numFmtId="39" fontId="13" fillId="17" borderId="9" xfId="1" applyNumberFormat="1" applyFont="1" applyFill="1" applyBorder="1" applyAlignment="1">
      <alignment horizontal="center" wrapText="1"/>
    </xf>
    <xf numFmtId="9" fontId="13" fillId="17" borderId="9" xfId="0" applyNumberFormat="1" applyFont="1" applyFill="1" applyBorder="1" applyAlignment="1">
      <alignment horizontal="center" vertical="center" wrapText="1"/>
    </xf>
    <xf numFmtId="170" fontId="13" fillId="17" borderId="9" xfId="2" applyNumberFormat="1" applyFont="1" applyFill="1" applyBorder="1" applyAlignment="1">
      <alignment horizontal="center" vertical="center" wrapText="1"/>
    </xf>
    <xf numFmtId="0" fontId="13" fillId="17" borderId="9" xfId="0" applyFont="1" applyFill="1" applyBorder="1" applyAlignment="1">
      <alignment horizontal="center" vertical="center" wrapText="1"/>
    </xf>
    <xf numFmtId="0" fontId="13" fillId="17" borderId="9" xfId="0" applyFont="1" applyFill="1" applyBorder="1" applyAlignment="1">
      <alignment horizontal="center" vertical="center"/>
    </xf>
    <xf numFmtId="2" fontId="13" fillId="17" borderId="9" xfId="0" applyNumberFormat="1" applyFont="1" applyFill="1" applyBorder="1" applyAlignment="1">
      <alignment horizontal="center" vertical="center"/>
    </xf>
    <xf numFmtId="10" fontId="13" fillId="17" borderId="9" xfId="13" applyNumberFormat="1" applyFont="1" applyFill="1" applyBorder="1" applyAlignment="1">
      <alignment horizontal="center" vertical="center" wrapText="1"/>
    </xf>
    <xf numFmtId="165" fontId="13" fillId="17" borderId="9" xfId="8" applyNumberFormat="1" applyFont="1" applyFill="1" applyBorder="1" applyAlignment="1">
      <alignment horizontal="center" vertical="center"/>
    </xf>
    <xf numFmtId="180" fontId="13" fillId="17" borderId="9" xfId="8" applyNumberFormat="1" applyFont="1" applyFill="1" applyBorder="1" applyAlignment="1">
      <alignment horizontal="center" vertical="center"/>
    </xf>
    <xf numFmtId="0" fontId="13" fillId="17" borderId="9" xfId="8" applyFont="1" applyFill="1" applyBorder="1" applyAlignment="1">
      <alignment horizontal="center" vertical="center"/>
    </xf>
    <xf numFmtId="0" fontId="81" fillId="4" borderId="0" xfId="0" applyFont="1" applyFill="1"/>
    <xf numFmtId="10" fontId="13" fillId="0" borderId="9" xfId="7" applyNumberFormat="1" applyFont="1" applyBorder="1" applyAlignment="1">
      <alignment horizontal="center" vertical="center" wrapText="1"/>
    </xf>
    <xf numFmtId="2" fontId="13" fillId="12" borderId="9" xfId="1" applyNumberFormat="1" applyFont="1" applyFill="1" applyBorder="1" applyAlignment="1">
      <alignment horizontal="center" wrapText="1"/>
    </xf>
    <xf numFmtId="189" fontId="13" fillId="12" borderId="9" xfId="5" applyNumberFormat="1" applyFont="1" applyFill="1" applyBorder="1" applyAlignment="1">
      <alignment horizontal="center"/>
    </xf>
    <xf numFmtId="4" fontId="13" fillId="8" borderId="9" xfId="0" applyNumberFormat="1" applyFont="1" applyFill="1" applyBorder="1" applyAlignment="1">
      <alignment horizontal="center" vertical="center" wrapText="1"/>
    </xf>
    <xf numFmtId="39" fontId="13" fillId="12" borderId="9" xfId="5" applyNumberFormat="1" applyFont="1" applyFill="1" applyBorder="1" applyAlignment="1">
      <alignment horizontal="center"/>
    </xf>
    <xf numFmtId="39" fontId="13" fillId="17" borderId="9" xfId="5" applyNumberFormat="1" applyFont="1" applyFill="1" applyBorder="1" applyAlignment="1">
      <alignment horizontal="center"/>
    </xf>
    <xf numFmtId="170" fontId="13" fillId="12" borderId="9" xfId="5" applyNumberFormat="1" applyFont="1" applyFill="1" applyBorder="1" applyAlignment="1">
      <alignment horizontal="center"/>
    </xf>
    <xf numFmtId="189" fontId="13" fillId="17" borderId="9" xfId="5" applyNumberFormat="1" applyFont="1" applyFill="1" applyBorder="1" applyAlignment="1">
      <alignment horizontal="center"/>
    </xf>
    <xf numFmtId="171" fontId="13" fillId="17" borderId="9" xfId="4" applyNumberFormat="1" applyFont="1" applyFill="1" applyBorder="1" applyAlignment="1" applyProtection="1">
      <alignment horizontal="center"/>
      <protection locked="0"/>
    </xf>
    <xf numFmtId="9" fontId="13" fillId="17" borderId="9" xfId="7" applyFont="1" applyFill="1" applyBorder="1" applyAlignment="1">
      <alignment horizontal="center" vertical="center" wrapText="1"/>
    </xf>
    <xf numFmtId="10" fontId="13" fillId="17" borderId="9" xfId="7" applyNumberFormat="1" applyFont="1" applyFill="1" applyBorder="1" applyAlignment="1">
      <alignment horizontal="center" vertical="center" wrapText="1"/>
    </xf>
    <xf numFmtId="2" fontId="13" fillId="17" borderId="9" xfId="0" applyNumberFormat="1" applyFont="1" applyFill="1" applyBorder="1" applyAlignment="1">
      <alignment horizontal="center"/>
    </xf>
    <xf numFmtId="10" fontId="5" fillId="0" borderId="9" xfId="7" applyNumberFormat="1" applyFont="1" applyBorder="1" applyAlignment="1">
      <alignment horizontal="center" vertical="center" wrapText="1"/>
    </xf>
    <xf numFmtId="167" fontId="6" fillId="12" borderId="9" xfId="0" applyNumberFormat="1" applyFont="1" applyFill="1" applyBorder="1"/>
    <xf numFmtId="39" fontId="2" fillId="0" borderId="9" xfId="5" applyNumberFormat="1" applyFont="1" applyBorder="1" applyAlignment="1">
      <alignment horizontal="center"/>
    </xf>
    <xf numFmtId="167" fontId="6" fillId="12" borderId="9" xfId="0" applyNumberFormat="1" applyFont="1" applyFill="1" applyBorder="1" applyAlignment="1">
      <alignment horizontal="center"/>
    </xf>
    <xf numFmtId="1" fontId="5" fillId="4" borderId="9" xfId="0" applyNumberFormat="1" applyFont="1" applyFill="1" applyBorder="1" applyAlignment="1">
      <alignment horizontal="left" vertical="top"/>
    </xf>
    <xf numFmtId="10" fontId="5" fillId="0" borderId="9" xfId="0" applyNumberFormat="1" applyFont="1" applyBorder="1" applyAlignment="1">
      <alignment horizontal="left" vertical="top"/>
    </xf>
    <xf numFmtId="7" fontId="2" fillId="4" borderId="9" xfId="0" applyNumberFormat="1" applyFont="1" applyFill="1" applyBorder="1" applyAlignment="1">
      <alignment horizontal="center"/>
    </xf>
    <xf numFmtId="7" fontId="5" fillId="4" borderId="9" xfId="0" applyNumberFormat="1" applyFont="1" applyFill="1" applyBorder="1" applyAlignment="1">
      <alignment horizontal="center"/>
    </xf>
    <xf numFmtId="0" fontId="13" fillId="12" borderId="19" xfId="0" applyFont="1" applyFill="1" applyBorder="1" applyAlignment="1">
      <alignment horizontal="center" vertical="center" wrapText="1"/>
    </xf>
    <xf numFmtId="9" fontId="2" fillId="0" borderId="9" xfId="3" applyFont="1" applyFill="1" applyBorder="1" applyAlignment="1">
      <alignment horizontal="left" vertical="center" wrapText="1"/>
    </xf>
    <xf numFmtId="0" fontId="32" fillId="0" borderId="0" xfId="0" applyFont="1"/>
    <xf numFmtId="3" fontId="13" fillId="12" borderId="9" xfId="0" applyNumberFormat="1" applyFont="1" applyFill="1" applyBorder="1" applyAlignment="1">
      <alignment horizontal="center" vertical="center"/>
    </xf>
    <xf numFmtId="9" fontId="13" fillId="12" borderId="9" xfId="0" applyNumberFormat="1" applyFont="1" applyFill="1" applyBorder="1" applyAlignment="1">
      <alignment horizontal="center" vertical="center"/>
    </xf>
    <xf numFmtId="172" fontId="13" fillId="17" borderId="9" xfId="3" applyNumberFormat="1" applyFont="1" applyFill="1" applyBorder="1" applyAlignment="1">
      <alignment horizontal="center" vertical="center" wrapText="1"/>
    </xf>
    <xf numFmtId="0" fontId="24" fillId="0" borderId="0" xfId="5" applyFont="1" applyAlignment="1">
      <alignment horizontal="center" vertical="center" wrapText="1"/>
    </xf>
    <xf numFmtId="168" fontId="13" fillId="0" borderId="0" xfId="5" applyNumberFormat="1" applyFont="1" applyAlignment="1">
      <alignment horizontal="center"/>
    </xf>
    <xf numFmtId="0" fontId="13" fillId="11" borderId="25" xfId="5" applyFont="1" applyFill="1" applyBorder="1" applyAlignment="1">
      <alignment horizontal="center" vertical="center" wrapText="1"/>
    </xf>
    <xf numFmtId="165" fontId="13" fillId="4" borderId="0" xfId="6" applyNumberFormat="1" applyFont="1" applyFill="1" applyAlignment="1">
      <alignment horizontal="left" vertical="center" wrapText="1" indent="3"/>
    </xf>
    <xf numFmtId="177" fontId="13" fillId="0" borderId="9" xfId="9" applyNumberFormat="1" applyFont="1" applyFill="1" applyBorder="1" applyAlignment="1">
      <alignment horizontal="center" vertical="center"/>
    </xf>
    <xf numFmtId="177" fontId="13" fillId="0" borderId="9" xfId="9" applyNumberFormat="1" applyFont="1" applyFill="1" applyBorder="1" applyAlignment="1">
      <alignment horizontal="center"/>
    </xf>
    <xf numFmtId="177" fontId="13" fillId="0" borderId="9" xfId="9" applyNumberFormat="1" applyFont="1" applyFill="1" applyBorder="1" applyAlignment="1">
      <alignment horizontal="center" vertical="center" wrapText="1"/>
    </xf>
    <xf numFmtId="177" fontId="13" fillId="0" borderId="9" xfId="9" applyNumberFormat="1" applyFont="1" applyFill="1" applyBorder="1" applyAlignment="1">
      <alignment horizontal="center" vertical="top" wrapText="1"/>
    </xf>
    <xf numFmtId="0" fontId="0" fillId="4" borderId="0" xfId="0" applyFill="1" applyAlignment="1">
      <alignment vertical="center"/>
    </xf>
    <xf numFmtId="0" fontId="85" fillId="45" borderId="19" xfId="0" applyFont="1" applyFill="1" applyBorder="1" applyAlignment="1">
      <alignment horizontal="center" vertical="center" wrapText="1"/>
    </xf>
    <xf numFmtId="173" fontId="13" fillId="0" borderId="9" xfId="2" applyNumberFormat="1" applyFont="1" applyBorder="1"/>
    <xf numFmtId="173" fontId="0" fillId="0" borderId="9" xfId="2" applyNumberFormat="1" applyFont="1" applyBorder="1"/>
    <xf numFmtId="0" fontId="5" fillId="0" borderId="33" xfId="8" applyFont="1" applyBorder="1"/>
    <xf numFmtId="0" fontId="5" fillId="8" borderId="9" xfId="0" applyFont="1" applyFill="1" applyBorder="1"/>
    <xf numFmtId="187" fontId="5" fillId="0" borderId="0" xfId="8" applyNumberFormat="1" applyFont="1"/>
    <xf numFmtId="2" fontId="5" fillId="0" borderId="20" xfId="1" applyNumberFormat="1" applyFont="1" applyBorder="1" applyAlignment="1">
      <alignment horizontal="center"/>
    </xf>
    <xf numFmtId="0" fontId="5" fillId="4" borderId="26" xfId="8" applyFont="1" applyFill="1" applyBorder="1" applyAlignment="1">
      <alignment horizontal="left"/>
    </xf>
    <xf numFmtId="187" fontId="5" fillId="4" borderId="16" xfId="1" applyNumberFormat="1" applyFont="1" applyFill="1" applyBorder="1" applyAlignment="1">
      <alignment horizontal="center"/>
    </xf>
    <xf numFmtId="187" fontId="5" fillId="4" borderId="16" xfId="0" applyNumberFormat="1" applyFont="1" applyFill="1" applyBorder="1" applyAlignment="1">
      <alignment horizontal="center" vertical="center" wrapText="1"/>
    </xf>
    <xf numFmtId="39" fontId="5" fillId="4" borderId="16" xfId="0" applyNumberFormat="1" applyFont="1" applyFill="1" applyBorder="1" applyAlignment="1">
      <alignment horizontal="center" vertical="center" wrapText="1"/>
    </xf>
    <xf numFmtId="1" fontId="5" fillId="0" borderId="9" xfId="13" applyNumberFormat="1" applyFont="1" applyBorder="1" applyAlignment="1">
      <alignment horizontal="left" vertical="center" wrapText="1"/>
    </xf>
    <xf numFmtId="2" fontId="5" fillId="0" borderId="9" xfId="13" applyNumberFormat="1" applyFont="1" applyBorder="1" applyAlignment="1">
      <alignment horizontal="left" vertical="center" wrapText="1"/>
    </xf>
    <xf numFmtId="0" fontId="86" fillId="0" borderId="0" xfId="6" applyFont="1"/>
    <xf numFmtId="0" fontId="86" fillId="0" borderId="0" xfId="5" applyFont="1"/>
    <xf numFmtId="0" fontId="87" fillId="0" borderId="0" xfId="6" applyFont="1"/>
    <xf numFmtId="0" fontId="87" fillId="0" borderId="0" xfId="5" applyFont="1"/>
    <xf numFmtId="0" fontId="87" fillId="0" borderId="0" xfId="5" applyFont="1" applyAlignment="1">
      <alignment horizontal="left" vertical="top" wrapText="1"/>
    </xf>
    <xf numFmtId="1" fontId="0" fillId="0" borderId="9" xfId="0" applyNumberFormat="1" applyBorder="1"/>
    <xf numFmtId="206" fontId="2" fillId="0" borderId="9" xfId="5" applyNumberFormat="1" applyFont="1" applyBorder="1" applyAlignment="1">
      <alignment horizontal="center" vertical="center" wrapText="1"/>
    </xf>
    <xf numFmtId="206" fontId="0" fillId="0" borderId="9" xfId="0" applyNumberFormat="1" applyBorder="1"/>
    <xf numFmtId="206" fontId="86" fillId="0" borderId="0" xfId="5" applyNumberFormat="1" applyFont="1"/>
    <xf numFmtId="206" fontId="10" fillId="0" borderId="0" xfId="5" applyNumberFormat="1"/>
    <xf numFmtId="171" fontId="5" fillId="0" borderId="9" xfId="5" applyNumberFormat="1" applyFont="1" applyBorder="1" applyAlignment="1">
      <alignment horizontal="center" vertical="center" wrapText="1"/>
    </xf>
    <xf numFmtId="37" fontId="5" fillId="0" borderId="9" xfId="5" applyNumberFormat="1" applyFont="1" applyBorder="1" applyAlignment="1">
      <alignment horizontal="center"/>
    </xf>
    <xf numFmtId="37" fontId="13" fillId="0" borderId="0" xfId="5" applyNumberFormat="1" applyFont="1"/>
    <xf numFmtId="5" fontId="13" fillId="0" borderId="0" xfId="5" applyNumberFormat="1" applyFont="1"/>
    <xf numFmtId="175" fontId="13" fillId="8" borderId="9" xfId="9" applyNumberFormat="1" applyFont="1" applyFill="1" applyBorder="1" applyAlignment="1">
      <alignment horizontal="center"/>
    </xf>
    <xf numFmtId="0" fontId="87" fillId="0" borderId="0" xfId="5" applyFont="1" applyAlignment="1">
      <alignment wrapText="1"/>
    </xf>
    <xf numFmtId="166" fontId="87" fillId="0" borderId="0" xfId="5" applyNumberFormat="1" applyFont="1" applyAlignment="1">
      <alignment horizontal="left"/>
    </xf>
    <xf numFmtId="166" fontId="87" fillId="0" borderId="0" xfId="5" applyNumberFormat="1" applyFont="1" applyAlignment="1">
      <alignment horizontal="center"/>
    </xf>
    <xf numFmtId="0" fontId="33" fillId="0" borderId="0" xfId="5" applyFont="1"/>
    <xf numFmtId="7" fontId="5" fillId="0" borderId="9" xfId="0" applyNumberFormat="1" applyFont="1" applyBorder="1"/>
    <xf numFmtId="0" fontId="87" fillId="0" borderId="0" xfId="5" applyFont="1" applyAlignment="1">
      <alignment horizontal="left"/>
    </xf>
    <xf numFmtId="1" fontId="10" fillId="0" borderId="0" xfId="5" applyNumberFormat="1"/>
    <xf numFmtId="2" fontId="2" fillId="4" borderId="9" xfId="5" applyNumberFormat="1" applyFont="1" applyFill="1" applyBorder="1" applyAlignment="1">
      <alignment horizontal="center"/>
    </xf>
    <xf numFmtId="171" fontId="2"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4" fillId="0" borderId="0" xfId="5" applyNumberFormat="1" applyFont="1"/>
    <xf numFmtId="43" fontId="24" fillId="0" borderId="0" xfId="1" applyFont="1"/>
    <xf numFmtId="170" fontId="0" fillId="0" borderId="9" xfId="5" applyNumberFormat="1" applyFont="1" applyBorder="1" applyAlignment="1">
      <alignment horizontal="center"/>
    </xf>
    <xf numFmtId="37" fontId="13"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5" fillId="0" borderId="9" xfId="5" applyNumberFormat="1" applyFont="1" applyBorder="1" applyAlignment="1">
      <alignment horizontal="center"/>
    </xf>
    <xf numFmtId="1" fontId="0" fillId="0" borderId="9" xfId="5" applyNumberFormat="1" applyFont="1" applyBorder="1" applyAlignment="1">
      <alignment horizontal="center"/>
    </xf>
    <xf numFmtId="171" fontId="5" fillId="0" borderId="9" xfId="5" applyNumberFormat="1" applyFont="1" applyBorder="1" applyAlignment="1">
      <alignment horizontal="center"/>
    </xf>
    <xf numFmtId="206" fontId="13" fillId="0" borderId="0" xfId="5" applyNumberFormat="1" applyFont="1"/>
    <xf numFmtId="171" fontId="5" fillId="4" borderId="9" xfId="5" applyNumberFormat="1" applyFont="1" applyFill="1" applyBorder="1"/>
    <xf numFmtId="171" fontId="0" fillId="4" borderId="9" xfId="5" quotePrefix="1" applyNumberFormat="1" applyFont="1" applyFill="1" applyBorder="1"/>
    <xf numFmtId="168" fontId="13"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10" fillId="0" borderId="0" xfId="5" applyNumberFormat="1"/>
    <xf numFmtId="0" fontId="49" fillId="0" borderId="0" xfId="5" applyFont="1" applyAlignment="1">
      <alignment horizontal="center" wrapText="1"/>
    </xf>
    <xf numFmtId="168" fontId="24" fillId="0" borderId="0" xfId="1" applyNumberFormat="1" applyFont="1"/>
    <xf numFmtId="191" fontId="13" fillId="4" borderId="9" xfId="1" applyNumberFormat="1" applyFont="1" applyFill="1" applyBorder="1" applyAlignment="1">
      <alignment horizontal="left" vertical="center" wrapText="1" indent="3"/>
    </xf>
    <xf numFmtId="168" fontId="13" fillId="4" borderId="9" xfId="1" applyNumberFormat="1" applyFont="1" applyFill="1" applyBorder="1" applyAlignment="1">
      <alignment horizontal="left" vertical="center" wrapText="1" indent="3"/>
    </xf>
    <xf numFmtId="37" fontId="19" fillId="0" borderId="0" xfId="7" applyNumberFormat="1" applyFont="1">
      <alignment horizontal="right" vertical="center" wrapText="1" readingOrder="1"/>
    </xf>
    <xf numFmtId="37" fontId="24" fillId="0" borderId="0" xfId="5" applyNumberFormat="1" applyFont="1"/>
    <xf numFmtId="168" fontId="5" fillId="0" borderId="9" xfId="1" applyNumberFormat="1" applyFont="1" applyBorder="1" applyAlignment="1">
      <alignment horizontal="center"/>
    </xf>
    <xf numFmtId="1" fontId="13" fillId="0" borderId="9" xfId="0" applyNumberFormat="1" applyFont="1" applyBorder="1" applyAlignment="1">
      <alignment horizontal="center"/>
    </xf>
    <xf numFmtId="206" fontId="5" fillId="0" borderId="9" xfId="0" applyNumberFormat="1" applyFont="1" applyBorder="1"/>
    <xf numFmtId="205" fontId="13" fillId="0" borderId="9" xfId="1" applyNumberFormat="1" applyFont="1" applyBorder="1"/>
    <xf numFmtId="205" fontId="5" fillId="0" borderId="9" xfId="1" applyNumberFormat="1" applyFont="1" applyBorder="1" applyAlignment="1">
      <alignment horizontal="center"/>
    </xf>
    <xf numFmtId="9" fontId="13" fillId="0" borderId="9" xfId="3" applyFont="1" applyBorder="1"/>
    <xf numFmtId="43" fontId="2" fillId="0" borderId="9" xfId="1" applyFont="1" applyFill="1" applyBorder="1" applyAlignment="1">
      <alignment horizontal="center"/>
    </xf>
    <xf numFmtId="43" fontId="49"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2" fontId="5" fillId="0" borderId="9" xfId="5" applyNumberFormat="1" applyFont="1" applyBorder="1" applyAlignment="1">
      <alignment horizontal="center"/>
    </xf>
    <xf numFmtId="39" fontId="2"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2"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5" fillId="0" borderId="9" xfId="0" applyNumberFormat="1" applyFont="1" applyBorder="1" applyAlignment="1">
      <alignment horizontal="center"/>
    </xf>
    <xf numFmtId="43" fontId="0" fillId="0" borderId="9" xfId="1" applyFont="1" applyBorder="1" applyAlignment="1">
      <alignment horizontal="center"/>
    </xf>
    <xf numFmtId="185" fontId="13" fillId="0" borderId="9" xfId="0" applyNumberFormat="1" applyFont="1" applyBorder="1"/>
    <xf numFmtId="185" fontId="13" fillId="0" borderId="0" xfId="0" applyNumberFormat="1" applyFont="1" applyAlignment="1">
      <alignment horizontal="centerContinuous"/>
    </xf>
    <xf numFmtId="0" fontId="13" fillId="0" borderId="0" xfId="0" applyFont="1" applyAlignment="1">
      <alignment horizontal="centerContinuous"/>
    </xf>
    <xf numFmtId="188" fontId="13" fillId="0" borderId="0" xfId="3" applyNumberFormat="1" applyFont="1" applyFill="1"/>
    <xf numFmtId="196" fontId="13" fillId="0" borderId="0" xfId="3" applyNumberFormat="1" applyFont="1" applyFill="1" applyBorder="1"/>
    <xf numFmtId="0" fontId="23" fillId="0" borderId="9" xfId="18" applyBorder="1"/>
    <xf numFmtId="190" fontId="13" fillId="0" borderId="0" xfId="1" applyNumberFormat="1" applyFont="1" applyFill="1"/>
    <xf numFmtId="0" fontId="6" fillId="4" borderId="0" xfId="0" applyFont="1" applyFill="1" applyAlignment="1">
      <alignment vertical="center"/>
    </xf>
    <xf numFmtId="187" fontId="13" fillId="49" borderId="9" xfId="5" applyNumberFormat="1" applyFont="1" applyFill="1" applyBorder="1" applyAlignment="1">
      <alignment horizontal="center"/>
    </xf>
    <xf numFmtId="9" fontId="13" fillId="49" borderId="9" xfId="3" applyFont="1" applyFill="1" applyBorder="1" applyAlignment="1">
      <alignment horizontal="center"/>
    </xf>
    <xf numFmtId="180" fontId="13" fillId="49" borderId="9" xfId="0" applyNumberFormat="1" applyFont="1" applyFill="1" applyBorder="1" applyAlignment="1">
      <alignment horizontal="center"/>
    </xf>
    <xf numFmtId="175" fontId="13" fillId="49" borderId="9" xfId="9" applyNumberFormat="1" applyFont="1" applyFill="1" applyBorder="1" applyAlignment="1">
      <alignment horizontal="center" vertical="center"/>
    </xf>
    <xf numFmtId="177" fontId="13" fillId="49" borderId="9" xfId="9" applyNumberFormat="1" applyFont="1" applyFill="1" applyBorder="1" applyAlignment="1">
      <alignment horizontal="center" vertical="center"/>
    </xf>
    <xf numFmtId="7" fontId="13" fillId="49" borderId="9" xfId="10" applyNumberFormat="1" applyFont="1" applyFill="1" applyBorder="1" applyAlignment="1">
      <alignment horizontal="center"/>
    </xf>
    <xf numFmtId="172" fontId="13" fillId="49" borderId="9" xfId="11" applyNumberFormat="1" applyFont="1" applyFill="1" applyBorder="1" applyAlignment="1">
      <alignment horizontal="center" vertical="center"/>
    </xf>
    <xf numFmtId="5" fontId="13" fillId="49" borderId="9" xfId="10" applyNumberFormat="1" applyFont="1" applyFill="1" applyBorder="1" applyAlignment="1">
      <alignment horizontal="center"/>
    </xf>
    <xf numFmtId="9" fontId="13" fillId="49" borderId="9" xfId="11" applyFont="1" applyFill="1" applyBorder="1" applyAlignment="1">
      <alignment horizontal="center" vertical="center"/>
    </xf>
    <xf numFmtId="168" fontId="13" fillId="49" borderId="9" xfId="1" applyNumberFormat="1" applyFont="1" applyFill="1" applyBorder="1" applyAlignment="1">
      <alignment horizontal="center" vertical="center"/>
    </xf>
    <xf numFmtId="1" fontId="13" fillId="49" borderId="9" xfId="11" applyNumberFormat="1" applyFont="1" applyFill="1" applyBorder="1" applyAlignment="1">
      <alignment horizontal="center" vertical="center"/>
    </xf>
    <xf numFmtId="175" fontId="13" fillId="49" borderId="9" xfId="9" applyNumberFormat="1" applyFont="1" applyFill="1" applyBorder="1" applyAlignment="1">
      <alignment horizontal="center"/>
    </xf>
    <xf numFmtId="206" fontId="13" fillId="49" borderId="9" xfId="5" applyNumberFormat="1" applyFont="1" applyFill="1" applyBorder="1" applyAlignment="1">
      <alignment horizontal="center"/>
    </xf>
    <xf numFmtId="171" fontId="13" fillId="49" borderId="9" xfId="5" applyNumberFormat="1" applyFont="1" applyFill="1" applyBorder="1" applyAlignment="1">
      <alignment horizontal="center"/>
    </xf>
    <xf numFmtId="2" fontId="13" fillId="49" borderId="9" xfId="0" applyNumberFormat="1" applyFont="1" applyFill="1" applyBorder="1" applyAlignment="1">
      <alignment horizontal="center"/>
    </xf>
    <xf numFmtId="37" fontId="13" fillId="49" borderId="9" xfId="1" applyNumberFormat="1" applyFont="1" applyFill="1" applyBorder="1" applyAlignment="1">
      <alignment horizontal="center"/>
    </xf>
    <xf numFmtId="2" fontId="13" fillId="49" borderId="9" xfId="5" applyNumberFormat="1" applyFont="1" applyFill="1" applyBorder="1" applyAlignment="1">
      <alignment horizontal="center" vertical="center"/>
    </xf>
    <xf numFmtId="1" fontId="13" fillId="49" borderId="9" xfId="5" applyNumberFormat="1" applyFont="1" applyFill="1" applyBorder="1" applyAlignment="1">
      <alignment horizontal="center" vertical="center"/>
    </xf>
    <xf numFmtId="2" fontId="13" fillId="49" borderId="9" xfId="11" applyNumberFormat="1" applyFont="1" applyFill="1" applyBorder="1" applyAlignment="1">
      <alignment horizontal="center" vertical="center"/>
    </xf>
    <xf numFmtId="176" fontId="13" fillId="49" borderId="9" xfId="9" applyNumberFormat="1" applyFont="1" applyFill="1" applyBorder="1" applyAlignment="1">
      <alignment horizontal="center"/>
    </xf>
    <xf numFmtId="1" fontId="13" fillId="49" borderId="9" xfId="11" applyNumberFormat="1" applyFont="1" applyFill="1" applyBorder="1" applyAlignment="1">
      <alignment horizontal="center"/>
    </xf>
    <xf numFmtId="2" fontId="13" fillId="49" borderId="9" xfId="5" applyNumberFormat="1" applyFont="1" applyFill="1" applyBorder="1" applyAlignment="1">
      <alignment horizontal="center"/>
    </xf>
    <xf numFmtId="1" fontId="13" fillId="49" borderId="9" xfId="10" applyNumberFormat="1" applyFont="1" applyFill="1" applyBorder="1" applyAlignment="1">
      <alignment horizontal="center"/>
    </xf>
    <xf numFmtId="178" fontId="13" fillId="49" borderId="9" xfId="5" applyNumberFormat="1" applyFont="1" applyFill="1" applyBorder="1" applyAlignment="1">
      <alignment horizontal="center" vertical="center"/>
    </xf>
    <xf numFmtId="9" fontId="13" fillId="49" borderId="9" xfId="3" applyFont="1" applyFill="1" applyBorder="1" applyAlignment="1">
      <alignment horizontal="center" vertical="center"/>
    </xf>
    <xf numFmtId="0" fontId="24" fillId="49" borderId="0" xfId="5" applyFont="1" applyFill="1"/>
    <xf numFmtId="174" fontId="13" fillId="49" borderId="9" xfId="9" applyNumberFormat="1" applyFont="1" applyFill="1" applyBorder="1" applyAlignment="1">
      <alignment horizontal="center"/>
    </xf>
    <xf numFmtId="168" fontId="13" fillId="49" borderId="9" xfId="5" applyNumberFormat="1" applyFont="1" applyFill="1" applyBorder="1" applyAlignment="1">
      <alignment horizontal="center" vertical="center"/>
    </xf>
    <xf numFmtId="165" fontId="13" fillId="49" borderId="9" xfId="5" applyNumberFormat="1" applyFont="1" applyFill="1" applyBorder="1" applyAlignment="1">
      <alignment horizontal="center" vertical="center"/>
    </xf>
    <xf numFmtId="3" fontId="13" fillId="49" borderId="9" xfId="1" applyNumberFormat="1" applyFont="1" applyFill="1" applyBorder="1" applyAlignment="1">
      <alignment horizontal="center" vertical="center"/>
    </xf>
    <xf numFmtId="1" fontId="13" fillId="49" borderId="9" xfId="3" applyNumberFormat="1" applyFont="1" applyFill="1" applyBorder="1" applyAlignment="1">
      <alignment horizontal="center" vertical="center"/>
    </xf>
    <xf numFmtId="1" fontId="13" fillId="49" borderId="9" xfId="3" applyNumberFormat="1" applyFont="1" applyFill="1" applyBorder="1" applyAlignment="1">
      <alignment horizontal="center"/>
    </xf>
    <xf numFmtId="0" fontId="58" fillId="4" borderId="0" xfId="0" applyFont="1" applyFill="1"/>
    <xf numFmtId="0" fontId="57" fillId="4" borderId="0" xfId="0" applyFont="1" applyFill="1"/>
    <xf numFmtId="0" fontId="56" fillId="4" borderId="0" xfId="0" applyFont="1" applyFill="1"/>
    <xf numFmtId="0" fontId="46" fillId="4" borderId="0" xfId="0" applyFont="1" applyFill="1"/>
    <xf numFmtId="0" fontId="55" fillId="4" borderId="0" xfId="0" applyFont="1" applyFill="1"/>
    <xf numFmtId="168" fontId="13" fillId="4" borderId="9" xfId="5" applyNumberFormat="1" applyFont="1" applyFill="1" applyBorder="1"/>
    <xf numFmtId="0" fontId="81" fillId="4" borderId="0" xfId="0" applyFont="1" applyFill="1" applyAlignment="1">
      <alignment vertical="center"/>
    </xf>
    <xf numFmtId="0" fontId="13" fillId="0" borderId="19" xfId="6" applyFont="1" applyBorder="1" applyAlignment="1">
      <alignment wrapText="1"/>
    </xf>
    <xf numFmtId="0" fontId="13" fillId="0" borderId="50" xfId="6" applyFont="1" applyBorder="1" applyAlignment="1">
      <alignment wrapText="1"/>
    </xf>
    <xf numFmtId="2" fontId="13" fillId="0" borderId="9" xfId="1" applyNumberFormat="1" applyFont="1" applyFill="1" applyBorder="1"/>
    <xf numFmtId="2" fontId="13" fillId="0" borderId="9" xfId="1" applyNumberFormat="1" applyFont="1" applyFill="1" applyBorder="1" applyAlignment="1">
      <alignment horizontal="center" wrapText="1"/>
    </xf>
    <xf numFmtId="0" fontId="2" fillId="0" borderId="0" xfId="13" applyAlignment="1">
      <alignment wrapText="1"/>
    </xf>
    <xf numFmtId="3" fontId="2" fillId="0" borderId="9" xfId="6" applyNumberFormat="1" applyBorder="1"/>
    <xf numFmtId="2" fontId="13" fillId="0" borderId="16" xfId="1" applyNumberFormat="1" applyFont="1" applyFill="1" applyBorder="1"/>
    <xf numFmtId="7" fontId="13" fillId="0" borderId="9" xfId="0" applyNumberFormat="1" applyFont="1" applyBorder="1"/>
    <xf numFmtId="0" fontId="27" fillId="0" borderId="0" xfId="13" applyFont="1" applyAlignment="1">
      <alignment horizontal="left"/>
    </xf>
    <xf numFmtId="2" fontId="24" fillId="0" borderId="0" xfId="6" applyNumberFormat="1" applyFont="1"/>
    <xf numFmtId="180" fontId="13" fillId="0" borderId="9" xfId="13" applyNumberFormat="1" applyFont="1" applyBorder="1" applyAlignment="1">
      <alignment horizontal="center" vertical="center" wrapText="1"/>
    </xf>
    <xf numFmtId="180" fontId="5" fillId="0" borderId="9" xfId="13" applyNumberFormat="1" applyFont="1" applyBorder="1" applyAlignment="1">
      <alignment horizontal="center" vertical="center" wrapText="1"/>
    </xf>
    <xf numFmtId="0" fontId="2" fillId="0" borderId="9" xfId="13" applyBorder="1" applyAlignment="1">
      <alignment horizontal="center"/>
    </xf>
    <xf numFmtId="9" fontId="2" fillId="0" borderId="9" xfId="13" applyNumberFormat="1" applyBorder="1" applyAlignment="1">
      <alignment horizontal="center"/>
    </xf>
    <xf numFmtId="9" fontId="13" fillId="0" borderId="9" xfId="13" applyNumberFormat="1" applyFont="1" applyBorder="1" applyAlignment="1">
      <alignment horizontal="center"/>
    </xf>
    <xf numFmtId="0" fontId="13" fillId="0" borderId="9" xfId="13" applyFont="1" applyBorder="1" applyAlignment="1">
      <alignment horizontal="left" vertical="center" wrapText="1"/>
    </xf>
    <xf numFmtId="180" fontId="2" fillId="0" borderId="9" xfId="13" applyNumberFormat="1" applyBorder="1" applyAlignment="1">
      <alignment horizontal="center" vertical="center" wrapText="1"/>
    </xf>
    <xf numFmtId="0" fontId="29" fillId="0" borderId="0" xfId="6" applyFont="1" applyAlignment="1">
      <alignment horizontal="left" vertical="center" wrapText="1"/>
    </xf>
    <xf numFmtId="0" fontId="29" fillId="0" borderId="0" xfId="6" applyFont="1" applyAlignment="1">
      <alignment horizontal="center" vertical="center" wrapText="1"/>
    </xf>
    <xf numFmtId="165" fontId="13" fillId="4" borderId="9" xfId="13" applyNumberFormat="1" applyFont="1" applyFill="1" applyBorder="1" applyAlignment="1">
      <alignment horizontal="left" vertical="center" wrapText="1"/>
    </xf>
    <xf numFmtId="165" fontId="13" fillId="0" borderId="19" xfId="8" applyNumberFormat="1" applyFont="1" applyBorder="1" applyAlignment="1">
      <alignment horizontal="center" vertical="center"/>
    </xf>
    <xf numFmtId="0" fontId="48" fillId="0" borderId="9" xfId="8" applyFont="1" applyBorder="1" applyAlignment="1">
      <alignment wrapText="1"/>
    </xf>
    <xf numFmtId="2" fontId="5" fillId="4" borderId="9" xfId="6" applyNumberFormat="1" applyFont="1" applyFill="1" applyBorder="1" applyAlignment="1">
      <alignment horizontal="center"/>
    </xf>
    <xf numFmtId="165" fontId="13" fillId="4" borderId="9" xfId="13" applyNumberFormat="1" applyFont="1" applyFill="1" applyBorder="1" applyAlignment="1">
      <alignment vertical="center" wrapText="1"/>
    </xf>
    <xf numFmtId="165" fontId="2" fillId="4" borderId="9" xfId="13" applyNumberFormat="1" applyFill="1" applyBorder="1" applyAlignment="1">
      <alignment horizontal="left" vertical="center" wrapText="1"/>
    </xf>
    <xf numFmtId="180" fontId="13" fillId="4" borderId="9" xfId="13" applyNumberFormat="1" applyFont="1" applyFill="1" applyBorder="1" applyAlignment="1">
      <alignment horizontal="center" vertical="center" wrapText="1"/>
    </xf>
    <xf numFmtId="180" fontId="5" fillId="4" borderId="9" xfId="13" applyNumberFormat="1" applyFont="1" applyFill="1" applyBorder="1" applyAlignment="1">
      <alignment horizontal="center" vertical="center" wrapText="1"/>
    </xf>
    <xf numFmtId="2" fontId="13" fillId="8" borderId="9" xfId="13" applyNumberFormat="1" applyFont="1" applyFill="1" applyBorder="1" applyAlignment="1">
      <alignment horizontal="center" vertical="center" wrapText="1"/>
    </xf>
    <xf numFmtId="2" fontId="5" fillId="4" borderId="9" xfId="13" applyNumberFormat="1" applyFont="1" applyFill="1" applyBorder="1" applyAlignment="1">
      <alignment horizontal="center" vertical="center" wrapText="1"/>
    </xf>
    <xf numFmtId="2" fontId="13" fillId="17" borderId="9" xfId="13" applyNumberFormat="1" applyFont="1" applyFill="1" applyBorder="1" applyAlignment="1">
      <alignment horizontal="center" vertical="center" wrapText="1"/>
    </xf>
    <xf numFmtId="2" fontId="13" fillId="4" borderId="9" xfId="13" applyNumberFormat="1" applyFont="1" applyFill="1" applyBorder="1" applyAlignment="1">
      <alignment horizontal="left" vertical="center" wrapText="1"/>
    </xf>
    <xf numFmtId="0" fontId="2" fillId="4" borderId="9" xfId="13" applyFill="1" applyBorder="1" applyAlignment="1">
      <alignment horizontal="center"/>
    </xf>
    <xf numFmtId="0" fontId="13" fillId="4" borderId="9" xfId="13" applyFont="1" applyFill="1" applyBorder="1" applyAlignment="1">
      <alignment horizontal="left" wrapText="1"/>
    </xf>
    <xf numFmtId="9" fontId="2" fillId="4" borderId="9" xfId="13" applyNumberFormat="1" applyFill="1" applyBorder="1" applyAlignment="1">
      <alignment horizontal="center"/>
    </xf>
    <xf numFmtId="9" fontId="5" fillId="4" borderId="9" xfId="13" applyNumberFormat="1" applyFont="1" applyFill="1" applyBorder="1" applyAlignment="1">
      <alignment horizontal="center"/>
    </xf>
    <xf numFmtId="9" fontId="13" fillId="4" borderId="9" xfId="13" applyNumberFormat="1" applyFont="1" applyFill="1" applyBorder="1" applyAlignment="1">
      <alignment horizontal="center"/>
    </xf>
    <xf numFmtId="0" fontId="13" fillId="4" borderId="9" xfId="13" applyFont="1" applyFill="1" applyBorder="1" applyAlignment="1">
      <alignment horizontal="left" vertical="center" wrapText="1"/>
    </xf>
    <xf numFmtId="0" fontId="13" fillId="4" borderId="9" xfId="13" applyFont="1" applyFill="1" applyBorder="1" applyAlignment="1">
      <alignment horizontal="left" vertical="center"/>
    </xf>
    <xf numFmtId="0" fontId="13" fillId="46" borderId="9" xfId="13" applyFont="1" applyFill="1" applyBorder="1" applyAlignment="1">
      <alignment horizontal="center"/>
    </xf>
    <xf numFmtId="2" fontId="2" fillId="4" borderId="9" xfId="13" applyNumberFormat="1" applyFill="1" applyBorder="1" applyAlignment="1">
      <alignment horizontal="center"/>
    </xf>
    <xf numFmtId="2" fontId="13" fillId="4" borderId="9" xfId="13" applyNumberFormat="1" applyFont="1" applyFill="1" applyBorder="1" applyAlignment="1">
      <alignment horizontal="center"/>
    </xf>
    <xf numFmtId="2" fontId="13" fillId="17" borderId="9" xfId="13" applyNumberFormat="1" applyFont="1" applyFill="1" applyBorder="1" applyAlignment="1">
      <alignment horizontal="center"/>
    </xf>
    <xf numFmtId="186" fontId="13" fillId="12" borderId="9" xfId="13" applyNumberFormat="1" applyFont="1" applyFill="1" applyBorder="1" applyAlignment="1">
      <alignment horizontal="center" vertical="center" wrapText="1"/>
    </xf>
    <xf numFmtId="180" fontId="2" fillId="4" borderId="9" xfId="13" applyNumberFormat="1" applyFill="1" applyBorder="1" applyAlignment="1">
      <alignment horizontal="center" vertical="center" wrapText="1"/>
    </xf>
    <xf numFmtId="165" fontId="13" fillId="17" borderId="9" xfId="6" applyNumberFormat="1" applyFont="1" applyFill="1" applyBorder="1" applyAlignment="1">
      <alignment horizontal="center"/>
    </xf>
    <xf numFmtId="165" fontId="2" fillId="4" borderId="9" xfId="6" applyNumberFormat="1" applyFill="1" applyBorder="1" applyAlignment="1">
      <alignment horizontal="center"/>
    </xf>
    <xf numFmtId="204" fontId="13" fillId="4" borderId="9" xfId="8" applyNumberFormat="1" applyFont="1" applyFill="1" applyBorder="1" applyAlignment="1">
      <alignment horizontal="center"/>
    </xf>
    <xf numFmtId="0" fontId="13" fillId="25" borderId="9" xfId="0" applyFont="1" applyFill="1" applyBorder="1" applyAlignment="1">
      <alignment horizontal="center" vertical="center" wrapText="1"/>
    </xf>
    <xf numFmtId="171" fontId="13" fillId="17" borderId="9" xfId="6" applyNumberFormat="1" applyFont="1" applyFill="1" applyBorder="1" applyAlignment="1">
      <alignment horizontal="center"/>
    </xf>
    <xf numFmtId="169" fontId="13" fillId="4" borderId="9" xfId="8" applyNumberFormat="1" applyFont="1" applyFill="1" applyBorder="1" applyAlignment="1">
      <alignment horizontal="center"/>
    </xf>
    <xf numFmtId="168" fontId="13" fillId="4" borderId="9" xfId="5" applyNumberFormat="1" applyFont="1" applyFill="1" applyBorder="1" applyAlignment="1">
      <alignment horizontal="left" vertical="top" wrapText="1"/>
    </xf>
    <xf numFmtId="43" fontId="13" fillId="0" borderId="9" xfId="1" applyFont="1" applyFill="1" applyBorder="1"/>
    <xf numFmtId="180" fontId="27" fillId="0" borderId="0" xfId="6" applyNumberFormat="1" applyFont="1" applyAlignment="1">
      <alignment horizontal="center"/>
    </xf>
    <xf numFmtId="1" fontId="13" fillId="0" borderId="0" xfId="13" applyNumberFormat="1" applyFont="1" applyAlignment="1">
      <alignment horizontal="center"/>
    </xf>
    <xf numFmtId="0" fontId="13" fillId="0" borderId="34" xfId="8" applyFont="1" applyBorder="1" applyAlignment="1">
      <alignment horizontal="center"/>
    </xf>
    <xf numFmtId="0" fontId="13" fillId="0" borderId="0" xfId="8" applyFont="1" applyAlignment="1">
      <alignment horizontal="center" vertical="top" wrapText="1"/>
    </xf>
    <xf numFmtId="0" fontId="24" fillId="0" borderId="0" xfId="0" applyFont="1" applyAlignment="1">
      <alignment horizontal="center"/>
    </xf>
    <xf numFmtId="170" fontId="13" fillId="0" borderId="0" xfId="5" applyNumberFormat="1" applyFont="1" applyAlignment="1">
      <alignment horizontal="center"/>
    </xf>
    <xf numFmtId="1" fontId="13" fillId="0" borderId="0" xfId="11" applyNumberFormat="1" applyFont="1" applyFill="1" applyBorder="1" applyAlignment="1">
      <alignment horizontal="center" vertical="center"/>
    </xf>
    <xf numFmtId="0" fontId="9" fillId="4" borderId="10" xfId="0" applyFont="1" applyFill="1" applyBorder="1" applyAlignment="1">
      <alignment horizontal="left" vertical="center" wrapText="1"/>
    </xf>
    <xf numFmtId="172" fontId="65" fillId="0" borderId="54" xfId="0" applyNumberFormat="1" applyFont="1" applyBorder="1"/>
    <xf numFmtId="172" fontId="24" fillId="0" borderId="54" xfId="3" applyNumberFormat="1" applyFont="1" applyBorder="1"/>
    <xf numFmtId="0" fontId="13" fillId="0" borderId="0" xfId="5" applyFont="1" applyAlignment="1">
      <alignment horizontal="center"/>
    </xf>
    <xf numFmtId="0" fontId="13" fillId="4" borderId="9" xfId="5" applyFont="1" applyFill="1" applyBorder="1"/>
    <xf numFmtId="178" fontId="13" fillId="0" borderId="9" xfId="5" applyNumberFormat="1" applyFont="1" applyBorder="1" applyAlignment="1">
      <alignment horizontal="center"/>
    </xf>
    <xf numFmtId="176" fontId="13" fillId="49" borderId="9" xfId="9" applyNumberFormat="1" applyFont="1" applyFill="1" applyBorder="1" applyAlignment="1">
      <alignment horizontal="center" vertical="center"/>
    </xf>
    <xf numFmtId="174" fontId="13" fillId="49" borderId="9" xfId="9" applyNumberFormat="1" applyFont="1" applyFill="1" applyBorder="1" applyAlignment="1">
      <alignment horizontal="center" vertical="center"/>
    </xf>
    <xf numFmtId="7" fontId="13" fillId="0" borderId="9" xfId="10" applyNumberFormat="1" applyFont="1" applyFill="1" applyBorder="1" applyAlignment="1">
      <alignment horizontal="center"/>
    </xf>
    <xf numFmtId="0" fontId="84" fillId="11" borderId="9" xfId="5" applyFont="1" applyFill="1" applyBorder="1" applyAlignment="1">
      <alignment horizontal="center" vertical="center" wrapText="1"/>
    </xf>
    <xf numFmtId="165" fontId="13" fillId="49" borderId="9" xfId="11" applyNumberFormat="1" applyFont="1" applyFill="1" applyBorder="1" applyAlignment="1">
      <alignment horizontal="center" vertical="center"/>
    </xf>
    <xf numFmtId="3" fontId="13" fillId="0" borderId="9" xfId="1" applyNumberFormat="1" applyFont="1" applyFill="1" applyBorder="1" applyAlignment="1">
      <alignment horizontal="center" vertical="center"/>
    </xf>
    <xf numFmtId="2" fontId="48" fillId="49" borderId="9" xfId="11" applyNumberFormat="1" applyFont="1" applyFill="1" applyBorder="1" applyAlignment="1">
      <alignment horizontal="center" vertical="center"/>
    </xf>
    <xf numFmtId="4" fontId="13" fillId="0" borderId="9" xfId="1" applyNumberFormat="1" applyFont="1" applyFill="1" applyBorder="1" applyAlignment="1">
      <alignment horizontal="center" vertical="center"/>
    </xf>
    <xf numFmtId="4" fontId="13" fillId="49" borderId="9" xfId="1" applyNumberFormat="1" applyFont="1" applyFill="1" applyBorder="1" applyAlignment="1">
      <alignment horizontal="center" vertical="center"/>
    </xf>
    <xf numFmtId="206" fontId="13" fillId="4" borderId="9" xfId="5" applyNumberFormat="1" applyFont="1" applyFill="1" applyBorder="1" applyAlignment="1">
      <alignment horizontal="center"/>
    </xf>
    <xf numFmtId="180" fontId="13" fillId="0" borderId="9" xfId="3" applyNumberFormat="1" applyFont="1" applyBorder="1" applyAlignment="1">
      <alignment horizontal="center" vertical="center"/>
    </xf>
    <xf numFmtId="1" fontId="13" fillId="0" borderId="9" xfId="3" applyNumberFormat="1" applyFont="1" applyBorder="1" applyAlignment="1">
      <alignment horizontal="center" vertical="center"/>
    </xf>
    <xf numFmtId="0" fontId="91" fillId="0" borderId="0" xfId="0" applyFont="1"/>
    <xf numFmtId="4" fontId="13" fillId="4" borderId="9" xfId="6" applyNumberFormat="1" applyFont="1" applyFill="1" applyBorder="1" applyAlignment="1">
      <alignment horizontal="center"/>
    </xf>
    <xf numFmtId="2" fontId="13" fillId="4" borderId="9" xfId="6" applyNumberFormat="1" applyFont="1" applyFill="1" applyBorder="1" applyAlignment="1">
      <alignment horizontal="center"/>
    </xf>
    <xf numFmtId="169" fontId="13" fillId="4" borderId="9" xfId="6" applyNumberFormat="1" applyFont="1" applyFill="1" applyBorder="1" applyAlignment="1">
      <alignment horizontal="center"/>
    </xf>
    <xf numFmtId="7" fontId="13" fillId="4" borderId="9" xfId="2" applyNumberFormat="1" applyFont="1" applyFill="1" applyBorder="1"/>
    <xf numFmtId="2" fontId="13" fillId="46" borderId="9" xfId="13" applyNumberFormat="1" applyFont="1" applyFill="1" applyBorder="1" applyAlignment="1">
      <alignment horizontal="center"/>
    </xf>
    <xf numFmtId="7" fontId="13" fillId="46" borderId="9" xfId="2" applyNumberFormat="1" applyFont="1" applyFill="1" applyBorder="1" applyAlignment="1">
      <alignment horizontal="center"/>
    </xf>
    <xf numFmtId="169" fontId="13" fillId="0" borderId="9" xfId="8" applyNumberFormat="1" applyFont="1" applyBorder="1" applyAlignment="1">
      <alignment horizontal="center"/>
    </xf>
    <xf numFmtId="182" fontId="13" fillId="0" borderId="9" xfId="1" applyNumberFormat="1" applyFont="1" applyBorder="1" applyAlignment="1">
      <alignment horizontal="center"/>
    </xf>
    <xf numFmtId="0" fontId="94" fillId="0" borderId="0" xfId="0" applyFont="1" applyAlignment="1">
      <alignment wrapText="1"/>
    </xf>
    <xf numFmtId="9" fontId="13" fillId="19" borderId="9" xfId="3" applyFont="1" applyFill="1" applyBorder="1" applyAlignment="1">
      <alignment horizontal="center" vertical="center" wrapText="1"/>
    </xf>
    <xf numFmtId="2" fontId="13" fillId="17" borderId="9" xfId="1" applyNumberFormat="1" applyFont="1" applyFill="1" applyBorder="1" applyAlignment="1">
      <alignment horizontal="center" wrapText="1"/>
    </xf>
    <xf numFmtId="44" fontId="13" fillId="19" borderId="9" xfId="2" applyFont="1" applyFill="1" applyBorder="1" applyAlignment="1">
      <alignment horizontal="center" vertical="center" wrapText="1"/>
    </xf>
    <xf numFmtId="0" fontId="65" fillId="16" borderId="9" xfId="0" applyFont="1" applyFill="1" applyBorder="1" applyAlignment="1">
      <alignment horizontal="center" vertical="center"/>
    </xf>
    <xf numFmtId="0" fontId="50" fillId="45" borderId="9" xfId="0" applyFont="1" applyFill="1" applyBorder="1" applyAlignment="1">
      <alignment horizontal="center" vertical="center"/>
    </xf>
    <xf numFmtId="2" fontId="13" fillId="17" borderId="9" xfId="0" applyNumberFormat="1" applyFont="1" applyFill="1" applyBorder="1" applyAlignment="1">
      <alignment horizontal="center" vertical="top" wrapText="1"/>
    </xf>
    <xf numFmtId="39" fontId="13" fillId="0" borderId="18" xfId="0" applyNumberFormat="1" applyFont="1" applyBorder="1" applyAlignment="1">
      <alignment horizontal="center"/>
    </xf>
    <xf numFmtId="0" fontId="13" fillId="0" borderId="19" xfId="0" applyFont="1" applyBorder="1" applyAlignment="1">
      <alignment horizontal="center"/>
    </xf>
    <xf numFmtId="39" fontId="13" fillId="0" borderId="21" xfId="0" applyNumberFormat="1" applyFont="1" applyBorder="1" applyAlignment="1">
      <alignment horizontal="center"/>
    </xf>
    <xf numFmtId="169" fontId="13" fillId="0" borderId="19" xfId="0" applyNumberFormat="1" applyFont="1" applyBorder="1" applyAlignment="1">
      <alignment horizontal="center" vertical="center" wrapText="1"/>
    </xf>
    <xf numFmtId="9" fontId="13" fillId="4" borderId="9" xfId="3" applyFont="1" applyFill="1" applyBorder="1"/>
    <xf numFmtId="171" fontId="13" fillId="4" borderId="9" xfId="0" applyNumberFormat="1" applyFont="1" applyFill="1" applyBorder="1" applyAlignment="1">
      <alignment horizontal="center"/>
    </xf>
    <xf numFmtId="44" fontId="13" fillId="4" borderId="9" xfId="2" applyFont="1" applyFill="1" applyBorder="1" applyAlignment="1">
      <alignment horizontal="center" vertical="center" wrapText="1"/>
    </xf>
    <xf numFmtId="165" fontId="13" fillId="17" borderId="9" xfId="0" applyNumberFormat="1" applyFont="1" applyFill="1" applyBorder="1" applyAlignment="1">
      <alignment horizontal="center" vertical="top" wrapText="1"/>
    </xf>
    <xf numFmtId="0" fontId="13" fillId="4" borderId="23" xfId="0" applyFont="1" applyFill="1" applyBorder="1" applyAlignment="1">
      <alignment horizontal="center"/>
    </xf>
    <xf numFmtId="0" fontId="95" fillId="0" borderId="0" xfId="5" applyFont="1"/>
    <xf numFmtId="0" fontId="96" fillId="0" borderId="9" xfId="0" applyFont="1" applyBorder="1" applyAlignment="1">
      <alignment wrapText="1"/>
    </xf>
    <xf numFmtId="0" fontId="96" fillId="0" borderId="9" xfId="0" applyFont="1" applyBorder="1"/>
    <xf numFmtId="165" fontId="13" fillId="0" borderId="19" xfId="8" applyNumberFormat="1" applyFont="1" applyBorder="1" applyAlignment="1">
      <alignment horizontal="center"/>
    </xf>
    <xf numFmtId="9" fontId="13" fillId="17" borderId="9" xfId="13" applyNumberFormat="1" applyFont="1" applyFill="1" applyBorder="1" applyAlignment="1">
      <alignment horizontal="center" vertical="center" wrapText="1"/>
    </xf>
    <xf numFmtId="0" fontId="13" fillId="4" borderId="4" xfId="8" applyFont="1" applyFill="1" applyBorder="1" applyAlignment="1">
      <alignment wrapText="1"/>
    </xf>
    <xf numFmtId="171" fontId="13" fillId="0" borderId="19" xfId="4" applyNumberFormat="1" applyFont="1" applyFill="1" applyBorder="1" applyAlignment="1" applyProtection="1">
      <alignment horizontal="center"/>
      <protection locked="0"/>
    </xf>
    <xf numFmtId="171" fontId="13" fillId="0" borderId="19" xfId="4" applyNumberFormat="1" applyFont="1" applyFill="1" applyBorder="1" applyProtection="1">
      <protection locked="0"/>
    </xf>
    <xf numFmtId="165" fontId="13" fillId="0" borderId="16" xfId="0" applyNumberFormat="1" applyFont="1" applyBorder="1" applyAlignment="1">
      <alignment horizontal="center" vertical="center" wrapText="1"/>
    </xf>
    <xf numFmtId="171" fontId="13" fillId="0" borderId="9" xfId="4" applyNumberFormat="1" applyFont="1" applyFill="1" applyBorder="1" applyProtection="1">
      <protection locked="0"/>
    </xf>
    <xf numFmtId="171" fontId="13" fillId="17" borderId="9" xfId="0" applyNumberFormat="1" applyFont="1" applyFill="1" applyBorder="1" applyAlignment="1">
      <alignment horizontal="center" vertical="center" wrapText="1"/>
    </xf>
    <xf numFmtId="0" fontId="13" fillId="4" borderId="14" xfId="0" applyFont="1" applyFill="1" applyBorder="1" applyAlignment="1">
      <alignment horizontal="center"/>
    </xf>
    <xf numFmtId="4" fontId="13" fillId="0" borderId="14" xfId="8" applyNumberFormat="1" applyFont="1" applyBorder="1" applyAlignment="1">
      <alignment horizontal="center"/>
    </xf>
    <xf numFmtId="189" fontId="13" fillId="0" borderId="14" xfId="0" applyNumberFormat="1" applyFont="1" applyBorder="1" applyAlignment="1">
      <alignment horizontal="center"/>
    </xf>
    <xf numFmtId="165" fontId="13" fillId="0" borderId="14" xfId="6" applyNumberFormat="1" applyFont="1" applyBorder="1" applyAlignment="1">
      <alignment horizontal="center"/>
    </xf>
    <xf numFmtId="171" fontId="13" fillId="4" borderId="14" xfId="13" applyNumberFormat="1" applyFont="1" applyFill="1" applyBorder="1" applyAlignment="1">
      <alignment horizontal="center" vertical="center"/>
    </xf>
    <xf numFmtId="0" fontId="13" fillId="17" borderId="9" xfId="6" applyFont="1" applyFill="1" applyBorder="1" applyAlignment="1">
      <alignment horizontal="center"/>
    </xf>
    <xf numFmtId="165" fontId="13" fillId="17" borderId="16" xfId="0" applyNumberFormat="1" applyFont="1" applyFill="1" applyBorder="1" applyAlignment="1">
      <alignment vertical="center" wrapText="1"/>
    </xf>
    <xf numFmtId="165" fontId="13" fillId="17" borderId="18" xfId="0" applyNumberFormat="1" applyFont="1" applyFill="1" applyBorder="1" applyAlignment="1">
      <alignment vertical="center" wrapText="1"/>
    </xf>
    <xf numFmtId="171" fontId="13" fillId="17" borderId="16" xfId="0" applyNumberFormat="1" applyFont="1" applyFill="1" applyBorder="1" applyAlignment="1">
      <alignment vertical="center" wrapText="1"/>
    </xf>
    <xf numFmtId="171" fontId="13" fillId="17" borderId="18" xfId="0" applyNumberFormat="1" applyFont="1" applyFill="1" applyBorder="1" applyAlignment="1">
      <alignment vertical="center" wrapText="1"/>
    </xf>
    <xf numFmtId="171" fontId="13" fillId="17" borderId="9" xfId="13" applyNumberFormat="1" applyFont="1" applyFill="1" applyBorder="1" applyAlignment="1">
      <alignment horizontal="center"/>
    </xf>
    <xf numFmtId="164" fontId="8" fillId="0" borderId="0" xfId="0" applyNumberFormat="1" applyFont="1" applyAlignment="1">
      <alignment horizontal="center" wrapText="1"/>
    </xf>
    <xf numFmtId="164" fontId="0" fillId="0" borderId="0" xfId="0" applyNumberFormat="1" applyAlignment="1">
      <alignment horizontal="center" wrapText="1"/>
    </xf>
    <xf numFmtId="43" fontId="13" fillId="0" borderId="19" xfId="1" applyFont="1" applyBorder="1"/>
    <xf numFmtId="198" fontId="98" fillId="0" borderId="19" xfId="2" applyNumberFormat="1" applyFont="1" applyFill="1" applyBorder="1" applyAlignment="1">
      <alignment horizontal="right"/>
    </xf>
    <xf numFmtId="198" fontId="98" fillId="0" borderId="30" xfId="2" applyNumberFormat="1" applyFont="1" applyFill="1" applyBorder="1" applyAlignment="1">
      <alignment horizontal="right"/>
    </xf>
    <xf numFmtId="198" fontId="5" fillId="0" borderId="9" xfId="2" applyNumberFormat="1" applyFont="1" applyFill="1" applyBorder="1" applyAlignment="1">
      <alignment horizontal="right"/>
    </xf>
    <xf numFmtId="198" fontId="5" fillId="0" borderId="19" xfId="2" applyNumberFormat="1" applyFont="1" applyFill="1" applyBorder="1" applyAlignment="1">
      <alignment horizontal="right"/>
    </xf>
    <xf numFmtId="198" fontId="5" fillId="0" borderId="30" xfId="2" applyNumberFormat="1" applyFont="1" applyFill="1" applyBorder="1" applyAlignment="1">
      <alignment horizontal="right"/>
    </xf>
    <xf numFmtId="198" fontId="5" fillId="0" borderId="23" xfId="2" applyNumberFormat="1" applyFont="1" applyFill="1" applyBorder="1" applyAlignment="1">
      <alignment horizontal="right"/>
    </xf>
    <xf numFmtId="198" fontId="99" fillId="0" borderId="19" xfId="2" applyNumberFormat="1" applyFont="1" applyFill="1" applyBorder="1" applyAlignment="1">
      <alignment horizontal="right"/>
    </xf>
    <xf numFmtId="198" fontId="99" fillId="0" borderId="30" xfId="2" applyNumberFormat="1" applyFont="1" applyFill="1" applyBorder="1" applyAlignment="1">
      <alignment horizontal="right"/>
    </xf>
    <xf numFmtId="198" fontId="99" fillId="0" borderId="23" xfId="2" applyNumberFormat="1" applyFont="1" applyFill="1" applyBorder="1" applyAlignment="1">
      <alignment horizontal="right"/>
    </xf>
    <xf numFmtId="198" fontId="100" fillId="0" borderId="19" xfId="2" applyNumberFormat="1" applyFont="1" applyFill="1" applyBorder="1" applyAlignment="1">
      <alignment horizontal="right"/>
    </xf>
    <xf numFmtId="198" fontId="100" fillId="0" borderId="30" xfId="2" applyNumberFormat="1" applyFont="1" applyFill="1" applyBorder="1" applyAlignment="1">
      <alignment horizontal="right"/>
    </xf>
    <xf numFmtId="198" fontId="100" fillId="0" borderId="23" xfId="2" applyNumberFormat="1" applyFont="1" applyFill="1" applyBorder="1" applyAlignment="1">
      <alignment horizontal="right"/>
    </xf>
    <xf numFmtId="198" fontId="101" fillId="0" borderId="30" xfId="2" applyNumberFormat="1" applyFont="1" applyFill="1" applyBorder="1" applyAlignment="1">
      <alignment horizontal="right"/>
    </xf>
    <xf numFmtId="198" fontId="101" fillId="0" borderId="23" xfId="2" applyNumberFormat="1" applyFont="1" applyFill="1" applyBorder="1" applyAlignment="1">
      <alignment horizontal="right"/>
    </xf>
    <xf numFmtId="198" fontId="102" fillId="0" borderId="19" xfId="2" applyNumberFormat="1" applyFont="1" applyFill="1" applyBorder="1" applyAlignment="1">
      <alignment horizontal="right"/>
    </xf>
    <xf numFmtId="198" fontId="102" fillId="0" borderId="30" xfId="2" applyNumberFormat="1" applyFont="1" applyFill="1" applyBorder="1" applyAlignment="1">
      <alignment horizontal="right"/>
    </xf>
    <xf numFmtId="198" fontId="102" fillId="0" borderId="23" xfId="2" applyNumberFormat="1" applyFont="1" applyFill="1" applyBorder="1" applyAlignment="1">
      <alignment horizontal="right"/>
    </xf>
    <xf numFmtId="7" fontId="5" fillId="0" borderId="30" xfId="0" applyNumberFormat="1" applyFont="1" applyBorder="1"/>
    <xf numFmtId="7" fontId="5" fillId="0" borderId="23" xfId="0" applyNumberFormat="1" applyFont="1" applyBorder="1"/>
    <xf numFmtId="0" fontId="27" fillId="24" borderId="0" xfId="5" applyFont="1" applyFill="1"/>
    <xf numFmtId="188" fontId="27" fillId="24" borderId="0" xfId="3" applyNumberFormat="1" applyFont="1" applyFill="1" applyBorder="1"/>
    <xf numFmtId="0" fontId="27" fillId="24" borderId="0" xfId="6" applyFont="1" applyFill="1"/>
    <xf numFmtId="0" fontId="13" fillId="0" borderId="30" xfId="8" applyFont="1" applyBorder="1" applyAlignment="1">
      <alignment horizontal="left" vertical="center"/>
    </xf>
    <xf numFmtId="0" fontId="13" fillId="0" borderId="19" xfId="6" applyFont="1" applyBorder="1" applyAlignment="1">
      <alignment horizontal="left" vertical="center"/>
    </xf>
    <xf numFmtId="0" fontId="13" fillId="0" borderId="19" xfId="0" applyFont="1" applyBorder="1" applyAlignment="1">
      <alignment vertical="center" wrapText="1"/>
    </xf>
    <xf numFmtId="0" fontId="5" fillId="0" borderId="23" xfId="8" applyFont="1" applyBorder="1" applyAlignment="1">
      <alignment horizontal="left" vertical="center"/>
    </xf>
    <xf numFmtId="165" fontId="2" fillId="0" borderId="19" xfId="13" applyNumberFormat="1" applyBorder="1" applyAlignment="1">
      <alignment horizontal="left" vertical="center" wrapText="1"/>
    </xf>
    <xf numFmtId="165" fontId="2" fillId="0" borderId="23" xfId="13" applyNumberFormat="1" applyBorder="1" applyAlignment="1">
      <alignment horizontal="left" vertical="center" wrapText="1"/>
    </xf>
    <xf numFmtId="0" fontId="13" fillId="0" borderId="19" xfId="8" applyFont="1" applyBorder="1" applyAlignment="1">
      <alignment vertical="center"/>
    </xf>
    <xf numFmtId="0" fontId="13" fillId="0" borderId="30" xfId="8" applyFont="1" applyBorder="1" applyAlignment="1">
      <alignment vertical="center"/>
    </xf>
    <xf numFmtId="0" fontId="33" fillId="0" borderId="9" xfId="8" applyFont="1" applyBorder="1" applyAlignment="1">
      <alignment vertical="center"/>
    </xf>
    <xf numFmtId="0" fontId="13" fillId="0" borderId="19" xfId="0" applyFont="1" applyBorder="1" applyAlignment="1">
      <alignment vertical="center"/>
    </xf>
    <xf numFmtId="165" fontId="13" fillId="0" borderId="19" xfId="13" applyNumberFormat="1" applyFont="1" applyBorder="1" applyAlignment="1">
      <alignment vertical="center" wrapText="1"/>
    </xf>
    <xf numFmtId="165" fontId="13" fillId="0" borderId="9" xfId="8" applyNumberFormat="1" applyFont="1" applyBorder="1" applyAlignment="1">
      <alignment vertical="center"/>
    </xf>
    <xf numFmtId="165" fontId="13" fillId="0" borderId="9" xfId="0" applyNumberFormat="1" applyFont="1" applyBorder="1" applyAlignment="1">
      <alignment vertical="center" wrapText="1"/>
    </xf>
    <xf numFmtId="9" fontId="13" fillId="0" borderId="19" xfId="3" applyFont="1" applyFill="1" applyBorder="1" applyAlignment="1">
      <alignment vertical="center" wrapText="1"/>
    </xf>
    <xf numFmtId="0" fontId="13" fillId="0" borderId="20" xfId="6" applyFont="1" applyBorder="1" applyAlignment="1">
      <alignment vertical="center"/>
    </xf>
    <xf numFmtId="0" fontId="13" fillId="0" borderId="9" xfId="6" applyFont="1" applyBorder="1" applyAlignment="1">
      <alignment horizontal="center" vertical="center"/>
    </xf>
    <xf numFmtId="165" fontId="33" fillId="0" borderId="50" xfId="8" applyNumberFormat="1" applyFont="1" applyBorder="1" applyAlignment="1">
      <alignment vertical="center"/>
    </xf>
    <xf numFmtId="0" fontId="13" fillId="4" borderId="9" xfId="0" applyFont="1" applyFill="1" applyBorder="1" applyAlignment="1">
      <alignment horizontal="left" vertical="center"/>
    </xf>
    <xf numFmtId="0" fontId="85" fillId="45" borderId="9" xfId="0" applyFont="1" applyFill="1" applyBorder="1" applyAlignment="1">
      <alignment horizontal="center" vertical="center" wrapText="1"/>
    </xf>
    <xf numFmtId="0" fontId="15" fillId="16" borderId="9" xfId="0" applyFont="1" applyFill="1" applyBorder="1" applyAlignment="1">
      <alignment horizontal="center" vertical="center"/>
    </xf>
    <xf numFmtId="173" fontId="15" fillId="16" borderId="16" xfId="2" applyNumberFormat="1" applyFont="1" applyFill="1" applyBorder="1" applyAlignment="1">
      <alignment horizontal="center" vertical="center"/>
    </xf>
    <xf numFmtId="0" fontId="13" fillId="4" borderId="19" xfId="8" applyFont="1" applyFill="1" applyBorder="1" applyAlignment="1">
      <alignment horizontal="left" vertical="center" wrapText="1"/>
    </xf>
    <xf numFmtId="172" fontId="13" fillId="17" borderId="21" xfId="3" applyNumberFormat="1" applyFont="1" applyFill="1" applyBorder="1" applyAlignment="1">
      <alignment horizontal="center"/>
    </xf>
    <xf numFmtId="0" fontId="48" fillId="0" borderId="19" xfId="6" applyFont="1" applyBorder="1"/>
    <xf numFmtId="2" fontId="5" fillId="49" borderId="9" xfId="11" applyNumberFormat="1" applyFont="1" applyFill="1" applyBorder="1" applyAlignment="1">
      <alignment horizontal="center" vertical="center"/>
    </xf>
    <xf numFmtId="175" fontId="13" fillId="0" borderId="9" xfId="9" applyNumberFormat="1" applyFont="1" applyBorder="1" applyAlignment="1">
      <alignment horizontal="center"/>
    </xf>
    <xf numFmtId="39" fontId="0" fillId="4" borderId="9" xfId="1" applyNumberFormat="1" applyFont="1" applyFill="1" applyBorder="1" applyAlignment="1">
      <alignment horizontal="center" vertical="center" wrapText="1"/>
    </xf>
    <xf numFmtId="4" fontId="0" fillId="4" borderId="9" xfId="5" applyNumberFormat="1" applyFont="1" applyFill="1" applyBorder="1" applyAlignment="1">
      <alignment horizontal="center" vertical="center" wrapText="1"/>
    </xf>
    <xf numFmtId="171" fontId="0" fillId="4" borderId="9" xfId="5" applyNumberFormat="1" applyFont="1" applyFill="1" applyBorder="1" applyAlignment="1">
      <alignment horizontal="center" vertical="center" wrapText="1"/>
    </xf>
    <xf numFmtId="0" fontId="0" fillId="0" borderId="0" xfId="0" applyAlignment="1">
      <alignment vertical="center"/>
    </xf>
    <xf numFmtId="0" fontId="0" fillId="0" borderId="0" xfId="5" applyFont="1" applyAlignment="1">
      <alignment vertical="center"/>
    </xf>
    <xf numFmtId="0" fontId="48" fillId="0" borderId="0" xfId="0" applyFont="1" applyAlignment="1">
      <alignment vertical="center"/>
    </xf>
    <xf numFmtId="0" fontId="48" fillId="0" borderId="0" xfId="0" applyFont="1" applyAlignment="1">
      <alignment horizontal="center" vertical="center"/>
    </xf>
    <xf numFmtId="0" fontId="48" fillId="4" borderId="0" xfId="0" applyFont="1" applyFill="1" applyAlignment="1">
      <alignment vertical="center"/>
    </xf>
    <xf numFmtId="0" fontId="104" fillId="0" borderId="0" xfId="0" applyFont="1" applyAlignment="1">
      <alignment vertical="center"/>
    </xf>
    <xf numFmtId="2" fontId="13" fillId="0" borderId="0" xfId="0" applyNumberFormat="1" applyFont="1" applyAlignment="1">
      <alignment vertical="center"/>
    </xf>
    <xf numFmtId="39" fontId="13" fillId="0" borderId="9" xfId="1" applyNumberFormat="1" applyFont="1" applyBorder="1" applyAlignment="1">
      <alignment horizontal="center" vertical="center"/>
    </xf>
    <xf numFmtId="184" fontId="13" fillId="0" borderId="9" xfId="1" applyNumberFormat="1" applyFont="1" applyBorder="1" applyAlignment="1">
      <alignment horizontal="center" vertical="center"/>
    </xf>
    <xf numFmtId="44" fontId="13" fillId="0" borderId="9" xfId="2" applyFont="1" applyBorder="1" applyAlignment="1">
      <alignment vertical="center"/>
    </xf>
    <xf numFmtId="2" fontId="5" fillId="0" borderId="9" xfId="0" applyNumberFormat="1" applyFont="1" applyBorder="1" applyAlignment="1">
      <alignment vertical="center"/>
    </xf>
    <xf numFmtId="207" fontId="0" fillId="0" borderId="0" xfId="3" applyNumberFormat="1" applyFont="1" applyAlignment="1">
      <alignment vertical="center"/>
    </xf>
    <xf numFmtId="0" fontId="13" fillId="0" borderId="0" xfId="13" applyFont="1" applyAlignment="1">
      <alignment vertical="center"/>
    </xf>
    <xf numFmtId="2" fontId="13" fillId="0" borderId="9" xfId="12" applyNumberFormat="1" applyFont="1" applyBorder="1" applyAlignment="1">
      <alignment horizontal="center" vertical="center"/>
    </xf>
    <xf numFmtId="0" fontId="27" fillId="12" borderId="9" xfId="0" applyFont="1" applyFill="1" applyBorder="1" applyAlignment="1">
      <alignment vertical="center"/>
    </xf>
    <xf numFmtId="167" fontId="6" fillId="12" borderId="9" xfId="0" applyNumberFormat="1" applyFont="1" applyFill="1" applyBorder="1" applyAlignment="1">
      <alignment vertical="center"/>
    </xf>
    <xf numFmtId="2" fontId="13" fillId="0" borderId="9" xfId="0" applyNumberFormat="1" applyFont="1" applyBorder="1" applyAlignment="1">
      <alignment vertical="center"/>
    </xf>
    <xf numFmtId="2" fontId="13" fillId="8" borderId="9" xfId="0" applyNumberFormat="1" applyFont="1" applyFill="1" applyBorder="1" applyAlignment="1">
      <alignment horizontal="center" vertical="center"/>
    </xf>
    <xf numFmtId="168" fontId="13" fillId="0" borderId="9" xfId="5" applyNumberFormat="1" applyFont="1" applyBorder="1" applyAlignment="1">
      <alignment horizontal="center" vertical="center" wrapText="1"/>
    </xf>
    <xf numFmtId="168" fontId="13" fillId="0" borderId="9" xfId="5" applyNumberFormat="1" applyFont="1" applyBorder="1" applyAlignment="1">
      <alignment vertical="center"/>
    </xf>
    <xf numFmtId="39" fontId="13" fillId="17" borderId="9" xfId="5" applyNumberFormat="1" applyFont="1" applyFill="1" applyBorder="1" applyAlignment="1">
      <alignment horizontal="center" vertical="center"/>
    </xf>
    <xf numFmtId="39" fontId="13" fillId="0" borderId="9" xfId="5" applyNumberFormat="1" applyFont="1" applyBorder="1" applyAlignment="1">
      <alignment horizontal="center" vertical="center"/>
    </xf>
    <xf numFmtId="39" fontId="5" fillId="0" borderId="9" xfId="5" applyNumberFormat="1" applyFont="1" applyBorder="1" applyAlignment="1">
      <alignment horizontal="center" vertical="center"/>
    </xf>
    <xf numFmtId="0" fontId="13" fillId="0" borderId="9" xfId="8" applyFont="1" applyBorder="1" applyAlignment="1">
      <alignment horizontal="center" vertical="center"/>
    </xf>
    <xf numFmtId="44" fontId="13" fillId="17" borderId="9" xfId="2" applyFont="1" applyFill="1" applyBorder="1" applyAlignment="1">
      <alignment horizontal="center" vertical="center"/>
    </xf>
    <xf numFmtId="44" fontId="5" fillId="0" borderId="9" xfId="2" applyFont="1" applyBorder="1" applyAlignment="1">
      <alignment horizontal="center" vertical="center"/>
    </xf>
    <xf numFmtId="0" fontId="33" fillId="4" borderId="9" xfId="8" applyFont="1" applyFill="1" applyBorder="1" applyAlignment="1">
      <alignment horizontal="center" vertical="center"/>
    </xf>
    <xf numFmtId="0" fontId="33" fillId="4" borderId="9" xfId="8" applyFont="1" applyFill="1" applyBorder="1" applyAlignment="1">
      <alignment vertical="center"/>
    </xf>
    <xf numFmtId="168" fontId="2" fillId="0" borderId="9" xfId="1" applyNumberFormat="1" applyFont="1" applyFill="1" applyBorder="1" applyAlignment="1">
      <alignment horizontal="center"/>
    </xf>
    <xf numFmtId="165" fontId="2" fillId="0" borderId="9" xfId="0" applyNumberFormat="1" applyFont="1" applyBorder="1" applyAlignment="1">
      <alignment horizontal="center"/>
    </xf>
    <xf numFmtId="170" fontId="2" fillId="0" borderId="9" xfId="0" applyNumberFormat="1" applyFont="1" applyBorder="1" applyAlignment="1">
      <alignment horizontal="center"/>
    </xf>
    <xf numFmtId="165" fontId="2" fillId="0" borderId="9" xfId="0" applyNumberFormat="1" applyFont="1" applyBorder="1"/>
    <xf numFmtId="171" fontId="2" fillId="0" borderId="9" xfId="0" applyNumberFormat="1" applyFont="1" applyBorder="1"/>
    <xf numFmtId="2" fontId="13" fillId="0" borderId="9" xfId="0" applyNumberFormat="1" applyFont="1" applyBorder="1" applyAlignment="1">
      <alignment horizontal="right"/>
    </xf>
    <xf numFmtId="39" fontId="13" fillId="0" borderId="9" xfId="5" applyNumberFormat="1" applyFont="1" applyBorder="1" applyAlignment="1">
      <alignment horizontal="right"/>
    </xf>
    <xf numFmtId="198" fontId="13" fillId="0" borderId="30" xfId="2" applyNumberFormat="1" applyFont="1" applyFill="1" applyBorder="1"/>
    <xf numFmtId="0" fontId="105" fillId="0" borderId="0" xfId="0" applyFont="1" applyAlignment="1">
      <alignment horizontal="left"/>
    </xf>
    <xf numFmtId="0" fontId="13" fillId="4" borderId="9" xfId="8" applyFont="1" applyFill="1" applyBorder="1" applyAlignment="1">
      <alignment horizontal="left" wrapText="1"/>
    </xf>
    <xf numFmtId="0" fontId="19" fillId="0" borderId="0" xfId="0" applyFont="1" applyAlignment="1">
      <alignment wrapText="1"/>
    </xf>
    <xf numFmtId="165" fontId="108" fillId="0" borderId="8" xfId="0" applyNumberFormat="1" applyFont="1" applyBorder="1" applyAlignment="1">
      <alignment horizontal="center" vertical="center" wrapText="1"/>
    </xf>
    <xf numFmtId="165" fontId="108" fillId="0" borderId="9" xfId="0" applyNumberFormat="1" applyFont="1" applyBorder="1" applyAlignment="1">
      <alignment horizontal="center" vertical="center" wrapText="1"/>
    </xf>
    <xf numFmtId="0" fontId="108" fillId="0" borderId="10" xfId="0" applyFont="1" applyBorder="1" applyAlignment="1">
      <alignment horizontal="left" vertical="center" wrapText="1"/>
    </xf>
    <xf numFmtId="166" fontId="13" fillId="12" borderId="0" xfId="0" applyNumberFormat="1" applyFont="1" applyFill="1" applyAlignment="1">
      <alignment horizontal="center" vertical="center" wrapText="1"/>
    </xf>
    <xf numFmtId="0" fontId="13" fillId="12" borderId="0" xfId="0" applyFont="1" applyFill="1" applyAlignment="1">
      <alignment horizontal="center" vertical="center" wrapText="1"/>
    </xf>
    <xf numFmtId="1" fontId="5" fillId="0" borderId="0" xfId="3" applyNumberFormat="1" applyFont="1" applyFill="1" applyBorder="1" applyAlignment="1">
      <alignment horizontal="center"/>
    </xf>
    <xf numFmtId="2" fontId="0" fillId="0" borderId="0" xfId="0" applyNumberFormat="1"/>
    <xf numFmtId="39" fontId="0" fillId="0" borderId="0" xfId="0" applyNumberFormat="1"/>
    <xf numFmtId="165" fontId="0" fillId="0" borderId="0" xfId="0" applyNumberFormat="1"/>
    <xf numFmtId="0" fontId="107" fillId="0" borderId="0" xfId="5" applyFont="1" applyAlignment="1">
      <alignment horizontal="left"/>
    </xf>
    <xf numFmtId="168" fontId="2" fillId="4" borderId="9" xfId="1" applyNumberFormat="1" applyFont="1" applyFill="1" applyBorder="1" applyAlignment="1">
      <alignment horizontal="center" vertical="center" wrapText="1"/>
    </xf>
    <xf numFmtId="168" fontId="2" fillId="4" borderId="9" xfId="1" applyNumberFormat="1" applyFont="1" applyFill="1" applyBorder="1" applyAlignment="1">
      <alignment vertical="center" wrapText="1"/>
    </xf>
    <xf numFmtId="43" fontId="2" fillId="4" borderId="9" xfId="1" applyFont="1" applyFill="1" applyBorder="1" applyAlignment="1">
      <alignment horizontal="center" vertical="center" wrapText="1"/>
    </xf>
    <xf numFmtId="1" fontId="5" fillId="0" borderId="9" xfId="0" applyNumberFormat="1" applyFont="1" applyBorder="1" applyAlignment="1">
      <alignment horizontal="left"/>
    </xf>
    <xf numFmtId="2" fontId="106" fillId="0" borderId="9" xfId="13" applyNumberFormat="1" applyFont="1" applyBorder="1" applyAlignment="1">
      <alignment horizontal="center"/>
    </xf>
    <xf numFmtId="37" fontId="5" fillId="8" borderId="9" xfId="1" applyNumberFormat="1" applyFont="1" applyFill="1" applyBorder="1" applyAlignment="1">
      <alignment horizontal="center" vertical="center" wrapText="1"/>
    </xf>
    <xf numFmtId="39" fontId="5" fillId="4" borderId="9" xfId="5" applyNumberFormat="1" applyFont="1" applyFill="1" applyBorder="1" applyAlignment="1">
      <alignment horizontal="center"/>
    </xf>
    <xf numFmtId="37" fontId="5" fillId="49" borderId="9" xfId="1" applyNumberFormat="1" applyFont="1" applyFill="1" applyBorder="1" applyAlignment="1">
      <alignment horizontal="center"/>
    </xf>
    <xf numFmtId="0" fontId="13" fillId="0" borderId="23" xfId="8" applyFont="1" applyBorder="1" applyAlignment="1">
      <alignment horizontal="left" vertical="center"/>
    </xf>
    <xf numFmtId="0" fontId="109" fillId="0" borderId="19" xfId="8" applyFont="1" applyBorder="1" applyAlignment="1">
      <alignment horizontal="left" vertical="center"/>
    </xf>
    <xf numFmtId="0" fontId="5" fillId="0" borderId="9" xfId="8" applyFont="1" applyBorder="1"/>
    <xf numFmtId="37" fontId="13" fillId="0" borderId="9" xfId="5" applyNumberFormat="1" applyFont="1" applyBorder="1" applyAlignment="1">
      <alignment horizontal="center" vertical="center"/>
    </xf>
    <xf numFmtId="2" fontId="10" fillId="0" borderId="0" xfId="5" applyNumberFormat="1"/>
    <xf numFmtId="2" fontId="13" fillId="10" borderId="17" xfId="0" applyNumberFormat="1" applyFont="1" applyFill="1" applyBorder="1" applyAlignment="1">
      <alignment horizontal="left"/>
    </xf>
    <xf numFmtId="2" fontId="86" fillId="0" borderId="0" xfId="5" applyNumberFormat="1" applyFont="1"/>
    <xf numFmtId="2" fontId="5" fillId="8" borderId="9" xfId="0" applyNumberFormat="1" applyFont="1" applyFill="1" applyBorder="1" applyAlignment="1">
      <alignment horizontal="center" vertical="top" wrapText="1"/>
    </xf>
    <xf numFmtId="4" fontId="5" fillId="8" borderId="9" xfId="0" applyNumberFormat="1" applyFont="1" applyFill="1" applyBorder="1" applyAlignment="1">
      <alignment horizontal="center" vertical="top" wrapText="1"/>
    </xf>
    <xf numFmtId="0" fontId="5" fillId="4" borderId="19" xfId="0" applyFont="1" applyFill="1" applyBorder="1" applyAlignment="1">
      <alignment horizontal="left" vertical="center" wrapText="1"/>
    </xf>
    <xf numFmtId="0" fontId="5" fillId="4" borderId="30"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0" borderId="9" xfId="0" applyFont="1" applyBorder="1" applyAlignment="1">
      <alignment horizontal="left" vertical="center" wrapText="1"/>
    </xf>
    <xf numFmtId="7" fontId="5" fillId="8" borderId="9" xfId="2" applyNumberFormat="1" applyFont="1" applyFill="1" applyBorder="1" applyAlignment="1">
      <alignment horizontal="center"/>
    </xf>
    <xf numFmtId="2" fontId="5" fillId="8" borderId="9" xfId="0" applyNumberFormat="1" applyFont="1" applyFill="1" applyBorder="1" applyAlignment="1">
      <alignment horizontal="left" vertical="top" wrapText="1"/>
    </xf>
    <xf numFmtId="43" fontId="5" fillId="16" borderId="9" xfId="1" applyFont="1" applyFill="1" applyBorder="1" applyAlignment="1">
      <alignment horizontal="left" vertical="top"/>
    </xf>
    <xf numFmtId="3" fontId="5" fillId="48" borderId="9" xfId="0" applyNumberFormat="1" applyFont="1" applyFill="1" applyBorder="1" applyAlignment="1">
      <alignment horizontal="center" vertical="top" wrapText="1"/>
    </xf>
    <xf numFmtId="2" fontId="5" fillId="4" borderId="9" xfId="0" applyNumberFormat="1" applyFont="1" applyFill="1" applyBorder="1" applyAlignment="1">
      <alignment horizontal="center" vertical="top" wrapText="1"/>
    </xf>
    <xf numFmtId="0" fontId="5" fillId="4" borderId="16" xfId="0" applyFont="1" applyFill="1" applyBorder="1" applyAlignment="1">
      <alignment horizontal="left" vertical="top"/>
    </xf>
    <xf numFmtId="0" fontId="5" fillId="4" borderId="17" xfId="0" applyFont="1" applyFill="1" applyBorder="1" applyAlignment="1">
      <alignment horizontal="left" vertical="top" wrapText="1"/>
    </xf>
    <xf numFmtId="0" fontId="5" fillId="4" borderId="18" xfId="0" applyFont="1" applyFill="1" applyBorder="1" applyAlignment="1">
      <alignment horizontal="left" vertical="top" wrapText="1"/>
    </xf>
    <xf numFmtId="1" fontId="5" fillId="4" borderId="19" xfId="0" applyNumberFormat="1" applyFont="1" applyFill="1" applyBorder="1"/>
    <xf numFmtId="168" fontId="5" fillId="0" borderId="9" xfId="5" applyNumberFormat="1" applyFont="1" applyBorder="1" applyAlignment="1">
      <alignment horizontal="center"/>
    </xf>
    <xf numFmtId="168" fontId="5" fillId="4" borderId="9" xfId="5" applyNumberFormat="1" applyFont="1" applyFill="1" applyBorder="1" applyAlignment="1">
      <alignment horizontal="center"/>
    </xf>
    <xf numFmtId="168" fontId="5" fillId="4" borderId="9" xfId="0" applyNumberFormat="1" applyFont="1" applyFill="1" applyBorder="1" applyAlignment="1">
      <alignment horizontal="center"/>
    </xf>
    <xf numFmtId="0" fontId="5" fillId="17" borderId="9" xfId="0" applyFont="1" applyFill="1" applyBorder="1" applyAlignment="1">
      <alignment horizontal="center" vertical="top" wrapText="1"/>
    </xf>
    <xf numFmtId="0" fontId="5" fillId="0" borderId="9" xfId="0" applyFont="1" applyBorder="1" applyAlignment="1">
      <alignment vertical="center"/>
    </xf>
    <xf numFmtId="2" fontId="5" fillId="8" borderId="9" xfId="0" applyNumberFormat="1" applyFont="1" applyFill="1" applyBorder="1" applyAlignment="1">
      <alignment horizontal="center"/>
    </xf>
    <xf numFmtId="2" fontId="5" fillId="48" borderId="9" xfId="0" applyNumberFormat="1" applyFont="1" applyFill="1" applyBorder="1" applyAlignment="1">
      <alignment horizontal="center" vertical="top" wrapText="1"/>
    </xf>
    <xf numFmtId="170" fontId="5" fillId="17" borderId="9" xfId="1" applyNumberFormat="1" applyFont="1" applyFill="1" applyBorder="1" applyAlignment="1">
      <alignment horizontal="center" vertical="top" wrapText="1"/>
    </xf>
    <xf numFmtId="0" fontId="13" fillId="4" borderId="9" xfId="0" applyFont="1" applyFill="1" applyBorder="1" applyAlignment="1">
      <alignment horizontal="center" vertical="top" wrapText="1"/>
    </xf>
    <xf numFmtId="9" fontId="13" fillId="4" borderId="0" xfId="3" applyFont="1" applyFill="1" applyBorder="1" applyAlignment="1">
      <alignment horizontal="center" vertical="top" wrapText="1"/>
    </xf>
    <xf numFmtId="7" fontId="5" fillId="8" borderId="9" xfId="2" applyNumberFormat="1" applyFont="1" applyFill="1" applyBorder="1" applyAlignment="1">
      <alignment horizontal="center" vertical="center" wrapText="1"/>
    </xf>
    <xf numFmtId="184" fontId="5" fillId="0" borderId="0" xfId="0" applyNumberFormat="1" applyFont="1"/>
    <xf numFmtId="9" fontId="5" fillId="0" borderId="0" xfId="3" applyFont="1" applyFill="1"/>
    <xf numFmtId="2" fontId="5" fillId="0" borderId="24" xfId="0" applyNumberFormat="1" applyFont="1" applyBorder="1"/>
    <xf numFmtId="0" fontId="5" fillId="0" borderId="0" xfId="0" applyFont="1" applyAlignment="1">
      <alignment horizontal="right"/>
    </xf>
    <xf numFmtId="7" fontId="5" fillId="0" borderId="0" xfId="2" applyNumberFormat="1" applyFont="1" applyFill="1" applyBorder="1" applyAlignment="1">
      <alignment horizontal="center" vertical="center" wrapText="1"/>
    </xf>
    <xf numFmtId="37" fontId="5" fillId="0" borderId="0" xfId="0" applyNumberFormat="1" applyFont="1"/>
    <xf numFmtId="0" fontId="5" fillId="0" borderId="9" xfId="13" applyFont="1" applyBorder="1" applyAlignment="1">
      <alignment wrapText="1"/>
    </xf>
    <xf numFmtId="165" fontId="5" fillId="0" borderId="19" xfId="13" applyNumberFormat="1" applyFont="1" applyBorder="1" applyAlignment="1">
      <alignment vertical="center" wrapText="1"/>
    </xf>
    <xf numFmtId="4" fontId="5" fillId="46" borderId="9" xfId="0" applyNumberFormat="1" applyFont="1" applyFill="1" applyBorder="1" applyAlignment="1">
      <alignment horizontal="center" vertical="center" wrapText="1"/>
    </xf>
    <xf numFmtId="0" fontId="5" fillId="4" borderId="19" xfId="8" applyFont="1" applyFill="1" applyBorder="1" applyAlignment="1">
      <alignment horizontal="left"/>
    </xf>
    <xf numFmtId="9" fontId="5" fillId="0" borderId="19" xfId="3" applyFont="1" applyFill="1" applyBorder="1" applyAlignment="1">
      <alignment vertical="center" wrapText="1"/>
    </xf>
    <xf numFmtId="168" fontId="5" fillId="0" borderId="9" xfId="0" applyNumberFormat="1" applyFont="1" applyBorder="1" applyAlignment="1">
      <alignment horizontal="center"/>
    </xf>
    <xf numFmtId="0" fontId="0" fillId="20" borderId="0" xfId="0" applyFill="1"/>
    <xf numFmtId="177" fontId="24" fillId="0" borderId="0" xfId="5" applyNumberFormat="1" applyFont="1"/>
    <xf numFmtId="166" fontId="24" fillId="0" borderId="0" xfId="5" applyNumberFormat="1" applyFont="1"/>
    <xf numFmtId="168" fontId="13" fillId="0" borderId="9" xfId="1" applyNumberFormat="1" applyFont="1" applyBorder="1" applyAlignment="1">
      <alignment horizontal="center"/>
    </xf>
    <xf numFmtId="205" fontId="13" fillId="0" borderId="9" xfId="1" applyNumberFormat="1" applyFont="1" applyBorder="1" applyAlignment="1">
      <alignment horizontal="center"/>
    </xf>
    <xf numFmtId="1" fontId="13" fillId="0" borderId="9" xfId="5" applyNumberFormat="1" applyFont="1" applyBorder="1" applyAlignment="1">
      <alignment horizontal="center"/>
    </xf>
    <xf numFmtId="2" fontId="0" fillId="0" borderId="9" xfId="5" applyNumberFormat="1" applyFont="1" applyBorder="1" applyAlignment="1">
      <alignment horizontal="center"/>
    </xf>
    <xf numFmtId="2" fontId="13" fillId="0" borderId="9" xfId="5" applyNumberFormat="1" applyFont="1" applyBorder="1" applyAlignment="1">
      <alignment horizontal="center"/>
    </xf>
    <xf numFmtId="4" fontId="13" fillId="0" borderId="9" xfId="0" applyNumberFormat="1" applyFont="1" applyBorder="1" applyAlignment="1">
      <alignment horizontal="center"/>
    </xf>
    <xf numFmtId="171" fontId="2" fillId="4" borderId="9" xfId="5" applyNumberFormat="1" applyFont="1" applyFill="1" applyBorder="1"/>
    <xf numFmtId="168" fontId="105" fillId="0" borderId="9" xfId="5" applyNumberFormat="1" applyFont="1" applyBorder="1" applyAlignment="1">
      <alignment horizontal="center"/>
    </xf>
    <xf numFmtId="0" fontId="111" fillId="0" borderId="0" xfId="5" applyFont="1"/>
    <xf numFmtId="172" fontId="5" fillId="0" borderId="9" xfId="3" applyNumberFormat="1" applyFont="1" applyBorder="1" applyAlignment="1">
      <alignment horizontal="center"/>
    </xf>
    <xf numFmtId="0" fontId="5" fillId="4" borderId="9" xfId="8" applyFont="1" applyFill="1" applyBorder="1" applyAlignment="1">
      <alignment horizontal="left" vertical="center"/>
    </xf>
    <xf numFmtId="2" fontId="5" fillId="8" borderId="9" xfId="13" applyNumberFormat="1" applyFont="1" applyFill="1" applyBorder="1" applyAlignment="1">
      <alignment horizontal="center"/>
    </xf>
    <xf numFmtId="9" fontId="13" fillId="4" borderId="9" xfId="3" applyFont="1" applyFill="1" applyBorder="1" applyAlignment="1">
      <alignment horizontal="left" vertical="center" wrapText="1"/>
    </xf>
    <xf numFmtId="9" fontId="5" fillId="4" borderId="9" xfId="3" applyFont="1" applyFill="1" applyBorder="1" applyAlignment="1">
      <alignment horizontal="left" vertical="center" wrapText="1"/>
    </xf>
    <xf numFmtId="9" fontId="5" fillId="4" borderId="9" xfId="3" applyFont="1" applyFill="1" applyBorder="1" applyAlignment="1">
      <alignment horizontal="left"/>
    </xf>
    <xf numFmtId="9" fontId="13" fillId="0" borderId="9" xfId="3" applyFont="1" applyFill="1" applyBorder="1" applyAlignment="1">
      <alignment horizontal="left" vertical="center" wrapText="1"/>
    </xf>
    <xf numFmtId="44" fontId="5" fillId="4" borderId="9" xfId="2" applyFont="1" applyFill="1" applyBorder="1" applyAlignment="1">
      <alignment horizontal="center" vertical="top" wrapText="1"/>
    </xf>
    <xf numFmtId="0" fontId="13" fillId="0" borderId="23" xfId="0" applyFont="1" applyBorder="1" applyAlignment="1">
      <alignment horizontal="left" vertical="center" wrapText="1"/>
    </xf>
    <xf numFmtId="0" fontId="5" fillId="4" borderId="0" xfId="0" applyFont="1" applyFill="1" applyAlignment="1">
      <alignment vertical="top" wrapText="1"/>
    </xf>
    <xf numFmtId="9" fontId="5" fillId="8" borderId="9" xfId="3" applyFont="1" applyFill="1" applyBorder="1" applyAlignment="1">
      <alignment horizontal="center" vertical="center" wrapText="1"/>
    </xf>
    <xf numFmtId="9" fontId="5" fillId="4" borderId="9" xfId="3" applyFont="1" applyFill="1" applyBorder="1"/>
    <xf numFmtId="44" fontId="5" fillId="8" borderId="9" xfId="2" applyFont="1" applyFill="1" applyBorder="1" applyAlignment="1">
      <alignment horizontal="center"/>
    </xf>
    <xf numFmtId="1" fontId="13" fillId="8" borderId="9" xfId="0" applyNumberFormat="1" applyFont="1" applyFill="1" applyBorder="1" applyAlignment="1">
      <alignment horizontal="left" vertical="top" wrapText="1"/>
    </xf>
    <xf numFmtId="3" fontId="13" fillId="8" borderId="9" xfId="0" applyNumberFormat="1" applyFont="1" applyFill="1" applyBorder="1" applyAlignment="1">
      <alignment horizontal="left" vertical="top" wrapText="1"/>
    </xf>
    <xf numFmtId="3" fontId="13" fillId="48" borderId="9" xfId="0" applyNumberFormat="1" applyFont="1" applyFill="1" applyBorder="1" applyAlignment="1">
      <alignment horizontal="left" vertical="top" wrapText="1"/>
    </xf>
    <xf numFmtId="44" fontId="5" fillId="4" borderId="9" xfId="2" applyFont="1" applyFill="1" applyBorder="1" applyAlignment="1">
      <alignment horizontal="center"/>
    </xf>
    <xf numFmtId="0" fontId="13" fillId="19" borderId="9" xfId="0" applyFont="1" applyFill="1" applyBorder="1" applyAlignment="1">
      <alignment horizontal="left" vertical="top" wrapText="1"/>
    </xf>
    <xf numFmtId="1" fontId="13" fillId="19" borderId="9" xfId="0" applyNumberFormat="1" applyFont="1" applyFill="1" applyBorder="1" applyAlignment="1">
      <alignment horizontal="left" vertical="top" wrapText="1"/>
    </xf>
    <xf numFmtId="10" fontId="13" fillId="4" borderId="9" xfId="3" applyNumberFormat="1" applyFont="1" applyFill="1" applyBorder="1" applyAlignment="1">
      <alignment horizontal="left" vertical="top" wrapText="1"/>
    </xf>
    <xf numFmtId="10" fontId="13" fillId="36" borderId="9" xfId="3" applyNumberFormat="1" applyFont="1" applyFill="1" applyBorder="1" applyAlignment="1">
      <alignment horizontal="left" vertical="top" wrapText="1"/>
    </xf>
    <xf numFmtId="10" fontId="13" fillId="19" borderId="9" xfId="3" applyNumberFormat="1" applyFont="1" applyFill="1" applyBorder="1" applyAlignment="1">
      <alignment horizontal="left" vertical="top" wrapText="1"/>
    </xf>
    <xf numFmtId="10" fontId="13" fillId="51" borderId="9" xfId="3" applyNumberFormat="1" applyFont="1" applyFill="1" applyBorder="1" applyAlignment="1">
      <alignment horizontal="left" vertical="top" wrapText="1"/>
    </xf>
    <xf numFmtId="10" fontId="2" fillId="19" borderId="9" xfId="3" applyNumberFormat="1" applyFont="1" applyFill="1" applyBorder="1" applyAlignment="1">
      <alignment horizontal="center"/>
    </xf>
    <xf numFmtId="44" fontId="13" fillId="0" borderId="0" xfId="2" applyFont="1"/>
    <xf numFmtId="44" fontId="13" fillId="8" borderId="9" xfId="2" applyFont="1" applyFill="1" applyBorder="1" applyAlignment="1">
      <alignment horizontal="center" wrapText="1"/>
    </xf>
    <xf numFmtId="198" fontId="13" fillId="0" borderId="19" xfId="2" applyNumberFormat="1" applyFont="1" applyFill="1" applyBorder="1"/>
    <xf numFmtId="44" fontId="13" fillId="8" borderId="9" xfId="2" applyFont="1" applyFill="1" applyBorder="1"/>
    <xf numFmtId="198" fontId="13" fillId="0" borderId="23" xfId="2" applyNumberFormat="1" applyFont="1" applyFill="1" applyBorder="1"/>
    <xf numFmtId="198" fontId="13" fillId="0" borderId="26" xfId="2" applyNumberFormat="1" applyFont="1" applyFill="1" applyBorder="1"/>
    <xf numFmtId="198" fontId="13" fillId="0" borderId="9" xfId="2" applyNumberFormat="1" applyFont="1" applyFill="1" applyBorder="1"/>
    <xf numFmtId="44" fontId="13" fillId="8" borderId="23" xfId="2" applyFont="1" applyFill="1" applyBorder="1"/>
    <xf numFmtId="198" fontId="13" fillId="0" borderId="9" xfId="2" applyNumberFormat="1" applyFont="1" applyBorder="1"/>
    <xf numFmtId="4" fontId="13" fillId="4" borderId="9" xfId="5" applyNumberFormat="1" applyFont="1" applyFill="1" applyBorder="1" applyAlignment="1">
      <alignment horizontal="center" vertical="center" wrapText="1"/>
    </xf>
    <xf numFmtId="44" fontId="13" fillId="0" borderId="19" xfId="2" applyFont="1" applyFill="1" applyBorder="1"/>
    <xf numFmtId="44" fontId="13" fillId="0" borderId="30" xfId="2" applyFont="1" applyFill="1" applyBorder="1"/>
    <xf numFmtId="44" fontId="13" fillId="0" borderId="23" xfId="2" applyFont="1" applyFill="1" applyBorder="1"/>
    <xf numFmtId="44" fontId="13" fillId="0" borderId="18" xfId="2" applyFont="1" applyFill="1" applyBorder="1"/>
    <xf numFmtId="44" fontId="13" fillId="0" borderId="0" xfId="2" applyFont="1" applyFill="1"/>
    <xf numFmtId="44" fontId="13" fillId="0" borderId="9" xfId="2" applyFont="1" applyFill="1" applyBorder="1" applyAlignment="1">
      <alignment horizontal="center" wrapText="1"/>
    </xf>
    <xf numFmtId="44" fontId="13" fillId="0" borderId="0" xfId="2" applyFont="1" applyFill="1" applyAlignment="1">
      <alignment horizontal="center" wrapText="1"/>
    </xf>
    <xf numFmtId="44" fontId="24" fillId="0" borderId="0" xfId="2" applyFont="1" applyAlignment="1">
      <alignment horizontal="center" wrapText="1"/>
    </xf>
    <xf numFmtId="44" fontId="13" fillId="0" borderId="0" xfId="2" applyFont="1" applyAlignment="1">
      <alignment horizontal="center" wrapText="1"/>
    </xf>
    <xf numFmtId="198" fontId="13" fillId="0" borderId="30" xfId="2" applyNumberFormat="1" applyFont="1" applyFill="1" applyBorder="1" applyAlignment="1">
      <alignment horizontal="center"/>
    </xf>
    <xf numFmtId="198" fontId="13" fillId="0" borderId="30" xfId="2" applyNumberFormat="1" applyFont="1" applyFill="1" applyBorder="1" applyAlignment="1">
      <alignment horizontal="right"/>
    </xf>
    <xf numFmtId="198" fontId="13" fillId="0" borderId="19" xfId="2" applyNumberFormat="1" applyFont="1" applyFill="1" applyBorder="1" applyAlignment="1">
      <alignment horizontal="right"/>
    </xf>
    <xf numFmtId="198" fontId="13" fillId="0" borderId="23" xfId="2" applyNumberFormat="1" applyFont="1" applyFill="1" applyBorder="1" applyAlignment="1">
      <alignment horizontal="right"/>
    </xf>
    <xf numFmtId="44" fontId="13" fillId="4" borderId="9" xfId="2" applyFont="1" applyFill="1" applyBorder="1"/>
    <xf numFmtId="0" fontId="5" fillId="10" borderId="16" xfId="0" applyFont="1" applyFill="1" applyBorder="1" applyAlignment="1">
      <alignment horizontal="left"/>
    </xf>
    <xf numFmtId="7" fontId="5" fillId="0" borderId="9" xfId="2" applyNumberFormat="1" applyFont="1" applyBorder="1" applyAlignment="1">
      <alignment horizontal="center" vertical="center"/>
    </xf>
    <xf numFmtId="2" fontId="5" fillId="0" borderId="9" xfId="13" applyNumberFormat="1" applyFont="1" applyBorder="1" applyAlignment="1">
      <alignment horizontal="center" vertical="center"/>
    </xf>
    <xf numFmtId="0" fontId="2" fillId="0" borderId="0" xfId="6" applyAlignment="1">
      <alignment vertical="center"/>
    </xf>
    <xf numFmtId="9" fontId="2" fillId="0" borderId="9" xfId="3" applyBorder="1" applyAlignment="1">
      <alignment horizontal="left" vertical="center" wrapText="1"/>
    </xf>
    <xf numFmtId="9" fontId="5" fillId="0" borderId="9" xfId="3" applyFont="1" applyBorder="1" applyAlignment="1">
      <alignment horizontal="center" vertical="center"/>
    </xf>
    <xf numFmtId="9" fontId="2" fillId="0" borderId="0" xfId="3" applyAlignment="1">
      <alignment vertical="center"/>
    </xf>
    <xf numFmtId="0" fontId="5" fillId="0" borderId="0" xfId="5" applyFont="1"/>
    <xf numFmtId="0" fontId="5" fillId="10" borderId="17" xfId="0" applyFont="1" applyFill="1" applyBorder="1" applyAlignment="1">
      <alignment horizontal="left"/>
    </xf>
    <xf numFmtId="0" fontId="5" fillId="10" borderId="18" xfId="0" applyFont="1" applyFill="1" applyBorder="1" applyAlignment="1">
      <alignment horizontal="left"/>
    </xf>
    <xf numFmtId="2" fontId="5" fillId="0" borderId="0" xfId="5" applyNumberFormat="1" applyFont="1" applyAlignment="1">
      <alignment horizontal="center"/>
    </xf>
    <xf numFmtId="0" fontId="112" fillId="0" borderId="0" xfId="6" applyFont="1"/>
    <xf numFmtId="166" fontId="5" fillId="0" borderId="0" xfId="5" applyNumberFormat="1" applyFont="1" applyAlignment="1">
      <alignment horizontal="center"/>
    </xf>
    <xf numFmtId="0" fontId="5" fillId="0" borderId="0" xfId="6" applyFont="1"/>
    <xf numFmtId="2" fontId="14" fillId="0" borderId="0" xfId="5" applyNumberFormat="1" applyFont="1" applyAlignment="1">
      <alignment horizontal="center"/>
    </xf>
    <xf numFmtId="0" fontId="5" fillId="11" borderId="9" xfId="6" applyFont="1" applyFill="1" applyBorder="1" applyAlignment="1">
      <alignment horizontal="center" vertical="center" wrapText="1"/>
    </xf>
    <xf numFmtId="0" fontId="5" fillId="11" borderId="9" xfId="5" applyFont="1" applyFill="1" applyBorder="1" applyAlignment="1">
      <alignment horizontal="center" vertical="center" wrapText="1"/>
    </xf>
    <xf numFmtId="166" fontId="5" fillId="11" borderId="9" xfId="5" applyNumberFormat="1" applyFont="1" applyFill="1" applyBorder="1" applyAlignment="1">
      <alignment horizontal="center" vertical="center" wrapText="1"/>
    </xf>
    <xf numFmtId="0" fontId="14" fillId="0" borderId="0" xfId="6" applyFont="1"/>
    <xf numFmtId="44" fontId="5" fillId="8" borderId="9" xfId="2" applyFont="1" applyFill="1" applyBorder="1"/>
    <xf numFmtId="166" fontId="5" fillId="0" borderId="9" xfId="5" applyNumberFormat="1" applyFont="1" applyBorder="1" applyAlignment="1">
      <alignment horizontal="center"/>
    </xf>
    <xf numFmtId="1" fontId="5" fillId="0" borderId="9" xfId="6" applyNumberFormat="1" applyFont="1" applyBorder="1" applyAlignment="1">
      <alignment horizontal="center" vertical="center" wrapText="1"/>
    </xf>
    <xf numFmtId="0" fontId="5" fillId="4" borderId="9" xfId="0" applyFont="1" applyFill="1" applyBorder="1" applyAlignment="1">
      <alignment horizontal="center" vertical="center" wrapText="1"/>
    </xf>
    <xf numFmtId="0" fontId="0" fillId="0" borderId="30" xfId="0" applyBorder="1" applyAlignment="1">
      <alignment horizontal="left" vertical="center" wrapText="1"/>
    </xf>
    <xf numFmtId="0" fontId="111" fillId="0" borderId="0" xfId="5" applyFont="1" applyAlignment="1">
      <alignment vertical="center"/>
    </xf>
    <xf numFmtId="0" fontId="14" fillId="0" borderId="0" xfId="5" applyFont="1" applyAlignment="1">
      <alignment vertical="center"/>
    </xf>
    <xf numFmtId="168" fontId="5" fillId="0" borderId="9" xfId="5" applyNumberFormat="1" applyFont="1" applyBorder="1" applyAlignment="1">
      <alignment horizontal="center" vertical="center"/>
    </xf>
    <xf numFmtId="168" fontId="5" fillId="0" borderId="9" xfId="5" applyNumberFormat="1" applyFont="1" applyBorder="1" applyAlignment="1">
      <alignment vertical="center"/>
    </xf>
    <xf numFmtId="170" fontId="5" fillId="0" borderId="9" xfId="5" applyNumberFormat="1" applyFont="1" applyBorder="1" applyAlignment="1">
      <alignment horizontal="center" vertical="center"/>
    </xf>
    <xf numFmtId="166" fontId="5" fillId="0" borderId="9" xfId="5" applyNumberFormat="1" applyFont="1" applyBorder="1" applyAlignment="1">
      <alignment horizontal="center" vertical="center"/>
    </xf>
    <xf numFmtId="178" fontId="5" fillId="0" borderId="16" xfId="5" applyNumberFormat="1" applyFont="1" applyBorder="1" applyAlignment="1">
      <alignment horizontal="center" vertical="center"/>
    </xf>
    <xf numFmtId="165" fontId="5" fillId="0" borderId="9" xfId="6" applyNumberFormat="1" applyFont="1" applyBorder="1" applyAlignment="1">
      <alignment horizontal="center" vertical="center"/>
    </xf>
    <xf numFmtId="39" fontId="5" fillId="0" borderId="9" xfId="0" applyNumberFormat="1" applyFont="1" applyBorder="1" applyAlignment="1">
      <alignment vertical="center"/>
    </xf>
    <xf numFmtId="171" fontId="5" fillId="0" borderId="9" xfId="0" applyNumberFormat="1" applyFont="1" applyBorder="1" applyAlignment="1">
      <alignment vertical="center"/>
    </xf>
    <xf numFmtId="2" fontId="5" fillId="0" borderId="16" xfId="1" applyNumberFormat="1" applyFont="1" applyFill="1" applyBorder="1" applyAlignment="1">
      <alignment horizontal="center" vertical="center"/>
    </xf>
    <xf numFmtId="0" fontId="5" fillId="0" borderId="9" xfId="8" applyFont="1" applyBorder="1" applyAlignment="1">
      <alignment horizontal="left" vertical="center"/>
    </xf>
    <xf numFmtId="44" fontId="5" fillId="0" borderId="17" xfId="2" applyFont="1" applyFill="1" applyBorder="1" applyAlignment="1">
      <alignment vertical="center"/>
    </xf>
    <xf numFmtId="44" fontId="5" fillId="0" borderId="18" xfId="2" applyFont="1" applyFill="1" applyBorder="1" applyAlignment="1">
      <alignment vertical="center"/>
    </xf>
    <xf numFmtId="0" fontId="5" fillId="4" borderId="23" xfId="8" applyFont="1" applyFill="1" applyBorder="1" applyAlignment="1">
      <alignment horizontal="center"/>
    </xf>
    <xf numFmtId="0" fontId="5" fillId="0" borderId="9" xfId="6" applyFont="1" applyBorder="1" applyAlignment="1">
      <alignment horizontal="center"/>
    </xf>
    <xf numFmtId="0" fontId="5" fillId="0" borderId="9" xfId="0" applyFont="1" applyBorder="1" applyAlignment="1">
      <alignment vertical="top" wrapText="1"/>
    </xf>
    <xf numFmtId="2" fontId="5" fillId="34" borderId="9" xfId="0" applyNumberFormat="1" applyFont="1" applyFill="1" applyBorder="1" applyAlignment="1">
      <alignment horizontal="right"/>
    </xf>
    <xf numFmtId="9" fontId="5" fillId="0" borderId="9" xfId="3" applyFont="1" applyFill="1" applyBorder="1" applyAlignment="1">
      <alignment horizontal="center" vertical="center"/>
    </xf>
    <xf numFmtId="182" fontId="5" fillId="0" borderId="9" xfId="1" applyNumberFormat="1" applyFont="1" applyFill="1" applyBorder="1" applyAlignment="1">
      <alignment horizontal="center"/>
    </xf>
    <xf numFmtId="169" fontId="5" fillId="0" borderId="9" xfId="0" applyNumberFormat="1" applyFont="1" applyBorder="1" applyAlignment="1">
      <alignment horizontal="center" vertical="center" wrapText="1"/>
    </xf>
    <xf numFmtId="7" fontId="5" fillId="0" borderId="9" xfId="2" applyNumberFormat="1" applyFont="1" applyFill="1" applyBorder="1" applyAlignment="1">
      <alignment horizontal="center" vertical="center" wrapText="1"/>
    </xf>
    <xf numFmtId="0" fontId="5" fillId="0" borderId="19" xfId="0" applyFont="1" applyBorder="1" applyAlignment="1">
      <alignment horizontal="left" vertical="center" wrapText="1"/>
    </xf>
    <xf numFmtId="189" fontId="5" fillId="0" borderId="9" xfId="1" quotePrefix="1" applyNumberFormat="1" applyFont="1" applyFill="1" applyBorder="1" applyAlignment="1">
      <alignment horizontal="center" vertical="center" wrapText="1"/>
    </xf>
    <xf numFmtId="0" fontId="5" fillId="0" borderId="30" xfId="0" applyFont="1" applyBorder="1" applyAlignment="1">
      <alignment horizontal="left" vertical="center" wrapText="1"/>
    </xf>
    <xf numFmtId="0" fontId="5" fillId="0" borderId="23" xfId="0" applyFont="1" applyBorder="1" applyAlignment="1">
      <alignment horizontal="left" vertical="center" wrapText="1"/>
    </xf>
    <xf numFmtId="0" fontId="13" fillId="0" borderId="19" xfId="0" applyFont="1" applyBorder="1" applyAlignment="1">
      <alignment horizontal="left" vertical="top"/>
    </xf>
    <xf numFmtId="0" fontId="13" fillId="0" borderId="23" xfId="0" applyFont="1" applyBorder="1" applyAlignment="1">
      <alignment horizontal="left" vertical="top"/>
    </xf>
    <xf numFmtId="0" fontId="5" fillId="0" borderId="19" xfId="0" applyFont="1" applyBorder="1" applyAlignment="1">
      <alignment horizontal="left" vertical="top"/>
    </xf>
    <xf numFmtId="0" fontId="5" fillId="0" borderId="23" xfId="0" applyFont="1" applyBorder="1" applyAlignment="1">
      <alignment horizontal="left" vertical="top"/>
    </xf>
    <xf numFmtId="39" fontId="0" fillId="0" borderId="9" xfId="1" quotePrefix="1" applyNumberFormat="1" applyFont="1" applyFill="1" applyBorder="1" applyAlignment="1">
      <alignment horizontal="center" vertical="center" wrapText="1"/>
    </xf>
    <xf numFmtId="170" fontId="13" fillId="0" borderId="9" xfId="1" quotePrefix="1" applyNumberFormat="1" applyFont="1" applyFill="1" applyBorder="1" applyAlignment="1">
      <alignment horizontal="center" vertical="center" wrapText="1"/>
    </xf>
    <xf numFmtId="2" fontId="5" fillId="8" borderId="9" xfId="0" applyNumberFormat="1" applyFont="1" applyFill="1" applyBorder="1" applyAlignment="1">
      <alignment wrapText="1"/>
    </xf>
    <xf numFmtId="0" fontId="5" fillId="4" borderId="9" xfId="0" applyFont="1" applyFill="1" applyBorder="1" applyAlignment="1">
      <alignment vertical="top" wrapText="1"/>
    </xf>
    <xf numFmtId="0" fontId="5" fillId="0" borderId="9" xfId="8" applyFont="1" applyBorder="1" applyAlignment="1">
      <alignment wrapText="1"/>
    </xf>
    <xf numFmtId="10" fontId="5" fillId="0" borderId="9" xfId="3" applyNumberFormat="1" applyFont="1" applyFill="1" applyBorder="1" applyAlignment="1">
      <alignment horizontal="center" vertical="center" wrapText="1"/>
    </xf>
    <xf numFmtId="0" fontId="48" fillId="0" borderId="9" xfId="8" applyFont="1" applyBorder="1"/>
    <xf numFmtId="9" fontId="5" fillId="0" borderId="9" xfId="0" applyNumberFormat="1" applyFont="1" applyBorder="1"/>
    <xf numFmtId="197" fontId="5" fillId="26" borderId="9" xfId="0" applyNumberFormat="1" applyFont="1" applyFill="1" applyBorder="1"/>
    <xf numFmtId="0" fontId="5" fillId="20" borderId="9" xfId="0" applyFont="1" applyFill="1" applyBorder="1"/>
    <xf numFmtId="0" fontId="5" fillId="0" borderId="16" xfId="0" applyFont="1" applyBorder="1"/>
    <xf numFmtId="43" fontId="5" fillId="21" borderId="9" xfId="0" applyNumberFormat="1" applyFont="1" applyFill="1" applyBorder="1"/>
    <xf numFmtId="43" fontId="5" fillId="0" borderId="10" xfId="0" applyNumberFormat="1" applyFont="1" applyBorder="1"/>
    <xf numFmtId="203" fontId="5" fillId="0" borderId="18" xfId="0" applyNumberFormat="1" applyFont="1" applyBorder="1"/>
    <xf numFmtId="0" fontId="5" fillId="20" borderId="0" xfId="0" applyFont="1" applyFill="1"/>
    <xf numFmtId="0" fontId="5" fillId="20" borderId="8" xfId="0" applyFont="1" applyFill="1" applyBorder="1"/>
    <xf numFmtId="0" fontId="5" fillId="29" borderId="0" xfId="0" applyFont="1" applyFill="1"/>
    <xf numFmtId="43" fontId="5" fillId="42" borderId="9" xfId="0" applyNumberFormat="1" applyFont="1" applyFill="1" applyBorder="1"/>
    <xf numFmtId="43" fontId="5" fillId="31" borderId="9" xfId="0" applyNumberFormat="1" applyFont="1" applyFill="1" applyBorder="1"/>
    <xf numFmtId="43" fontId="5" fillId="14" borderId="9" xfId="0" applyNumberFormat="1" applyFont="1" applyFill="1" applyBorder="1"/>
    <xf numFmtId="0" fontId="5" fillId="50" borderId="0" xfId="0" applyFont="1" applyFill="1"/>
    <xf numFmtId="0" fontId="5" fillId="50" borderId="8" xfId="0" applyFont="1" applyFill="1" applyBorder="1"/>
    <xf numFmtId="0" fontId="5" fillId="50" borderId="9" xfId="0" applyFont="1" applyFill="1" applyBorder="1"/>
    <xf numFmtId="43" fontId="5" fillId="32" borderId="9" xfId="0" applyNumberFormat="1" applyFont="1" applyFill="1" applyBorder="1"/>
    <xf numFmtId="0" fontId="5" fillId="52" borderId="0" xfId="0" applyFont="1" applyFill="1"/>
    <xf numFmtId="0" fontId="5" fillId="52" borderId="8" xfId="0" applyFont="1" applyFill="1" applyBorder="1"/>
    <xf numFmtId="0" fontId="5" fillId="52" borderId="9" xfId="0" applyFont="1" applyFill="1" applyBorder="1"/>
    <xf numFmtId="43" fontId="5" fillId="41" borderId="9" xfId="0" applyNumberFormat="1" applyFont="1" applyFill="1" applyBorder="1"/>
    <xf numFmtId="0" fontId="0" fillId="50" borderId="0" xfId="0" applyFill="1"/>
    <xf numFmtId="0" fontId="13" fillId="50" borderId="8" xfId="0" applyFont="1" applyFill="1" applyBorder="1"/>
    <xf numFmtId="0" fontId="5" fillId="0" borderId="9" xfId="8" applyFont="1" applyBorder="1" applyAlignment="1">
      <alignment horizontal="left"/>
    </xf>
    <xf numFmtId="0" fontId="5" fillId="0" borderId="9" xfId="5" applyFont="1" applyBorder="1"/>
    <xf numFmtId="0" fontId="118" fillId="0" borderId="0" xfId="6" applyFont="1"/>
    <xf numFmtId="4" fontId="105" fillId="0" borderId="0" xfId="6" applyNumberFormat="1" applyFont="1"/>
    <xf numFmtId="0" fontId="105" fillId="0" borderId="0" xfId="0" applyFont="1"/>
    <xf numFmtId="0" fontId="119" fillId="0" borderId="0" xfId="5" applyFont="1"/>
    <xf numFmtId="0" fontId="120" fillId="4" borderId="0" xfId="0" applyFont="1" applyFill="1"/>
    <xf numFmtId="0" fontId="105" fillId="4" borderId="0" xfId="0" applyFont="1" applyFill="1"/>
    <xf numFmtId="0" fontId="105" fillId="0" borderId="0" xfId="8" applyFont="1"/>
    <xf numFmtId="10" fontId="13" fillId="4" borderId="0" xfId="3" applyNumberFormat="1" applyFont="1" applyFill="1"/>
    <xf numFmtId="165" fontId="105" fillId="0" borderId="19" xfId="13" applyNumberFormat="1" applyFont="1" applyBorder="1" applyAlignment="1">
      <alignment vertical="center" wrapText="1"/>
    </xf>
    <xf numFmtId="0" fontId="105" fillId="0" borderId="9" xfId="13" applyFont="1" applyBorder="1" applyAlignment="1">
      <alignment wrapText="1"/>
    </xf>
    <xf numFmtId="4" fontId="105" fillId="46" borderId="9" xfId="0" applyNumberFormat="1" applyFont="1" applyFill="1" applyBorder="1" applyAlignment="1">
      <alignment horizontal="center" vertical="center" wrapText="1"/>
    </xf>
    <xf numFmtId="9" fontId="105" fillId="0" borderId="19" xfId="3" applyFont="1" applyFill="1" applyBorder="1" applyAlignment="1">
      <alignment vertical="center" wrapText="1"/>
    </xf>
    <xf numFmtId="44" fontId="5" fillId="46" borderId="9" xfId="2" applyFont="1" applyFill="1" applyBorder="1" applyAlignment="1">
      <alignment horizontal="center" vertical="center" wrapText="1"/>
    </xf>
    <xf numFmtId="171" fontId="5" fillId="0" borderId="9" xfId="0" applyNumberFormat="1" applyFont="1" applyBorder="1" applyAlignment="1">
      <alignment horizontal="center" vertical="center" wrapText="1"/>
    </xf>
    <xf numFmtId="165" fontId="13" fillId="0" borderId="9" xfId="6" applyNumberFormat="1" applyFont="1" applyBorder="1" applyAlignment="1">
      <alignment wrapText="1"/>
    </xf>
    <xf numFmtId="0" fontId="105" fillId="0" borderId="9" xfId="0" applyFont="1" applyBorder="1" applyAlignment="1">
      <alignment horizontal="left" vertical="center" wrapText="1"/>
    </xf>
    <xf numFmtId="44" fontId="105" fillId="46" borderId="9" xfId="2" applyFont="1" applyFill="1" applyBorder="1" applyAlignment="1">
      <alignment horizontal="center" vertical="center" wrapText="1"/>
    </xf>
    <xf numFmtId="166" fontId="5" fillId="0" borderId="9" xfId="0" applyNumberFormat="1" applyFont="1" applyBorder="1" applyAlignment="1">
      <alignment horizontal="center" vertical="center" wrapText="1"/>
    </xf>
    <xf numFmtId="165" fontId="5" fillId="0" borderId="18" xfId="0" applyNumberFormat="1" applyFont="1" applyBorder="1" applyAlignment="1">
      <alignment horizontal="center" vertical="center" wrapText="1"/>
    </xf>
    <xf numFmtId="187" fontId="5" fillId="25" borderId="9" xfId="1" applyNumberFormat="1" applyFont="1" applyFill="1" applyBorder="1" applyAlignment="1">
      <alignment horizontal="center"/>
    </xf>
    <xf numFmtId="187" fontId="5" fillId="25" borderId="9" xfId="0" applyNumberFormat="1" applyFont="1" applyFill="1" applyBorder="1" applyAlignment="1">
      <alignment horizontal="center" vertical="center" wrapText="1"/>
    </xf>
    <xf numFmtId="39" fontId="5" fillId="25" borderId="9" xfId="0" applyNumberFormat="1" applyFont="1" applyFill="1" applyBorder="1" applyAlignment="1">
      <alignment horizontal="center" vertical="center" wrapText="1"/>
    </xf>
    <xf numFmtId="2" fontId="5" fillId="0" borderId="22" xfId="1" applyNumberFormat="1" applyFont="1" applyBorder="1" applyAlignment="1">
      <alignment horizontal="center"/>
    </xf>
    <xf numFmtId="7" fontId="5" fillId="0" borderId="0" xfId="0" applyNumberFormat="1" applyFont="1"/>
    <xf numFmtId="37" fontId="13" fillId="8" borderId="9" xfId="1" applyNumberFormat="1" applyFont="1" applyFill="1" applyBorder="1" applyAlignment="1">
      <alignment horizontal="center" vertical="center" wrapText="1"/>
    </xf>
    <xf numFmtId="0" fontId="5" fillId="4" borderId="9" xfId="8" applyFont="1" applyFill="1" applyBorder="1" applyAlignment="1">
      <alignment horizontal="left"/>
    </xf>
    <xf numFmtId="0" fontId="5" fillId="0" borderId="8" xfId="0" applyFont="1" applyBorder="1"/>
    <xf numFmtId="0" fontId="5" fillId="5" borderId="0" xfId="0" applyFont="1" applyFill="1" applyAlignment="1">
      <alignment horizontal="center"/>
    </xf>
    <xf numFmtId="0" fontId="5" fillId="5" borderId="49" xfId="0" applyFont="1" applyFill="1" applyBorder="1" applyAlignment="1">
      <alignment horizontal="center"/>
    </xf>
    <xf numFmtId="0" fontId="118" fillId="0" borderId="0" xfId="5" applyFont="1"/>
    <xf numFmtId="0" fontId="122" fillId="0" borderId="0" xfId="5" applyFont="1"/>
    <xf numFmtId="2" fontId="5" fillId="17" borderId="9" xfId="0" applyNumberFormat="1" applyFont="1" applyFill="1" applyBorder="1" applyAlignment="1">
      <alignment horizontal="center"/>
    </xf>
    <xf numFmtId="9" fontId="5" fillId="17" borderId="9" xfId="3" applyFont="1" applyFill="1" applyBorder="1" applyAlignment="1">
      <alignment horizontal="center"/>
    </xf>
    <xf numFmtId="0" fontId="5" fillId="4" borderId="19" xfId="8" applyFont="1" applyFill="1" applyBorder="1" applyAlignment="1">
      <alignment horizontal="left" vertical="center" wrapText="1"/>
    </xf>
    <xf numFmtId="0" fontId="105" fillId="4" borderId="9" xfId="8" applyFont="1" applyFill="1" applyBorder="1" applyAlignment="1">
      <alignment wrapText="1"/>
    </xf>
    <xf numFmtId="0" fontId="123" fillId="4" borderId="9" xfId="8" applyFont="1" applyFill="1" applyBorder="1" applyAlignment="1">
      <alignment horizontal="left" vertical="center"/>
    </xf>
    <xf numFmtId="0" fontId="105" fillId="4" borderId="9" xfId="8" applyFont="1" applyFill="1" applyBorder="1" applyAlignment="1">
      <alignment horizontal="left"/>
    </xf>
    <xf numFmtId="165" fontId="105" fillId="12" borderId="9" xfId="8" applyNumberFormat="1" applyFont="1" applyFill="1" applyBorder="1" applyAlignment="1">
      <alignment horizontal="center"/>
    </xf>
    <xf numFmtId="0" fontId="105" fillId="4" borderId="9" xfId="8" applyFont="1" applyFill="1" applyBorder="1"/>
    <xf numFmtId="0" fontId="105" fillId="0" borderId="33" xfId="8" applyFont="1" applyBorder="1"/>
    <xf numFmtId="0" fontId="105" fillId="4" borderId="0" xfId="8" applyFont="1" applyFill="1" applyAlignment="1">
      <alignment horizontal="center"/>
    </xf>
    <xf numFmtId="0" fontId="105" fillId="0" borderId="0" xfId="8" applyFont="1" applyAlignment="1">
      <alignment wrapText="1"/>
    </xf>
    <xf numFmtId="0" fontId="123" fillId="0" borderId="9" xfId="8" applyFont="1" applyBorder="1" applyAlignment="1">
      <alignment horizontal="left" vertical="center"/>
    </xf>
    <xf numFmtId="165" fontId="105" fillId="4" borderId="9" xfId="8" applyNumberFormat="1" applyFont="1" applyFill="1" applyBorder="1" applyAlignment="1">
      <alignment horizontal="center"/>
    </xf>
    <xf numFmtId="2" fontId="105" fillId="0" borderId="9" xfId="13" applyNumberFormat="1" applyFont="1" applyBorder="1" applyAlignment="1">
      <alignment horizontal="center"/>
    </xf>
    <xf numFmtId="2" fontId="105" fillId="0" borderId="0" xfId="0" applyNumberFormat="1" applyFont="1" applyAlignment="1">
      <alignment horizontal="center"/>
    </xf>
    <xf numFmtId="44" fontId="105" fillId="0" borderId="0" xfId="2" applyFont="1"/>
    <xf numFmtId="165" fontId="13" fillId="0" borderId="22" xfId="1" applyNumberFormat="1" applyFont="1" applyBorder="1" applyAlignment="1">
      <alignment horizontal="center"/>
    </xf>
    <xf numFmtId="5" fontId="5" fillId="49" borderId="9" xfId="10" applyNumberFormat="1" applyFont="1" applyFill="1" applyBorder="1" applyAlignment="1">
      <alignment horizontal="center"/>
    </xf>
    <xf numFmtId="0" fontId="104" fillId="0" borderId="0" xfId="0" applyFont="1"/>
    <xf numFmtId="198" fontId="5" fillId="0" borderId="18" xfId="2" applyNumberFormat="1" applyFont="1" applyFill="1" applyBorder="1"/>
    <xf numFmtId="0" fontId="104" fillId="0" borderId="0" xfId="0" applyFont="1" applyAlignment="1">
      <alignment horizontal="center"/>
    </xf>
    <xf numFmtId="0" fontId="5" fillId="4" borderId="9" xfId="0" applyFont="1" applyFill="1" applyBorder="1" applyAlignment="1">
      <alignment horizontal="center"/>
    </xf>
    <xf numFmtId="178" fontId="5" fillId="4" borderId="9" xfId="0" applyNumberFormat="1" applyFont="1" applyFill="1" applyBorder="1" applyAlignment="1">
      <alignment horizontal="center" wrapText="1"/>
    </xf>
    <xf numFmtId="0" fontId="5" fillId="0" borderId="0" xfId="0" applyFont="1" applyAlignment="1">
      <alignment horizontal="left"/>
    </xf>
    <xf numFmtId="0" fontId="5" fillId="11" borderId="9" xfId="0" applyFont="1" applyFill="1" applyBorder="1" applyAlignment="1">
      <alignment horizontal="center" vertical="center" wrapText="1"/>
    </xf>
    <xf numFmtId="0" fontId="5" fillId="4" borderId="9" xfId="6" applyFont="1" applyFill="1" applyBorder="1" applyAlignment="1">
      <alignment horizontal="center"/>
    </xf>
    <xf numFmtId="0" fontId="5" fillId="4" borderId="9" xfId="0" applyFont="1" applyFill="1" applyBorder="1" applyAlignment="1">
      <alignment horizontal="left" wrapText="1"/>
    </xf>
    <xf numFmtId="2" fontId="5" fillId="4" borderId="9" xfId="0" applyNumberFormat="1" applyFont="1" applyFill="1" applyBorder="1" applyAlignment="1">
      <alignment horizontal="center" wrapText="1"/>
    </xf>
    <xf numFmtId="182" fontId="5" fillId="4" borderId="9" xfId="1" applyNumberFormat="1" applyFont="1" applyFill="1" applyBorder="1" applyAlignment="1">
      <alignment horizontal="center"/>
    </xf>
    <xf numFmtId="165" fontId="5" fillId="4" borderId="9" xfId="0" applyNumberFormat="1" applyFont="1" applyFill="1" applyBorder="1" applyAlignment="1">
      <alignment horizontal="center" wrapText="1"/>
    </xf>
    <xf numFmtId="171" fontId="5" fillId="4" borderId="9" xfId="0" applyNumberFormat="1" applyFont="1" applyFill="1" applyBorder="1" applyAlignment="1">
      <alignment horizontal="center" wrapText="1"/>
    </xf>
    <xf numFmtId="0" fontId="5" fillId="0" borderId="0" xfId="0" applyFont="1" applyAlignment="1">
      <alignment horizontal="center" vertical="center"/>
    </xf>
    <xf numFmtId="0" fontId="0" fillId="0" borderId="0" xfId="8" applyFont="1"/>
    <xf numFmtId="0" fontId="0" fillId="0" borderId="0" xfId="8" applyFont="1" applyAlignment="1">
      <alignment horizontal="center"/>
    </xf>
    <xf numFmtId="165" fontId="0" fillId="0" borderId="0" xfId="0" applyNumberFormat="1" applyAlignment="1">
      <alignment horizontal="center" vertical="center" wrapText="1"/>
    </xf>
    <xf numFmtId="0" fontId="5" fillId="5" borderId="0" xfId="13" applyFont="1" applyFill="1" applyAlignment="1">
      <alignment horizontal="left"/>
    </xf>
    <xf numFmtId="0" fontId="5" fillId="5" borderId="0" xfId="8" applyFont="1" applyFill="1"/>
    <xf numFmtId="0" fontId="105" fillId="4" borderId="9" xfId="0" applyFont="1" applyFill="1" applyBorder="1" applyAlignment="1">
      <alignment horizontal="left" vertical="center" wrapText="1"/>
    </xf>
    <xf numFmtId="14" fontId="108" fillId="0" borderId="9" xfId="0" applyNumberFormat="1" applyFont="1" applyBorder="1" applyAlignment="1">
      <alignment horizontal="center" vertical="center" wrapText="1"/>
    </xf>
    <xf numFmtId="43" fontId="0" fillId="0" borderId="9" xfId="1" applyFont="1" applyBorder="1" applyAlignment="1">
      <alignment vertical="center"/>
    </xf>
    <xf numFmtId="7" fontId="13" fillId="0" borderId="9" xfId="0" applyNumberFormat="1" applyFont="1" applyBorder="1" applyAlignment="1">
      <alignment vertical="center"/>
    </xf>
    <xf numFmtId="208" fontId="13" fillId="0" borderId="9" xfId="2" applyNumberFormat="1" applyFont="1" applyBorder="1" applyAlignment="1">
      <alignment vertical="center"/>
    </xf>
    <xf numFmtId="0" fontId="105" fillId="10" borderId="16" xfId="0" applyFont="1" applyFill="1" applyBorder="1" applyAlignment="1">
      <alignment horizontal="left" vertical="center"/>
    </xf>
    <xf numFmtId="0" fontId="105" fillId="10" borderId="17" xfId="0" applyFont="1" applyFill="1" applyBorder="1" applyAlignment="1">
      <alignment horizontal="left" vertical="center"/>
    </xf>
    <xf numFmtId="0" fontId="105" fillId="10" borderId="18" xfId="0" applyFont="1" applyFill="1" applyBorder="1" applyAlignment="1">
      <alignment horizontal="left" vertical="center"/>
    </xf>
    <xf numFmtId="0" fontId="105" fillId="0" borderId="0" xfId="8" applyFont="1" applyAlignment="1">
      <alignment vertical="center"/>
    </xf>
    <xf numFmtId="0" fontId="105" fillId="0" borderId="0" xfId="0" applyFont="1" applyAlignment="1">
      <alignment vertical="center"/>
    </xf>
    <xf numFmtId="0" fontId="105" fillId="0" borderId="0" xfId="0" applyFont="1" applyAlignment="1">
      <alignment horizontal="center" vertical="center"/>
    </xf>
    <xf numFmtId="0" fontId="105" fillId="0" borderId="0" xfId="0" applyFont="1" applyAlignment="1">
      <alignment horizontal="left" vertical="center"/>
    </xf>
    <xf numFmtId="0" fontId="105" fillId="0" borderId="0" xfId="8" applyFont="1" applyAlignment="1">
      <alignment horizontal="center" vertical="center"/>
    </xf>
    <xf numFmtId="0" fontId="105" fillId="11" borderId="9" xfId="0" applyFont="1" applyFill="1" applyBorder="1" applyAlignment="1">
      <alignment horizontal="center" vertical="center" wrapText="1"/>
    </xf>
    <xf numFmtId="0" fontId="63" fillId="12" borderId="0" xfId="0" applyFont="1" applyFill="1" applyAlignment="1">
      <alignment vertical="center"/>
    </xf>
    <xf numFmtId="167" fontId="63" fillId="12" borderId="9" xfId="0" applyNumberFormat="1" applyFont="1" applyFill="1" applyBorder="1" applyAlignment="1">
      <alignment vertical="center"/>
    </xf>
    <xf numFmtId="0" fontId="105" fillId="0" borderId="9" xfId="0" applyFont="1" applyBorder="1" applyAlignment="1">
      <alignment horizontal="center" vertical="center"/>
    </xf>
    <xf numFmtId="0" fontId="105" fillId="0" borderId="9" xfId="0" applyFont="1" applyBorder="1" applyAlignment="1">
      <alignment horizontal="center" vertical="center" wrapText="1"/>
    </xf>
    <xf numFmtId="180" fontId="105" fillId="4" borderId="9" xfId="0" applyNumberFormat="1" applyFont="1" applyFill="1" applyBorder="1" applyAlignment="1">
      <alignment horizontal="center" vertical="center" wrapText="1"/>
    </xf>
    <xf numFmtId="0" fontId="105" fillId="4" borderId="9" xfId="12" applyFont="1" applyFill="1" applyBorder="1" applyAlignment="1">
      <alignment horizontal="center" vertical="center"/>
    </xf>
    <xf numFmtId="182" fontId="105" fillId="4" borderId="9" xfId="1" applyNumberFormat="1" applyFont="1" applyFill="1" applyBorder="1" applyAlignment="1">
      <alignment horizontal="center" vertical="center"/>
    </xf>
    <xf numFmtId="189" fontId="105" fillId="0" borderId="9" xfId="0" applyNumberFormat="1" applyFont="1" applyBorder="1" applyAlignment="1">
      <alignment horizontal="center" vertical="center"/>
    </xf>
    <xf numFmtId="165" fontId="105" fillId="4" borderId="9" xfId="0" applyNumberFormat="1" applyFont="1" applyFill="1" applyBorder="1" applyAlignment="1">
      <alignment horizontal="center" vertical="center" wrapText="1"/>
    </xf>
    <xf numFmtId="171" fontId="105" fillId="4" borderId="9" xfId="0" applyNumberFormat="1" applyFont="1" applyFill="1" applyBorder="1" applyAlignment="1">
      <alignment horizontal="center" vertical="center" wrapText="1"/>
    </xf>
    <xf numFmtId="0" fontId="105" fillId="0" borderId="16" xfId="0" applyFont="1" applyBorder="1" applyAlignment="1">
      <alignment vertical="center"/>
    </xf>
    <xf numFmtId="2" fontId="105" fillId="19" borderId="9" xfId="0" applyNumberFormat="1" applyFont="1" applyFill="1" applyBorder="1" applyAlignment="1">
      <alignment vertical="center"/>
    </xf>
    <xf numFmtId="0" fontId="105" fillId="19" borderId="9" xfId="0" applyFont="1" applyFill="1" applyBorder="1" applyAlignment="1">
      <alignment vertical="center"/>
    </xf>
    <xf numFmtId="187" fontId="105" fillId="4" borderId="9" xfId="1" applyNumberFormat="1" applyFont="1" applyFill="1" applyBorder="1" applyAlignment="1">
      <alignment horizontal="center" vertical="center"/>
    </xf>
    <xf numFmtId="0" fontId="105" fillId="0" borderId="0" xfId="13" applyFont="1" applyAlignment="1">
      <alignment horizontal="left"/>
    </xf>
    <xf numFmtId="165" fontId="105" fillId="0" borderId="0" xfId="0" applyNumberFormat="1" applyFont="1" applyAlignment="1">
      <alignment horizontal="center" vertical="center" wrapText="1"/>
    </xf>
    <xf numFmtId="0" fontId="105" fillId="0" borderId="0" xfId="12" applyFont="1" applyAlignment="1">
      <alignment horizontal="center" vertical="center"/>
    </xf>
    <xf numFmtId="182" fontId="105" fillId="0" borderId="0" xfId="1" applyNumberFormat="1" applyFont="1" applyFill="1" applyBorder="1" applyAlignment="1">
      <alignment horizontal="center" vertical="center"/>
    </xf>
    <xf numFmtId="180" fontId="105" fillId="0" borderId="0" xfId="0" applyNumberFormat="1" applyFont="1" applyAlignment="1">
      <alignment horizontal="center" vertical="center" wrapText="1"/>
    </xf>
    <xf numFmtId="1" fontId="105" fillId="0" borderId="0" xfId="0" applyNumberFormat="1" applyFont="1" applyAlignment="1">
      <alignment horizontal="center" vertical="center" wrapText="1"/>
    </xf>
    <xf numFmtId="165" fontId="105" fillId="0" borderId="0" xfId="0" applyNumberFormat="1" applyFont="1" applyAlignment="1">
      <alignment horizontal="left" vertical="center" wrapText="1"/>
    </xf>
    <xf numFmtId="0" fontId="105" fillId="0" borderId="0" xfId="13" applyFont="1" applyAlignment="1">
      <alignment horizontal="left" vertical="center"/>
    </xf>
    <xf numFmtId="0" fontId="105" fillId="11" borderId="19" xfId="0" applyFont="1" applyFill="1" applyBorder="1" applyAlignment="1">
      <alignment horizontal="left" vertical="center" wrapText="1"/>
    </xf>
    <xf numFmtId="0" fontId="105" fillId="11" borderId="19" xfId="0" applyFont="1" applyFill="1" applyBorder="1" applyAlignment="1">
      <alignment horizontal="center" vertical="center" wrapText="1"/>
    </xf>
    <xf numFmtId="0" fontId="105" fillId="11" borderId="20" xfId="0" applyFont="1" applyFill="1" applyBorder="1" applyAlignment="1">
      <alignment horizontal="center" vertical="center" wrapText="1"/>
    </xf>
    <xf numFmtId="0" fontId="105" fillId="15" borderId="27" xfId="0" applyFont="1" applyFill="1" applyBorder="1" applyAlignment="1">
      <alignment horizontal="center" vertical="center" wrapText="1"/>
    </xf>
    <xf numFmtId="0" fontId="105" fillId="15" borderId="21" xfId="0" applyFont="1" applyFill="1" applyBorder="1" applyAlignment="1">
      <alignment horizontal="center" vertical="center" wrapText="1"/>
    </xf>
    <xf numFmtId="0" fontId="105" fillId="4" borderId="0" xfId="0" applyFont="1" applyFill="1" applyAlignment="1">
      <alignment vertical="center"/>
    </xf>
    <xf numFmtId="0" fontId="105" fillId="11" borderId="23" xfId="0" applyFont="1" applyFill="1" applyBorder="1" applyAlignment="1">
      <alignment horizontal="left" vertical="center" wrapText="1"/>
    </xf>
    <xf numFmtId="0" fontId="105" fillId="11" borderId="23" xfId="0" applyFont="1" applyFill="1" applyBorder="1" applyAlignment="1">
      <alignment horizontal="center" vertical="center" wrapText="1"/>
    </xf>
    <xf numFmtId="0" fontId="105" fillId="11" borderId="25" xfId="0" applyFont="1" applyFill="1" applyBorder="1" applyAlignment="1">
      <alignment horizontal="center" vertical="center" wrapText="1"/>
    </xf>
    <xf numFmtId="0" fontId="105" fillId="11" borderId="28" xfId="0" applyFont="1" applyFill="1" applyBorder="1" applyAlignment="1">
      <alignment horizontal="center" vertical="center" wrapText="1"/>
    </xf>
    <xf numFmtId="0" fontId="105" fillId="11" borderId="26" xfId="0" applyFont="1" applyFill="1" applyBorder="1" applyAlignment="1">
      <alignment horizontal="center" vertical="center" wrapText="1"/>
    </xf>
    <xf numFmtId="0" fontId="105" fillId="0" borderId="19" xfId="0" applyFont="1" applyBorder="1" applyAlignment="1">
      <alignment horizontal="left" vertical="center" wrapText="1"/>
    </xf>
    <xf numFmtId="165" fontId="105" fillId="17" borderId="9" xfId="0" applyNumberFormat="1" applyFont="1" applyFill="1" applyBorder="1" applyAlignment="1">
      <alignment horizontal="center" vertical="center" wrapText="1"/>
    </xf>
    <xf numFmtId="0" fontId="105" fillId="0" borderId="9" xfId="8" applyFont="1" applyBorder="1" applyAlignment="1">
      <alignment vertical="center"/>
    </xf>
    <xf numFmtId="9" fontId="105" fillId="46" borderId="9" xfId="3" applyFont="1" applyFill="1" applyBorder="1" applyAlignment="1">
      <alignment horizontal="center" vertical="center" wrapText="1"/>
    </xf>
    <xf numFmtId="9" fontId="105" fillId="0" borderId="9" xfId="3" applyFont="1" applyFill="1" applyBorder="1" applyAlignment="1">
      <alignment horizontal="center" vertical="center" wrapText="1"/>
    </xf>
    <xf numFmtId="172" fontId="105" fillId="46" borderId="9" xfId="3" applyNumberFormat="1" applyFont="1" applyFill="1" applyBorder="1" applyAlignment="1">
      <alignment horizontal="center" vertical="center" wrapText="1"/>
    </xf>
    <xf numFmtId="172" fontId="105" fillId="0" borderId="9" xfId="0" applyNumberFormat="1" applyFont="1" applyBorder="1" applyAlignment="1">
      <alignment horizontal="center" vertical="center" wrapText="1"/>
    </xf>
    <xf numFmtId="0" fontId="105" fillId="0" borderId="33" xfId="8" applyFont="1" applyBorder="1" applyAlignment="1">
      <alignment vertical="center"/>
    </xf>
    <xf numFmtId="0" fontId="105" fillId="0" borderId="0" xfId="0" applyFont="1" applyAlignment="1">
      <alignment horizontal="center" vertical="center" wrapText="1"/>
    </xf>
    <xf numFmtId="165" fontId="105" fillId="0" borderId="9" xfId="0" applyNumberFormat="1" applyFont="1" applyBorder="1" applyAlignment="1">
      <alignment horizontal="left" vertical="center" wrapText="1"/>
    </xf>
    <xf numFmtId="170" fontId="105" fillId="0" borderId="16" xfId="1" applyNumberFormat="1" applyFont="1" applyFill="1" applyBorder="1" applyAlignment="1">
      <alignment horizontal="left" vertical="center" wrapText="1"/>
    </xf>
    <xf numFmtId="37" fontId="105" fillId="17" borderId="9" xfId="1" applyNumberFormat="1" applyFont="1" applyFill="1" applyBorder="1" applyAlignment="1">
      <alignment horizontal="center" vertical="center" wrapText="1"/>
    </xf>
    <xf numFmtId="170" fontId="105" fillId="0" borderId="50" xfId="1" applyNumberFormat="1" applyFont="1" applyFill="1" applyBorder="1" applyAlignment="1">
      <alignment horizontal="center" vertical="center" wrapText="1"/>
    </xf>
    <xf numFmtId="7" fontId="105" fillId="0" borderId="9" xfId="2" applyNumberFormat="1" applyFont="1" applyFill="1" applyBorder="1" applyAlignment="1">
      <alignment horizontal="center" vertical="center" wrapText="1"/>
    </xf>
    <xf numFmtId="165" fontId="105" fillId="0" borderId="19" xfId="0" applyNumberFormat="1" applyFont="1" applyBorder="1" applyAlignment="1">
      <alignment horizontal="left" vertical="center" wrapText="1"/>
    </xf>
    <xf numFmtId="7" fontId="105" fillId="0" borderId="16" xfId="2" applyNumberFormat="1" applyFont="1" applyFill="1" applyBorder="1" applyAlignment="1">
      <alignment horizontal="left" vertical="center" wrapText="1"/>
    </xf>
    <xf numFmtId="7" fontId="105" fillId="0" borderId="50" xfId="2" applyNumberFormat="1" applyFont="1" applyFill="1" applyBorder="1" applyAlignment="1">
      <alignment horizontal="center" vertical="center" wrapText="1"/>
    </xf>
    <xf numFmtId="7" fontId="105" fillId="0" borderId="9" xfId="2" applyNumberFormat="1" applyFont="1" applyBorder="1" applyAlignment="1">
      <alignment horizontal="center" vertical="center" wrapText="1"/>
    </xf>
    <xf numFmtId="0" fontId="105" fillId="0" borderId="0" xfId="0" applyFont="1" applyAlignment="1">
      <alignment horizontal="center"/>
    </xf>
    <xf numFmtId="0" fontId="105" fillId="4" borderId="9" xfId="0" applyFont="1" applyFill="1" applyBorder="1"/>
    <xf numFmtId="0" fontId="105" fillId="0" borderId="9" xfId="0" applyFont="1" applyBorder="1"/>
    <xf numFmtId="0" fontId="105" fillId="0" borderId="9" xfId="0" applyFont="1" applyBorder="1" applyAlignment="1">
      <alignment horizontal="center"/>
    </xf>
    <xf numFmtId="43" fontId="63" fillId="0" borderId="9" xfId="1" applyFont="1" applyBorder="1"/>
    <xf numFmtId="43" fontId="105" fillId="0" borderId="9" xfId="1" applyFont="1" applyBorder="1"/>
    <xf numFmtId="197" fontId="63" fillId="0" borderId="9" xfId="0" applyNumberFormat="1" applyFont="1" applyBorder="1"/>
    <xf numFmtId="197" fontId="105" fillId="0" borderId="9" xfId="0" applyNumberFormat="1" applyFont="1" applyBorder="1"/>
    <xf numFmtId="197" fontId="48" fillId="26" borderId="9" xfId="0" applyNumberFormat="1" applyFont="1" applyFill="1" applyBorder="1"/>
    <xf numFmtId="165" fontId="105" fillId="0" borderId="9" xfId="0" applyNumberFormat="1" applyFont="1" applyBorder="1" applyAlignment="1">
      <alignment horizontal="center"/>
    </xf>
    <xf numFmtId="2" fontId="105" fillId="0" borderId="9" xfId="0" applyNumberFormat="1" applyFont="1" applyBorder="1" applyAlignment="1">
      <alignment horizontal="center"/>
    </xf>
    <xf numFmtId="171" fontId="105" fillId="0" borderId="9" xfId="0" applyNumberFormat="1" applyFont="1" applyBorder="1" applyAlignment="1">
      <alignment horizontal="center"/>
    </xf>
    <xf numFmtId="171" fontId="105" fillId="29" borderId="9" xfId="2" applyNumberFormat="1" applyFont="1" applyFill="1" applyBorder="1" applyAlignment="1">
      <alignment horizontal="center"/>
    </xf>
    <xf numFmtId="7" fontId="105" fillId="0" borderId="9" xfId="2" applyNumberFormat="1" applyFont="1" applyBorder="1" applyAlignment="1">
      <alignment horizontal="center"/>
    </xf>
    <xf numFmtId="7" fontId="105" fillId="0" borderId="9" xfId="2" applyNumberFormat="1" applyFont="1" applyBorder="1"/>
    <xf numFmtId="44" fontId="105" fillId="0" borderId="9" xfId="2" applyFont="1" applyBorder="1"/>
    <xf numFmtId="0" fontId="48" fillId="0" borderId="8" xfId="0" applyFont="1" applyBorder="1"/>
    <xf numFmtId="0" fontId="48" fillId="0" borderId="9" xfId="0" applyFont="1" applyBorder="1"/>
    <xf numFmtId="0" fontId="48" fillId="0" borderId="16" xfId="0" applyFont="1" applyBorder="1"/>
    <xf numFmtId="0" fontId="104" fillId="5" borderId="0" xfId="0" applyFont="1" applyFill="1" applyAlignment="1">
      <alignment horizontal="center"/>
    </xf>
    <xf numFmtId="0" fontId="105" fillId="44" borderId="0" xfId="0" applyFont="1" applyFill="1"/>
    <xf numFmtId="0" fontId="104" fillId="5" borderId="49" xfId="0" applyFont="1" applyFill="1" applyBorder="1" applyAlignment="1">
      <alignment horizontal="center"/>
    </xf>
    <xf numFmtId="0" fontId="104" fillId="44" borderId="0" xfId="0" applyFont="1" applyFill="1"/>
    <xf numFmtId="0" fontId="81" fillId="4" borderId="0" xfId="0" applyFont="1" applyFill="1" applyAlignment="1">
      <alignment horizontal="left" vertical="center" wrapText="1"/>
    </xf>
    <xf numFmtId="0" fontId="4" fillId="4" borderId="0" xfId="0" applyFont="1" applyFill="1" applyAlignment="1">
      <alignment horizontal="center"/>
    </xf>
    <xf numFmtId="0" fontId="0" fillId="4" borderId="0" xfId="0" applyFill="1"/>
    <xf numFmtId="0" fontId="71" fillId="0" borderId="0" xfId="0" applyFont="1" applyAlignment="1">
      <alignment horizontal="center" wrapText="1"/>
    </xf>
    <xf numFmtId="0" fontId="72" fillId="5" borderId="2" xfId="0" applyFont="1" applyFill="1" applyBorder="1" applyAlignment="1">
      <alignment horizontal="center" vertical="center" wrapText="1"/>
    </xf>
    <xf numFmtId="0" fontId="13" fillId="5" borderId="6" xfId="0" applyFont="1" applyFill="1" applyBorder="1" applyAlignment="1">
      <alignment wrapText="1"/>
    </xf>
    <xf numFmtId="0" fontId="13" fillId="5" borderId="7"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72"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10" borderId="16" xfId="5" applyFont="1" applyFill="1" applyBorder="1" applyAlignment="1">
      <alignment horizontal="left"/>
    </xf>
    <xf numFmtId="0" fontId="13" fillId="10" borderId="17" xfId="5" applyFont="1" applyFill="1" applyBorder="1" applyAlignment="1">
      <alignment horizontal="left"/>
    </xf>
    <xf numFmtId="0" fontId="13" fillId="0" borderId="17" xfId="6" applyFont="1" applyBorder="1"/>
    <xf numFmtId="0" fontId="13" fillId="0" borderId="17" xfId="0" applyFont="1" applyBorder="1"/>
    <xf numFmtId="0" fontId="13" fillId="0" borderId="18" xfId="0" applyFont="1" applyBorder="1"/>
    <xf numFmtId="0" fontId="49" fillId="0" borderId="0" xfId="5" applyFont="1" applyAlignment="1">
      <alignment horizontal="center" wrapText="1"/>
    </xf>
    <xf numFmtId="0" fontId="13" fillId="17" borderId="16" xfId="5" applyFont="1" applyFill="1" applyBorder="1" applyAlignment="1">
      <alignment horizontal="left"/>
    </xf>
    <xf numFmtId="0" fontId="13" fillId="17" borderId="17" xfId="5" applyFont="1" applyFill="1" applyBorder="1" applyAlignment="1">
      <alignment horizontal="left"/>
    </xf>
    <xf numFmtId="0" fontId="13" fillId="17" borderId="18" xfId="5" applyFont="1" applyFill="1" applyBorder="1" applyAlignment="1">
      <alignment horizontal="left"/>
    </xf>
    <xf numFmtId="0" fontId="24" fillId="0" borderId="0" xfId="5" applyFont="1" applyAlignment="1">
      <alignment horizontal="center"/>
    </xf>
    <xf numFmtId="0" fontId="65" fillId="0" borderId="0" xfId="0" applyFont="1" applyAlignment="1">
      <alignment horizontal="left" vertical="top" wrapText="1"/>
    </xf>
    <xf numFmtId="0" fontId="13" fillId="11" borderId="20" xfId="5" applyFont="1" applyFill="1" applyBorder="1" applyAlignment="1">
      <alignment horizontal="center" vertical="center" wrapText="1"/>
    </xf>
    <xf numFmtId="0" fontId="13" fillId="11" borderId="21" xfId="5" applyFont="1" applyFill="1" applyBorder="1" applyAlignment="1">
      <alignment horizontal="center" vertical="center" wrapText="1"/>
    </xf>
    <xf numFmtId="0" fontId="47" fillId="7" borderId="9" xfId="5" applyFont="1" applyFill="1" applyBorder="1" applyAlignment="1">
      <alignment horizontal="center" vertical="center" wrapText="1"/>
    </xf>
    <xf numFmtId="0" fontId="51" fillId="0" borderId="9" xfId="0" applyFont="1" applyBorder="1" applyAlignment="1">
      <alignment wrapText="1"/>
    </xf>
    <xf numFmtId="166" fontId="47" fillId="8" borderId="9" xfId="5" applyNumberFormat="1" applyFont="1" applyFill="1" applyBorder="1" applyAlignment="1">
      <alignment horizontal="center" vertical="center" wrapText="1"/>
    </xf>
    <xf numFmtId="0" fontId="47" fillId="0" borderId="0" xfId="5" applyFont="1" applyAlignment="1">
      <alignment vertical="center" wrapText="1"/>
    </xf>
    <xf numFmtId="0" fontId="1" fillId="17" borderId="16" xfId="5" applyFont="1" applyFill="1" applyBorder="1" applyAlignment="1">
      <alignment horizontal="left"/>
    </xf>
    <xf numFmtId="0" fontId="0" fillId="17" borderId="17" xfId="5" applyFont="1" applyFill="1" applyBorder="1" applyAlignment="1">
      <alignment horizontal="left"/>
    </xf>
    <xf numFmtId="0" fontId="0" fillId="17" borderId="17" xfId="6" applyFont="1" applyFill="1" applyBorder="1"/>
    <xf numFmtId="0" fontId="0" fillId="17" borderId="17" xfId="0" applyFill="1" applyBorder="1"/>
    <xf numFmtId="0" fontId="0" fillId="17" borderId="18" xfId="0" applyFill="1" applyBorder="1"/>
    <xf numFmtId="0" fontId="22" fillId="6" borderId="0" xfId="5" applyFont="1" applyFill="1" applyAlignment="1">
      <alignment horizontal="left"/>
    </xf>
    <xf numFmtId="0" fontId="24" fillId="0" borderId="52" xfId="5" applyFont="1" applyBorder="1" applyAlignment="1">
      <alignment horizontal="center" wrapText="1"/>
    </xf>
    <xf numFmtId="0" fontId="13" fillId="0" borderId="53" xfId="0" applyFont="1" applyBorder="1" applyAlignment="1">
      <alignment horizontal="center" wrapText="1"/>
    </xf>
    <xf numFmtId="0" fontId="0" fillId="0" borderId="53" xfId="0" applyBorder="1" applyAlignment="1">
      <alignment horizontal="center" wrapText="1"/>
    </xf>
    <xf numFmtId="0" fontId="115" fillId="17" borderId="16" xfId="5" applyFont="1" applyFill="1" applyBorder="1" applyAlignment="1">
      <alignment horizontal="left"/>
    </xf>
    <xf numFmtId="0" fontId="48" fillId="17" borderId="17" xfId="5" applyFont="1" applyFill="1" applyBorder="1" applyAlignment="1">
      <alignment horizontal="left"/>
    </xf>
    <xf numFmtId="0" fontId="48" fillId="17" borderId="17" xfId="6" applyFont="1" applyFill="1" applyBorder="1"/>
    <xf numFmtId="0" fontId="48" fillId="17" borderId="17" xfId="0" applyFont="1" applyFill="1" applyBorder="1"/>
    <xf numFmtId="0" fontId="48" fillId="17" borderId="18" xfId="0" applyFont="1" applyFill="1" applyBorder="1"/>
    <xf numFmtId="0" fontId="13" fillId="10" borderId="16" xfId="0" applyFont="1" applyFill="1" applyBorder="1" applyAlignment="1">
      <alignment horizontal="left"/>
    </xf>
    <xf numFmtId="0" fontId="13" fillId="10" borderId="17" xfId="0" applyFont="1" applyFill="1" applyBorder="1" applyAlignment="1">
      <alignment horizontal="left"/>
    </xf>
    <xf numFmtId="0" fontId="2" fillId="0" borderId="17" xfId="0" applyFont="1" applyBorder="1"/>
    <xf numFmtId="0" fontId="2" fillId="0" borderId="18" xfId="0" applyFont="1" applyBorder="1"/>
    <xf numFmtId="0" fontId="13" fillId="0" borderId="16" xfId="8" applyFont="1" applyBorder="1" applyAlignment="1">
      <alignment horizontal="left" wrapText="1"/>
    </xf>
    <xf numFmtId="0" fontId="13" fillId="0" borderId="18" xfId="8" applyFont="1" applyBorder="1" applyAlignment="1">
      <alignment horizontal="left" wrapText="1"/>
    </xf>
    <xf numFmtId="0" fontId="13" fillId="0" borderId="20" xfId="8" applyFont="1" applyBorder="1" applyAlignment="1">
      <alignment horizontal="left" vertical="center" wrapText="1"/>
    </xf>
    <xf numFmtId="0" fontId="13" fillId="0" borderId="21" xfId="8" applyFont="1" applyBorder="1" applyAlignment="1">
      <alignment horizontal="left" vertical="center" wrapText="1"/>
    </xf>
    <xf numFmtId="0" fontId="13" fillId="0" borderId="22" xfId="8" applyFont="1" applyBorder="1" applyAlignment="1">
      <alignment horizontal="left" vertical="center" wrapText="1"/>
    </xf>
    <xf numFmtId="0" fontId="13" fillId="0" borderId="24" xfId="8" applyFont="1" applyBorder="1" applyAlignment="1">
      <alignment horizontal="left" vertical="center" wrapText="1"/>
    </xf>
    <xf numFmtId="0" fontId="13" fillId="0" borderId="25" xfId="8" applyFont="1" applyBorder="1" applyAlignment="1">
      <alignment horizontal="left" vertical="center" wrapText="1"/>
    </xf>
    <xf numFmtId="0" fontId="13" fillId="0" borderId="26" xfId="8" applyFont="1" applyBorder="1" applyAlignment="1">
      <alignment horizontal="left" vertical="center" wrapText="1"/>
    </xf>
    <xf numFmtId="0" fontId="13" fillId="0" borderId="20" xfId="8" applyFont="1" applyBorder="1" applyAlignment="1">
      <alignment horizontal="left" wrapText="1"/>
    </xf>
    <xf numFmtId="0" fontId="13" fillId="0" borderId="21" xfId="8" applyFont="1" applyBorder="1" applyAlignment="1">
      <alignment horizontal="left" wrapText="1"/>
    </xf>
    <xf numFmtId="0" fontId="33" fillId="0" borderId="19" xfId="8" applyFont="1" applyBorder="1" applyAlignment="1">
      <alignment horizontal="left" vertical="center"/>
    </xf>
    <xf numFmtId="0" fontId="33" fillId="0" borderId="30" xfId="8" applyFont="1" applyBorder="1" applyAlignment="1">
      <alignment horizontal="left" vertical="center"/>
    </xf>
    <xf numFmtId="0" fontId="13" fillId="0" borderId="19" xfId="8" applyFont="1" applyBorder="1" applyAlignment="1">
      <alignment horizontal="left" vertical="center"/>
    </xf>
    <xf numFmtId="0" fontId="13" fillId="0" borderId="30" xfId="8" applyFont="1" applyBorder="1" applyAlignment="1">
      <alignment horizontal="left" vertical="center"/>
    </xf>
    <xf numFmtId="0" fontId="48" fillId="0" borderId="16" xfId="8" applyFont="1" applyBorder="1" applyAlignment="1">
      <alignment horizontal="left" wrapText="1"/>
    </xf>
    <xf numFmtId="0" fontId="48" fillId="0" borderId="18" xfId="8" applyFont="1" applyBorder="1" applyAlignment="1">
      <alignment horizontal="left" wrapText="1"/>
    </xf>
    <xf numFmtId="0" fontId="13" fillId="0" borderId="16" xfId="8" applyFont="1" applyBorder="1" applyAlignment="1">
      <alignment horizontal="left" vertical="center" wrapText="1"/>
    </xf>
    <xf numFmtId="0" fontId="13" fillId="0" borderId="18" xfId="8" applyFont="1" applyBorder="1" applyAlignment="1">
      <alignment horizontal="left" vertical="center" wrapText="1"/>
    </xf>
    <xf numFmtId="0" fontId="13" fillId="0" borderId="23" xfId="8" applyFont="1" applyBorder="1" applyAlignment="1">
      <alignment horizontal="left" vertical="center"/>
    </xf>
    <xf numFmtId="0" fontId="33" fillId="0" borderId="23" xfId="8" applyFont="1" applyBorder="1" applyAlignment="1">
      <alignment horizontal="left" vertical="center"/>
    </xf>
    <xf numFmtId="0" fontId="13" fillId="0" borderId="19" xfId="8" applyFont="1" applyBorder="1" applyAlignment="1">
      <alignment vertical="center" wrapText="1"/>
    </xf>
    <xf numFmtId="0" fontId="13" fillId="0" borderId="30" xfId="8" applyFont="1" applyBorder="1" applyAlignment="1">
      <alignment vertical="center" wrapText="1"/>
    </xf>
    <xf numFmtId="0" fontId="13" fillId="0" borderId="30" xfId="0" applyFont="1" applyBorder="1" applyAlignment="1">
      <alignment vertical="center" wrapText="1"/>
    </xf>
    <xf numFmtId="165" fontId="13" fillId="0" borderId="9" xfId="13" applyNumberFormat="1" applyFont="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13" fillId="4" borderId="9" xfId="13" applyNumberFormat="1" applyFont="1" applyFill="1" applyBorder="1" applyAlignment="1">
      <alignment horizontal="center" vertical="center" wrapText="1"/>
    </xf>
    <xf numFmtId="0" fontId="22" fillId="6" borderId="0" xfId="5" applyFont="1" applyFill="1" applyAlignment="1">
      <alignment vertical="center"/>
    </xf>
    <xf numFmtId="0" fontId="52" fillId="0" borderId="0" xfId="0" applyFont="1" applyAlignment="1">
      <alignment vertical="center"/>
    </xf>
    <xf numFmtId="0" fontId="88" fillId="0" borderId="0" xfId="0" applyFont="1" applyAlignment="1">
      <alignment vertical="center"/>
    </xf>
    <xf numFmtId="0" fontId="51" fillId="0" borderId="0" xfId="0" applyFont="1" applyAlignment="1">
      <alignment vertical="center" wrapText="1"/>
    </xf>
    <xf numFmtId="0" fontId="13" fillId="0" borderId="0" xfId="0" applyFont="1" applyAlignment="1">
      <alignment vertical="center" wrapText="1"/>
    </xf>
    <xf numFmtId="165" fontId="13" fillId="4" borderId="9" xfId="13" applyNumberFormat="1" applyFont="1" applyFill="1" applyBorder="1" applyAlignment="1">
      <alignment horizontal="left" vertical="center" wrapText="1"/>
    </xf>
    <xf numFmtId="0" fontId="13" fillId="0" borderId="9" xfId="13" applyFont="1" applyBorder="1" applyAlignment="1">
      <alignment horizontal="left" vertical="center" wrapText="1"/>
    </xf>
    <xf numFmtId="0" fontId="13" fillId="11" borderId="9" xfId="0" applyFont="1" applyFill="1" applyBorder="1" applyAlignment="1">
      <alignment horizontal="center" vertical="center" wrapText="1"/>
    </xf>
    <xf numFmtId="165" fontId="53" fillId="4" borderId="9" xfId="17" applyNumberFormat="1" applyFont="1" applyFill="1" applyBorder="1" applyAlignment="1">
      <alignment horizontal="left" vertical="center" wrapText="1"/>
    </xf>
    <xf numFmtId="0" fontId="13" fillId="0" borderId="9" xfId="0" applyFont="1" applyBorder="1" applyAlignment="1">
      <alignment horizontal="left" vertical="center"/>
    </xf>
    <xf numFmtId="0" fontId="5" fillId="10" borderId="16" xfId="0" applyFont="1" applyFill="1" applyBorder="1" applyAlignment="1">
      <alignment horizontal="left"/>
    </xf>
    <xf numFmtId="0" fontId="13" fillId="0" borderId="9" xfId="8" applyFont="1" applyBorder="1" applyAlignment="1">
      <alignment horizontal="left"/>
    </xf>
    <xf numFmtId="0" fontId="13" fillId="0" borderId="9" xfId="0" applyFont="1" applyBorder="1" applyAlignment="1">
      <alignment horizontal="left" vertical="center" wrapText="1"/>
    </xf>
    <xf numFmtId="0" fontId="5" fillId="4" borderId="16" xfId="8" applyFont="1" applyFill="1" applyBorder="1" applyAlignment="1">
      <alignment wrapText="1"/>
    </xf>
    <xf numFmtId="0" fontId="5" fillId="4" borderId="18" xfId="0" applyFont="1" applyFill="1" applyBorder="1"/>
    <xf numFmtId="0" fontId="7" fillId="0" borderId="0" xfId="0" applyFont="1" applyAlignment="1">
      <alignment vertical="center"/>
    </xf>
    <xf numFmtId="0" fontId="5" fillId="0" borderId="0" xfId="0" applyFont="1" applyAlignment="1">
      <alignment vertical="center"/>
    </xf>
    <xf numFmtId="0" fontId="13" fillId="17" borderId="16" xfId="0" applyFont="1" applyFill="1" applyBorder="1" applyAlignment="1">
      <alignment horizontal="left"/>
    </xf>
    <xf numFmtId="0" fontId="13" fillId="17" borderId="17" xfId="0" applyFont="1" applyFill="1" applyBorder="1" applyAlignment="1">
      <alignment horizontal="left"/>
    </xf>
    <xf numFmtId="0" fontId="13" fillId="17" borderId="17" xfId="0" applyFont="1" applyFill="1" applyBorder="1"/>
    <xf numFmtId="0" fontId="13" fillId="17" borderId="18" xfId="0" applyFont="1" applyFill="1" applyBorder="1"/>
    <xf numFmtId="0" fontId="5" fillId="4" borderId="9" xfId="0" applyFont="1" applyFill="1" applyBorder="1" applyAlignment="1">
      <alignment horizontal="left" vertical="top" wrapText="1"/>
    </xf>
    <xf numFmtId="0" fontId="13" fillId="4" borderId="19" xfId="0" applyFont="1" applyFill="1" applyBorder="1" applyAlignment="1">
      <alignment horizontal="left" vertical="center" wrapText="1"/>
    </xf>
    <xf numFmtId="0" fontId="0" fillId="0" borderId="30" xfId="0" applyBorder="1" applyAlignment="1">
      <alignment horizontal="left" vertical="center" wrapText="1"/>
    </xf>
    <xf numFmtId="0" fontId="0" fillId="0" borderId="23" xfId="0" applyBorder="1" applyAlignment="1">
      <alignment horizontal="left" vertical="center" wrapText="1"/>
    </xf>
    <xf numFmtId="0" fontId="13" fillId="4" borderId="9" xfId="0" applyFont="1" applyFill="1" applyBorder="1" applyAlignment="1">
      <alignment horizontal="center" vertical="center" wrapText="1"/>
    </xf>
    <xf numFmtId="0" fontId="13" fillId="16" borderId="19" xfId="0" applyFont="1" applyFill="1" applyBorder="1" applyAlignment="1">
      <alignment horizontal="left" vertical="center" wrapText="1"/>
    </xf>
    <xf numFmtId="0" fontId="13" fillId="16" borderId="30" xfId="0" applyFont="1" applyFill="1" applyBorder="1" applyAlignment="1">
      <alignment horizontal="left" vertical="center" wrapText="1"/>
    </xf>
    <xf numFmtId="0" fontId="13" fillId="16" borderId="19" xfId="0" applyFont="1" applyFill="1" applyBorder="1" applyAlignment="1">
      <alignment vertical="center" wrapText="1"/>
    </xf>
    <xf numFmtId="0" fontId="13" fillId="16" borderId="30" xfId="0" applyFont="1" applyFill="1" applyBorder="1" applyAlignment="1">
      <alignment vertical="center" wrapText="1"/>
    </xf>
    <xf numFmtId="0" fontId="13" fillId="16" borderId="19" xfId="0" applyFont="1" applyFill="1" applyBorder="1" applyAlignment="1">
      <alignment horizontal="center" vertical="center" wrapText="1"/>
    </xf>
    <xf numFmtId="0" fontId="13" fillId="16" borderId="30" xfId="0" applyFont="1" applyFill="1" applyBorder="1" applyAlignment="1">
      <alignment horizontal="center" vertical="center" wrapText="1"/>
    </xf>
    <xf numFmtId="168" fontId="13" fillId="16" borderId="9" xfId="0" applyNumberFormat="1" applyFont="1" applyFill="1" applyBorder="1" applyAlignment="1">
      <alignment horizontal="left" vertical="top"/>
    </xf>
    <xf numFmtId="0" fontId="13" fillId="4" borderId="9" xfId="0" applyFont="1" applyFill="1" applyBorder="1" applyAlignment="1">
      <alignment horizontal="left" vertical="top" wrapText="1"/>
    </xf>
    <xf numFmtId="168" fontId="13" fillId="4" borderId="9" xfId="0" applyNumberFormat="1" applyFont="1" applyFill="1" applyBorder="1" applyAlignment="1">
      <alignment horizontal="left" vertical="top"/>
    </xf>
    <xf numFmtId="0" fontId="13" fillId="11" borderId="9" xfId="0" applyFont="1" applyFill="1" applyBorder="1" applyAlignment="1">
      <alignment horizontal="left" vertical="center" wrapText="1"/>
    </xf>
    <xf numFmtId="0" fontId="13" fillId="0" borderId="9" xfId="0" applyFont="1" applyBorder="1" applyAlignment="1">
      <alignment horizontal="left" vertical="top" wrapText="1"/>
    </xf>
    <xf numFmtId="0" fontId="13" fillId="4" borderId="16" xfId="0" applyFont="1" applyFill="1" applyBorder="1" applyAlignment="1">
      <alignment horizontal="left" vertical="top" wrapText="1"/>
    </xf>
    <xf numFmtId="0" fontId="13" fillId="4" borderId="17" xfId="0" applyFont="1" applyFill="1" applyBorder="1" applyAlignment="1">
      <alignment horizontal="left" vertical="top" wrapText="1"/>
    </xf>
    <xf numFmtId="0" fontId="13" fillId="4" borderId="18" xfId="0" applyFont="1" applyFill="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3" fillId="0" borderId="9" xfId="0" applyFont="1" applyBorder="1" applyAlignment="1">
      <alignment horizontal="center" vertical="center" wrapText="1"/>
    </xf>
    <xf numFmtId="0" fontId="13" fillId="16" borderId="9" xfId="0" applyFont="1" applyFill="1" applyBorder="1" applyAlignment="1">
      <alignment horizontal="left" vertical="top"/>
    </xf>
    <xf numFmtId="0" fontId="13" fillId="16" borderId="9" xfId="0" applyFont="1" applyFill="1" applyBorder="1" applyAlignment="1">
      <alignment horizontal="left" vertical="center" wrapText="1"/>
    </xf>
    <xf numFmtId="0" fontId="13" fillId="0" borderId="9" xfId="0" applyFont="1" applyBorder="1" applyAlignment="1">
      <alignment horizontal="left" vertical="top"/>
    </xf>
    <xf numFmtId="0" fontId="13" fillId="16" borderId="9" xfId="0" applyFont="1" applyFill="1" applyBorder="1" applyAlignment="1">
      <alignment horizontal="left" vertical="top" wrapText="1"/>
    </xf>
    <xf numFmtId="0" fontId="13" fillId="4" borderId="30" xfId="0" applyFont="1" applyFill="1" applyBorder="1" applyAlignment="1">
      <alignment horizontal="center" vertical="center" wrapText="1"/>
    </xf>
    <xf numFmtId="0" fontId="13" fillId="4" borderId="9" xfId="0" applyFont="1" applyFill="1" applyBorder="1" applyAlignment="1">
      <alignment horizontal="left" vertical="center" wrapText="1"/>
    </xf>
    <xf numFmtId="0" fontId="13" fillId="4" borderId="30"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13" fillId="16" borderId="9" xfId="0" applyFont="1" applyFill="1" applyBorder="1" applyAlignment="1">
      <alignment horizontal="center" vertical="center" wrapText="1"/>
    </xf>
    <xf numFmtId="0" fontId="13" fillId="16" borderId="9" xfId="0" applyFont="1" applyFill="1" applyBorder="1" applyAlignment="1">
      <alignment horizontal="center" vertical="top" wrapText="1"/>
    </xf>
    <xf numFmtId="0" fontId="13" fillId="10" borderId="18" xfId="0" applyFont="1" applyFill="1" applyBorder="1" applyAlignment="1">
      <alignment horizontal="left"/>
    </xf>
    <xf numFmtId="0" fontId="47" fillId="6" borderId="0" xfId="5" applyFont="1" applyFill="1" applyAlignment="1">
      <alignment vertical="center"/>
    </xf>
    <xf numFmtId="0" fontId="13" fillId="0" borderId="0" xfId="0" applyFont="1" applyAlignment="1">
      <alignment vertical="center"/>
    </xf>
    <xf numFmtId="0" fontId="13" fillId="4" borderId="9" xfId="0" applyFont="1" applyFill="1" applyBorder="1" applyAlignment="1">
      <alignment vertical="center" wrapText="1"/>
    </xf>
    <xf numFmtId="0" fontId="13" fillId="4" borderId="9" xfId="0" applyFont="1" applyFill="1" applyBorder="1" applyAlignment="1">
      <alignment horizontal="left" vertical="top"/>
    </xf>
    <xf numFmtId="0" fontId="13" fillId="0" borderId="9" xfId="0" applyFont="1" applyBorder="1" applyAlignment="1">
      <alignment horizontal="center" vertical="top" wrapText="1"/>
    </xf>
    <xf numFmtId="168" fontId="13" fillId="0" borderId="9" xfId="0" applyNumberFormat="1" applyFont="1" applyBorder="1" applyAlignment="1">
      <alignment horizontal="left" vertical="top"/>
    </xf>
    <xf numFmtId="0" fontId="83" fillId="45" borderId="9" xfId="0" applyFont="1" applyFill="1" applyBorder="1" applyAlignment="1">
      <alignment horizontal="center" vertical="center"/>
    </xf>
    <xf numFmtId="0" fontId="13" fillId="4" borderId="19" xfId="0" applyFont="1" applyFill="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13" fillId="0" borderId="19" xfId="0" applyFont="1" applyBorder="1" applyAlignment="1">
      <alignment horizontal="left" vertical="center" wrapText="1"/>
    </xf>
    <xf numFmtId="1" fontId="5" fillId="0" borderId="19" xfId="0" applyNumberFormat="1" applyFont="1" applyBorder="1" applyAlignment="1">
      <alignment vertical="center" wrapText="1"/>
    </xf>
    <xf numFmtId="0" fontId="0" fillId="0" borderId="30" xfId="0" applyBorder="1" applyAlignment="1">
      <alignment wrapText="1"/>
    </xf>
    <xf numFmtId="0" fontId="0" fillId="0" borderId="23" xfId="0" applyBorder="1" applyAlignment="1">
      <alignment wrapText="1"/>
    </xf>
    <xf numFmtId="165" fontId="13" fillId="0" borderId="19" xfId="0" applyNumberFormat="1" applyFont="1" applyBorder="1" applyAlignment="1">
      <alignment vertical="center" wrapText="1"/>
    </xf>
    <xf numFmtId="165" fontId="13" fillId="0" borderId="30" xfId="0" applyNumberFormat="1" applyFont="1" applyBorder="1" applyAlignment="1">
      <alignment vertical="center" wrapText="1"/>
    </xf>
    <xf numFmtId="165" fontId="13" fillId="0" borderId="23" xfId="0" applyNumberFormat="1" applyFont="1" applyBorder="1" applyAlignment="1">
      <alignment vertical="center" wrapText="1"/>
    </xf>
    <xf numFmtId="165" fontId="13" fillId="0" borderId="9" xfId="13" applyNumberFormat="1" applyFont="1" applyBorder="1" applyAlignment="1">
      <alignment horizontal="center" vertical="center" wrapText="1"/>
    </xf>
    <xf numFmtId="0" fontId="97" fillId="0" borderId="9" xfId="0" applyFont="1" applyBorder="1" applyAlignment="1">
      <alignment horizontal="left" vertical="center" wrapText="1"/>
    </xf>
    <xf numFmtId="165" fontId="13" fillId="0" borderId="19" xfId="0" applyNumberFormat="1" applyFont="1" applyBorder="1" applyAlignment="1">
      <alignment horizontal="left" vertical="center" wrapText="1"/>
    </xf>
    <xf numFmtId="165" fontId="13" fillId="0" borderId="23" xfId="0" applyNumberFormat="1" applyFont="1" applyBorder="1" applyAlignment="1">
      <alignment horizontal="left" vertical="center" wrapText="1"/>
    </xf>
    <xf numFmtId="0" fontId="13" fillId="0" borderId="19" xfId="8" applyFont="1" applyBorder="1" applyAlignment="1">
      <alignment horizontal="left" vertical="center" wrapText="1"/>
    </xf>
    <xf numFmtId="0" fontId="13" fillId="0" borderId="23" xfId="8" applyFont="1" applyBorder="1" applyAlignment="1">
      <alignment horizontal="left" vertical="center" wrapText="1"/>
    </xf>
    <xf numFmtId="0" fontId="13" fillId="17" borderId="9" xfId="0" applyFont="1" applyFill="1" applyBorder="1" applyAlignment="1">
      <alignment horizontal="left"/>
    </xf>
    <xf numFmtId="0" fontId="13" fillId="17" borderId="9" xfId="0" applyFont="1" applyFill="1" applyBorder="1"/>
    <xf numFmtId="0" fontId="19" fillId="0" borderId="16" xfId="0" applyFont="1" applyBorder="1" applyAlignment="1">
      <alignment horizontal="left"/>
    </xf>
    <xf numFmtId="0" fontId="19" fillId="0" borderId="17" xfId="0" applyFont="1" applyBorder="1" applyAlignment="1">
      <alignment horizontal="left"/>
    </xf>
    <xf numFmtId="0" fontId="19" fillId="0" borderId="18" xfId="0" applyFont="1" applyBorder="1" applyAlignment="1">
      <alignment horizontal="left"/>
    </xf>
    <xf numFmtId="0" fontId="13" fillId="0" borderId="19" xfId="8" applyFont="1" applyBorder="1" applyAlignment="1">
      <alignment horizontal="left" wrapText="1"/>
    </xf>
    <xf numFmtId="0" fontId="13" fillId="0" borderId="23" xfId="0" applyFont="1" applyBorder="1" applyAlignment="1">
      <alignment horizontal="left" wrapText="1"/>
    </xf>
    <xf numFmtId="0" fontId="13" fillId="15" borderId="20" xfId="0" applyFont="1" applyFill="1" applyBorder="1" applyAlignment="1">
      <alignment horizontal="center" vertical="center" wrapText="1"/>
    </xf>
    <xf numFmtId="0" fontId="13" fillId="15" borderId="27" xfId="0" applyFont="1" applyFill="1" applyBorder="1" applyAlignment="1">
      <alignment horizontal="center" vertical="center" wrapText="1"/>
    </xf>
    <xf numFmtId="0" fontId="13" fillId="15" borderId="21" xfId="0" applyFont="1" applyFill="1" applyBorder="1" applyAlignment="1">
      <alignment horizontal="center" vertical="center" wrapText="1"/>
    </xf>
    <xf numFmtId="0" fontId="13" fillId="15" borderId="25" xfId="0" applyFont="1" applyFill="1" applyBorder="1" applyAlignment="1">
      <alignment horizontal="center" vertical="center" wrapText="1"/>
    </xf>
    <xf numFmtId="0" fontId="13" fillId="15" borderId="28" xfId="0" applyFont="1" applyFill="1" applyBorder="1" applyAlignment="1">
      <alignment horizontal="center" vertical="center" wrapText="1"/>
    </xf>
    <xf numFmtId="0" fontId="13" fillId="15" borderId="26" xfId="0" applyFont="1" applyFill="1" applyBorder="1" applyAlignment="1">
      <alignment horizontal="center" vertical="center" wrapText="1"/>
    </xf>
    <xf numFmtId="165" fontId="2" fillId="0" borderId="9" xfId="6" applyNumberFormat="1" applyBorder="1" applyAlignment="1">
      <alignment horizontal="left" vertical="center" wrapText="1"/>
    </xf>
    <xf numFmtId="0" fontId="2" fillId="0" borderId="9" xfId="0" applyFont="1" applyBorder="1" applyAlignment="1">
      <alignment horizontal="left" vertical="center" wrapText="1"/>
    </xf>
    <xf numFmtId="165" fontId="13" fillId="0" borderId="19" xfId="13" applyNumberFormat="1" applyFont="1" applyBorder="1" applyAlignment="1">
      <alignment horizontal="left" vertical="center" wrapText="1"/>
    </xf>
    <xf numFmtId="165" fontId="13" fillId="0" borderId="30" xfId="13" applyNumberFormat="1" applyFont="1" applyBorder="1" applyAlignment="1">
      <alignment horizontal="left" vertical="center" wrapText="1"/>
    </xf>
    <xf numFmtId="165" fontId="13" fillId="0" borderId="23" xfId="13" applyNumberFormat="1" applyFont="1" applyBorder="1" applyAlignment="1">
      <alignment horizontal="left" vertical="center" wrapText="1"/>
    </xf>
    <xf numFmtId="0" fontId="13" fillId="0" borderId="20" xfId="0" applyFont="1" applyBorder="1" applyAlignment="1">
      <alignment horizontal="left" vertical="center" wrapText="1"/>
    </xf>
    <xf numFmtId="0" fontId="13" fillId="0" borderId="27"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0" xfId="0" applyFont="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6" xfId="0" applyFont="1" applyBorder="1" applyAlignment="1">
      <alignment horizontal="left" vertical="center" wrapText="1"/>
    </xf>
    <xf numFmtId="165" fontId="5" fillId="0" borderId="30" xfId="13" applyNumberFormat="1" applyFont="1" applyBorder="1" applyAlignment="1">
      <alignment horizontal="left" vertical="center" wrapText="1"/>
    </xf>
    <xf numFmtId="165" fontId="5" fillId="0" borderId="23" xfId="13" applyNumberFormat="1" applyFont="1" applyBorder="1" applyAlignment="1">
      <alignment horizontal="left" vertical="center" wrapText="1"/>
    </xf>
    <xf numFmtId="0" fontId="13" fillId="0" borderId="30" xfId="0" applyFont="1" applyBorder="1" applyAlignment="1">
      <alignment horizontal="left" vertical="center" wrapText="1"/>
    </xf>
    <xf numFmtId="0" fontId="13" fillId="0" borderId="16" xfId="8" applyFont="1" applyBorder="1" applyAlignment="1">
      <alignment wrapText="1"/>
    </xf>
    <xf numFmtId="0" fontId="13" fillId="0" borderId="18" xfId="8" applyFont="1" applyBorder="1" applyAlignment="1">
      <alignment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168" fontId="13" fillId="0" borderId="9" xfId="5" applyNumberFormat="1" applyFont="1" applyBorder="1" applyAlignment="1">
      <alignment horizontal="left" vertical="top" wrapText="1"/>
    </xf>
    <xf numFmtId="0" fontId="13" fillId="0" borderId="9" xfId="0" applyFont="1" applyBorder="1" applyAlignment="1">
      <alignment horizontal="left"/>
    </xf>
    <xf numFmtId="0" fontId="13" fillId="11" borderId="19" xfId="0" applyFont="1" applyFill="1" applyBorder="1" applyAlignment="1">
      <alignment horizontal="center" vertical="center" wrapText="1"/>
    </xf>
    <xf numFmtId="0" fontId="13" fillId="0" borderId="23" xfId="0" applyFont="1" applyBorder="1" applyAlignment="1">
      <alignment horizontal="center" vertical="center" wrapText="1"/>
    </xf>
    <xf numFmtId="0" fontId="36" fillId="0" borderId="19" xfId="8" applyFont="1" applyBorder="1" applyAlignment="1">
      <alignment horizontal="left" vertical="center"/>
    </xf>
    <xf numFmtId="0" fontId="36" fillId="0" borderId="30" xfId="8" applyFont="1" applyBorder="1" applyAlignment="1">
      <alignment horizontal="left" vertical="center"/>
    </xf>
    <xf numFmtId="0" fontId="13" fillId="0" borderId="9" xfId="0" applyFont="1" applyBorder="1"/>
    <xf numFmtId="0" fontId="48" fillId="4" borderId="16" xfId="0" applyFont="1" applyFill="1" applyBorder="1" applyAlignment="1">
      <alignment vertical="center" wrapText="1"/>
    </xf>
    <xf numFmtId="0" fontId="48" fillId="4" borderId="17" xfId="0" applyFont="1" applyFill="1" applyBorder="1" applyAlignment="1">
      <alignment vertical="center" wrapText="1"/>
    </xf>
    <xf numFmtId="0" fontId="48" fillId="4" borderId="18" xfId="0" applyFont="1" applyFill="1" applyBorder="1" applyAlignment="1">
      <alignment vertical="center" wrapText="1"/>
    </xf>
    <xf numFmtId="0" fontId="48" fillId="0" borderId="16" xfId="0" applyFont="1" applyBorder="1" applyAlignment="1">
      <alignment horizontal="left" vertical="center" wrapText="1"/>
    </xf>
    <xf numFmtId="0" fontId="48" fillId="0" borderId="18" xfId="0" applyFont="1" applyBorder="1" applyAlignment="1">
      <alignment horizontal="left" vertical="center" wrapText="1"/>
    </xf>
    <xf numFmtId="165" fontId="13" fillId="0" borderId="9" xfId="0" applyNumberFormat="1" applyFont="1" applyBorder="1" applyAlignment="1">
      <alignment horizontal="left" vertical="center" wrapText="1"/>
    </xf>
    <xf numFmtId="0" fontId="13" fillId="0" borderId="9" xfId="8" applyFont="1" applyBorder="1" applyAlignment="1">
      <alignment horizontal="left" vertical="top" wrapText="1"/>
    </xf>
    <xf numFmtId="168" fontId="13" fillId="0" borderId="19" xfId="5" applyNumberFormat="1" applyFont="1" applyBorder="1" applyAlignment="1">
      <alignment horizontal="left" vertical="center"/>
    </xf>
    <xf numFmtId="168" fontId="13" fillId="0" borderId="30" xfId="5" applyNumberFormat="1" applyFont="1" applyBorder="1" applyAlignment="1">
      <alignment horizontal="left" vertical="center"/>
    </xf>
    <xf numFmtId="168" fontId="13" fillId="0" borderId="23" xfId="5" applyNumberFormat="1" applyFont="1" applyBorder="1" applyAlignment="1">
      <alignment horizontal="left" vertical="center"/>
    </xf>
    <xf numFmtId="165" fontId="13" fillId="0" borderId="9" xfId="8" applyNumberFormat="1" applyFont="1" applyBorder="1" applyAlignment="1">
      <alignment horizontal="left" wrapText="1"/>
    </xf>
    <xf numFmtId="0" fontId="13" fillId="11" borderId="9" xfId="5" applyFont="1" applyFill="1" applyBorder="1" applyAlignment="1">
      <alignment horizontal="center" vertical="center" wrapText="1"/>
    </xf>
    <xf numFmtId="0" fontId="13" fillId="0" borderId="16" xfId="0" applyFont="1" applyBorder="1" applyAlignment="1">
      <alignment horizontal="left" vertical="center" wrapText="1"/>
    </xf>
    <xf numFmtId="0" fontId="13" fillId="0" borderId="18" xfId="0" applyFont="1" applyBorder="1" applyAlignment="1">
      <alignment horizontal="left" vertical="center" wrapText="1"/>
    </xf>
    <xf numFmtId="165" fontId="48" fillId="0" borderId="16" xfId="6" applyNumberFormat="1" applyFont="1" applyBorder="1" applyAlignment="1">
      <alignment horizontal="left" vertical="center" wrapText="1"/>
    </xf>
    <xf numFmtId="165" fontId="48" fillId="0" borderId="17" xfId="6" applyNumberFormat="1" applyFont="1" applyBorder="1" applyAlignment="1">
      <alignment horizontal="left" vertical="center" wrapText="1"/>
    </xf>
    <xf numFmtId="165" fontId="48" fillId="0" borderId="18" xfId="6" applyNumberFormat="1" applyFont="1" applyBorder="1" applyAlignment="1">
      <alignment horizontal="left" vertical="center" wrapText="1"/>
    </xf>
    <xf numFmtId="3" fontId="13" fillId="0" borderId="16" xfId="0" applyNumberFormat="1" applyFont="1" applyBorder="1" applyAlignment="1">
      <alignment horizontal="left" vertical="center" wrapText="1"/>
    </xf>
    <xf numFmtId="3" fontId="13" fillId="0" borderId="18" xfId="0" applyNumberFormat="1" applyFont="1" applyBorder="1" applyAlignment="1">
      <alignment horizontal="left" vertical="center" wrapText="1"/>
    </xf>
    <xf numFmtId="165" fontId="13" fillId="0" borderId="16" xfId="6" applyNumberFormat="1" applyFont="1" applyBorder="1" applyAlignment="1">
      <alignment vertical="center" wrapText="1"/>
    </xf>
    <xf numFmtId="165" fontId="13" fillId="0" borderId="17" xfId="6" applyNumberFormat="1" applyFont="1" applyBorder="1" applyAlignment="1">
      <alignment vertical="center" wrapText="1"/>
    </xf>
    <xf numFmtId="165" fontId="13" fillId="0" borderId="18" xfId="6" applyNumberFormat="1" applyFont="1" applyBorder="1" applyAlignment="1">
      <alignment vertical="center" wrapText="1"/>
    </xf>
    <xf numFmtId="0" fontId="13" fillId="4" borderId="16" xfId="8" applyFont="1" applyFill="1" applyBorder="1"/>
    <xf numFmtId="0" fontId="13" fillId="4" borderId="18" xfId="8" applyFont="1" applyFill="1" applyBorder="1"/>
    <xf numFmtId="165" fontId="13" fillId="4" borderId="9" xfId="0" applyNumberFormat="1"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13" fillId="4" borderId="16" xfId="0" applyFont="1" applyFill="1" applyBorder="1" applyAlignment="1">
      <alignment vertical="center" wrapText="1"/>
    </xf>
    <xf numFmtId="0" fontId="13" fillId="4" borderId="17" xfId="0" applyFont="1" applyFill="1" applyBorder="1" applyAlignment="1">
      <alignment vertical="center" wrapText="1"/>
    </xf>
    <xf numFmtId="0" fontId="13" fillId="4" borderId="18" xfId="0" applyFont="1" applyFill="1" applyBorder="1" applyAlignment="1">
      <alignment vertical="center" wrapText="1"/>
    </xf>
    <xf numFmtId="165" fontId="13" fillId="0" borderId="30" xfId="0" applyNumberFormat="1" applyFont="1" applyBorder="1" applyAlignment="1">
      <alignment horizontal="left" vertical="center" wrapText="1"/>
    </xf>
    <xf numFmtId="168" fontId="13" fillId="0" borderId="9" xfId="5" applyNumberFormat="1" applyFont="1" applyBorder="1" applyAlignment="1">
      <alignment horizontal="left" vertical="center"/>
    </xf>
    <xf numFmtId="0" fontId="13" fillId="11" borderId="16" xfId="0" applyFont="1" applyFill="1" applyBorder="1" applyAlignment="1">
      <alignment horizontal="center" vertical="center" wrapText="1"/>
    </xf>
    <xf numFmtId="0" fontId="13" fillId="0" borderId="18" xfId="0" applyFont="1" applyBorder="1" applyAlignment="1">
      <alignment horizontal="center" vertical="center" wrapText="1"/>
    </xf>
    <xf numFmtId="0" fontId="105" fillId="17" borderId="16" xfId="0" applyFont="1" applyFill="1" applyBorder="1" applyAlignment="1">
      <alignment horizontal="left"/>
    </xf>
    <xf numFmtId="0" fontId="13" fillId="0" borderId="19" xfId="8" applyFont="1" applyBorder="1" applyAlignment="1">
      <alignment horizontal="left" vertical="top" wrapText="1"/>
    </xf>
    <xf numFmtId="0" fontId="13" fillId="0" borderId="30" xfId="8" applyFont="1" applyBorder="1" applyAlignment="1">
      <alignment horizontal="left" vertical="top" wrapText="1"/>
    </xf>
    <xf numFmtId="0" fontId="13" fillId="0" borderId="9" xfId="8" applyFont="1" applyBorder="1" applyAlignment="1">
      <alignment horizontal="left" vertical="center"/>
    </xf>
    <xf numFmtId="0" fontId="13" fillId="11" borderId="18" xfId="0" applyFont="1" applyFill="1" applyBorder="1" applyAlignment="1">
      <alignment horizontal="center" vertical="center" wrapText="1"/>
    </xf>
    <xf numFmtId="0" fontId="13" fillId="11" borderId="17" xfId="0" applyFont="1" applyFill="1" applyBorder="1" applyAlignment="1">
      <alignment horizontal="center" vertical="center" wrapText="1"/>
    </xf>
    <xf numFmtId="0" fontId="13" fillId="4" borderId="16" xfId="8" applyFont="1" applyFill="1" applyBorder="1" applyAlignment="1">
      <alignment wrapText="1"/>
    </xf>
    <xf numFmtId="0" fontId="13" fillId="4" borderId="18" xfId="8" applyFont="1" applyFill="1" applyBorder="1" applyAlignment="1">
      <alignment wrapText="1"/>
    </xf>
    <xf numFmtId="3" fontId="13" fillId="0" borderId="9" xfId="0" applyNumberFormat="1" applyFont="1" applyBorder="1" applyAlignment="1">
      <alignment horizontal="left" vertical="center" wrapText="1"/>
    </xf>
    <xf numFmtId="165" fontId="13" fillId="0" borderId="9" xfId="13" applyNumberFormat="1" applyFont="1" applyBorder="1" applyAlignment="1">
      <alignment vertical="center" wrapText="1"/>
    </xf>
    <xf numFmtId="0" fontId="13" fillId="0" borderId="16" xfId="8" applyFont="1" applyBorder="1" applyAlignment="1">
      <alignment horizontal="center" wrapText="1"/>
    </xf>
    <xf numFmtId="0" fontId="13" fillId="0" borderId="18" xfId="8" applyFont="1" applyBorder="1" applyAlignment="1">
      <alignment horizontal="center" wrapText="1"/>
    </xf>
    <xf numFmtId="165" fontId="48" fillId="0" borderId="9" xfId="13" applyNumberFormat="1" applyFont="1" applyBorder="1" applyAlignment="1">
      <alignment horizontal="left" vertical="center" wrapText="1"/>
    </xf>
    <xf numFmtId="165" fontId="13" fillId="0" borderId="22" xfId="13" applyNumberFormat="1" applyFont="1" applyBorder="1" applyAlignment="1">
      <alignment vertical="center" wrapText="1"/>
    </xf>
    <xf numFmtId="165" fontId="13" fillId="0" borderId="0" xfId="13" applyNumberFormat="1" applyFont="1" applyAlignment="1">
      <alignment vertical="center" wrapText="1"/>
    </xf>
    <xf numFmtId="0" fontId="13" fillId="0" borderId="9" xfId="8" applyFont="1" applyBorder="1" applyAlignment="1">
      <alignment wrapText="1"/>
    </xf>
    <xf numFmtId="0" fontId="13"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23" xfId="0" applyFont="1" applyBorder="1" applyAlignment="1">
      <alignment horizontal="left" vertical="center" wrapText="1"/>
    </xf>
    <xf numFmtId="0" fontId="13" fillId="11" borderId="20"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1" xfId="0" applyFont="1" applyFill="1" applyBorder="1" applyAlignment="1">
      <alignment horizontal="center" vertical="center" wrapText="1"/>
    </xf>
    <xf numFmtId="165" fontId="48" fillId="0" borderId="25" xfId="6" applyNumberFormat="1" applyFont="1" applyBorder="1" applyAlignment="1">
      <alignment vertical="center" wrapText="1"/>
    </xf>
    <xf numFmtId="165" fontId="48" fillId="0" borderId="28" xfId="6" applyNumberFormat="1" applyFont="1" applyBorder="1" applyAlignment="1">
      <alignment vertical="center" wrapText="1"/>
    </xf>
    <xf numFmtId="165" fontId="48" fillId="0" borderId="16" xfId="6" applyNumberFormat="1" applyFont="1" applyBorder="1" applyAlignment="1">
      <alignment vertical="center" wrapText="1"/>
    </xf>
    <xf numFmtId="165" fontId="48" fillId="0" borderId="17" xfId="6" applyNumberFormat="1" applyFont="1" applyBorder="1" applyAlignment="1">
      <alignment vertical="center" wrapText="1"/>
    </xf>
    <xf numFmtId="165" fontId="48" fillId="0" borderId="18" xfId="6" applyNumberFormat="1" applyFont="1" applyBorder="1" applyAlignment="1">
      <alignment vertical="center" wrapText="1"/>
    </xf>
    <xf numFmtId="165" fontId="13" fillId="0" borderId="16" xfId="13" applyNumberFormat="1" applyFont="1" applyBorder="1" applyAlignment="1">
      <alignment vertical="center" wrapText="1"/>
    </xf>
    <xf numFmtId="165" fontId="13" fillId="0" borderId="17" xfId="13" applyNumberFormat="1" applyFont="1" applyBorder="1" applyAlignment="1">
      <alignment vertical="center" wrapText="1"/>
    </xf>
    <xf numFmtId="165" fontId="13" fillId="0" borderId="18" xfId="13" applyNumberFormat="1" applyFont="1" applyBorder="1" applyAlignment="1">
      <alignment vertical="center" wrapText="1"/>
    </xf>
    <xf numFmtId="165" fontId="48" fillId="0" borderId="20" xfId="6" applyNumberFormat="1" applyFont="1" applyBorder="1" applyAlignment="1">
      <alignment vertical="center" wrapText="1"/>
    </xf>
    <xf numFmtId="165" fontId="48" fillId="0" borderId="27" xfId="6" applyNumberFormat="1" applyFont="1" applyBorder="1" applyAlignment="1">
      <alignment vertical="center" wrapText="1"/>
    </xf>
    <xf numFmtId="165" fontId="48" fillId="0" borderId="21" xfId="6" applyNumberFormat="1" applyFont="1" applyBorder="1" applyAlignment="1">
      <alignment vertical="center" wrapText="1"/>
    </xf>
    <xf numFmtId="3" fontId="13" fillId="0" borderId="17" xfId="0" applyNumberFormat="1" applyFont="1" applyBorder="1" applyAlignment="1">
      <alignment horizontal="left" vertical="center" wrapText="1"/>
    </xf>
    <xf numFmtId="165" fontId="48" fillId="0" borderId="9" xfId="6" applyNumberFormat="1" applyFont="1" applyBorder="1" applyAlignment="1">
      <alignment vertical="center" wrapText="1"/>
    </xf>
    <xf numFmtId="0" fontId="48" fillId="0" borderId="16" xfId="8" applyFont="1" applyBorder="1" applyAlignment="1">
      <alignment horizontal="left"/>
    </xf>
    <xf numFmtId="0" fontId="48" fillId="0" borderId="17" xfId="8" applyFont="1" applyBorder="1" applyAlignment="1">
      <alignment horizontal="left"/>
    </xf>
    <xf numFmtId="0" fontId="48" fillId="0" borderId="18" xfId="8" applyFont="1" applyBorder="1" applyAlignment="1">
      <alignment horizontal="left"/>
    </xf>
    <xf numFmtId="165" fontId="13" fillId="0" borderId="16" xfId="6" applyNumberFormat="1" applyFont="1" applyBorder="1" applyAlignment="1">
      <alignment horizontal="left" vertical="center" wrapText="1"/>
    </xf>
    <xf numFmtId="165" fontId="13" fillId="0" borderId="17" xfId="6" applyNumberFormat="1" applyFont="1" applyBorder="1" applyAlignment="1">
      <alignment horizontal="left" vertical="center" wrapText="1"/>
    </xf>
    <xf numFmtId="165" fontId="13" fillId="0" borderId="18" xfId="6" applyNumberFormat="1" applyFont="1" applyBorder="1" applyAlignment="1">
      <alignment horizontal="left" vertical="center" wrapText="1"/>
    </xf>
    <xf numFmtId="165" fontId="5" fillId="0" borderId="9" xfId="13" applyNumberFormat="1" applyFont="1" applyBorder="1" applyAlignment="1">
      <alignment horizontal="left" vertical="center" wrapText="1"/>
    </xf>
    <xf numFmtId="165" fontId="13" fillId="0" borderId="19" xfId="13" applyNumberFormat="1" applyFont="1" applyBorder="1" applyAlignment="1">
      <alignment vertical="center" wrapText="1"/>
    </xf>
    <xf numFmtId="0" fontId="0" fillId="0" borderId="23" xfId="0" applyBorder="1" applyAlignment="1">
      <alignment vertical="center" wrapText="1"/>
    </xf>
    <xf numFmtId="10" fontId="5" fillId="0" borderId="16" xfId="3" applyNumberFormat="1" applyFont="1" applyFill="1" applyBorder="1" applyAlignment="1">
      <alignment horizontal="left" vertical="center" wrapText="1"/>
    </xf>
    <xf numFmtId="10" fontId="5" fillId="0" borderId="17" xfId="3" applyNumberFormat="1" applyFont="1" applyFill="1" applyBorder="1" applyAlignment="1">
      <alignment horizontal="left" vertical="center" wrapText="1"/>
    </xf>
    <xf numFmtId="10" fontId="5" fillId="0" borderId="18" xfId="3" applyNumberFormat="1" applyFont="1" applyFill="1" applyBorder="1" applyAlignment="1">
      <alignment horizontal="left" vertical="center" wrapText="1"/>
    </xf>
    <xf numFmtId="165" fontId="13" fillId="0" borderId="16" xfId="13" applyNumberFormat="1" applyFont="1" applyBorder="1" applyAlignment="1">
      <alignment horizontal="center" vertical="center" wrapText="1"/>
    </xf>
    <xf numFmtId="0" fontId="13" fillId="0" borderId="17" xfId="0" applyFont="1" applyBorder="1" applyAlignment="1">
      <alignment horizontal="center" vertical="center" wrapText="1"/>
    </xf>
    <xf numFmtId="165" fontId="2" fillId="0" borderId="9" xfId="13" applyNumberFormat="1" applyBorder="1" applyAlignment="1">
      <alignment horizontal="left" vertical="center" wrapText="1"/>
    </xf>
    <xf numFmtId="165" fontId="13" fillId="0" borderId="16" xfId="13" applyNumberFormat="1" applyFont="1" applyBorder="1" applyAlignment="1">
      <alignment horizontal="left" vertical="center" wrapText="1"/>
    </xf>
    <xf numFmtId="165" fontId="13" fillId="0" borderId="18" xfId="13" applyNumberFormat="1" applyFont="1" applyBorder="1" applyAlignment="1">
      <alignment horizontal="left" vertical="center" wrapText="1"/>
    </xf>
    <xf numFmtId="165" fontId="105" fillId="0" borderId="16" xfId="13" applyNumberFormat="1" applyFont="1" applyBorder="1" applyAlignment="1">
      <alignment horizontal="left" vertical="center" wrapText="1"/>
    </xf>
    <xf numFmtId="165" fontId="105" fillId="0" borderId="18" xfId="13" applyNumberFormat="1" applyFont="1" applyBorder="1" applyAlignment="1">
      <alignment horizontal="left" vertical="center" wrapText="1"/>
    </xf>
    <xf numFmtId="165" fontId="5" fillId="0" borderId="20" xfId="13" applyNumberFormat="1" applyFont="1" applyBorder="1" applyAlignment="1">
      <alignment horizontal="left" vertical="center" wrapText="1"/>
    </xf>
    <xf numFmtId="165" fontId="13" fillId="0" borderId="21" xfId="13" applyNumberFormat="1" applyFont="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165" fontId="5" fillId="0" borderId="27" xfId="13" applyNumberFormat="1" applyFont="1" applyBorder="1" applyAlignment="1">
      <alignment horizontal="left" vertical="center" wrapText="1"/>
    </xf>
    <xf numFmtId="165" fontId="5" fillId="0" borderId="21" xfId="13" applyNumberFormat="1" applyFont="1" applyBorder="1" applyAlignment="1">
      <alignment horizontal="left" vertical="center" wrapText="1"/>
    </xf>
    <xf numFmtId="0" fontId="0" fillId="0" borderId="28" xfId="0" applyBorder="1" applyAlignment="1">
      <alignment horizontal="left" vertical="center" wrapText="1"/>
    </xf>
    <xf numFmtId="165" fontId="5" fillId="0" borderId="16" xfId="13" applyNumberFormat="1" applyFont="1" applyBorder="1" applyAlignment="1">
      <alignment horizontal="left" vertical="center" wrapText="1"/>
    </xf>
    <xf numFmtId="165" fontId="5" fillId="0" borderId="18" xfId="13" applyNumberFormat="1" applyFont="1" applyBorder="1" applyAlignment="1">
      <alignment horizontal="left" vertical="center" wrapText="1"/>
    </xf>
    <xf numFmtId="165" fontId="13" fillId="0" borderId="17" xfId="13" applyNumberFormat="1" applyFont="1" applyBorder="1" applyAlignment="1">
      <alignment horizontal="center" vertical="center" wrapText="1"/>
    </xf>
    <xf numFmtId="165" fontId="13" fillId="0" borderId="18" xfId="13" applyNumberFormat="1" applyFont="1" applyBorder="1" applyAlignment="1">
      <alignment horizontal="center" vertical="center" wrapText="1"/>
    </xf>
    <xf numFmtId="165" fontId="13" fillId="0" borderId="17" xfId="13" applyNumberFormat="1" applyFont="1" applyBorder="1" applyAlignment="1">
      <alignment horizontal="left" vertical="center" wrapText="1"/>
    </xf>
    <xf numFmtId="10" fontId="5" fillId="4" borderId="16" xfId="3" applyNumberFormat="1" applyFont="1" applyFill="1" applyBorder="1" applyAlignment="1">
      <alignment horizontal="left" vertical="center" wrapText="1"/>
    </xf>
    <xf numFmtId="10" fontId="5" fillId="4" borderId="17" xfId="3" applyNumberFormat="1" applyFont="1" applyFill="1" applyBorder="1" applyAlignment="1">
      <alignment horizontal="left" vertical="center" wrapText="1"/>
    </xf>
    <xf numFmtId="10" fontId="5" fillId="4" borderId="18" xfId="3" applyNumberFormat="1" applyFont="1" applyFill="1" applyBorder="1" applyAlignment="1">
      <alignment horizontal="left" vertical="center" wrapText="1"/>
    </xf>
    <xf numFmtId="165" fontId="13" fillId="0" borderId="19" xfId="8" applyNumberFormat="1" applyFont="1" applyBorder="1" applyAlignment="1">
      <alignment horizontal="left" vertical="center"/>
    </xf>
    <xf numFmtId="165" fontId="13" fillId="0" borderId="30" xfId="8" applyNumberFormat="1" applyFont="1" applyBorder="1" applyAlignment="1">
      <alignment horizontal="left" vertical="center"/>
    </xf>
    <xf numFmtId="165" fontId="13" fillId="0" borderId="23" xfId="8" applyNumberFormat="1" applyFont="1" applyBorder="1" applyAlignment="1">
      <alignment horizontal="left" vertical="center"/>
    </xf>
    <xf numFmtId="165" fontId="13" fillId="0" borderId="19" xfId="8" applyNumberFormat="1" applyFont="1" applyBorder="1" applyAlignment="1">
      <alignment horizontal="center" vertical="center"/>
    </xf>
    <xf numFmtId="165" fontId="13" fillId="0" borderId="30" xfId="8" applyNumberFormat="1" applyFont="1" applyBorder="1" applyAlignment="1">
      <alignment horizontal="center" vertical="center"/>
    </xf>
    <xf numFmtId="165" fontId="13" fillId="0" borderId="23" xfId="8" applyNumberFormat="1" applyFont="1" applyBorder="1" applyAlignment="1">
      <alignment horizontal="center" vertical="center"/>
    </xf>
    <xf numFmtId="165" fontId="13" fillId="0" borderId="20" xfId="13" applyNumberFormat="1" applyFont="1" applyBorder="1" applyAlignment="1">
      <alignment horizontal="left" vertical="center" wrapText="1"/>
    </xf>
    <xf numFmtId="165" fontId="13" fillId="0" borderId="20" xfId="13" applyNumberFormat="1" applyFont="1" applyBorder="1" applyAlignment="1">
      <alignment horizontal="center" vertical="center" wrapText="1"/>
    </xf>
    <xf numFmtId="165" fontId="13" fillId="0" borderId="27" xfId="13" applyNumberFormat="1" applyFont="1" applyBorder="1" applyAlignment="1">
      <alignment horizontal="center" vertical="center" wrapText="1"/>
    </xf>
    <xf numFmtId="165" fontId="13" fillId="0" borderId="21" xfId="13" applyNumberFormat="1" applyFont="1" applyBorder="1" applyAlignment="1">
      <alignment horizontal="center" vertical="center" wrapText="1"/>
    </xf>
    <xf numFmtId="0" fontId="13" fillId="0" borderId="19" xfId="8" applyFont="1" applyBorder="1" applyAlignment="1">
      <alignment horizontal="center"/>
    </xf>
    <xf numFmtId="0" fontId="13" fillId="0" borderId="30" xfId="8" applyFont="1" applyBorder="1" applyAlignment="1">
      <alignment horizontal="center"/>
    </xf>
    <xf numFmtId="0" fontId="13" fillId="0" borderId="23" xfId="8" applyFont="1" applyBorder="1" applyAlignment="1">
      <alignment horizontal="center"/>
    </xf>
    <xf numFmtId="0" fontId="13" fillId="0" borderId="30" xfId="8" applyFont="1" applyBorder="1" applyAlignment="1">
      <alignment horizontal="left" vertical="center" wrapText="1"/>
    </xf>
    <xf numFmtId="0" fontId="13" fillId="0" borderId="9" xfId="0" applyFont="1" applyBorder="1" applyAlignment="1">
      <alignment vertical="center" wrapText="1"/>
    </xf>
    <xf numFmtId="0" fontId="13" fillId="0" borderId="27" xfId="8" applyFont="1" applyBorder="1" applyAlignment="1">
      <alignment horizontal="left" wrapText="1"/>
    </xf>
    <xf numFmtId="0" fontId="13" fillId="0" borderId="0" xfId="8" applyFont="1" applyAlignment="1">
      <alignment horizontal="left" wrapText="1"/>
    </xf>
    <xf numFmtId="0" fontId="13" fillId="0" borderId="19" xfId="8" applyFont="1" applyBorder="1" applyAlignment="1">
      <alignment horizontal="center" vertical="center" wrapText="1"/>
    </xf>
    <xf numFmtId="0" fontId="13" fillId="0" borderId="30" xfId="8" applyFont="1" applyBorder="1" applyAlignment="1">
      <alignment horizontal="center" vertical="center" wrapText="1"/>
    </xf>
    <xf numFmtId="0" fontId="13" fillId="0" borderId="23" xfId="8" applyFont="1" applyBorder="1" applyAlignment="1">
      <alignment horizontal="center" vertical="center" wrapText="1"/>
    </xf>
    <xf numFmtId="0" fontId="13" fillId="4" borderId="9" xfId="8" applyFont="1" applyFill="1" applyBorder="1" applyAlignment="1">
      <alignment vertical="top" wrapText="1"/>
    </xf>
    <xf numFmtId="0" fontId="13" fillId="4" borderId="16" xfId="8" applyFont="1" applyFill="1" applyBorder="1" applyAlignment="1">
      <alignment vertical="top" wrapText="1"/>
    </xf>
    <xf numFmtId="0" fontId="2" fillId="0" borderId="19" xfId="8" applyFont="1" applyBorder="1" applyAlignment="1">
      <alignment horizontal="left" vertical="center" wrapText="1"/>
    </xf>
    <xf numFmtId="0" fontId="2" fillId="0" borderId="30" xfId="8" applyFont="1" applyBorder="1" applyAlignment="1">
      <alignment horizontal="left" vertical="center" wrapText="1"/>
    </xf>
    <xf numFmtId="0" fontId="2" fillId="0" borderId="23" xfId="8" applyFont="1" applyBorder="1" applyAlignment="1">
      <alignment horizontal="left" vertical="center" wrapText="1"/>
    </xf>
    <xf numFmtId="0" fontId="13" fillId="0" borderId="20" xfId="8" applyFont="1" applyBorder="1" applyAlignment="1">
      <alignment wrapText="1"/>
    </xf>
    <xf numFmtId="0" fontId="13" fillId="0" borderId="27" xfId="8" applyFont="1" applyBorder="1" applyAlignment="1">
      <alignment wrapText="1"/>
    </xf>
    <xf numFmtId="0" fontId="13" fillId="0" borderId="21" xfId="8" applyFont="1" applyBorder="1" applyAlignment="1">
      <alignment wrapText="1"/>
    </xf>
    <xf numFmtId="0" fontId="13" fillId="0" borderId="22" xfId="0" applyFont="1" applyBorder="1" applyAlignment="1">
      <alignment wrapText="1"/>
    </xf>
    <xf numFmtId="0" fontId="13" fillId="0" borderId="0" xfId="0" applyFont="1" applyAlignment="1">
      <alignment wrapText="1"/>
    </xf>
    <xf numFmtId="0" fontId="13" fillId="0" borderId="24" xfId="0" applyFont="1" applyBorder="1" applyAlignment="1">
      <alignment wrapText="1"/>
    </xf>
    <xf numFmtId="0" fontId="13" fillId="0" borderId="25" xfId="0" applyFont="1" applyBorder="1" applyAlignment="1">
      <alignment wrapText="1"/>
    </xf>
    <xf numFmtId="0" fontId="13" fillId="0" borderId="28" xfId="0" applyFont="1" applyBorder="1" applyAlignment="1">
      <alignment wrapText="1"/>
    </xf>
    <xf numFmtId="0" fontId="13" fillId="0" borderId="26" xfId="0" applyFont="1" applyBorder="1" applyAlignment="1">
      <alignment wrapText="1"/>
    </xf>
    <xf numFmtId="0" fontId="48" fillId="0" borderId="9" xfId="8" applyFont="1" applyBorder="1" applyAlignment="1">
      <alignment wrapText="1"/>
    </xf>
    <xf numFmtId="0" fontId="13" fillId="0" borderId="22" xfId="8" applyFont="1" applyBorder="1" applyAlignment="1">
      <alignment horizontal="left" wrapText="1"/>
    </xf>
    <xf numFmtId="0" fontId="13" fillId="0" borderId="24" xfId="8" applyFont="1" applyBorder="1" applyAlignment="1">
      <alignment horizontal="left" wrapText="1"/>
    </xf>
    <xf numFmtId="0" fontId="13" fillId="4" borderId="9" xfId="8" applyFont="1" applyFill="1" applyBorder="1" applyAlignment="1">
      <alignment wrapText="1"/>
    </xf>
    <xf numFmtId="0" fontId="48" fillId="0" borderId="9" xfId="0" applyFont="1" applyBorder="1" applyAlignment="1">
      <alignment horizontal="left" vertical="center" wrapText="1"/>
    </xf>
    <xf numFmtId="0" fontId="48" fillId="0" borderId="9" xfId="0" applyFont="1" applyBorder="1" applyAlignment="1">
      <alignment vertical="center" wrapText="1"/>
    </xf>
    <xf numFmtId="165" fontId="13" fillId="0" borderId="25" xfId="13" applyNumberFormat="1" applyFont="1" applyBorder="1" applyAlignment="1">
      <alignment horizontal="left" vertical="center" wrapText="1"/>
    </xf>
    <xf numFmtId="165" fontId="48" fillId="0" borderId="9" xfId="13" applyNumberFormat="1" applyFont="1" applyBorder="1" applyAlignment="1">
      <alignment vertical="center" wrapText="1"/>
    </xf>
    <xf numFmtId="0" fontId="36" fillId="0" borderId="23" xfId="8" applyFont="1" applyBorder="1" applyAlignment="1">
      <alignment horizontal="left" vertical="center"/>
    </xf>
    <xf numFmtId="0" fontId="13" fillId="0" borderId="9" xfId="8" applyFont="1" applyBorder="1" applyAlignment="1">
      <alignment horizontal="left" vertical="center" wrapText="1"/>
    </xf>
    <xf numFmtId="0" fontId="33" fillId="0" borderId="9" xfId="8" applyFont="1" applyBorder="1" applyAlignment="1">
      <alignment horizontal="left" vertical="center"/>
    </xf>
    <xf numFmtId="0" fontId="13" fillId="0" borderId="19" xfId="8" applyFont="1" applyBorder="1" applyAlignment="1">
      <alignment wrapText="1"/>
    </xf>
    <xf numFmtId="0" fontId="13" fillId="0" borderId="23" xfId="0" applyFont="1" applyBorder="1" applyAlignment="1">
      <alignment wrapText="1"/>
    </xf>
    <xf numFmtId="0" fontId="13" fillId="0" borderId="19" xfId="8" applyFont="1" applyBorder="1"/>
    <xf numFmtId="0" fontId="13" fillId="0" borderId="23" xfId="0" applyFont="1" applyBorder="1"/>
    <xf numFmtId="0" fontId="13" fillId="0" borderId="23" xfId="0" applyFont="1" applyBorder="1" applyAlignment="1">
      <alignment horizontal="left" vertical="center"/>
    </xf>
    <xf numFmtId="0" fontId="2" fillId="0" borderId="23" xfId="0" applyFont="1" applyBorder="1" applyAlignment="1">
      <alignment horizontal="left" vertical="center"/>
    </xf>
    <xf numFmtId="0" fontId="13" fillId="0" borderId="30" xfId="0" applyFont="1" applyBorder="1" applyAlignment="1">
      <alignment wrapText="1"/>
    </xf>
    <xf numFmtId="165" fontId="13" fillId="0" borderId="27" xfId="13" applyNumberFormat="1" applyFont="1" applyBorder="1" applyAlignment="1">
      <alignment horizontal="left" vertical="center" wrapText="1"/>
    </xf>
    <xf numFmtId="165" fontId="13" fillId="0" borderId="28" xfId="13" applyNumberFormat="1" applyFont="1" applyBorder="1" applyAlignment="1">
      <alignment horizontal="left" vertical="center" wrapText="1"/>
    </xf>
    <xf numFmtId="165" fontId="13" fillId="0" borderId="26" xfId="13" applyNumberFormat="1" applyFont="1" applyBorder="1" applyAlignment="1">
      <alignment horizontal="left" vertical="center" wrapText="1"/>
    </xf>
    <xf numFmtId="0" fontId="13" fillId="0" borderId="9" xfId="8" applyFont="1" applyBorder="1" applyAlignment="1">
      <alignment vertical="center" wrapText="1"/>
    </xf>
    <xf numFmtId="0" fontId="2" fillId="0" borderId="30" xfId="0" applyFont="1" applyBorder="1" applyAlignment="1">
      <alignment horizontal="left" vertical="center"/>
    </xf>
    <xf numFmtId="0" fontId="13" fillId="0" borderId="30" xfId="0" applyFont="1" applyBorder="1" applyAlignment="1">
      <alignment horizontal="left" vertical="center"/>
    </xf>
    <xf numFmtId="165" fontId="2" fillId="0" borderId="30" xfId="13" applyNumberFormat="1" applyBorder="1" applyAlignment="1">
      <alignment horizontal="left" vertical="center" wrapText="1"/>
    </xf>
    <xf numFmtId="165" fontId="2" fillId="0" borderId="23" xfId="13" applyNumberFormat="1" applyBorder="1" applyAlignment="1">
      <alignment horizontal="left" vertical="center" wrapText="1"/>
    </xf>
    <xf numFmtId="0" fontId="105" fillId="4" borderId="9" xfId="0" applyFont="1" applyFill="1" applyBorder="1" applyAlignment="1">
      <alignment horizontal="left" vertical="center" wrapText="1"/>
    </xf>
    <xf numFmtId="165" fontId="2" fillId="0" borderId="19" xfId="13" applyNumberFormat="1" applyBorder="1" applyAlignment="1">
      <alignment horizontal="left" vertical="center" wrapText="1"/>
    </xf>
    <xf numFmtId="2" fontId="13" fillId="0" borderId="9" xfId="13" applyNumberFormat="1" applyFont="1" applyBorder="1" applyAlignment="1">
      <alignment horizontal="left" vertical="center" wrapText="1"/>
    </xf>
    <xf numFmtId="0" fontId="13" fillId="4" borderId="17" xfId="0" applyFont="1" applyFill="1" applyBorder="1" applyAlignment="1">
      <alignment horizontal="left" vertical="center" wrapText="1"/>
    </xf>
    <xf numFmtId="0" fontId="13" fillId="4" borderId="9" xfId="8" applyFont="1" applyFill="1" applyBorder="1" applyAlignment="1">
      <alignment horizontal="left" vertical="center" wrapText="1"/>
    </xf>
    <xf numFmtId="0" fontId="36" fillId="4" borderId="19" xfId="8" applyFont="1" applyFill="1" applyBorder="1" applyAlignment="1">
      <alignment horizontal="left" vertical="center"/>
    </xf>
    <xf numFmtId="0" fontId="36" fillId="4" borderId="30" xfId="8" applyFont="1" applyFill="1" applyBorder="1" applyAlignment="1">
      <alignment horizontal="left" vertical="center"/>
    </xf>
    <xf numFmtId="0" fontId="36" fillId="4" borderId="23" xfId="8" applyFont="1" applyFill="1" applyBorder="1" applyAlignment="1">
      <alignment horizontal="left" vertical="center"/>
    </xf>
    <xf numFmtId="0" fontId="48" fillId="4" borderId="9" xfId="8" applyFont="1" applyFill="1" applyBorder="1" applyAlignment="1">
      <alignment horizontal="left" vertical="center" wrapText="1"/>
    </xf>
    <xf numFmtId="0" fontId="13" fillId="0" borderId="30" xfId="0" applyFont="1" applyBorder="1"/>
    <xf numFmtId="165" fontId="5" fillId="0" borderId="19" xfId="13" applyNumberFormat="1" applyFont="1" applyBorder="1" applyAlignment="1">
      <alignment horizontal="left" vertical="center" wrapText="1"/>
    </xf>
    <xf numFmtId="0" fontId="13" fillId="15" borderId="16" xfId="0" applyFont="1" applyFill="1" applyBorder="1" applyAlignment="1">
      <alignment horizontal="center" vertical="center" wrapText="1"/>
    </xf>
    <xf numFmtId="0" fontId="13" fillId="15" borderId="17" xfId="0" applyFont="1" applyFill="1" applyBorder="1" applyAlignment="1">
      <alignment horizontal="center" vertical="center" wrapText="1"/>
    </xf>
    <xf numFmtId="0" fontId="13" fillId="15" borderId="18" xfId="0" applyFont="1" applyFill="1" applyBorder="1" applyAlignment="1">
      <alignment horizontal="center" vertical="center" wrapText="1"/>
    </xf>
    <xf numFmtId="0" fontId="13" fillId="11" borderId="9" xfId="5" applyFont="1" applyFill="1" applyBorder="1" applyAlignment="1">
      <alignment horizontal="left" vertical="center" wrapText="1"/>
    </xf>
    <xf numFmtId="165" fontId="13" fillId="0" borderId="19" xfId="6" applyNumberFormat="1" applyFont="1" applyBorder="1" applyAlignment="1">
      <alignment horizontal="left" vertical="center" wrapText="1"/>
    </xf>
    <xf numFmtId="165" fontId="13" fillId="0" borderId="23" xfId="6" applyNumberFormat="1" applyFont="1" applyBorder="1" applyAlignment="1">
      <alignment horizontal="left" vertical="center" wrapText="1"/>
    </xf>
    <xf numFmtId="0" fontId="105" fillId="0" borderId="90" xfId="8" applyFont="1" applyBorder="1" applyAlignment="1">
      <alignment horizontal="left" vertical="center" wrapText="1"/>
    </xf>
    <xf numFmtId="0" fontId="105" fillId="0" borderId="91" xfId="8" applyFont="1" applyBorder="1" applyAlignment="1">
      <alignment horizontal="left" vertical="center" wrapText="1"/>
    </xf>
    <xf numFmtId="0" fontId="105" fillId="0" borderId="92" xfId="8" applyFont="1" applyBorder="1" applyAlignment="1">
      <alignment horizontal="left" vertical="center" wrapText="1"/>
    </xf>
    <xf numFmtId="0" fontId="105" fillId="0" borderId="93" xfId="0" applyFont="1" applyBorder="1" applyAlignment="1">
      <alignment horizontal="left" vertical="center"/>
    </xf>
    <xf numFmtId="0" fontId="105" fillId="0" borderId="94" xfId="0" applyFont="1" applyBorder="1" applyAlignment="1">
      <alignment horizontal="left" vertical="center"/>
    </xf>
    <xf numFmtId="0" fontId="105" fillId="0" borderId="95" xfId="0" applyFont="1" applyBorder="1" applyAlignment="1">
      <alignment horizontal="left" vertical="center"/>
    </xf>
    <xf numFmtId="0" fontId="105" fillId="0" borderId="16" xfId="0" applyFont="1" applyBorder="1" applyAlignment="1">
      <alignment horizontal="left" vertical="center" wrapText="1"/>
    </xf>
    <xf numFmtId="0" fontId="105" fillId="0" borderId="17" xfId="0" applyFont="1" applyBorder="1" applyAlignment="1">
      <alignment horizontal="left" vertical="center" wrapText="1"/>
    </xf>
    <xf numFmtId="0" fontId="105" fillId="0" borderId="18" xfId="0" applyFont="1" applyBorder="1" applyAlignment="1">
      <alignment horizontal="left" vertical="center" wrapText="1"/>
    </xf>
    <xf numFmtId="0" fontId="5" fillId="10" borderId="16" xfId="5" applyFont="1" applyFill="1" applyBorder="1" applyAlignment="1">
      <alignment horizontal="left"/>
    </xf>
    <xf numFmtId="0" fontId="5" fillId="10" borderId="17" xfId="5" applyFont="1" applyFill="1" applyBorder="1" applyAlignment="1">
      <alignment horizontal="left"/>
    </xf>
    <xf numFmtId="0" fontId="5" fillId="0" borderId="17" xfId="6" applyFont="1" applyBorder="1"/>
    <xf numFmtId="0" fontId="5" fillId="0" borderId="17" xfId="0" applyFont="1" applyBorder="1"/>
    <xf numFmtId="0" fontId="5" fillId="0" borderId="18" xfId="0" applyFont="1" applyBorder="1"/>
    <xf numFmtId="0" fontId="13" fillId="10" borderId="16" xfId="0" applyFont="1" applyFill="1" applyBorder="1" applyAlignment="1">
      <alignment horizontal="left" vertical="center"/>
    </xf>
    <xf numFmtId="0" fontId="13" fillId="10" borderId="17" xfId="0" applyFont="1" applyFill="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168" fontId="13" fillId="0" borderId="9" xfId="5" applyNumberFormat="1" applyFont="1" applyBorder="1" applyAlignment="1">
      <alignment vertical="center"/>
    </xf>
    <xf numFmtId="168" fontId="13" fillId="0" borderId="9" xfId="5" applyNumberFormat="1" applyFont="1" applyBorder="1" applyAlignment="1">
      <alignment horizontal="left" vertical="center" wrapText="1"/>
    </xf>
    <xf numFmtId="168" fontId="13" fillId="0" borderId="9" xfId="5" applyNumberFormat="1" applyFont="1" applyBorder="1" applyAlignment="1">
      <alignment horizontal="center" vertical="center"/>
    </xf>
    <xf numFmtId="0" fontId="13" fillId="0" borderId="9" xfId="5" quotePrefix="1" applyFont="1" applyBorder="1" applyAlignment="1">
      <alignment horizontal="left" vertical="center" wrapText="1"/>
    </xf>
    <xf numFmtId="0" fontId="13" fillId="0" borderId="9" xfId="5" applyFont="1" applyBorder="1" applyAlignment="1">
      <alignment horizontal="left" vertical="center" wrapText="1"/>
    </xf>
    <xf numFmtId="168" fontId="13" fillId="0" borderId="20" xfId="5" applyNumberFormat="1" applyFont="1" applyBorder="1" applyAlignment="1">
      <alignment horizontal="left" vertical="center" wrapText="1"/>
    </xf>
    <xf numFmtId="168" fontId="13" fillId="0" borderId="27" xfId="5" applyNumberFormat="1" applyFont="1" applyBorder="1" applyAlignment="1">
      <alignment horizontal="left" vertical="center" wrapText="1"/>
    </xf>
    <xf numFmtId="168" fontId="13" fillId="0" borderId="21" xfId="5" applyNumberFormat="1" applyFont="1" applyBorder="1" applyAlignment="1">
      <alignment horizontal="left" vertical="center" wrapText="1"/>
    </xf>
    <xf numFmtId="0" fontId="27" fillId="0" borderId="0" xfId="5" applyFont="1" applyAlignment="1">
      <alignment vertical="center" wrapText="1"/>
    </xf>
    <xf numFmtId="0" fontId="5" fillId="10" borderId="16" xfId="0" applyFont="1" applyFill="1" applyBorder="1" applyAlignment="1">
      <alignment horizontal="left" vertical="center"/>
    </xf>
    <xf numFmtId="0" fontId="5" fillId="10" borderId="17" xfId="0" applyFont="1" applyFill="1" applyBorder="1" applyAlignment="1">
      <alignment horizontal="left" vertical="center"/>
    </xf>
    <xf numFmtId="0" fontId="5" fillId="0" borderId="17" xfId="0" applyFont="1" applyBorder="1" applyAlignment="1">
      <alignment vertical="center"/>
    </xf>
    <xf numFmtId="0" fontId="5" fillId="0" borderId="18" xfId="0" applyFont="1" applyBorder="1" applyAlignment="1">
      <alignment vertical="center"/>
    </xf>
    <xf numFmtId="0" fontId="27" fillId="6" borderId="0" xfId="5" applyFont="1" applyFill="1" applyAlignment="1">
      <alignment vertical="center"/>
    </xf>
    <xf numFmtId="0" fontId="13" fillId="0" borderId="0" xfId="0" applyFont="1" applyAlignment="1">
      <alignment horizontal="left" wrapText="1"/>
    </xf>
    <xf numFmtId="0" fontId="22" fillId="6" borderId="55" xfId="5" applyFont="1" applyFill="1" applyBorder="1" applyAlignment="1">
      <alignment vertical="center"/>
    </xf>
    <xf numFmtId="0" fontId="2" fillId="0" borderId="56" xfId="0" applyFont="1" applyBorder="1" applyAlignment="1">
      <alignment vertical="center"/>
    </xf>
    <xf numFmtId="0" fontId="2" fillId="0" borderId="57" xfId="0" applyFont="1" applyBorder="1" applyAlignment="1">
      <alignment vertical="center"/>
    </xf>
    <xf numFmtId="0" fontId="13" fillId="0" borderId="0" xfId="6" applyFont="1" applyAlignment="1">
      <alignment horizontal="left" vertical="center" wrapText="1"/>
    </xf>
    <xf numFmtId="0" fontId="5" fillId="0" borderId="0" xfId="6" applyFont="1" applyAlignment="1">
      <alignment horizontal="left" vertical="center" wrapText="1"/>
    </xf>
    <xf numFmtId="0" fontId="13" fillId="0" borderId="0" xfId="6" applyFont="1" applyAlignment="1">
      <alignment horizontal="left" wrapText="1"/>
    </xf>
    <xf numFmtId="0" fontId="5" fillId="10" borderId="17" xfId="0" applyFont="1" applyFill="1" applyBorder="1" applyAlignment="1">
      <alignment horizontal="left"/>
    </xf>
    <xf numFmtId="0" fontId="5" fillId="10" borderId="18" xfId="0" applyFont="1" applyFill="1" applyBorder="1" applyAlignment="1">
      <alignment horizontal="left"/>
    </xf>
    <xf numFmtId="0" fontId="37" fillId="19" borderId="20" xfId="0" applyFont="1" applyFill="1" applyBorder="1" applyAlignment="1">
      <alignment horizontal="center" wrapText="1"/>
    </xf>
    <xf numFmtId="2" fontId="47" fillId="13" borderId="19" xfId="0" applyNumberFormat="1" applyFont="1" applyFill="1" applyBorder="1" applyAlignment="1">
      <alignment horizontal="center" wrapText="1"/>
    </xf>
    <xf numFmtId="0" fontId="47" fillId="24" borderId="19" xfId="0" applyFont="1" applyFill="1" applyBorder="1" applyAlignment="1">
      <alignment horizontal="center" wrapText="1"/>
    </xf>
    <xf numFmtId="165" fontId="47" fillId="13" borderId="20" xfId="0" applyNumberFormat="1" applyFont="1" applyFill="1" applyBorder="1" applyAlignment="1">
      <alignment horizontal="center" wrapText="1"/>
    </xf>
    <xf numFmtId="0" fontId="26" fillId="19" borderId="19" xfId="0" applyFont="1" applyFill="1" applyBorder="1" applyAlignment="1">
      <alignment horizontal="center" wrapText="1"/>
    </xf>
    <xf numFmtId="0" fontId="80" fillId="9" borderId="39" xfId="0" applyFont="1" applyFill="1" applyBorder="1" applyAlignment="1">
      <alignment horizontal="center" vertical="center"/>
    </xf>
    <xf numFmtId="0" fontId="61" fillId="20" borderId="41" xfId="0" applyFont="1" applyFill="1" applyBorder="1" applyAlignment="1">
      <alignment wrapText="1"/>
    </xf>
    <xf numFmtId="43" fontId="51" fillId="22" borderId="20" xfId="1" applyFont="1" applyFill="1" applyBorder="1" applyAlignment="1">
      <alignment horizontal="center" wrapText="1"/>
    </xf>
    <xf numFmtId="43" fontId="51" fillId="23" borderId="20" xfId="1" applyFont="1" applyFill="1" applyBorder="1" applyAlignment="1">
      <alignment horizontal="center" wrapText="1"/>
    </xf>
    <xf numFmtId="0" fontId="37" fillId="27" borderId="39" xfId="0" applyFont="1" applyFill="1" applyBorder="1" applyAlignment="1">
      <alignment horizontal="center" vertical="center" wrapText="1"/>
    </xf>
    <xf numFmtId="0" fontId="37" fillId="22" borderId="39" xfId="0" applyFont="1" applyFill="1" applyBorder="1" applyAlignment="1">
      <alignment horizontal="center" vertical="center"/>
    </xf>
    <xf numFmtId="0" fontId="61" fillId="0" borderId="0" xfId="0" applyFont="1"/>
    <xf numFmtId="0" fontId="47" fillId="7" borderId="19" xfId="0" applyFont="1" applyFill="1" applyBorder="1" applyAlignment="1">
      <alignment horizontal="center" wrapText="1"/>
    </xf>
    <xf numFmtId="0" fontId="47" fillId="22" borderId="19" xfId="0" applyFont="1" applyFill="1" applyBorder="1" applyAlignment="1">
      <alignment horizontal="center" wrapText="1"/>
    </xf>
    <xf numFmtId="171" fontId="47" fillId="13" borderId="19" xfId="0" applyNumberFormat="1" applyFont="1" applyFill="1" applyBorder="1" applyAlignment="1">
      <alignment horizontal="center" wrapText="1"/>
    </xf>
    <xf numFmtId="171" fontId="47" fillId="13" borderId="19" xfId="2" applyNumberFormat="1" applyFont="1" applyFill="1" applyBorder="1" applyAlignment="1">
      <alignment horizontal="center" wrapText="1"/>
    </xf>
    <xf numFmtId="0" fontId="37" fillId="19" borderId="21" xfId="0" applyFont="1" applyFill="1" applyBorder="1" applyAlignment="1">
      <alignment horizontal="center" wrapText="1"/>
    </xf>
    <xf numFmtId="0" fontId="6" fillId="4" borderId="60" xfId="0" applyFont="1" applyFill="1" applyBorder="1" applyAlignment="1">
      <alignment horizontal="center"/>
    </xf>
    <xf numFmtId="0" fontId="6" fillId="4" borderId="61" xfId="0" applyFont="1" applyFill="1" applyBorder="1" applyAlignment="1">
      <alignment horizontal="center"/>
    </xf>
    <xf numFmtId="0" fontId="6" fillId="4" borderId="62" xfId="0" applyFont="1" applyFill="1" applyBorder="1" applyAlignment="1">
      <alignment horizontal="center"/>
    </xf>
    <xf numFmtId="0" fontId="6" fillId="4" borderId="63" xfId="0" applyFont="1" applyFill="1" applyBorder="1" applyAlignment="1">
      <alignment horizontal="center"/>
    </xf>
    <xf numFmtId="0" fontId="6" fillId="4" borderId="64" xfId="0" applyFont="1" applyFill="1" applyBorder="1" applyAlignment="1">
      <alignment horizontal="center"/>
    </xf>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2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ill>
        <patternFill>
          <bgColor rgb="FFFF66CC"/>
        </patternFill>
      </fill>
    </dxf>
    <dxf>
      <fill>
        <patternFill>
          <bgColor rgb="FFFF66CC"/>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ill>
        <patternFill>
          <bgColor rgb="FFFF66CC"/>
        </patternFill>
      </fill>
    </dxf>
    <dxf>
      <fill>
        <patternFill>
          <bgColor rgb="FFFF66FF"/>
        </patternFill>
      </fill>
    </dxf>
    <dxf>
      <fill>
        <patternFill>
          <bgColor rgb="FFFF66CC"/>
        </patternFill>
      </fill>
    </dxf>
    <dxf>
      <font>
        <color rgb="FFFF0000"/>
      </font>
    </dxf>
    <dxf>
      <font>
        <color auto="1"/>
      </font>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rgb="FFFF0000"/>
      </font>
    </dxf>
    <dxf>
      <font>
        <color rgb="FFFF0000"/>
      </font>
    </dxf>
    <dxf>
      <font>
        <color auto="1"/>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strike val="0"/>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auto="1"/>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33CC33"/>
      <color rgb="FFFF9999"/>
      <color rgb="FF99FFCC"/>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97</xdr:row>
      <xdr:rowOff>114296</xdr:rowOff>
    </xdr:from>
    <xdr:to>
      <xdr:col>4</xdr:col>
      <xdr:colOff>2570389</xdr:colOff>
      <xdr:row>99</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147</xdr:row>
      <xdr:rowOff>63426</xdr:rowOff>
    </xdr:from>
    <xdr:to>
      <xdr:col>5</xdr:col>
      <xdr:colOff>8692</xdr:colOff>
      <xdr:row>150</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147</xdr:row>
      <xdr:rowOff>21499</xdr:rowOff>
    </xdr:from>
    <xdr:to>
      <xdr:col>12</xdr:col>
      <xdr:colOff>445226</xdr:colOff>
      <xdr:row>152</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146</xdr:row>
      <xdr:rowOff>169274</xdr:rowOff>
    </xdr:from>
    <xdr:to>
      <xdr:col>19</xdr:col>
      <xdr:colOff>20410</xdr:colOff>
      <xdr:row>152</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9</xdr:col>
      <xdr:colOff>570039</xdr:colOff>
      <xdr:row>192</xdr:row>
      <xdr:rowOff>57147</xdr:rowOff>
    </xdr:from>
    <xdr:to>
      <xdr:col>10</xdr:col>
      <xdr:colOff>1476375</xdr:colOff>
      <xdr:row>194</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188</xdr:row>
      <xdr:rowOff>133351</xdr:rowOff>
    </xdr:from>
    <xdr:to>
      <xdr:col>13</xdr:col>
      <xdr:colOff>895350</xdr:colOff>
      <xdr:row>192</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191</xdr:row>
      <xdr:rowOff>95658</xdr:rowOff>
    </xdr:from>
    <xdr:to>
      <xdr:col>5</xdr:col>
      <xdr:colOff>628650</xdr:colOff>
      <xdr:row>193</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246</xdr:row>
      <xdr:rowOff>144507</xdr:rowOff>
    </xdr:from>
    <xdr:to>
      <xdr:col>6</xdr:col>
      <xdr:colOff>783499</xdr:colOff>
      <xdr:row>249</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262</xdr:row>
      <xdr:rowOff>93890</xdr:rowOff>
    </xdr:from>
    <xdr:to>
      <xdr:col>11</xdr:col>
      <xdr:colOff>973999</xdr:colOff>
      <xdr:row>265</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397</xdr:row>
      <xdr:rowOff>96157</xdr:rowOff>
    </xdr:from>
    <xdr:to>
      <xdr:col>5</xdr:col>
      <xdr:colOff>973999</xdr:colOff>
      <xdr:row>400</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419</xdr:row>
      <xdr:rowOff>132443</xdr:rowOff>
    </xdr:from>
    <xdr:to>
      <xdr:col>6</xdr:col>
      <xdr:colOff>1228452</xdr:colOff>
      <xdr:row>422</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78</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116</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135</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163</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447</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467</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503</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503</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483</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483</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oneCellAnchor>
    <xdr:from>
      <xdr:col>26</xdr:col>
      <xdr:colOff>2269331</xdr:colOff>
      <xdr:row>78</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oneCellAnchor>
    <xdr:from>
      <xdr:col>26</xdr:col>
      <xdr:colOff>935831</xdr:colOff>
      <xdr:row>179</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179</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202</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222</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359</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431</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30</xdr:row>
      <xdr:rowOff>48576</xdr:rowOff>
    </xdr:from>
    <xdr:to>
      <xdr:col>8</xdr:col>
      <xdr:colOff>1183821</xdr:colOff>
      <xdr:row>33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1340031</xdr:colOff>
      <xdr:row>67</xdr:row>
      <xdr:rowOff>35956</xdr:rowOff>
    </xdr:from>
    <xdr:to>
      <xdr:col>6</xdr:col>
      <xdr:colOff>628649</xdr:colOff>
      <xdr:row>69</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492</xdr:row>
      <xdr:rowOff>0</xdr:rowOff>
    </xdr:from>
    <xdr:to>
      <xdr:col>7</xdr:col>
      <xdr:colOff>131222</xdr:colOff>
      <xdr:row>494</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492</xdr:row>
      <xdr:rowOff>0</xdr:rowOff>
    </xdr:from>
    <xdr:to>
      <xdr:col>4</xdr:col>
      <xdr:colOff>3103134</xdr:colOff>
      <xdr:row>494</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437</xdr:row>
      <xdr:rowOff>98961</xdr:rowOff>
    </xdr:from>
    <xdr:to>
      <xdr:col>5</xdr:col>
      <xdr:colOff>277102</xdr:colOff>
      <xdr:row>439</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437</xdr:row>
      <xdr:rowOff>72984</xdr:rowOff>
    </xdr:from>
    <xdr:to>
      <xdr:col>4</xdr:col>
      <xdr:colOff>2969735</xdr:colOff>
      <xdr:row>439</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105047</xdr:colOff>
      <xdr:row>474</xdr:row>
      <xdr:rowOff>40822</xdr:rowOff>
    </xdr:from>
    <xdr:to>
      <xdr:col>5</xdr:col>
      <xdr:colOff>190500</xdr:colOff>
      <xdr:row>476</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476</xdr:row>
      <xdr:rowOff>95247</xdr:rowOff>
    </xdr:from>
    <xdr:to>
      <xdr:col>2</xdr:col>
      <xdr:colOff>0</xdr:colOff>
      <xdr:row>478</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455</xdr:row>
      <xdr:rowOff>84849</xdr:rowOff>
    </xdr:from>
    <xdr:to>
      <xdr:col>6</xdr:col>
      <xdr:colOff>1895202</xdr:colOff>
      <xdr:row>458</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458</xdr:row>
      <xdr:rowOff>95247</xdr:rowOff>
    </xdr:from>
    <xdr:to>
      <xdr:col>2</xdr:col>
      <xdr:colOff>0</xdr:colOff>
      <xdr:row>460</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440</xdr:row>
      <xdr:rowOff>95247</xdr:rowOff>
    </xdr:from>
    <xdr:to>
      <xdr:col>2</xdr:col>
      <xdr:colOff>0</xdr:colOff>
      <xdr:row>442</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64223</xdr:colOff>
      <xdr:row>419</xdr:row>
      <xdr:rowOff>132443</xdr:rowOff>
    </xdr:from>
    <xdr:to>
      <xdr:col>6</xdr:col>
      <xdr:colOff>1228450</xdr:colOff>
      <xdr:row>422</xdr:row>
      <xdr:rowOff>54428</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445473" y="41743086"/>
              <a:ext cx="11478441" cy="493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445473" y="41743086"/>
              <a:ext cx="11478441" cy="493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422</xdr:row>
      <xdr:rowOff>95247</xdr:rowOff>
    </xdr:from>
    <xdr:to>
      <xdr:col>2</xdr:col>
      <xdr:colOff>0</xdr:colOff>
      <xdr:row>424</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400</xdr:row>
      <xdr:rowOff>126271</xdr:rowOff>
    </xdr:from>
    <xdr:to>
      <xdr:col>4</xdr:col>
      <xdr:colOff>2869474</xdr:colOff>
      <xdr:row>403</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371</xdr:row>
      <xdr:rowOff>89385</xdr:rowOff>
    </xdr:from>
    <xdr:to>
      <xdr:col>4</xdr:col>
      <xdr:colOff>4550499</xdr:colOff>
      <xdr:row>374</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374</xdr:row>
      <xdr:rowOff>105045</xdr:rowOff>
    </xdr:from>
    <xdr:to>
      <xdr:col>4</xdr:col>
      <xdr:colOff>2457449</xdr:colOff>
      <xdr:row>377</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69</xdr:row>
      <xdr:rowOff>125732</xdr:rowOff>
    </xdr:from>
    <xdr:to>
      <xdr:col>4</xdr:col>
      <xdr:colOff>2220686</xdr:colOff>
      <xdr:row>71</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272</xdr:row>
      <xdr:rowOff>97428</xdr:rowOff>
    </xdr:from>
    <xdr:to>
      <xdr:col>9</xdr:col>
      <xdr:colOff>341962</xdr:colOff>
      <xdr:row>275</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268</xdr:row>
      <xdr:rowOff>19050</xdr:rowOff>
    </xdr:from>
    <xdr:to>
      <xdr:col>9</xdr:col>
      <xdr:colOff>140363</xdr:colOff>
      <xdr:row>271</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270</xdr:row>
      <xdr:rowOff>0</xdr:rowOff>
    </xdr:from>
    <xdr:to>
      <xdr:col>5</xdr:col>
      <xdr:colOff>1343025</xdr:colOff>
      <xdr:row>271</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77287</xdr:colOff>
      <xdr:row>344</xdr:row>
      <xdr:rowOff>127363</xdr:rowOff>
    </xdr:from>
    <xdr:to>
      <xdr:col>5</xdr:col>
      <xdr:colOff>6136</xdr:colOff>
      <xdr:row>345</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324</xdr:row>
      <xdr:rowOff>149678</xdr:rowOff>
    </xdr:from>
    <xdr:to>
      <xdr:col>14</xdr:col>
      <xdr:colOff>56029</xdr:colOff>
      <xdr:row>327</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322</xdr:row>
      <xdr:rowOff>16328</xdr:rowOff>
    </xdr:from>
    <xdr:to>
      <xdr:col>13</xdr:col>
      <xdr:colOff>664733</xdr:colOff>
      <xdr:row>324</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323</xdr:row>
      <xdr:rowOff>9253</xdr:rowOff>
    </xdr:from>
    <xdr:to>
      <xdr:col>4</xdr:col>
      <xdr:colOff>1847143</xdr:colOff>
      <xdr:row>324</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324</xdr:row>
      <xdr:rowOff>169273</xdr:rowOff>
    </xdr:from>
    <xdr:to>
      <xdr:col>8</xdr:col>
      <xdr:colOff>855232</xdr:colOff>
      <xdr:row>327</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322</xdr:row>
      <xdr:rowOff>21499</xdr:rowOff>
    </xdr:from>
    <xdr:to>
      <xdr:col>8</xdr:col>
      <xdr:colOff>859267</xdr:colOff>
      <xdr:row>324</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347</xdr:row>
      <xdr:rowOff>66673</xdr:rowOff>
    </xdr:from>
    <xdr:to>
      <xdr:col>7</xdr:col>
      <xdr:colOff>479890</xdr:colOff>
      <xdr:row>348</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325</xdr:row>
      <xdr:rowOff>95247</xdr:rowOff>
    </xdr:from>
    <xdr:to>
      <xdr:col>6</xdr:col>
      <xdr:colOff>599905</xdr:colOff>
      <xdr:row>327</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298</xdr:row>
      <xdr:rowOff>0</xdr:rowOff>
    </xdr:from>
    <xdr:to>
      <xdr:col>8</xdr:col>
      <xdr:colOff>683559</xdr:colOff>
      <xdr:row>300</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297</xdr:row>
      <xdr:rowOff>167912</xdr:rowOff>
    </xdr:from>
    <xdr:to>
      <xdr:col>4</xdr:col>
      <xdr:colOff>4112559</xdr:colOff>
      <xdr:row>300</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301</xdr:row>
      <xdr:rowOff>21224</xdr:rowOff>
    </xdr:from>
    <xdr:to>
      <xdr:col>6</xdr:col>
      <xdr:colOff>599905</xdr:colOff>
      <xdr:row>302</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266</xdr:row>
      <xdr:rowOff>95248</xdr:rowOff>
    </xdr:from>
    <xdr:to>
      <xdr:col>6</xdr:col>
      <xdr:colOff>599905</xdr:colOff>
      <xdr:row>267</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249</xdr:row>
      <xdr:rowOff>95247</xdr:rowOff>
    </xdr:from>
    <xdr:to>
      <xdr:col>6</xdr:col>
      <xdr:colOff>599905</xdr:colOff>
      <xdr:row>251</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232</xdr:row>
      <xdr:rowOff>126271</xdr:rowOff>
    </xdr:from>
    <xdr:to>
      <xdr:col>5</xdr:col>
      <xdr:colOff>1345577</xdr:colOff>
      <xdr:row>235</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211</xdr:row>
      <xdr:rowOff>21227</xdr:rowOff>
    </xdr:from>
    <xdr:to>
      <xdr:col>4</xdr:col>
      <xdr:colOff>4439769</xdr:colOff>
      <xdr:row>212</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213</xdr:row>
      <xdr:rowOff>95247</xdr:rowOff>
    </xdr:from>
    <xdr:to>
      <xdr:col>6</xdr:col>
      <xdr:colOff>599905</xdr:colOff>
      <xdr:row>215</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169</xdr:row>
      <xdr:rowOff>155121</xdr:rowOff>
    </xdr:from>
    <xdr:to>
      <xdr:col>4</xdr:col>
      <xdr:colOff>926930</xdr:colOff>
      <xdr:row>171</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172</xdr:row>
      <xdr:rowOff>95247</xdr:rowOff>
    </xdr:from>
    <xdr:to>
      <xdr:col>6</xdr:col>
      <xdr:colOff>599905</xdr:colOff>
      <xdr:row>174</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151</xdr:row>
      <xdr:rowOff>64222</xdr:rowOff>
    </xdr:from>
    <xdr:to>
      <xdr:col>6</xdr:col>
      <xdr:colOff>790405</xdr:colOff>
      <xdr:row>153</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125</xdr:row>
      <xdr:rowOff>182161</xdr:rowOff>
    </xdr:from>
    <xdr:to>
      <xdr:col>4</xdr:col>
      <xdr:colOff>1480457</xdr:colOff>
      <xdr:row>128</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33</xdr:row>
      <xdr:rowOff>168825</xdr:rowOff>
    </xdr:from>
    <xdr:to>
      <xdr:col>4</xdr:col>
      <xdr:colOff>2725240</xdr:colOff>
      <xdr:row>36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95</xdr:row>
      <xdr:rowOff>31019</xdr:rowOff>
    </xdr:from>
    <xdr:to>
      <xdr:col>5</xdr:col>
      <xdr:colOff>190500</xdr:colOff>
      <xdr:row>97</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26</xdr:row>
      <xdr:rowOff>167642</xdr:rowOff>
    </xdr:from>
    <xdr:to>
      <xdr:col>9</xdr:col>
      <xdr:colOff>408214</xdr:colOff>
      <xdr:row>29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64</xdr:row>
      <xdr:rowOff>135159</xdr:rowOff>
    </xdr:from>
    <xdr:to>
      <xdr:col>6</xdr:col>
      <xdr:colOff>866775</xdr:colOff>
      <xdr:row>66</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123</xdr:row>
      <xdr:rowOff>163285</xdr:rowOff>
    </xdr:from>
    <xdr:to>
      <xdr:col>5</xdr:col>
      <xdr:colOff>685800</xdr:colOff>
      <xdr:row>125</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5</xdr:col>
      <xdr:colOff>457200</xdr:colOff>
      <xdr:row>192</xdr:row>
      <xdr:rowOff>123825</xdr:rowOff>
    </xdr:from>
    <xdr:to>
      <xdr:col>9</xdr:col>
      <xdr:colOff>324122</xdr:colOff>
      <xdr:row>194</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twoCellAnchor>
    <xdr:from>
      <xdr:col>4</xdr:col>
      <xdr:colOff>111442</xdr:colOff>
      <xdr:row>187</xdr:row>
      <xdr:rowOff>38101</xdr:rowOff>
    </xdr:from>
    <xdr:to>
      <xdr:col>5</xdr:col>
      <xdr:colOff>933722</xdr:colOff>
      <xdr:row>193</xdr:row>
      <xdr:rowOff>174171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mlns="">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39156" y="18500272"/>
              <a:ext cx="7800023" cy="15403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i="0">
                  <a:solidFill>
                    <a:schemeClr val="tx1"/>
                  </a:solidFill>
                  <a:effectLst/>
                  <a:latin typeface="Cambria Math" panose="02040503050406030204" pitchFamily="18" charset="0"/>
                  <a:ea typeface="+mn-ea"/>
                  <a:cs typeface="+mn-cs"/>
                </a:rPr>
                <a:t>" </a:t>
              </a:r>
              <a:r>
                <a:rPr lang="en-US" sz="1400" b="0" i="0">
                  <a:solidFill>
                    <a:schemeClr val="tx1"/>
                  </a:solidFill>
                  <a:effectLst/>
                  <a:latin typeface="Cambria Math" panose="02040503050406030204" pitchFamily="18" charset="0"/>
                  <a:ea typeface="+mn-ea"/>
                  <a:cs typeface="+mn-cs"/>
                </a:rPr>
                <a:t>〗_(𝑃𝑟𝑒𝐻𝑒𝑎𝑡𝐸𝑛𝑒𝑟𝑔𝑦  )</a:t>
              </a:r>
              <a:r>
                <a:rPr lang="en-US" sz="1400"/>
                <a:t>) x Days/1000</a:t>
              </a:r>
            </a:p>
          </xdr:txBody>
        </xdr:sp>
      </mc:Fallback>
    </mc:AlternateContent>
    <xdr:clientData/>
  </xdr:twoCellAnchor>
  <xdr:twoCellAnchor>
    <xdr:from>
      <xdr:col>4</xdr:col>
      <xdr:colOff>381000</xdr:colOff>
      <xdr:row>228</xdr:row>
      <xdr:rowOff>13608</xdr:rowOff>
    </xdr:from>
    <xdr:to>
      <xdr:col>4</xdr:col>
      <xdr:colOff>3125561</xdr:colOff>
      <xdr:row>229</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230</xdr:row>
      <xdr:rowOff>176892</xdr:rowOff>
    </xdr:from>
    <xdr:to>
      <xdr:col>4</xdr:col>
      <xdr:colOff>5150304</xdr:colOff>
      <xdr:row>231</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229</xdr:row>
      <xdr:rowOff>95251</xdr:rowOff>
    </xdr:from>
    <xdr:to>
      <xdr:col>4</xdr:col>
      <xdr:colOff>4703990</xdr:colOff>
      <xdr:row>230</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128</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128</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129</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29</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29</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49</xdr:row>
      <xdr:rowOff>0</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49</xdr:row>
      <xdr:rowOff>0</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49</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49</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2219</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2219</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2247</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2239</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2259</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2311</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2311</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2311</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2311</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605</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605</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605</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605</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42</xdr:row>
      <xdr:rowOff>0</xdr:rowOff>
    </xdr:from>
    <xdr:to>
      <xdr:col>6</xdr:col>
      <xdr:colOff>135763</xdr:colOff>
      <xdr:row>42</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42</xdr:row>
      <xdr:rowOff>0</xdr:rowOff>
    </xdr:from>
    <xdr:to>
      <xdr:col>6</xdr:col>
      <xdr:colOff>324774</xdr:colOff>
      <xdr:row>42</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426</xdr:row>
      <xdr:rowOff>0</xdr:rowOff>
    </xdr:from>
    <xdr:to>
      <xdr:col>15</xdr:col>
      <xdr:colOff>0</xdr:colOff>
      <xdr:row>426</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426</xdr:row>
      <xdr:rowOff>0</xdr:rowOff>
    </xdr:from>
    <xdr:to>
      <xdr:col>4</xdr:col>
      <xdr:colOff>2739839</xdr:colOff>
      <xdr:row>426</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ea typeface="Cambria Math" panose="02040503050406030204" pitchFamily="18" charset="0"/>
                </a:rPr>
                <a:t>6</a:t>
              </a:r>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a14:m>
              <a:endParaRPr lang="en-US" sz="1400"/>
            </a:p>
          </xdr:txBody>
        </xdr:sp>
      </mc:Choice>
      <mc:Fallback xmlns="">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a:ea typeface="Cambria Math" panose="02040503050406030204" pitchFamily="18" charset="0"/>
                </a:rPr>
                <a:t>6</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460</xdr:row>
      <xdr:rowOff>0</xdr:rowOff>
    </xdr:from>
    <xdr:to>
      <xdr:col>14</xdr:col>
      <xdr:colOff>1631</xdr:colOff>
      <xdr:row>460</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460</xdr:row>
      <xdr:rowOff>0</xdr:rowOff>
    </xdr:from>
    <xdr:to>
      <xdr:col>14</xdr:col>
      <xdr:colOff>0</xdr:colOff>
      <xdr:row>460</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489</xdr:row>
      <xdr:rowOff>0</xdr:rowOff>
    </xdr:from>
    <xdr:to>
      <xdr:col>12</xdr:col>
      <xdr:colOff>0</xdr:colOff>
      <xdr:row>489</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489</xdr:row>
      <xdr:rowOff>0</xdr:rowOff>
    </xdr:from>
    <xdr:to>
      <xdr:col>12</xdr:col>
      <xdr:colOff>272</xdr:colOff>
      <xdr:row>489</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605</xdr:row>
      <xdr:rowOff>0</xdr:rowOff>
    </xdr:from>
    <xdr:to>
      <xdr:col>8</xdr:col>
      <xdr:colOff>3567</xdr:colOff>
      <xdr:row>605</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605</xdr:row>
      <xdr:rowOff>0</xdr:rowOff>
    </xdr:from>
    <xdr:to>
      <xdr:col>8</xdr:col>
      <xdr:colOff>3567</xdr:colOff>
      <xdr:row>605</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455</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455</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706</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706</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748</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748</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776</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776</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841</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483</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483</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840</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840</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919</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919</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98</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417</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483</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483</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518</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553</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603</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838</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840</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840</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919</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919</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977</xdr:row>
      <xdr:rowOff>0</xdr:rowOff>
    </xdr:from>
    <xdr:to>
      <xdr:col>12</xdr:col>
      <xdr:colOff>0</xdr:colOff>
      <xdr:row>977</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972</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972</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42</xdr:row>
      <xdr:rowOff>0</xdr:rowOff>
    </xdr:from>
    <xdr:to>
      <xdr:col>8</xdr:col>
      <xdr:colOff>1187609</xdr:colOff>
      <xdr:row>42</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678</xdr:row>
      <xdr:rowOff>114300</xdr:rowOff>
    </xdr:from>
    <xdr:to>
      <xdr:col>13</xdr:col>
      <xdr:colOff>209550</xdr:colOff>
      <xdr:row>678</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676</xdr:row>
      <xdr:rowOff>0</xdr:rowOff>
    </xdr:from>
    <xdr:to>
      <xdr:col>13</xdr:col>
      <xdr:colOff>0</xdr:colOff>
      <xdr:row>676</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671</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671</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997</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997</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132</xdr:row>
      <xdr:rowOff>0</xdr:rowOff>
    </xdr:from>
    <xdr:to>
      <xdr:col>5</xdr:col>
      <xdr:colOff>340177</xdr:colOff>
      <xdr:row>132</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936</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936</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936</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936</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936</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936</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936</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936</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936</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936</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997</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997</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997</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997</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679</xdr:row>
      <xdr:rowOff>19050</xdr:rowOff>
    </xdr:from>
    <xdr:to>
      <xdr:col>13</xdr:col>
      <xdr:colOff>542925</xdr:colOff>
      <xdr:row>679</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919</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919</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919</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919</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919</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919</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919</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919</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919</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919</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919</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919</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919</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919</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919</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919</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919</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919</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919</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919</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919</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919</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919</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919</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919</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919</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919</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919</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999</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999</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999</xdr:row>
      <xdr:rowOff>0</xdr:rowOff>
    </xdr:from>
    <xdr:to>
      <xdr:col>8</xdr:col>
      <xdr:colOff>3567</xdr:colOff>
      <xdr:row>999</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997</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997</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43</xdr:row>
      <xdr:rowOff>0</xdr:rowOff>
    </xdr:from>
    <xdr:to>
      <xdr:col>5</xdr:col>
      <xdr:colOff>340177</xdr:colOff>
      <xdr:row>43</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759</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759</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26</xdr:col>
      <xdr:colOff>2269331</xdr:colOff>
      <xdr:row>34</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34</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34</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34</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34</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34</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34</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34</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34</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34</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87F4AF55-BC45-423E-A8B4-D4138D4495A0}"/>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6DA0CA37-6730-44B3-89B6-CF3067C3968A}"/>
            </a:ext>
          </a:extLst>
        </xdr:cNvPr>
        <xdr:cNvSpPr txBox="1"/>
      </xdr:nvSpPr>
      <xdr:spPr>
        <a:xfrm>
          <a:off x="27358181" y="40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52</xdr:row>
      <xdr:rowOff>0</xdr:rowOff>
    </xdr:from>
    <xdr:ext cx="65" cy="172227"/>
    <xdr:sp macro="" textlink="">
      <xdr:nvSpPr>
        <xdr:cNvPr id="8" name="TextBox 7">
          <a:extLst>
            <a:ext uri="{FF2B5EF4-FFF2-40B4-BE49-F238E27FC236}">
              <a16:creationId xmlns:a16="http://schemas.microsoft.com/office/drawing/2014/main" id="{80D3D469-3FC6-4755-8414-3581F8CBAACD}"/>
            </a:ext>
          </a:extLst>
        </xdr:cNvPr>
        <xdr:cNvSpPr txBox="1"/>
      </xdr:nvSpPr>
      <xdr:spPr>
        <a:xfrm>
          <a:off x="41540906" y="4178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52</xdr:row>
      <xdr:rowOff>0</xdr:rowOff>
    </xdr:from>
    <xdr:ext cx="65" cy="172227"/>
    <xdr:sp macro="" textlink="">
      <xdr:nvSpPr>
        <xdr:cNvPr id="15" name="TextBox 14">
          <a:extLst>
            <a:ext uri="{FF2B5EF4-FFF2-40B4-BE49-F238E27FC236}">
              <a16:creationId xmlns:a16="http://schemas.microsoft.com/office/drawing/2014/main" id="{ACD10444-9803-402C-B926-A307F392A0B1}"/>
            </a:ext>
          </a:extLst>
        </xdr:cNvPr>
        <xdr:cNvSpPr txBox="1"/>
      </xdr:nvSpPr>
      <xdr:spPr>
        <a:xfrm>
          <a:off x="41540906" y="41786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xdr:col>
      <xdr:colOff>3787140</xdr:colOff>
      <xdr:row>52</xdr:row>
      <xdr:rowOff>0</xdr:rowOff>
    </xdr:from>
    <xdr:ext cx="184731" cy="264560"/>
    <xdr:sp macro="" textlink="">
      <xdr:nvSpPr>
        <xdr:cNvPr id="18" name="TextBox 17">
          <a:extLst>
            <a:ext uri="{FF2B5EF4-FFF2-40B4-BE49-F238E27FC236}">
              <a16:creationId xmlns:a16="http://schemas.microsoft.com/office/drawing/2014/main" id="{C4C114C6-F61E-400E-801B-DB3DC3ABF846}"/>
            </a:ext>
          </a:extLst>
        </xdr:cNvPr>
        <xdr:cNvSpPr txBox="1"/>
      </xdr:nvSpPr>
      <xdr:spPr>
        <a:xfrm>
          <a:off x="8540115" y="4178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6" name="TextBox 1">
          <a:extLst>
            <a:ext uri="{FF2B5EF4-FFF2-40B4-BE49-F238E27FC236}">
              <a16:creationId xmlns:a16="http://schemas.microsoft.com/office/drawing/2014/main" id="{3E213171-F6ED-469A-95BE-60B810200E97}"/>
            </a:ext>
            <a:ext uri="{147F2762-F138-4A5C-976F-8EAC2B608ADB}">
              <a16:predDERef xmlns:a16="http://schemas.microsoft.com/office/drawing/2014/main" pred="{4184217F-ED80-4283-B5BB-DEA06A6739DE}"/>
            </a:ext>
          </a:extLst>
        </xdr:cNvPr>
        <xdr:cNvSpPr txBox="1"/>
      </xdr:nvSpPr>
      <xdr:spPr>
        <a:xfrm>
          <a:off x="10546556"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27" name="TextBox 2">
          <a:extLst>
            <a:ext uri="{FF2B5EF4-FFF2-40B4-BE49-F238E27FC236}">
              <a16:creationId xmlns:a16="http://schemas.microsoft.com/office/drawing/2014/main" id="{09782554-0D18-4F31-B890-1523CA43DA57}"/>
            </a:ext>
            <a:ext uri="{147F2762-F138-4A5C-976F-8EAC2B608ADB}">
              <a16:predDERef xmlns:a16="http://schemas.microsoft.com/office/drawing/2014/main" pred="{DEE0FB69-0DF9-4025-A326-AC010840AB34}"/>
            </a:ext>
          </a:extLst>
        </xdr:cNvPr>
        <xdr:cNvSpPr txBox="1"/>
      </xdr:nvSpPr>
      <xdr:spPr>
        <a:xfrm>
          <a:off x="10546556"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8" name="TextBox 3">
          <a:extLst>
            <a:ext uri="{FF2B5EF4-FFF2-40B4-BE49-F238E27FC236}">
              <a16:creationId xmlns:a16="http://schemas.microsoft.com/office/drawing/2014/main" id="{6B4AC77B-55FA-4BDF-824F-492785706227}"/>
            </a:ext>
            <a:ext uri="{147F2762-F138-4A5C-976F-8EAC2B608ADB}">
              <a16:predDERef xmlns:a16="http://schemas.microsoft.com/office/drawing/2014/main" pred="{FC3E8F35-8292-49C8-BF71-0894F6785C30}"/>
            </a:ext>
          </a:extLst>
        </xdr:cNvPr>
        <xdr:cNvSpPr txBox="1"/>
      </xdr:nvSpPr>
      <xdr:spPr>
        <a:xfrm>
          <a:off x="28024931"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29" name="TextBox 4">
          <a:extLst>
            <a:ext uri="{FF2B5EF4-FFF2-40B4-BE49-F238E27FC236}">
              <a16:creationId xmlns:a16="http://schemas.microsoft.com/office/drawing/2014/main" id="{C1D78839-CFD9-435D-BFEC-127889F79AED}"/>
            </a:ext>
            <a:ext uri="{147F2762-F138-4A5C-976F-8EAC2B608ADB}">
              <a16:predDERef xmlns:a16="http://schemas.microsoft.com/office/drawing/2014/main" pred="{D9E843B1-2A2E-438C-A7C2-F488A8615BD2}"/>
            </a:ext>
          </a:extLst>
        </xdr:cNvPr>
        <xdr:cNvSpPr txBox="1"/>
      </xdr:nvSpPr>
      <xdr:spPr>
        <a:xfrm>
          <a:off x="28024931"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0" name="TextBox 5">
          <a:extLst>
            <a:ext uri="{FF2B5EF4-FFF2-40B4-BE49-F238E27FC236}">
              <a16:creationId xmlns:a16="http://schemas.microsoft.com/office/drawing/2014/main" id="{5FD33626-2228-4FAF-B47F-6FB9DE40222C}"/>
            </a:ext>
            <a:ext uri="{147F2762-F138-4A5C-976F-8EAC2B608ADB}">
              <a16:predDERef xmlns:a16="http://schemas.microsoft.com/office/drawing/2014/main" pred="{0635A0CD-00CB-46B6-9E3E-59394AF3ABAE}"/>
            </a:ext>
          </a:extLst>
        </xdr:cNvPr>
        <xdr:cNvSpPr txBox="1"/>
      </xdr:nvSpPr>
      <xdr:spPr>
        <a:xfrm>
          <a:off x="28024931"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31" name="TextBox 6">
          <a:extLst>
            <a:ext uri="{FF2B5EF4-FFF2-40B4-BE49-F238E27FC236}">
              <a16:creationId xmlns:a16="http://schemas.microsoft.com/office/drawing/2014/main" id="{64A221B4-F742-4147-8016-A24035B8C5CC}"/>
            </a:ext>
            <a:ext uri="{147F2762-F138-4A5C-976F-8EAC2B608ADB}">
              <a16:predDERef xmlns:a16="http://schemas.microsoft.com/office/drawing/2014/main" pred="{47194AFE-9D14-4AF4-BFF3-AEF1D70EE507}"/>
            </a:ext>
          </a:extLst>
        </xdr:cNvPr>
        <xdr:cNvSpPr txBox="1"/>
      </xdr:nvSpPr>
      <xdr:spPr>
        <a:xfrm>
          <a:off x="28024931" y="14258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D37" dT="2022-08-12T18:02:36.79" personId="{00000000-0000-0000-0000-000000000000}" id="{1F79EB30-40E6-4FEE-8081-264A0DD3316F}">
    <text>New Parameter in 2022</text>
  </threadedComment>
  <threadedComment ref="J3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D72" dT="2022-08-12T18:02:36.79" personId="{00000000-0000-0000-0000-000000000000}" id="{032AEE45-646D-4A2E-93EE-ADA5B4D4ED52}">
    <text>New Parameter in 2022</text>
  </threadedComment>
  <threadedComment ref="J73"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154" dT="2024-08-30T02:36:14.30" personId="{00000000-0000-0000-0000-000000000000}" id="{6FA16D5E-F5F5-4EA9-95C4-3ACB1336652A}">
    <text>AO Smith heat pump water heater eff</text>
  </threadedComment>
</ThreadedComments>
</file>

<file path=xl/threadedComments/threadedComment3.xml><?xml version="1.0" encoding="utf-8"?>
<ThreadedComments xmlns="http://schemas.microsoft.com/office/spreadsheetml/2018/threadedcomments" xmlns:x="http://schemas.openxmlformats.org/spreadsheetml/2006/main">
  <threadedComment ref="J291"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292"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s>
</file>

<file path=xl/threadedComments/threadedComment4.xml><?xml version="1.0" encoding="utf-8"?>
<ThreadedComments xmlns="http://schemas.microsoft.com/office/spreadsheetml/2018/threadedcomments" xmlns:x="http://schemas.openxmlformats.org/spreadsheetml/2006/main">
  <threadedComment ref="B475" dT="2025-08-22T14:46:59.10" personId="{00000000-0000-0000-0000-000000000000}" id="{1E970E7A-1C2C-4C34-BA94-DD3C25B53B33}">
    <text>These percentages are flipped in column F - not sure why.</text>
  </threadedComment>
  <threadedComment ref="AF739" dT="2022-08-11T20:19:44.76" personId="{00000000-0000-0000-0000-000000000000}" id="{369C16B0-CF35-41B8-97CA-780A26286298}">
    <text>Small Typo found that used 3,413 instead of 3,412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federalregister.gov/documents/2024/05/06/2024-09209/energy-conservation-program-energy-conservation-standards-for-consumer-water-heaters"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zoomScale="70" zoomScaleNormal="70" workbookViewId="0"/>
  </sheetViews>
  <sheetFormatPr defaultColWidth="9.28515625" defaultRowHeight="15" x14ac:dyDescent="0.25"/>
  <cols>
    <col min="1" max="1" width="13.5703125" style="122" customWidth="1"/>
    <col min="2" max="5" width="9.28515625" style="122"/>
    <col min="6" max="6" width="7.7109375" style="122" customWidth="1"/>
    <col min="7" max="7" width="12.5703125" style="122" customWidth="1"/>
    <col min="8" max="16384" width="9.28515625" style="122"/>
  </cols>
  <sheetData>
    <row r="2" spans="2:21" ht="36" x14ac:dyDescent="0.55000000000000004">
      <c r="J2" s="1708" t="s">
        <v>0</v>
      </c>
    </row>
    <row r="4" spans="2:21" ht="18.75" x14ac:dyDescent="0.3">
      <c r="J4" s="1709" t="s">
        <v>1</v>
      </c>
      <c r="O4" s="1710" t="s">
        <v>2</v>
      </c>
      <c r="U4" s="1710" t="s">
        <v>3</v>
      </c>
    </row>
    <row r="7" spans="2:21" ht="18.75" x14ac:dyDescent="0.3">
      <c r="B7" s="1709" t="s">
        <v>4</v>
      </c>
      <c r="C7" s="1709"/>
    </row>
    <row r="8" spans="2:21" ht="18.75" x14ac:dyDescent="0.3">
      <c r="B8" s="1709" t="s">
        <v>5</v>
      </c>
    </row>
    <row r="9" spans="2:21" ht="18.75" x14ac:dyDescent="0.3">
      <c r="B9" s="1709" t="s">
        <v>6</v>
      </c>
    </row>
    <row r="16" spans="2:21" ht="18.75" x14ac:dyDescent="0.3">
      <c r="E16" s="1709" t="s">
        <v>7</v>
      </c>
    </row>
    <row r="17" spans="6:8" ht="18.75" x14ac:dyDescent="0.3">
      <c r="F17" s="1710" t="s">
        <v>8</v>
      </c>
      <c r="G17" s="1711"/>
      <c r="H17" s="1711"/>
    </row>
    <row r="18" spans="6:8" ht="18.75" x14ac:dyDescent="0.3">
      <c r="F18" s="1710" t="s">
        <v>9</v>
      </c>
      <c r="H18" s="1711"/>
    </row>
    <row r="46" spans="10:10" ht="18.75" x14ac:dyDescent="0.3">
      <c r="J46" s="1712" t="s">
        <v>10</v>
      </c>
    </row>
    <row r="53" spans="4:15" x14ac:dyDescent="0.25">
      <c r="D53" s="1675" t="s">
        <v>11</v>
      </c>
      <c r="F53" s="1555"/>
    </row>
    <row r="54" spans="4:15" x14ac:dyDescent="0.25">
      <c r="F54" s="1555"/>
    </row>
    <row r="55" spans="4:15" ht="26.25" customHeight="1" x14ac:dyDescent="0.25">
      <c r="D55" s="1436"/>
      <c r="F55" s="2297" t="s">
        <v>12</v>
      </c>
      <c r="G55" s="2297"/>
      <c r="H55" s="2297"/>
      <c r="I55" s="2297"/>
      <c r="J55" s="2297"/>
      <c r="K55" s="2297"/>
      <c r="L55" s="2297"/>
      <c r="M55" s="2297"/>
      <c r="N55" s="2297"/>
      <c r="O55" s="2297"/>
    </row>
    <row r="56" spans="4:15" ht="24.75" customHeight="1" x14ac:dyDescent="0.25">
      <c r="F56" s="1714"/>
      <c r="G56" s="1590"/>
      <c r="H56" s="1590"/>
      <c r="I56" s="1590"/>
      <c r="J56" s="1590"/>
      <c r="K56" s="1590"/>
      <c r="L56" s="1590"/>
      <c r="M56" s="1590"/>
      <c r="N56" s="1590"/>
      <c r="O56" s="1590"/>
    </row>
    <row r="57" spans="4:15" ht="26.25" customHeight="1" x14ac:dyDescent="0.25">
      <c r="D57" s="1541"/>
      <c r="F57" s="2297" t="s">
        <v>13</v>
      </c>
      <c r="G57" s="2297"/>
      <c r="H57" s="2297"/>
      <c r="I57" s="2297"/>
      <c r="J57" s="2297"/>
      <c r="K57" s="2297"/>
      <c r="L57" s="2297"/>
      <c r="M57" s="2297"/>
      <c r="N57" s="2297"/>
      <c r="O57" s="2297"/>
    </row>
    <row r="58" spans="4:15" ht="24.75" customHeight="1" x14ac:dyDescent="0.25">
      <c r="F58" s="1714"/>
      <c r="G58" s="1590"/>
      <c r="H58" s="1590"/>
      <c r="I58" s="1590"/>
      <c r="J58" s="1590"/>
      <c r="K58" s="1590"/>
      <c r="L58" s="1590"/>
      <c r="M58" s="1590"/>
      <c r="N58" s="1590"/>
      <c r="O58" s="1590"/>
    </row>
    <row r="59" spans="4:15" ht="26.25" customHeight="1" x14ac:dyDescent="0.25">
      <c r="D59" s="1448"/>
      <c r="F59" s="2297" t="s">
        <v>14</v>
      </c>
      <c r="G59" s="2297"/>
      <c r="H59" s="2297"/>
      <c r="I59" s="2297"/>
      <c r="J59" s="2297"/>
      <c r="K59" s="2297"/>
      <c r="L59" s="2297"/>
      <c r="M59" s="2297"/>
      <c r="N59" s="2297"/>
      <c r="O59" s="2297"/>
    </row>
    <row r="60" spans="4:15" ht="24.75" customHeight="1" x14ac:dyDescent="0.25">
      <c r="F60" s="2297"/>
      <c r="G60" s="2297"/>
      <c r="H60" s="2297"/>
      <c r="I60" s="2297"/>
      <c r="J60" s="2297"/>
      <c r="K60" s="2297"/>
      <c r="L60" s="2297"/>
      <c r="M60" s="2297"/>
      <c r="N60" s="2297"/>
      <c r="O60" s="2297"/>
    </row>
    <row r="61" spans="4:15" ht="26.25" customHeight="1" x14ac:dyDescent="0.25">
      <c r="D61" s="1501"/>
      <c r="F61" s="2297" t="s">
        <v>15</v>
      </c>
      <c r="G61" s="2297"/>
      <c r="H61" s="2297"/>
      <c r="I61" s="2297"/>
      <c r="J61" s="2297"/>
      <c r="K61" s="2297"/>
      <c r="L61" s="2297"/>
      <c r="M61" s="2297"/>
      <c r="N61" s="2297"/>
      <c r="O61" s="2297"/>
    </row>
    <row r="62" spans="4:15" ht="24.75" customHeight="1" x14ac:dyDescent="0.25">
      <c r="F62" s="1714"/>
      <c r="G62" s="1590"/>
      <c r="H62" s="1590"/>
      <c r="I62" s="1590"/>
      <c r="J62" s="1590"/>
      <c r="K62" s="1590"/>
      <c r="L62" s="1590"/>
      <c r="M62" s="1590"/>
      <c r="N62" s="1590"/>
      <c r="O62" s="1590"/>
    </row>
    <row r="63" spans="4:15" ht="26.25" customHeight="1" x14ac:dyDescent="0.25">
      <c r="D63" s="1467"/>
      <c r="F63" s="2297" t="s">
        <v>16</v>
      </c>
      <c r="G63" s="2297"/>
      <c r="H63" s="2297"/>
      <c r="I63" s="2297"/>
      <c r="J63" s="2297"/>
      <c r="K63" s="2297"/>
      <c r="L63" s="2297"/>
      <c r="M63" s="2297"/>
      <c r="N63" s="2297"/>
      <c r="O63" s="2297"/>
    </row>
    <row r="64" spans="4:15" x14ac:dyDescent="0.25">
      <c r="F64" s="1555"/>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591"/>
  <sheetViews>
    <sheetView zoomScale="70" zoomScaleNormal="70" workbookViewId="0">
      <pane xSplit="1" ySplit="7" topLeftCell="B8" activePane="bottomRight" state="frozen"/>
      <selection pane="topRight" activeCell="B1" sqref="B1"/>
      <selection pane="bottomLeft" activeCell="A8" sqref="A8"/>
      <selection pane="bottomRight" activeCell="B8" sqref="B8"/>
    </sheetView>
  </sheetViews>
  <sheetFormatPr defaultRowHeight="15" outlineLevelCol="1" x14ac:dyDescent="0.25"/>
  <cols>
    <col min="1" max="1" width="16.28515625" style="41" bestFit="1" customWidth="1"/>
    <col min="2" max="2" width="23" style="50" bestFit="1" customWidth="1"/>
    <col min="3" max="3" width="19.7109375" style="50" customWidth="1"/>
    <col min="4" max="4" width="22.5703125" style="50" customWidth="1"/>
    <col min="5" max="5" width="17.42578125" style="50" customWidth="1"/>
    <col min="6" max="6" width="17.7109375" style="50" customWidth="1"/>
    <col min="7" max="7" width="76.7109375" style="50" customWidth="1"/>
    <col min="8" max="8" width="20.7109375" style="49" customWidth="1"/>
    <col min="9" max="10" width="18.7109375" style="834" customWidth="1"/>
    <col min="11" max="14" width="11.7109375" style="524" customWidth="1" outlineLevel="1"/>
    <col min="15" max="16" width="18.7109375" style="523" customWidth="1"/>
    <col min="17" max="17" width="17" style="50" customWidth="1" outlineLevel="1"/>
    <col min="18" max="20" width="12.7109375" style="50" customWidth="1" outlineLevel="1"/>
    <col min="21" max="23" width="12.7109375" customWidth="1"/>
    <col min="24" max="26" width="10.7109375" style="835" customWidth="1"/>
    <col min="27" max="27" width="10.7109375" style="243" customWidth="1"/>
    <col min="28" max="28" width="30.7109375" style="836" customWidth="1"/>
    <col min="29" max="29" width="16.7109375" style="836" customWidth="1"/>
    <col min="30" max="30" width="16.7109375" style="837" customWidth="1"/>
    <col min="31" max="31" width="16.7109375" style="49" customWidth="1" outlineLevel="1"/>
    <col min="32" max="34" width="16.7109375" style="50" customWidth="1" outlineLevel="1"/>
    <col min="35" max="35" width="14.7109375" style="50" customWidth="1"/>
    <col min="36" max="36" width="14.7109375" customWidth="1"/>
    <col min="37" max="49" width="2.28515625" customWidth="1"/>
    <col min="50" max="50" width="59" style="50" customWidth="1"/>
    <col min="51" max="52" width="8.7109375" style="50" customWidth="1"/>
    <col min="53" max="56" width="13.28515625" style="41" customWidth="1"/>
    <col min="57" max="57" width="3.7109375" customWidth="1"/>
    <col min="58" max="58" width="13.28515625" customWidth="1"/>
    <col min="59" max="59" width="13.28515625" style="1077" customWidth="1"/>
    <col min="60" max="61" width="13.28515625" customWidth="1"/>
    <col min="62" max="62" width="2.28515625" customWidth="1"/>
    <col min="63" max="66" width="13.28515625" customWidth="1"/>
    <col min="67" max="67" width="1.7109375" customWidth="1"/>
  </cols>
  <sheetData>
    <row r="1" spans="1:66" ht="27" thickBot="1" x14ac:dyDescent="0.45">
      <c r="B1" s="2723" t="s">
        <v>2334</v>
      </c>
      <c r="C1" s="2723"/>
      <c r="D1" s="2723"/>
      <c r="E1" s="2723"/>
      <c r="F1" s="2723"/>
      <c r="G1" s="2723"/>
      <c r="H1" s="2723"/>
      <c r="I1" s="2723"/>
      <c r="J1" s="2723"/>
      <c r="K1" s="2723"/>
      <c r="L1" s="2723"/>
      <c r="M1" s="2723"/>
      <c r="N1" s="2723"/>
      <c r="O1" s="2723"/>
      <c r="P1" s="2723"/>
      <c r="Q1" s="2723"/>
      <c r="R1" s="2723"/>
      <c r="S1" s="2723"/>
      <c r="T1" s="2723"/>
      <c r="U1" s="2723"/>
      <c r="V1" s="2723"/>
      <c r="W1" s="2723"/>
      <c r="X1" s="2723"/>
      <c r="Y1" s="2723"/>
      <c r="Z1" s="2723"/>
      <c r="AA1" s="2723"/>
      <c r="AB1" s="2723"/>
      <c r="AC1" s="2723"/>
      <c r="AD1" s="2723"/>
      <c r="AE1" s="2723"/>
      <c r="AF1" s="2723"/>
      <c r="AG1" s="2723"/>
      <c r="AH1" s="2723"/>
      <c r="BA1" s="1315"/>
      <c r="BB1" s="1315"/>
      <c r="BC1" s="1315"/>
      <c r="BD1" s="1315"/>
    </row>
    <row r="2" spans="1:66" ht="55.15" customHeight="1" thickBot="1" x14ac:dyDescent="0.45">
      <c r="B2" s="2723"/>
      <c r="C2" s="2723"/>
      <c r="D2" s="2723"/>
      <c r="E2" s="2723"/>
      <c r="F2" s="2723"/>
      <c r="G2" s="2723"/>
      <c r="H2" s="2723"/>
      <c r="I2" s="2723"/>
      <c r="J2" s="2723"/>
      <c r="K2" s="2723"/>
      <c r="L2" s="2723"/>
      <c r="M2" s="2723"/>
      <c r="N2" s="2723"/>
      <c r="O2" s="2723"/>
      <c r="P2" s="2723"/>
      <c r="Q2" s="2723"/>
      <c r="R2" s="2723"/>
      <c r="S2" s="2723"/>
      <c r="T2" s="2723"/>
      <c r="U2" s="2723"/>
      <c r="V2" s="2723"/>
      <c r="W2" s="2723"/>
      <c r="X2" s="2723"/>
      <c r="Y2" s="2723"/>
      <c r="Z2" s="2723"/>
      <c r="AA2" s="2723"/>
      <c r="AB2" s="2723"/>
      <c r="AC2" s="2723"/>
      <c r="AD2" s="2723"/>
      <c r="AE2" s="2723"/>
      <c r="AF2" s="2723"/>
      <c r="AG2" s="2723"/>
      <c r="AH2" s="2723"/>
      <c r="AX2" s="1190"/>
      <c r="AY2" s="1191"/>
      <c r="AZ2" s="1191"/>
      <c r="BA2" s="2718" t="s">
        <v>2335</v>
      </c>
      <c r="BB2" s="2718"/>
      <c r="BC2" s="2718"/>
      <c r="BD2" s="2718"/>
      <c r="BE2" s="2718"/>
      <c r="BF2" s="2718"/>
      <c r="BG2" s="2718"/>
      <c r="BH2" s="2718"/>
      <c r="BI2" s="2718"/>
      <c r="BJ2" s="2718"/>
      <c r="BK2" s="2718"/>
      <c r="BL2" s="2718"/>
      <c r="BM2" s="2718"/>
      <c r="BN2" s="2718"/>
    </row>
    <row r="3" spans="1:66" ht="36" x14ac:dyDescent="0.55000000000000004">
      <c r="B3" s="2723"/>
      <c r="C3" s="2723"/>
      <c r="D3" s="2723"/>
      <c r="E3" s="2723"/>
      <c r="F3" s="2723"/>
      <c r="G3" s="2723"/>
      <c r="H3" s="2723"/>
      <c r="I3" s="2723"/>
      <c r="J3" s="2723"/>
      <c r="K3" s="2723"/>
      <c r="L3" s="2723"/>
      <c r="M3" s="2723"/>
      <c r="N3" s="2723"/>
      <c r="O3" s="2723"/>
      <c r="P3" s="2723"/>
      <c r="Q3" s="2723"/>
      <c r="R3" s="2723"/>
      <c r="S3" s="2723"/>
      <c r="T3" s="2723"/>
      <c r="U3" s="2723"/>
      <c r="V3" s="2723"/>
      <c r="W3" s="2723"/>
      <c r="X3" s="2723"/>
      <c r="Y3" s="2723"/>
      <c r="Z3" s="2723"/>
      <c r="AA3" s="2723"/>
      <c r="AB3" s="2723"/>
      <c r="AC3" s="2723"/>
      <c r="AD3" s="2723"/>
      <c r="AE3" s="2723"/>
      <c r="AF3" s="2723"/>
      <c r="AG3" s="2723"/>
      <c r="AH3" s="2723"/>
      <c r="AX3" s="1184"/>
      <c r="AY3" s="1185"/>
      <c r="AZ3" s="1185"/>
      <c r="BA3" s="1165" t="s">
        <v>1355</v>
      </c>
      <c r="BB3" s="1162"/>
      <c r="BC3" s="1166">
        <v>0.6</v>
      </c>
      <c r="BD3" s="1163"/>
      <c r="BE3" s="1175"/>
      <c r="BF3" s="1175"/>
      <c r="BG3" s="1180"/>
      <c r="BH3" s="1175"/>
      <c r="BI3" s="1175"/>
      <c r="BJ3" s="1175"/>
      <c r="BK3" s="1175"/>
      <c r="BL3" s="1175"/>
      <c r="BM3" s="1175"/>
      <c r="BN3" s="1181"/>
    </row>
    <row r="4" spans="1:66" ht="36.75" thickBot="1" x14ac:dyDescent="0.6">
      <c r="C4" s="50" t="s">
        <v>2336</v>
      </c>
      <c r="I4" s="818"/>
      <c r="J4" s="818"/>
      <c r="K4" s="819"/>
      <c r="L4" s="819"/>
      <c r="M4" s="819"/>
      <c r="N4" s="819"/>
      <c r="O4" s="59"/>
      <c r="P4" s="59"/>
      <c r="Q4" s="49"/>
      <c r="R4" s="49"/>
      <c r="S4" s="49"/>
      <c r="T4" s="49"/>
      <c r="U4" s="41"/>
      <c r="V4" s="41"/>
      <c r="W4" s="41"/>
      <c r="AX4" s="1186"/>
      <c r="AY4" s="1178"/>
      <c r="AZ4" s="1178"/>
      <c r="BA4" s="1167" t="s">
        <v>1356</v>
      </c>
      <c r="BB4" s="1168"/>
      <c r="BC4" s="1169">
        <f>1-BC3</f>
        <v>0.4</v>
      </c>
      <c r="BD4" s="1164"/>
      <c r="BE4" s="1176"/>
      <c r="BF4" s="1176"/>
      <c r="BG4" s="1182"/>
      <c r="BH4" s="1176"/>
      <c r="BI4" s="1176"/>
      <c r="BJ4" s="1176"/>
      <c r="BK4" s="1176"/>
      <c r="BL4" s="1176"/>
      <c r="BM4" s="1176"/>
      <c r="BN4" s="1183"/>
    </row>
    <row r="5" spans="1:66" ht="15.75" thickBot="1" x14ac:dyDescent="0.3">
      <c r="C5" s="1124" t="s">
        <v>2337</v>
      </c>
      <c r="D5" s="149"/>
      <c r="E5" s="149"/>
      <c r="F5" s="149"/>
      <c r="G5" s="149"/>
      <c r="I5" s="818"/>
      <c r="J5" s="818"/>
      <c r="K5" s="819"/>
      <c r="L5" s="819"/>
      <c r="M5" s="819"/>
      <c r="N5" s="819"/>
      <c r="O5" s="59"/>
      <c r="P5" s="59"/>
      <c r="Q5" s="49"/>
      <c r="R5" s="49"/>
      <c r="S5" s="49"/>
      <c r="T5" s="49"/>
      <c r="U5" s="41"/>
      <c r="V5" s="41"/>
      <c r="W5" s="41"/>
      <c r="AC5" s="838"/>
      <c r="AD5" s="839"/>
      <c r="AE5" s="1157" t="s">
        <v>2338</v>
      </c>
      <c r="AF5" s="1157" t="s">
        <v>2339</v>
      </c>
      <c r="AG5" s="1157" t="s">
        <v>2340</v>
      </c>
      <c r="AH5" s="1157" t="s">
        <v>2341</v>
      </c>
      <c r="AX5" s="1186"/>
      <c r="AY5" s="1178"/>
      <c r="AZ5" s="1178"/>
      <c r="BA5" s="1178"/>
      <c r="BB5" s="1178"/>
      <c r="BC5" s="1178"/>
      <c r="BD5" s="1178"/>
      <c r="BE5" s="1176"/>
      <c r="BF5" s="1176"/>
      <c r="BG5" s="1182"/>
      <c r="BH5" s="1176"/>
      <c r="BI5" s="1176"/>
      <c r="BJ5" s="1176"/>
      <c r="BK5" s="1176"/>
      <c r="BL5" s="1176"/>
      <c r="BM5" s="1176"/>
      <c r="BN5" s="1183"/>
    </row>
    <row r="6" spans="1:66" ht="63" customHeight="1" x14ac:dyDescent="0.35">
      <c r="B6" s="2728" t="s">
        <v>43</v>
      </c>
      <c r="C6" s="2712" t="s">
        <v>47</v>
      </c>
      <c r="D6" s="2712"/>
      <c r="E6" s="2712"/>
      <c r="F6" s="2712"/>
      <c r="G6" s="607" t="s">
        <v>2342</v>
      </c>
      <c r="H6" s="2716" t="s">
        <v>44</v>
      </c>
      <c r="I6" s="619" t="s">
        <v>2343</v>
      </c>
      <c r="J6" s="619" t="s">
        <v>2344</v>
      </c>
      <c r="K6" s="2719" t="s">
        <v>2345</v>
      </c>
      <c r="L6" s="2719"/>
      <c r="M6" s="2719"/>
      <c r="N6" s="2719"/>
      <c r="O6" s="617" t="s">
        <v>2346</v>
      </c>
      <c r="P6" s="617" t="s">
        <v>2347</v>
      </c>
      <c r="Q6" s="2720" t="s">
        <v>2348</v>
      </c>
      <c r="R6" s="2720"/>
      <c r="S6" s="2720"/>
      <c r="T6" s="2720"/>
      <c r="U6" s="2714" t="s">
        <v>2349</v>
      </c>
      <c r="V6" s="2714" t="s">
        <v>2350</v>
      </c>
      <c r="W6" s="2714" t="s">
        <v>2351</v>
      </c>
      <c r="X6" s="2715" t="s">
        <v>50</v>
      </c>
      <c r="Y6" s="2715"/>
      <c r="Z6" s="2715"/>
      <c r="AA6" s="2713" t="s">
        <v>2352</v>
      </c>
      <c r="AB6" s="2726" t="s">
        <v>2353</v>
      </c>
      <c r="AC6" s="2726" t="s">
        <v>2354</v>
      </c>
      <c r="AD6" s="2727" t="s">
        <v>2355</v>
      </c>
      <c r="AE6" s="2724" t="s">
        <v>2356</v>
      </c>
      <c r="AF6" s="2724" t="s">
        <v>2356</v>
      </c>
      <c r="AG6" s="2725" t="s">
        <v>2357</v>
      </c>
      <c r="AH6" s="2725" t="s">
        <v>2357</v>
      </c>
      <c r="AI6" s="840"/>
      <c r="AJ6" s="632"/>
      <c r="AK6" s="632"/>
      <c r="AX6" s="1186"/>
      <c r="AY6" s="1178"/>
      <c r="AZ6" s="1178"/>
      <c r="BA6" s="2721" t="s">
        <v>2358</v>
      </c>
      <c r="BB6" s="2721"/>
      <c r="BC6" s="2721"/>
      <c r="BD6" s="2721"/>
      <c r="BE6" s="1214"/>
      <c r="BF6" s="2722" t="s">
        <v>2358</v>
      </c>
      <c r="BG6" s="2722"/>
      <c r="BH6" s="2722"/>
      <c r="BI6" s="2722"/>
      <c r="BJ6" s="1176"/>
      <c r="BK6" s="2717" t="s">
        <v>2359</v>
      </c>
      <c r="BL6" s="2717"/>
      <c r="BM6" s="2717"/>
      <c r="BN6" s="2717"/>
    </row>
    <row r="7" spans="1:66" ht="60" thickBot="1" x14ac:dyDescent="0.4">
      <c r="B7" s="2728"/>
      <c r="C7" s="611">
        <v>1</v>
      </c>
      <c r="D7" s="611">
        <v>2</v>
      </c>
      <c r="E7" s="611">
        <v>3</v>
      </c>
      <c r="F7" s="611">
        <v>4</v>
      </c>
      <c r="G7" s="611"/>
      <c r="H7" s="2716"/>
      <c r="I7" s="820" t="s">
        <v>2360</v>
      </c>
      <c r="J7" s="820" t="s">
        <v>1372</v>
      </c>
      <c r="K7" s="821" t="s">
        <v>2361</v>
      </c>
      <c r="L7" s="821" t="s">
        <v>2362</v>
      </c>
      <c r="M7" s="821" t="s">
        <v>2363</v>
      </c>
      <c r="N7" s="821" t="s">
        <v>2364</v>
      </c>
      <c r="O7" s="822" t="s">
        <v>2365</v>
      </c>
      <c r="P7" s="822" t="s">
        <v>2366</v>
      </c>
      <c r="Q7" s="823" t="s">
        <v>2361</v>
      </c>
      <c r="R7" s="823" t="s">
        <v>2362</v>
      </c>
      <c r="S7" s="823" t="s">
        <v>2363</v>
      </c>
      <c r="T7" s="823" t="s">
        <v>2364</v>
      </c>
      <c r="U7" s="2714" t="s">
        <v>2349</v>
      </c>
      <c r="V7" s="2714" t="s">
        <v>2350</v>
      </c>
      <c r="W7" s="2714" t="s">
        <v>2351</v>
      </c>
      <c r="X7" s="841" t="s">
        <v>1371</v>
      </c>
      <c r="Y7" s="841" t="s">
        <v>1372</v>
      </c>
      <c r="Z7" s="841" t="s">
        <v>2367</v>
      </c>
      <c r="AA7" s="2713"/>
      <c r="AB7" s="2726"/>
      <c r="AC7" s="2726" t="s">
        <v>2368</v>
      </c>
      <c r="AD7" s="2727" t="s">
        <v>2368</v>
      </c>
      <c r="AE7" s="2724"/>
      <c r="AF7" s="2724"/>
      <c r="AG7" s="2725"/>
      <c r="AH7" s="2725"/>
      <c r="AI7" s="1249" t="s">
        <v>52</v>
      </c>
      <c r="AJ7" s="68" t="s">
        <v>2369</v>
      </c>
      <c r="AX7" s="1189" t="s">
        <v>2370</v>
      </c>
      <c r="AY7" s="1187" t="s">
        <v>307</v>
      </c>
      <c r="AZ7" s="1188" t="s">
        <v>2371</v>
      </c>
      <c r="BA7" s="1216" t="s">
        <v>2372</v>
      </c>
      <c r="BB7" s="1217" t="s">
        <v>2373</v>
      </c>
      <c r="BC7" s="1218" t="s">
        <v>2374</v>
      </c>
      <c r="BD7" s="1219" t="s">
        <v>2375</v>
      </c>
      <c r="BE7" s="1215"/>
      <c r="BF7" s="1220" t="s">
        <v>2376</v>
      </c>
      <c r="BG7" s="1221" t="s">
        <v>2377</v>
      </c>
      <c r="BH7" s="1222" t="s">
        <v>2378</v>
      </c>
      <c r="BI7" s="1223" t="s">
        <v>2379</v>
      </c>
      <c r="BJ7" s="1215"/>
      <c r="BK7" s="1216" t="s">
        <v>2380</v>
      </c>
      <c r="BL7" s="1224" t="s">
        <v>2381</v>
      </c>
      <c r="BM7" s="1220" t="s">
        <v>2382</v>
      </c>
      <c r="BN7" s="1225" t="s">
        <v>2383</v>
      </c>
    </row>
    <row r="8" spans="1:66" ht="14.25" customHeight="1" thickBot="1" x14ac:dyDescent="0.35">
      <c r="B8" s="612"/>
      <c r="C8" s="608"/>
      <c r="D8" s="608"/>
      <c r="E8" s="608"/>
      <c r="F8" s="608"/>
      <c r="G8" s="608"/>
      <c r="H8" s="824"/>
      <c r="I8" s="825"/>
      <c r="J8" s="825"/>
      <c r="K8" s="826"/>
      <c r="L8" s="826"/>
      <c r="M8" s="826"/>
      <c r="N8" s="826"/>
      <c r="O8" s="827"/>
      <c r="P8" s="827"/>
      <c r="Q8" s="828"/>
      <c r="R8" s="828"/>
      <c r="S8" s="828"/>
      <c r="T8" s="828"/>
      <c r="U8" s="613"/>
      <c r="V8" s="613"/>
      <c r="W8" s="613"/>
      <c r="X8" s="842"/>
      <c r="Y8" s="842"/>
      <c r="Z8" s="842"/>
      <c r="AA8" s="1160"/>
      <c r="AB8" s="844"/>
      <c r="AC8" s="614"/>
      <c r="AD8" s="615"/>
      <c r="AE8" s="843"/>
      <c r="AF8" s="1249"/>
      <c r="AG8" s="1249"/>
      <c r="AH8" s="1249"/>
      <c r="AI8" s="1249"/>
      <c r="AJ8" s="68"/>
      <c r="AX8" s="1170"/>
      <c r="BA8" s="1216"/>
      <c r="BB8" s="1217"/>
      <c r="BC8" s="1218"/>
      <c r="BD8" s="1219"/>
      <c r="BE8" s="1215"/>
      <c r="BF8" s="1220"/>
      <c r="BG8" s="1221"/>
      <c r="BH8" s="1222"/>
      <c r="BI8" s="1223"/>
      <c r="BJ8" s="1215"/>
      <c r="BK8" s="1216"/>
      <c r="BL8" s="1224"/>
      <c r="BM8" s="1220"/>
      <c r="BN8" s="1225"/>
    </row>
    <row r="9" spans="1:66" x14ac:dyDescent="0.25">
      <c r="A9" s="49" t="str">
        <f t="shared" ref="A9:A18" si="0">LEFT(B9,6)</f>
        <v>250050</v>
      </c>
      <c r="B9" s="1307" t="str">
        <f>'Efficient Products Deemed Table'!C7</f>
        <v>250050_2024_12_</v>
      </c>
      <c r="C9" s="1249" t="str">
        <f>'Efficient Products Deemed Table'!G7</f>
        <v>Water Heating RES</v>
      </c>
      <c r="D9" s="1249"/>
      <c r="E9" s="1249"/>
      <c r="F9" s="1249"/>
      <c r="G9" s="1249" t="str">
        <f>'Efficient Products Deemed Table'!E7</f>
        <v>Heat Pump Hot Water Heater</v>
      </c>
      <c r="H9" s="18" t="str">
        <f>'Efficient Products Deemed Table'!D7</f>
        <v>Products / IE</v>
      </c>
      <c r="I9" s="737">
        <f>'Efficient Products Deemed Table'!F7</f>
        <v>2396.2600000000002</v>
      </c>
      <c r="J9" s="737">
        <v>0</v>
      </c>
      <c r="K9" s="185">
        <v>0</v>
      </c>
      <c r="L9" s="185">
        <v>0</v>
      </c>
      <c r="M9" s="185">
        <v>0</v>
      </c>
      <c r="N9" s="185">
        <v>0</v>
      </c>
      <c r="O9" s="738">
        <f>'Efficient Products Deemed Table'!M7</f>
        <v>0.21262400000000001</v>
      </c>
      <c r="P9" s="738">
        <v>0</v>
      </c>
      <c r="Q9" s="739">
        <v>0</v>
      </c>
      <c r="R9" s="739">
        <v>0</v>
      </c>
      <c r="S9" s="739"/>
      <c r="T9" s="739"/>
      <c r="U9" s="740">
        <f t="shared" ref="U9:U16" si="1">IFERROR(IF(V9+W9&gt;0,0,IF(Z9&gt;0,O9,0)),0)</f>
        <v>0</v>
      </c>
      <c r="V9" s="740">
        <f t="shared" ref="V9:V16" si="2">IF(W9&gt;0,0,IF(Z9&gt;9,O9,0))</f>
        <v>0.21262400000000001</v>
      </c>
      <c r="W9" s="740">
        <f t="shared" ref="W9:W16" si="3">IF(Z9&gt;14,O9,0)</f>
        <v>0</v>
      </c>
      <c r="X9" s="22">
        <f>'Efficient Products Deemed Table'!N7</f>
        <v>13</v>
      </c>
      <c r="Y9" s="22"/>
      <c r="Z9" s="22">
        <f t="shared" ref="Z9:Z18" si="4">Y9+X9</f>
        <v>13</v>
      </c>
      <c r="AA9" s="17">
        <f>'Efficient Products Deemed Table'!DG7</f>
        <v>1.1871774588443991</v>
      </c>
      <c r="AB9" s="757">
        <f>'Efficient Products Deemed Table'!O7</f>
        <v>1199</v>
      </c>
      <c r="AC9" s="846">
        <f t="shared" ref="AC9:AC18" si="5">AE9+AF9</f>
        <v>1423.4257731544344</v>
      </c>
      <c r="AD9" s="846"/>
      <c r="AE9" s="580">
        <f>'Efficient Products Deemed Table'!DI7</f>
        <v>1423.4257731544344</v>
      </c>
      <c r="AF9" s="191"/>
      <c r="AG9" s="191"/>
      <c r="AH9" s="191"/>
      <c r="AI9" s="847" t="str">
        <f>'Efficient Products Deemed Table'!P7</f>
        <v>per measure</v>
      </c>
      <c r="AJ9" s="741"/>
      <c r="AX9" s="1226" t="str">
        <f t="shared" ref="AX9:AX18" si="6">G9</f>
        <v>Heat Pump Hot Water Heater</v>
      </c>
      <c r="AY9" s="1249"/>
      <c r="AZ9" s="1312" t="str">
        <f t="shared" ref="AZ9:AZ18" si="7">A9</f>
        <v>250050</v>
      </c>
      <c r="BA9" s="1171" t="s">
        <v>2174</v>
      </c>
      <c r="BB9" s="1171" t="s">
        <v>2174</v>
      </c>
      <c r="BC9" s="1171" t="s">
        <v>2174</v>
      </c>
      <c r="BD9" s="1171" t="s">
        <v>2174</v>
      </c>
      <c r="BE9" s="1176"/>
      <c r="BF9" s="1171" t="s">
        <v>2174</v>
      </c>
      <c r="BG9" s="1171" t="s">
        <v>2174</v>
      </c>
      <c r="BH9" s="1171" t="s">
        <v>2174</v>
      </c>
      <c r="BI9" s="1172" t="s">
        <v>2174</v>
      </c>
      <c r="BJ9" s="1176"/>
      <c r="BK9" s="1171" t="s">
        <v>2174</v>
      </c>
      <c r="BL9" s="1172" t="s">
        <v>2174</v>
      </c>
      <c r="BM9" s="1171" t="s">
        <v>2174</v>
      </c>
      <c r="BN9" s="1172" t="s">
        <v>2174</v>
      </c>
    </row>
    <row r="10" spans="1:66" x14ac:dyDescent="0.25">
      <c r="A10" s="49" t="str">
        <f t="shared" si="0"/>
        <v>250100</v>
      </c>
      <c r="B10" s="1307" t="str">
        <f>'Efficient Products Deemed Table'!C48</f>
        <v>250100_2024_12_</v>
      </c>
      <c r="C10" s="1249" t="str">
        <f>'Efficient Products Deemed Table'!G48</f>
        <v>Cooling RES</v>
      </c>
      <c r="D10" s="1249" t="str">
        <f>'Efficient Products Deemed Table'!G49</f>
        <v>Heating RES</v>
      </c>
      <c r="E10" s="1249"/>
      <c r="F10" s="1249"/>
      <c r="G10" s="1249" t="str">
        <f>'Efficient Products Deemed Table'!E48</f>
        <v>SmartLearning Thermostat - ASHP heating/cooling SF</v>
      </c>
      <c r="H10" s="1249" t="str">
        <f>'Efficient Products Deemed Table'!D48</f>
        <v>Products / PAYS / IE</v>
      </c>
      <c r="I10" s="737">
        <f t="shared" ref="I10:I16" si="8">K10+L10</f>
        <v>0</v>
      </c>
      <c r="J10" s="185">
        <f t="shared" ref="J10:J16" si="9">M10+N10</f>
        <v>0</v>
      </c>
      <c r="K10" s="185">
        <f>'Efficient Products Deemed Table'!F48</f>
        <v>0</v>
      </c>
      <c r="L10" s="185">
        <f>'Efficient Products Deemed Table'!F49</f>
        <v>0</v>
      </c>
      <c r="M10" s="185">
        <v>0</v>
      </c>
      <c r="N10" s="185">
        <v>0</v>
      </c>
      <c r="O10" s="738">
        <f t="shared" ref="O10:O16" si="10">Q10+R10</f>
        <v>0</v>
      </c>
      <c r="P10" s="738">
        <f t="shared" ref="P10:P16" si="11">S10+T10</f>
        <v>0</v>
      </c>
      <c r="Q10" s="739">
        <f>'Efficient Products Deemed Table'!I48</f>
        <v>0</v>
      </c>
      <c r="R10" s="739">
        <v>0</v>
      </c>
      <c r="S10" s="739"/>
      <c r="T10" s="739"/>
      <c r="U10" s="740">
        <f t="shared" si="1"/>
        <v>0</v>
      </c>
      <c r="V10" s="740">
        <f t="shared" si="2"/>
        <v>0</v>
      </c>
      <c r="W10" s="740">
        <f t="shared" si="3"/>
        <v>0</v>
      </c>
      <c r="X10" s="22">
        <f>'Efficient Products Deemed Table'!J48</f>
        <v>11</v>
      </c>
      <c r="Y10" s="22"/>
      <c r="Z10" s="22">
        <f t="shared" si="4"/>
        <v>11</v>
      </c>
      <c r="AA10" s="17">
        <f>'Efficient Products Deemed Table'!DG48</f>
        <v>0</v>
      </c>
      <c r="AB10" s="757">
        <f>'Efficient Products Deemed Table'!K48</f>
        <v>79</v>
      </c>
      <c r="AC10" s="846">
        <f t="shared" si="5"/>
        <v>0</v>
      </c>
      <c r="AD10" s="846"/>
      <c r="AE10" s="580">
        <f>'Efficient Products Deemed Table'!DI48</f>
        <v>0</v>
      </c>
      <c r="AF10" s="191">
        <f>'Efficient Products Deemed Table'!DI49</f>
        <v>0</v>
      </c>
      <c r="AG10" s="191"/>
      <c r="AH10" s="191"/>
      <c r="AI10" s="1307" t="str">
        <f>'Efficient Products Deemed Table'!L48</f>
        <v>per measure</v>
      </c>
      <c r="AJ10" s="741"/>
      <c r="AK10" s="610"/>
      <c r="AL10" s="610"/>
      <c r="AX10" s="1226" t="str">
        <f t="shared" si="6"/>
        <v>SmartLearning Thermostat - ASHP heating/cooling SF</v>
      </c>
      <c r="AY10" s="1249"/>
      <c r="AZ10" s="1312" t="str">
        <f t="shared" si="7"/>
        <v>250100</v>
      </c>
      <c r="BA10" s="1171" t="s">
        <v>2174</v>
      </c>
      <c r="BB10" s="1171" t="s">
        <v>2174</v>
      </c>
      <c r="BC10" s="1171" t="s">
        <v>2174</v>
      </c>
      <c r="BD10" s="1171" t="s">
        <v>2174</v>
      </c>
      <c r="BE10" s="1176"/>
      <c r="BF10" s="1171" t="s">
        <v>2174</v>
      </c>
      <c r="BG10" s="1171" t="s">
        <v>2174</v>
      </c>
      <c r="BH10" s="1171" t="s">
        <v>2174</v>
      </c>
      <c r="BI10" s="1172" t="s">
        <v>2174</v>
      </c>
      <c r="BJ10" s="1176"/>
      <c r="BK10" s="1171" t="s">
        <v>2174</v>
      </c>
      <c r="BL10" s="1172" t="s">
        <v>2174</v>
      </c>
      <c r="BM10" s="1171" t="s">
        <v>2174</v>
      </c>
      <c r="BN10" s="1172" t="s">
        <v>2174</v>
      </c>
    </row>
    <row r="11" spans="1:66" x14ac:dyDescent="0.25">
      <c r="A11" s="49" t="str">
        <f t="shared" si="0"/>
        <v>250101</v>
      </c>
      <c r="B11" s="1307" t="str">
        <f>'Efficient Products Deemed Table'!C50</f>
        <v>250101_2024_12_</v>
      </c>
      <c r="C11" s="1249" t="str">
        <f>'Efficient Products Deemed Table'!G50</f>
        <v>Cooling RES</v>
      </c>
      <c r="D11" s="1249" t="str">
        <f>'Efficient Products Deemed Table'!G51</f>
        <v>Heating RES</v>
      </c>
      <c r="E11" s="1249"/>
      <c r="F11" s="1249"/>
      <c r="G11" s="1249" t="str">
        <f>'Efficient Products Deemed Table'!E50</f>
        <v>SmartLearning Thermostat - ASHP heating/cooling MF</v>
      </c>
      <c r="H11" s="1249" t="str">
        <f>'Efficient Products Deemed Table'!D50</f>
        <v>Products / IE</v>
      </c>
      <c r="I11" s="737">
        <f t="shared" si="8"/>
        <v>0</v>
      </c>
      <c r="J11" s="185">
        <f t="shared" si="9"/>
        <v>0</v>
      </c>
      <c r="K11" s="185">
        <f>'Efficient Products Deemed Table'!F50</f>
        <v>0</v>
      </c>
      <c r="L11" s="185">
        <f>'Efficient Products Deemed Table'!F51</f>
        <v>0</v>
      </c>
      <c r="M11" s="185">
        <v>0</v>
      </c>
      <c r="N11" s="185">
        <v>0</v>
      </c>
      <c r="O11" s="738">
        <f t="shared" si="10"/>
        <v>0</v>
      </c>
      <c r="P11" s="738">
        <f t="shared" si="11"/>
        <v>0</v>
      </c>
      <c r="Q11" s="739">
        <f>'Efficient Products Deemed Table'!I50</f>
        <v>0</v>
      </c>
      <c r="R11" s="739">
        <v>0</v>
      </c>
      <c r="S11" s="739"/>
      <c r="T11" s="739"/>
      <c r="U11" s="740">
        <f t="shared" si="1"/>
        <v>0</v>
      </c>
      <c r="V11" s="740">
        <f t="shared" si="2"/>
        <v>0</v>
      </c>
      <c r="W11" s="740">
        <f t="shared" si="3"/>
        <v>0</v>
      </c>
      <c r="X11" s="22">
        <f>'Efficient Products Deemed Table'!J50</f>
        <v>11</v>
      </c>
      <c r="Y11" s="22"/>
      <c r="Z11" s="22">
        <f t="shared" si="4"/>
        <v>11</v>
      </c>
      <c r="AA11" s="17">
        <f>'Efficient Products Deemed Table'!DG50</f>
        <v>0</v>
      </c>
      <c r="AB11" s="757">
        <f>'Efficient Products Deemed Table'!K50</f>
        <v>79</v>
      </c>
      <c r="AC11" s="846">
        <f t="shared" si="5"/>
        <v>0</v>
      </c>
      <c r="AD11" s="846"/>
      <c r="AE11" s="580">
        <f>'Efficient Products Deemed Table'!DI50</f>
        <v>0</v>
      </c>
      <c r="AF11" s="191">
        <f>'Efficient Products Deemed Table'!DI51</f>
        <v>0</v>
      </c>
      <c r="AG11" s="191"/>
      <c r="AH11" s="191"/>
      <c r="AI11" s="1307" t="str">
        <f>'Efficient Products Deemed Table'!L50</f>
        <v>per measure</v>
      </c>
      <c r="AJ11" s="741"/>
      <c r="AK11" s="610"/>
      <c r="AL11" s="610"/>
      <c r="AX11" s="1226" t="str">
        <f t="shared" si="6"/>
        <v>SmartLearning Thermostat - ASHP heating/cooling MF</v>
      </c>
      <c r="AY11" s="1249"/>
      <c r="AZ11" s="1312" t="str">
        <f t="shared" si="7"/>
        <v>250101</v>
      </c>
      <c r="BA11" s="1171" t="s">
        <v>2174</v>
      </c>
      <c r="BB11" s="1171" t="s">
        <v>2174</v>
      </c>
      <c r="BC11" s="1171" t="s">
        <v>2174</v>
      </c>
      <c r="BD11" s="1171" t="s">
        <v>2174</v>
      </c>
      <c r="BE11" s="1176"/>
      <c r="BF11" s="1171" t="s">
        <v>2174</v>
      </c>
      <c r="BG11" s="1171" t="s">
        <v>2174</v>
      </c>
      <c r="BH11" s="1171" t="s">
        <v>2174</v>
      </c>
      <c r="BI11" s="1172" t="s">
        <v>2174</v>
      </c>
      <c r="BJ11" s="1176"/>
      <c r="BK11" s="1171" t="s">
        <v>2174</v>
      </c>
      <c r="BL11" s="1172" t="s">
        <v>2174</v>
      </c>
      <c r="BM11" s="1171" t="s">
        <v>2174</v>
      </c>
      <c r="BN11" s="1172" t="s">
        <v>2174</v>
      </c>
    </row>
    <row r="12" spans="1:66" x14ac:dyDescent="0.25">
      <c r="A12" s="49" t="str">
        <f t="shared" si="0"/>
        <v>250150</v>
      </c>
      <c r="B12" s="1307" t="str">
        <f>'Efficient Products Deemed Table'!C52</f>
        <v>250150_2024_12_</v>
      </c>
      <c r="C12" s="1249" t="str">
        <f>'Efficient Products Deemed Table'!G52</f>
        <v>Cooling RES</v>
      </c>
      <c r="D12" s="1249" t="str">
        <f>'Efficient Products Deemed Table'!G53</f>
        <v>Heating RES</v>
      </c>
      <c r="E12" s="1249"/>
      <c r="F12" s="1249"/>
      <c r="G12" s="1249" t="str">
        <f>'Efficient Products Deemed Table'!E52</f>
        <v>SmartLearning Thermostat - electric furnace heating / central AC MF</v>
      </c>
      <c r="H12" s="1249" t="str">
        <f>'Efficient Products Deemed Table'!D52</f>
        <v>Products / IE</v>
      </c>
      <c r="I12" s="737">
        <f t="shared" si="8"/>
        <v>0</v>
      </c>
      <c r="J12" s="185">
        <f t="shared" si="9"/>
        <v>0</v>
      </c>
      <c r="K12" s="185">
        <f>'Efficient Products Deemed Table'!F52</f>
        <v>0</v>
      </c>
      <c r="L12" s="185">
        <f>'Efficient Products Deemed Table'!F53</f>
        <v>0</v>
      </c>
      <c r="M12" s="185">
        <v>0</v>
      </c>
      <c r="N12" s="185">
        <v>0</v>
      </c>
      <c r="O12" s="738">
        <f t="shared" si="10"/>
        <v>0</v>
      </c>
      <c r="P12" s="738">
        <f t="shared" si="11"/>
        <v>0</v>
      </c>
      <c r="Q12" s="739">
        <f>'Efficient Products Deemed Table'!I52</f>
        <v>0</v>
      </c>
      <c r="R12" s="739">
        <v>0</v>
      </c>
      <c r="S12" s="739"/>
      <c r="T12" s="739"/>
      <c r="U12" s="740">
        <f t="shared" si="1"/>
        <v>0</v>
      </c>
      <c r="V12" s="740">
        <f t="shared" si="2"/>
        <v>0</v>
      </c>
      <c r="W12" s="740">
        <f t="shared" si="3"/>
        <v>0</v>
      </c>
      <c r="X12" s="22">
        <f>'Efficient Products Deemed Table'!J52</f>
        <v>11</v>
      </c>
      <c r="Y12" s="22"/>
      <c r="Z12" s="22">
        <f t="shared" si="4"/>
        <v>11</v>
      </c>
      <c r="AA12" s="17">
        <f>'Efficient Products Deemed Table'!DG52</f>
        <v>0</v>
      </c>
      <c r="AB12" s="757">
        <f>'Efficient Products Deemed Table'!K52</f>
        <v>79</v>
      </c>
      <c r="AC12" s="846">
        <f t="shared" si="5"/>
        <v>0</v>
      </c>
      <c r="AD12" s="846"/>
      <c r="AE12" s="580">
        <f>'Efficient Products Deemed Table'!DI52</f>
        <v>0</v>
      </c>
      <c r="AF12" s="191">
        <f>'Efficient Products Deemed Table'!DI53</f>
        <v>0</v>
      </c>
      <c r="AG12" s="191"/>
      <c r="AH12" s="191"/>
      <c r="AI12" s="1307" t="str">
        <f>'Efficient Products Deemed Table'!L52</f>
        <v>per measure</v>
      </c>
      <c r="AJ12" s="741"/>
      <c r="AK12" s="610"/>
      <c r="AL12" s="610"/>
      <c r="AX12" s="1226" t="str">
        <f t="shared" si="6"/>
        <v>SmartLearning Thermostat - electric furnace heating / central AC MF</v>
      </c>
      <c r="AY12" s="1249"/>
      <c r="AZ12" s="1312" t="str">
        <f t="shared" si="7"/>
        <v>250150</v>
      </c>
      <c r="BA12" s="1171" t="s">
        <v>2174</v>
      </c>
      <c r="BB12" s="1171" t="s">
        <v>2174</v>
      </c>
      <c r="BC12" s="1171" t="s">
        <v>2174</v>
      </c>
      <c r="BD12" s="1171" t="s">
        <v>2174</v>
      </c>
      <c r="BE12" s="1176"/>
      <c r="BF12" s="1171" t="s">
        <v>2174</v>
      </c>
      <c r="BG12" s="1171" t="s">
        <v>2174</v>
      </c>
      <c r="BH12" s="1171" t="s">
        <v>2174</v>
      </c>
      <c r="BI12" s="1172" t="s">
        <v>2174</v>
      </c>
      <c r="BJ12" s="1176"/>
      <c r="BK12" s="1171" t="s">
        <v>2174</v>
      </c>
      <c r="BL12" s="1172" t="s">
        <v>2174</v>
      </c>
      <c r="BM12" s="1171" t="s">
        <v>2174</v>
      </c>
      <c r="BN12" s="1172" t="s">
        <v>2174</v>
      </c>
    </row>
    <row r="13" spans="1:66" x14ac:dyDescent="0.25">
      <c r="A13" s="49" t="str">
        <f t="shared" si="0"/>
        <v>250250</v>
      </c>
      <c r="B13" s="1307" t="str">
        <f>'Efficient Products Deemed Table'!C54</f>
        <v>250250_2024_12_</v>
      </c>
      <c r="C13" s="1249" t="str">
        <f>'Efficient Products Deemed Table'!G54</f>
        <v>Cooling RES</v>
      </c>
      <c r="D13" s="1249" t="str">
        <f>'Efficient Products Deemed Table'!G55</f>
        <v>Heating RES</v>
      </c>
      <c r="E13" s="1249"/>
      <c r="F13" s="1249"/>
      <c r="G13" s="1249" t="str">
        <f>'Efficient Products Deemed Table'!E54</f>
        <v>SmartLearning Thermostat - electric furnace heating / central AC SF</v>
      </c>
      <c r="H13" s="1249" t="str">
        <f>'Efficient Products Deemed Table'!D54</f>
        <v>Products / PAYS / IE</v>
      </c>
      <c r="I13" s="737">
        <f t="shared" si="8"/>
        <v>0</v>
      </c>
      <c r="J13" s="185">
        <f t="shared" si="9"/>
        <v>0</v>
      </c>
      <c r="K13" s="185">
        <f>'Efficient Products Deemed Table'!F54</f>
        <v>0</v>
      </c>
      <c r="L13" s="185">
        <f>'Efficient Products Deemed Table'!F55</f>
        <v>0</v>
      </c>
      <c r="M13" s="185">
        <v>0</v>
      </c>
      <c r="N13" s="185">
        <v>0</v>
      </c>
      <c r="O13" s="738">
        <f t="shared" si="10"/>
        <v>0</v>
      </c>
      <c r="P13" s="738">
        <f t="shared" si="11"/>
        <v>0</v>
      </c>
      <c r="Q13" s="739">
        <f>'Efficient Products Deemed Table'!I54</f>
        <v>0</v>
      </c>
      <c r="R13" s="739">
        <v>0</v>
      </c>
      <c r="S13" s="739"/>
      <c r="T13" s="739"/>
      <c r="U13" s="740">
        <f t="shared" si="1"/>
        <v>0</v>
      </c>
      <c r="V13" s="740">
        <f t="shared" si="2"/>
        <v>0</v>
      </c>
      <c r="W13" s="740">
        <f t="shared" si="3"/>
        <v>0</v>
      </c>
      <c r="X13" s="22">
        <f>'Efficient Products Deemed Table'!J54</f>
        <v>11</v>
      </c>
      <c r="Y13" s="22"/>
      <c r="Z13" s="22">
        <f t="shared" si="4"/>
        <v>11</v>
      </c>
      <c r="AA13" s="17">
        <f>'Efficient Products Deemed Table'!DG54</f>
        <v>0</v>
      </c>
      <c r="AB13" s="757">
        <f>'Efficient Products Deemed Table'!K54</f>
        <v>79</v>
      </c>
      <c r="AC13" s="846">
        <f t="shared" si="5"/>
        <v>0</v>
      </c>
      <c r="AD13" s="846"/>
      <c r="AE13" s="580">
        <f>'Efficient Products Deemed Table'!DI54</f>
        <v>0</v>
      </c>
      <c r="AF13" s="191">
        <f>'Efficient Products Deemed Table'!DI55</f>
        <v>0</v>
      </c>
      <c r="AG13" s="191"/>
      <c r="AH13" s="191"/>
      <c r="AI13" s="1307" t="str">
        <f>'Efficient Products Deemed Table'!L54</f>
        <v>per measure</v>
      </c>
      <c r="AJ13" s="741"/>
      <c r="AK13" s="610"/>
      <c r="AL13" s="610"/>
      <c r="AX13" s="1226" t="str">
        <f t="shared" si="6"/>
        <v>SmartLearning Thermostat - electric furnace heating / central AC SF</v>
      </c>
      <c r="AY13" s="1249"/>
      <c r="AZ13" s="1312" t="str">
        <f t="shared" si="7"/>
        <v>250250</v>
      </c>
      <c r="BA13" s="1171" t="s">
        <v>2174</v>
      </c>
      <c r="BB13" s="1171" t="s">
        <v>2174</v>
      </c>
      <c r="BC13" s="1171" t="s">
        <v>2174</v>
      </c>
      <c r="BD13" s="1171" t="s">
        <v>2174</v>
      </c>
      <c r="BE13" s="1176"/>
      <c r="BF13" s="1171" t="s">
        <v>2174</v>
      </c>
      <c r="BG13" s="1171" t="s">
        <v>2174</v>
      </c>
      <c r="BH13" s="1171" t="s">
        <v>2174</v>
      </c>
      <c r="BI13" s="1172" t="s">
        <v>2174</v>
      </c>
      <c r="BJ13" s="1176"/>
      <c r="BK13" s="1171" t="s">
        <v>2174</v>
      </c>
      <c r="BL13" s="1172" t="s">
        <v>2174</v>
      </c>
      <c r="BM13" s="1171" t="s">
        <v>2174</v>
      </c>
      <c r="BN13" s="1172" t="s">
        <v>2174</v>
      </c>
    </row>
    <row r="14" spans="1:66" x14ac:dyDescent="0.25">
      <c r="A14" s="49" t="str">
        <f t="shared" si="0"/>
        <v>250350</v>
      </c>
      <c r="B14" s="1307" t="str">
        <f>'Efficient Products Deemed Table'!C56</f>
        <v>250350_2024_12_</v>
      </c>
      <c r="C14" s="1249" t="str">
        <f>'Efficient Products Deemed Table'!G56</f>
        <v>Cooling RES</v>
      </c>
      <c r="D14" s="1249" t="str">
        <f>'Efficient Products Deemed Table'!G57</f>
        <v>Heating RES</v>
      </c>
      <c r="E14" s="1249"/>
      <c r="F14" s="1249"/>
      <c r="G14" s="1249" t="str">
        <f>'Efficient Products Deemed Table'!E56</f>
        <v>SmartLearning Thermostat - Gas Heated / central AC SF**</v>
      </c>
      <c r="H14" s="1249" t="str">
        <f>'Efficient Products Deemed Table'!D56</f>
        <v>Products / PAYS / IE</v>
      </c>
      <c r="I14" s="737">
        <f t="shared" si="8"/>
        <v>0</v>
      </c>
      <c r="J14" s="185">
        <f t="shared" si="9"/>
        <v>0</v>
      </c>
      <c r="K14" s="185">
        <f>'Efficient Products Deemed Table'!F56</f>
        <v>0</v>
      </c>
      <c r="L14" s="185">
        <f>'Efficient Products Deemed Table'!F57</f>
        <v>0</v>
      </c>
      <c r="M14" s="185">
        <v>0</v>
      </c>
      <c r="N14" s="185">
        <v>0</v>
      </c>
      <c r="O14" s="738">
        <f t="shared" si="10"/>
        <v>0</v>
      </c>
      <c r="P14" s="738">
        <f t="shared" si="11"/>
        <v>0</v>
      </c>
      <c r="Q14" s="739">
        <f>'Efficient Products Deemed Table'!I56</f>
        <v>0</v>
      </c>
      <c r="R14" s="739">
        <v>0</v>
      </c>
      <c r="S14" s="739"/>
      <c r="T14" s="739"/>
      <c r="U14" s="740">
        <f t="shared" si="1"/>
        <v>0</v>
      </c>
      <c r="V14" s="740">
        <f t="shared" si="2"/>
        <v>0</v>
      </c>
      <c r="W14" s="740">
        <f t="shared" si="3"/>
        <v>0</v>
      </c>
      <c r="X14" s="22">
        <f>'Efficient Products Deemed Table'!J56</f>
        <v>11</v>
      </c>
      <c r="Y14" s="22"/>
      <c r="Z14" s="22">
        <f t="shared" si="4"/>
        <v>11</v>
      </c>
      <c r="AA14" s="17">
        <f>'Efficient Products Deemed Table'!DG56</f>
        <v>0</v>
      </c>
      <c r="AB14" s="757">
        <f>'Efficient Products Deemed Table'!K56</f>
        <v>79</v>
      </c>
      <c r="AC14" s="846">
        <f t="shared" si="5"/>
        <v>0</v>
      </c>
      <c r="AD14" s="846"/>
      <c r="AE14" s="580">
        <f>'Efficient Products Deemed Table'!DI56</f>
        <v>0</v>
      </c>
      <c r="AF14" s="191">
        <f>'Efficient Products Deemed Table'!DI57</f>
        <v>0</v>
      </c>
      <c r="AG14" s="191"/>
      <c r="AH14" s="191"/>
      <c r="AI14" s="1307" t="str">
        <f>'Efficient Products Deemed Table'!L56</f>
        <v>per measure</v>
      </c>
      <c r="AJ14" s="741"/>
      <c r="AK14" s="610"/>
      <c r="AL14" s="610"/>
      <c r="AX14" s="1226" t="str">
        <f t="shared" si="6"/>
        <v>SmartLearning Thermostat - Gas Heated / central AC SF**</v>
      </c>
      <c r="AY14" s="1249"/>
      <c r="AZ14" s="1312" t="str">
        <f t="shared" si="7"/>
        <v>250350</v>
      </c>
      <c r="BA14" s="1171" t="s">
        <v>2174</v>
      </c>
      <c r="BB14" s="1171" t="s">
        <v>2174</v>
      </c>
      <c r="BC14" s="1171" t="s">
        <v>2174</v>
      </c>
      <c r="BD14" s="1171" t="s">
        <v>2174</v>
      </c>
      <c r="BE14" s="1176"/>
      <c r="BF14" s="1171" t="s">
        <v>2174</v>
      </c>
      <c r="BG14" s="1171" t="s">
        <v>2174</v>
      </c>
      <c r="BH14" s="1171" t="s">
        <v>2174</v>
      </c>
      <c r="BI14" s="1172" t="s">
        <v>2174</v>
      </c>
      <c r="BJ14" s="1176"/>
      <c r="BK14" s="1171" t="s">
        <v>2174</v>
      </c>
      <c r="BL14" s="1172" t="s">
        <v>2174</v>
      </c>
      <c r="BM14" s="1171" t="s">
        <v>2174</v>
      </c>
      <c r="BN14" s="1172" t="s">
        <v>2174</v>
      </c>
    </row>
    <row r="15" spans="1:66" x14ac:dyDescent="0.25">
      <c r="A15" s="49" t="str">
        <f t="shared" si="0"/>
        <v>250351</v>
      </c>
      <c r="B15" s="1307" t="str">
        <f>'Efficient Products Deemed Table'!C58</f>
        <v>250351_2024_12_</v>
      </c>
      <c r="C15" s="1249" t="str">
        <f>'Efficient Products Deemed Table'!G58</f>
        <v>Cooling RES</v>
      </c>
      <c r="D15" s="1249" t="str">
        <f>'Efficient Products Deemed Table'!G59</f>
        <v>Heating RES</v>
      </c>
      <c r="E15" s="1249"/>
      <c r="F15" s="1249"/>
      <c r="G15" s="1249" t="str">
        <f>'Efficient Products Deemed Table'!E58</f>
        <v>SmartLearning Thermostat - Gas Heated / central AC MF**</v>
      </c>
      <c r="H15" s="1249" t="str">
        <f>'Efficient Products Deemed Table'!D58</f>
        <v>Products / IE</v>
      </c>
      <c r="I15" s="737">
        <f t="shared" si="8"/>
        <v>0</v>
      </c>
      <c r="J15" s="185">
        <f t="shared" si="9"/>
        <v>0</v>
      </c>
      <c r="K15" s="185">
        <f>'Efficient Products Deemed Table'!F58</f>
        <v>0</v>
      </c>
      <c r="L15" s="185">
        <f>'Efficient Products Deemed Table'!F59</f>
        <v>0</v>
      </c>
      <c r="M15" s="185">
        <v>0</v>
      </c>
      <c r="N15" s="185">
        <v>0</v>
      </c>
      <c r="O15" s="738">
        <f t="shared" si="10"/>
        <v>0</v>
      </c>
      <c r="P15" s="738">
        <f t="shared" si="11"/>
        <v>0</v>
      </c>
      <c r="Q15" s="739">
        <f>'Efficient Products Deemed Table'!I58</f>
        <v>0</v>
      </c>
      <c r="R15" s="739">
        <v>0</v>
      </c>
      <c r="S15" s="739"/>
      <c r="T15" s="739"/>
      <c r="U15" s="740">
        <f t="shared" si="1"/>
        <v>0</v>
      </c>
      <c r="V15" s="740">
        <f t="shared" si="2"/>
        <v>0</v>
      </c>
      <c r="W15" s="740">
        <f t="shared" si="3"/>
        <v>0</v>
      </c>
      <c r="X15" s="22">
        <f>'Efficient Products Deemed Table'!J58</f>
        <v>11</v>
      </c>
      <c r="Y15" s="22"/>
      <c r="Z15" s="22">
        <f t="shared" si="4"/>
        <v>11</v>
      </c>
      <c r="AA15" s="17">
        <f>'Efficient Products Deemed Table'!DG58</f>
        <v>0</v>
      </c>
      <c r="AB15" s="757">
        <f>'Efficient Products Deemed Table'!K58</f>
        <v>79</v>
      </c>
      <c r="AC15" s="846">
        <f t="shared" si="5"/>
        <v>0</v>
      </c>
      <c r="AD15" s="846"/>
      <c r="AE15" s="580">
        <f>'Efficient Products Deemed Table'!DI58</f>
        <v>0</v>
      </c>
      <c r="AF15" s="191">
        <f>'Efficient Products Deemed Table'!DI59</f>
        <v>0</v>
      </c>
      <c r="AG15" s="191"/>
      <c r="AH15" s="191"/>
      <c r="AI15" s="1307" t="str">
        <f>'Efficient Products Deemed Table'!L58</f>
        <v>per measure</v>
      </c>
      <c r="AJ15" s="741"/>
      <c r="AK15" s="610"/>
      <c r="AL15" s="610"/>
      <c r="AX15" s="1226" t="str">
        <f t="shared" si="6"/>
        <v>SmartLearning Thermostat - Gas Heated / central AC MF**</v>
      </c>
      <c r="AY15" s="1249"/>
      <c r="AZ15" s="1312" t="str">
        <f t="shared" si="7"/>
        <v>250351</v>
      </c>
      <c r="BA15" s="1171" t="s">
        <v>2174</v>
      </c>
      <c r="BB15" s="1171" t="s">
        <v>2174</v>
      </c>
      <c r="BC15" s="1171" t="s">
        <v>2174</v>
      </c>
      <c r="BD15" s="1171" t="s">
        <v>2174</v>
      </c>
      <c r="BE15" s="1176"/>
      <c r="BF15" s="1171" t="s">
        <v>2174</v>
      </c>
      <c r="BG15" s="1171" t="s">
        <v>2174</v>
      </c>
      <c r="BH15" s="1171" t="s">
        <v>2174</v>
      </c>
      <c r="BI15" s="1172" t="s">
        <v>2174</v>
      </c>
      <c r="BJ15" s="1176"/>
      <c r="BK15" s="1171" t="s">
        <v>2174</v>
      </c>
      <c r="BL15" s="1172" t="s">
        <v>2174</v>
      </c>
      <c r="BM15" s="1171" t="s">
        <v>2174</v>
      </c>
      <c r="BN15" s="1172" t="s">
        <v>2174</v>
      </c>
    </row>
    <row r="16" spans="1:66" x14ac:dyDescent="0.25">
      <c r="A16" s="49" t="str">
        <f t="shared" si="0"/>
        <v>250450</v>
      </c>
      <c r="B16" s="1307" t="str">
        <f>'Efficient Products Deemed Table'!C60</f>
        <v>250450_2024_12_</v>
      </c>
      <c r="C16" s="1249" t="str">
        <f>'Efficient Products Deemed Table'!G60</f>
        <v>Cooling RES</v>
      </c>
      <c r="D16" s="1249" t="str">
        <f>'Efficient Products Deemed Table'!G61</f>
        <v>Heating RES</v>
      </c>
      <c r="E16" s="1249"/>
      <c r="F16" s="1249"/>
      <c r="G16" s="1249" t="str">
        <f>'Efficient Products Deemed Table'!E60</f>
        <v>SmartLearning Thermostat - Unknown SF**</v>
      </c>
      <c r="H16" s="1249" t="str">
        <f>'Efficient Products Deemed Table'!D60</f>
        <v>Products / PAYS / IE</v>
      </c>
      <c r="I16" s="737">
        <f t="shared" si="8"/>
        <v>0</v>
      </c>
      <c r="J16" s="185">
        <f t="shared" si="9"/>
        <v>0</v>
      </c>
      <c r="K16" s="185">
        <f>'Efficient Products Deemed Table'!F60</f>
        <v>0</v>
      </c>
      <c r="L16" s="185">
        <f>'Efficient Products Deemed Table'!F61</f>
        <v>0</v>
      </c>
      <c r="M16" s="185">
        <v>0</v>
      </c>
      <c r="N16" s="185">
        <v>0</v>
      </c>
      <c r="O16" s="738">
        <f t="shared" si="10"/>
        <v>0</v>
      </c>
      <c r="P16" s="738">
        <f t="shared" si="11"/>
        <v>0</v>
      </c>
      <c r="Q16" s="739">
        <f>'Efficient Products Deemed Table'!I60</f>
        <v>0</v>
      </c>
      <c r="R16" s="739">
        <v>0</v>
      </c>
      <c r="S16" s="739"/>
      <c r="T16" s="739"/>
      <c r="U16" s="740">
        <f t="shared" si="1"/>
        <v>0</v>
      </c>
      <c r="V16" s="740">
        <f t="shared" si="2"/>
        <v>0</v>
      </c>
      <c r="W16" s="740">
        <f t="shared" si="3"/>
        <v>0</v>
      </c>
      <c r="X16" s="22">
        <f>'Efficient Products Deemed Table'!J60</f>
        <v>11</v>
      </c>
      <c r="Y16" s="22"/>
      <c r="Z16" s="22">
        <f t="shared" si="4"/>
        <v>11</v>
      </c>
      <c r="AA16" s="17">
        <f>'Efficient Products Deemed Table'!DG60</f>
        <v>0</v>
      </c>
      <c r="AB16" s="757">
        <f>'Efficient Products Deemed Table'!K60</f>
        <v>79</v>
      </c>
      <c r="AC16" s="846">
        <f t="shared" si="5"/>
        <v>0</v>
      </c>
      <c r="AD16" s="846"/>
      <c r="AE16" s="580">
        <f>'Efficient Products Deemed Table'!DI60</f>
        <v>0</v>
      </c>
      <c r="AF16" s="191">
        <f>'Efficient Products Deemed Table'!DI61</f>
        <v>0</v>
      </c>
      <c r="AG16" s="191"/>
      <c r="AH16" s="191"/>
      <c r="AI16" s="1307" t="str">
        <f>'Efficient Products Deemed Table'!L60</f>
        <v>per measure</v>
      </c>
      <c r="AJ16" s="741"/>
      <c r="AK16" s="610"/>
      <c r="AL16" s="610"/>
      <c r="AX16" s="1226" t="str">
        <f t="shared" si="6"/>
        <v>SmartLearning Thermostat - Unknown SF**</v>
      </c>
      <c r="AY16" s="1249"/>
      <c r="AZ16" s="1312" t="str">
        <f t="shared" si="7"/>
        <v>250450</v>
      </c>
      <c r="BA16" s="1171" t="s">
        <v>2174</v>
      </c>
      <c r="BB16" s="1171" t="s">
        <v>2174</v>
      </c>
      <c r="BC16" s="1171" t="s">
        <v>2174</v>
      </c>
      <c r="BD16" s="1171" t="s">
        <v>2174</v>
      </c>
      <c r="BE16" s="1176"/>
      <c r="BF16" s="1171" t="s">
        <v>2174</v>
      </c>
      <c r="BG16" s="1171" t="s">
        <v>2174</v>
      </c>
      <c r="BH16" s="1171" t="s">
        <v>2174</v>
      </c>
      <c r="BI16" s="1172" t="s">
        <v>2174</v>
      </c>
      <c r="BJ16" s="1176"/>
      <c r="BK16" s="1171" t="s">
        <v>2174</v>
      </c>
      <c r="BL16" s="1172" t="s">
        <v>2174</v>
      </c>
      <c r="BM16" s="1171" t="s">
        <v>2174</v>
      </c>
      <c r="BN16" s="1172" t="s">
        <v>2174</v>
      </c>
    </row>
    <row r="17" spans="1:66" s="39" customFormat="1" x14ac:dyDescent="0.25">
      <c r="A17" s="49" t="str">
        <f t="shared" ref="A17" si="12">LEFT(B17,6)</f>
        <v>251530</v>
      </c>
      <c r="B17" s="1307" t="str">
        <f>'Efficient Products Deemed Table'!C132</f>
        <v>251530_2024_12_</v>
      </c>
      <c r="C17" s="1249" t="str">
        <f>'Efficient Products Deemed Table'!G132</f>
        <v>Lighting RES</v>
      </c>
      <c r="D17" s="1249"/>
      <c r="E17" s="1249"/>
      <c r="F17" s="1249"/>
      <c r="G17" s="1249" t="str">
        <f>'Efficient Products Deemed Table'!E132</f>
        <v>LED Nightlights</v>
      </c>
      <c r="H17" s="18" t="str">
        <f>'Efficient Products Deemed Table'!D132</f>
        <v>Products / IE</v>
      </c>
      <c r="I17" s="737">
        <f>'Efficient Products Deemed Table'!F132</f>
        <v>23.24</v>
      </c>
      <c r="J17" s="737">
        <v>0</v>
      </c>
      <c r="K17" s="185">
        <v>0</v>
      </c>
      <c r="L17" s="185">
        <v>0</v>
      </c>
      <c r="M17" s="185">
        <v>0</v>
      </c>
      <c r="N17" s="185">
        <v>0</v>
      </c>
      <c r="O17" s="738">
        <f>'Efficient Products Deemed Table'!J132</f>
        <v>8</v>
      </c>
      <c r="P17" s="738">
        <v>0</v>
      </c>
      <c r="Q17" s="739">
        <v>0</v>
      </c>
      <c r="R17" s="739">
        <v>0</v>
      </c>
      <c r="S17" s="739"/>
      <c r="T17" s="739"/>
      <c r="U17" s="740">
        <f t="shared" ref="U17:U19" si="13">IFERROR(IF(V17+W17&gt;0,0,IF(Z17&gt;0,O17,0)),0)</f>
        <v>8</v>
      </c>
      <c r="V17" s="740">
        <f t="shared" ref="V17:V19" si="14">IF(W17&gt;0,0,IF(Z17&gt;9,O17,0))</f>
        <v>0</v>
      </c>
      <c r="W17" s="740">
        <f t="shared" ref="W17:W19" si="15">IF(Z17&gt;14,O17,0)</f>
        <v>0</v>
      </c>
      <c r="X17" s="22">
        <f>'Efficient Products Deemed Table'!K132</f>
        <v>3.35</v>
      </c>
      <c r="Y17" s="22"/>
      <c r="Z17" s="22">
        <f t="shared" ref="Z17" si="16">Y17+X17</f>
        <v>3.35</v>
      </c>
      <c r="AA17" s="17">
        <f>'Efficient Products Deemed Table'!DG132</f>
        <v>2.7690008676024807</v>
      </c>
      <c r="AB17" s="757">
        <f>'Efficient Products Deemed Table'!K132</f>
        <v>3.35</v>
      </c>
      <c r="AC17" s="846">
        <f t="shared" ref="AC17" si="17">AE17+AF17</f>
        <v>9.2761529064683099</v>
      </c>
      <c r="AD17" s="846"/>
      <c r="AE17" s="580">
        <f>'Efficient Products Deemed Table'!DI132</f>
        <v>9.2761529064683099</v>
      </c>
      <c r="AF17" s="191"/>
      <c r="AG17" s="191"/>
      <c r="AH17" s="191"/>
      <c r="AI17" s="847" t="str">
        <f>'Efficient Products Deemed Table'!L132</f>
        <v>per measure</v>
      </c>
      <c r="AJ17" s="741"/>
      <c r="AK17"/>
      <c r="AL17"/>
      <c r="AM17"/>
      <c r="AN17"/>
      <c r="AO17"/>
      <c r="AP17"/>
      <c r="AQ17"/>
      <c r="AR17"/>
      <c r="AS17"/>
      <c r="AT17"/>
      <c r="AU17"/>
      <c r="AV17"/>
      <c r="AW17"/>
      <c r="AX17" s="1226" t="str">
        <f t="shared" ref="AX17" si="18">G17</f>
        <v>LED Nightlights</v>
      </c>
      <c r="AY17" s="1249"/>
      <c r="AZ17" s="1312" t="str">
        <f t="shared" ref="AZ17" si="19">A17</f>
        <v>251530</v>
      </c>
      <c r="BA17" s="1171" t="s">
        <v>2174</v>
      </c>
      <c r="BB17" s="1171" t="s">
        <v>2174</v>
      </c>
      <c r="BC17" s="1171" t="s">
        <v>2174</v>
      </c>
      <c r="BD17" s="1171" t="s">
        <v>2174</v>
      </c>
      <c r="BE17" s="1177"/>
      <c r="BF17" s="1171" t="s">
        <v>2174</v>
      </c>
      <c r="BG17" s="1171" t="s">
        <v>2174</v>
      </c>
      <c r="BH17" s="1171" t="s">
        <v>2174</v>
      </c>
      <c r="BI17" s="1172" t="s">
        <v>2174</v>
      </c>
      <c r="BJ17" s="1176"/>
      <c r="BK17" s="1171" t="s">
        <v>2174</v>
      </c>
      <c r="BL17" s="1172" t="s">
        <v>2174</v>
      </c>
      <c r="BM17" s="1171" t="s">
        <v>2174</v>
      </c>
      <c r="BN17" s="1172" t="s">
        <v>2174</v>
      </c>
    </row>
    <row r="18" spans="1:66" x14ac:dyDescent="0.25">
      <c r="A18" s="49" t="str">
        <f t="shared" si="0"/>
        <v>300100</v>
      </c>
      <c r="B18" s="1307" t="str">
        <f>'Energy Effic. Kits Deemed Table'!C7</f>
        <v>300100_2025_12_</v>
      </c>
      <c r="C18" s="1249" t="str">
        <f>'Energy Effic. Kits Deemed Table'!G7</f>
        <v>HVAC RES</v>
      </c>
      <c r="D18" s="1249"/>
      <c r="E18" s="1249"/>
      <c r="F18" s="1249"/>
      <c r="G18" s="1249" t="str">
        <f>'Energy Effic. Kits Deemed Table'!E7</f>
        <v>Dirty Filter Alarm_MF</v>
      </c>
      <c r="H18" s="18" t="str">
        <f>'Energy Effic. Kits Deemed Table'!D7</f>
        <v>IE</v>
      </c>
      <c r="I18" s="737">
        <f>'Energy Effic. Kits Deemed Table'!F7</f>
        <v>68.45</v>
      </c>
      <c r="J18" s="737">
        <v>0</v>
      </c>
      <c r="K18" s="829">
        <v>0</v>
      </c>
      <c r="L18" s="829">
        <v>0</v>
      </c>
      <c r="M18" s="185">
        <v>0</v>
      </c>
      <c r="N18" s="185">
        <v>0</v>
      </c>
      <c r="O18" s="738">
        <f>'Energy Effic. Kits Deemed Table'!K7</f>
        <v>3.1903000000000001E-2</v>
      </c>
      <c r="P18" s="738">
        <v>0</v>
      </c>
      <c r="Q18" s="739">
        <v>0</v>
      </c>
      <c r="R18" s="739">
        <v>0</v>
      </c>
      <c r="S18" s="739"/>
      <c r="T18" s="739"/>
      <c r="U18" s="740">
        <f t="shared" si="13"/>
        <v>3.1903000000000001E-2</v>
      </c>
      <c r="V18" s="740">
        <f t="shared" si="14"/>
        <v>0</v>
      </c>
      <c r="W18" s="740">
        <f t="shared" si="15"/>
        <v>0</v>
      </c>
      <c r="X18" s="22">
        <f>'Energy Effic. Kits Deemed Table'!L7</f>
        <v>5</v>
      </c>
      <c r="Y18" s="22"/>
      <c r="Z18" s="22">
        <f t="shared" si="4"/>
        <v>5</v>
      </c>
      <c r="AA18" s="17">
        <f>'Energy Effic. Kits Deemed Table'!DG7</f>
        <v>7.2802575529565017</v>
      </c>
      <c r="AB18" s="757">
        <f>'Energy Effic. Kits Deemed Table'!M7</f>
        <v>5</v>
      </c>
      <c r="AC18" s="845">
        <f t="shared" si="5"/>
        <v>36.401287764782509</v>
      </c>
      <c r="AD18" s="845"/>
      <c r="AE18" s="580">
        <f>'Energy Effic. Kits Deemed Table'!DI7</f>
        <v>36.401287764782509</v>
      </c>
      <c r="AF18" s="191"/>
      <c r="AG18" s="191"/>
      <c r="AH18" s="191"/>
      <c r="AI18" s="1307" t="str">
        <f>'Energy Effic. Kits Deemed Table'!N7</f>
        <v>per measure</v>
      </c>
      <c r="AJ18" s="741"/>
      <c r="AX18" s="1226" t="str">
        <f t="shared" si="6"/>
        <v>Dirty Filter Alarm_MF</v>
      </c>
      <c r="AY18" s="1249"/>
      <c r="AZ18" s="1312" t="str">
        <f t="shared" si="7"/>
        <v>300100</v>
      </c>
      <c r="BA18" s="1171" t="s">
        <v>2174</v>
      </c>
      <c r="BB18" s="1171" t="s">
        <v>2174</v>
      </c>
      <c r="BC18" s="1171" t="s">
        <v>2174</v>
      </c>
      <c r="BD18" s="1171" t="s">
        <v>2174</v>
      </c>
      <c r="BE18" s="1176"/>
      <c r="BF18" s="1171" t="s">
        <v>2174</v>
      </c>
      <c r="BG18" s="1171" t="s">
        <v>2174</v>
      </c>
      <c r="BH18" s="1171" t="s">
        <v>2174</v>
      </c>
      <c r="BI18" s="1172" t="s">
        <v>2174</v>
      </c>
      <c r="BJ18" s="1176"/>
      <c r="BK18" s="1171" t="s">
        <v>2174</v>
      </c>
      <c r="BL18" s="1172" t="s">
        <v>2174</v>
      </c>
      <c r="BM18" s="1171" t="s">
        <v>2174</v>
      </c>
      <c r="BN18" s="1172" t="s">
        <v>2174</v>
      </c>
    </row>
    <row r="19" spans="1:66" x14ac:dyDescent="0.25">
      <c r="A19" s="49" t="str">
        <f t="shared" ref="A19" si="20">LEFT(B19,6)</f>
        <v>300431</v>
      </c>
      <c r="B19" s="1307" t="str">
        <f>'Energy Effic. Kits Deemed Table'!C32</f>
        <v>300431_2024_12_</v>
      </c>
      <c r="C19" s="1249" t="str">
        <f>'Energy Effic. Kits Deemed Table'!G32</f>
        <v>Lighting RES</v>
      </c>
      <c r="D19" s="1249"/>
      <c r="E19" s="1249"/>
      <c r="F19" s="1249"/>
      <c r="G19" s="1249" t="str">
        <f>'Energy Effic. Kits Deemed Table'!E32</f>
        <v>LED - 10W (750-899 lumens) IE</v>
      </c>
      <c r="H19" s="18" t="str">
        <f>'Energy Effic. Kits Deemed Table'!D32</f>
        <v>IE</v>
      </c>
      <c r="I19" s="737">
        <f>'Energy Effic. Kits Deemed Table'!F32</f>
        <v>30.06</v>
      </c>
      <c r="J19" s="737">
        <v>0</v>
      </c>
      <c r="K19" s="185">
        <v>0</v>
      </c>
      <c r="L19" s="185">
        <v>0</v>
      </c>
      <c r="M19" s="185">
        <v>0</v>
      </c>
      <c r="N19" s="185">
        <v>0</v>
      </c>
      <c r="O19" s="738">
        <f>'Energy Effic. Kits Deemed Table'!I32</f>
        <v>4.4869999999999997E-3</v>
      </c>
      <c r="P19" s="738">
        <v>0</v>
      </c>
      <c r="Q19" s="739">
        <v>0</v>
      </c>
      <c r="R19" s="739">
        <v>0</v>
      </c>
      <c r="S19" s="739"/>
      <c r="T19" s="739"/>
      <c r="U19" s="740">
        <f t="shared" si="13"/>
        <v>4.4869999999999997E-3</v>
      </c>
      <c r="V19" s="740">
        <f t="shared" si="14"/>
        <v>0</v>
      </c>
      <c r="W19" s="740">
        <f t="shared" si="15"/>
        <v>0</v>
      </c>
      <c r="X19" s="22">
        <f>'Energy Effic. Kits Deemed Table'!J32</f>
        <v>8</v>
      </c>
      <c r="Y19" s="22"/>
      <c r="Z19" s="22">
        <f t="shared" ref="Z19" si="21">Y19+X19</f>
        <v>8</v>
      </c>
      <c r="AA19" s="17">
        <f>'Energy Effic. Kits Deemed Table'!DG32</f>
        <v>8.274709370539421</v>
      </c>
      <c r="AB19" s="757">
        <f>'Energy Effic. Kits Deemed Table'!K32</f>
        <v>1.45</v>
      </c>
      <c r="AC19" s="845">
        <f t="shared" ref="AC19" si="22">AE19+AF19</f>
        <v>11.99832858728216</v>
      </c>
      <c r="AD19" s="845"/>
      <c r="AE19" s="580">
        <f>'Energy Effic. Kits Deemed Table'!DI32</f>
        <v>11.99832858728216</v>
      </c>
      <c r="AF19" s="191"/>
      <c r="AG19" s="191"/>
      <c r="AH19" s="191"/>
      <c r="AI19" s="1307" t="str">
        <f>'Energy Effic. Kits Deemed Table'!L32</f>
        <v>per measure</v>
      </c>
      <c r="AJ19" s="741"/>
      <c r="AK19" s="39"/>
      <c r="AL19" s="39"/>
      <c r="AX19" s="1226" t="str">
        <f t="shared" ref="AX19" si="23">G19</f>
        <v>LED - 10W (750-899 lumens) IE</v>
      </c>
      <c r="AY19" s="1249"/>
      <c r="AZ19" s="1312" t="str">
        <f t="shared" ref="AZ19" si="24">A19</f>
        <v>300431</v>
      </c>
      <c r="BA19" s="1171" t="s">
        <v>2174</v>
      </c>
      <c r="BB19" s="1171" t="s">
        <v>2174</v>
      </c>
      <c r="BC19" s="1171" t="s">
        <v>2174</v>
      </c>
      <c r="BD19" s="1171" t="s">
        <v>2174</v>
      </c>
      <c r="BE19" s="1176"/>
      <c r="BF19" s="1171" t="s">
        <v>2174</v>
      </c>
      <c r="BG19" s="1171" t="s">
        <v>2174</v>
      </c>
      <c r="BH19" s="1171" t="s">
        <v>2174</v>
      </c>
      <c r="BI19" s="1172" t="s">
        <v>2174</v>
      </c>
      <c r="BJ19" s="1176"/>
      <c r="BK19" s="1171" t="s">
        <v>2174</v>
      </c>
      <c r="BL19" s="1172" t="s">
        <v>2174</v>
      </c>
      <c r="BM19" s="1171" t="s">
        <v>2174</v>
      </c>
      <c r="BN19" s="1172" t="s">
        <v>2174</v>
      </c>
    </row>
    <row r="20" spans="1:66" x14ac:dyDescent="0.25">
      <c r="A20" s="49" t="str">
        <f t="shared" ref="A20:A24" si="25">LEFT(B20,6)</f>
        <v>350600</v>
      </c>
      <c r="B20" s="1307" t="str">
        <f>'HVAC Deemed Table'!C8</f>
        <v>350600_2024_12_</v>
      </c>
      <c r="C20" s="1249" t="str">
        <f>'HVAC Deemed Table'!G8</f>
        <v>Cooling RES</v>
      </c>
      <c r="D20" s="1249" t="str">
        <f>'HVAC Deemed Table'!G9</f>
        <v>Cooling RES ER2</v>
      </c>
      <c r="E20" s="1249"/>
      <c r="F20" s="1249"/>
      <c r="G20" s="1249" t="str">
        <f>'HVAC Deemed Table'!E8</f>
        <v>CAC-SEER15_ER1_SF</v>
      </c>
      <c r="H20" s="18" t="str">
        <f>'HVAC Deemed Table'!D8</f>
        <v>PAYS / IE</v>
      </c>
      <c r="I20" s="737">
        <f t="shared" ref="I20:I44" si="26">K20+L20</f>
        <v>2107.9899999999998</v>
      </c>
      <c r="J20" s="737">
        <f t="shared" ref="J20:J44" si="27">M20+N20</f>
        <v>273.32</v>
      </c>
      <c r="K20" s="185">
        <f>'HVAC Deemed Table'!F8</f>
        <v>2107.9899999999998</v>
      </c>
      <c r="L20" s="185">
        <v>0</v>
      </c>
      <c r="M20" s="185">
        <f>'HVAC Deemed Table'!F9</f>
        <v>273.32</v>
      </c>
      <c r="N20" s="185">
        <v>0</v>
      </c>
      <c r="O20" s="738">
        <f t="shared" ref="O20:O44" si="28">Q20+R20</f>
        <v>1.9971479999999999</v>
      </c>
      <c r="P20" s="738">
        <f t="shared" ref="P20:P44" si="29">S20+T20</f>
        <v>0.25894800000000001</v>
      </c>
      <c r="Q20" s="739">
        <f>'HVAC Deemed Table'!I8</f>
        <v>1.9971479999999999</v>
      </c>
      <c r="R20" s="739"/>
      <c r="S20" s="739">
        <f>'HVAC Deemed Table'!I9</f>
        <v>0.25894800000000001</v>
      </c>
      <c r="T20" s="739"/>
      <c r="U20" s="740">
        <f t="shared" ref="U20:U44" si="30">IFERROR(IF(V20+W20&gt;0,0,IF(Z20&gt;0,O20,0)),0)</f>
        <v>0</v>
      </c>
      <c r="V20" s="740">
        <f t="shared" ref="V20:V44" si="31">IF(W20&gt;0,0,IF(Z20&gt;9,O20,0))</f>
        <v>0</v>
      </c>
      <c r="W20" s="740">
        <f t="shared" ref="W20:W44" si="32">IF(Z20&gt;14,O20,0)</f>
        <v>1.9971479999999999</v>
      </c>
      <c r="X20" s="22">
        <f>'HVAC Deemed Table'!J8</f>
        <v>6</v>
      </c>
      <c r="Y20" s="22">
        <v>12</v>
      </c>
      <c r="Z20" s="22">
        <f t="shared" ref="Z20:Z24" si="33">Y20+X20</f>
        <v>18</v>
      </c>
      <c r="AA20" s="17">
        <f>'HVAC Deemed Table'!DG8</f>
        <v>4.6546743470487746</v>
      </c>
      <c r="AB20" s="757">
        <f>'HVAC Deemed Table'!K8</f>
        <v>526.97397959163982</v>
      </c>
      <c r="AC20" s="846">
        <f t="shared" ref="AC20:AC24" si="34">AE20+AF20</f>
        <v>2099.2378306782102</v>
      </c>
      <c r="AD20" s="846">
        <f t="shared" ref="AD20:AD44" si="35">AG20+AH20</f>
        <v>353.65443368920046</v>
      </c>
      <c r="AE20" s="191">
        <f>'HVAC Deemed Table'!DI8</f>
        <v>2099.2378306782102</v>
      </c>
      <c r="AF20" s="191">
        <v>0</v>
      </c>
      <c r="AG20" s="191">
        <f>'HVAC Deemed Table'!DI9</f>
        <v>353.65443368920046</v>
      </c>
      <c r="AH20" s="191">
        <v>0</v>
      </c>
      <c r="AI20" s="850" t="str">
        <f>AI19</f>
        <v>per measure</v>
      </c>
      <c r="AJ20" s="51">
        <f>'HVAC Deemed Table'!L8</f>
        <v>3.1148319327731095</v>
      </c>
      <c r="AK20" s="609"/>
      <c r="AL20" s="609"/>
      <c r="AX20" s="1226" t="str">
        <f t="shared" ref="AX20:AX25" si="36">G20</f>
        <v>CAC-SEER15_ER1_SF</v>
      </c>
      <c r="AY20" s="1249"/>
      <c r="AZ20" s="1312" t="str">
        <f t="shared" ref="AZ20:AZ25" si="37">A20</f>
        <v>350600</v>
      </c>
      <c r="BA20" s="849">
        <f>ROUND((K20*$BC$3)+(K21*$BC$4),2)</f>
        <v>1369.95</v>
      </c>
      <c r="BB20" s="1195"/>
      <c r="BC20" s="849">
        <f>ROUND((M20*$BC$3)+(K21*$BC$4),2)</f>
        <v>269.14999999999998</v>
      </c>
      <c r="BD20" s="1195"/>
      <c r="BE20" s="1176"/>
      <c r="BF20" s="1192">
        <f>ROUND(BA20*'CP FACTORS'!$B$9,6)</f>
        <v>1.2979149999999999</v>
      </c>
      <c r="BG20" s="1193">
        <f>ROUND(BB20*'CP FACTORS'!$B$14,6)</f>
        <v>0</v>
      </c>
      <c r="BH20" s="1192">
        <f>ROUND(BC20*'CP FACTORS'!$B$9,6)</f>
        <v>0.254998</v>
      </c>
      <c r="BI20" s="1194">
        <f>ROUND(BD20*'CP FACTORS'!$B$14,6)</f>
        <v>0</v>
      </c>
      <c r="BJ20" s="1176"/>
      <c r="BK20" s="685">
        <f t="shared" ref="BK20:BK44" si="38">BA20+BB20</f>
        <v>1369.95</v>
      </c>
      <c r="BL20" s="1213">
        <f t="shared" ref="BL20:BL44" si="39">BC20+BD20</f>
        <v>269.14999999999998</v>
      </c>
      <c r="BM20" s="1212">
        <f t="shared" ref="BM20:BM44" si="40">BF20+BG20</f>
        <v>1.2979149999999999</v>
      </c>
      <c r="BN20" s="1211">
        <f t="shared" ref="BN20:BN44" si="41">BH20+BI20</f>
        <v>0.254998</v>
      </c>
    </row>
    <row r="21" spans="1:66" x14ac:dyDescent="0.25">
      <c r="A21" s="49" t="str">
        <f t="shared" si="25"/>
        <v>350650</v>
      </c>
      <c r="B21" s="1307" t="str">
        <f>'HVAC Deemed Table'!C10</f>
        <v>350650_2024_12_</v>
      </c>
      <c r="C21" s="1249" t="str">
        <f>'HVAC Deemed Table'!G10</f>
        <v>Cooling RES</v>
      </c>
      <c r="D21" s="1249"/>
      <c r="E21" s="1249"/>
      <c r="F21" s="1249"/>
      <c r="G21" s="1249" t="str">
        <f>'HVAC Deemed Table'!E10</f>
        <v>CAC-SEER15_ROF_SF</v>
      </c>
      <c r="H21" s="18" t="str">
        <f>'HVAC Deemed Table'!D10</f>
        <v>PAYS / IE</v>
      </c>
      <c r="I21" s="737">
        <f t="shared" si="26"/>
        <v>262.89999999999998</v>
      </c>
      <c r="J21" s="737">
        <f t="shared" si="27"/>
        <v>0</v>
      </c>
      <c r="K21" s="185">
        <f>'HVAC Deemed Table'!F10</f>
        <v>262.89999999999998</v>
      </c>
      <c r="L21" s="185">
        <v>0</v>
      </c>
      <c r="M21" s="185">
        <v>0</v>
      </c>
      <c r="N21" s="185">
        <v>0</v>
      </c>
      <c r="O21" s="738">
        <f t="shared" si="28"/>
        <v>0.24907599999999999</v>
      </c>
      <c r="P21" s="738">
        <f t="shared" si="29"/>
        <v>0</v>
      </c>
      <c r="Q21" s="739">
        <f>'HVAC Deemed Table'!I10</f>
        <v>0.24907599999999999</v>
      </c>
      <c r="R21" s="739"/>
      <c r="S21" s="739"/>
      <c r="T21" s="739"/>
      <c r="U21" s="740">
        <f t="shared" si="30"/>
        <v>0</v>
      </c>
      <c r="V21" s="740">
        <f t="shared" si="31"/>
        <v>0</v>
      </c>
      <c r="W21" s="740">
        <f t="shared" si="32"/>
        <v>0.24907599999999999</v>
      </c>
      <c r="X21" s="22">
        <f>'HVAC Deemed Table'!J10</f>
        <v>18</v>
      </c>
      <c r="Y21" s="22"/>
      <c r="Z21" s="22">
        <f t="shared" si="33"/>
        <v>18</v>
      </c>
      <c r="AA21" s="17">
        <f>'HVAC Deemed Table'!DG10</f>
        <v>1.3287939327387319</v>
      </c>
      <c r="AB21" s="757">
        <f>'HVAC Deemed Table'!K10</f>
        <v>453.02753789283406</v>
      </c>
      <c r="AC21" s="846">
        <f t="shared" si="34"/>
        <v>601.98024371556392</v>
      </c>
      <c r="AD21" s="846">
        <f t="shared" si="35"/>
        <v>0</v>
      </c>
      <c r="AE21" s="191">
        <f>'HVAC Deemed Table'!DI10</f>
        <v>601.98024371556392</v>
      </c>
      <c r="AF21" s="191">
        <v>0</v>
      </c>
      <c r="AG21" s="191">
        <v>0</v>
      </c>
      <c r="AH21" s="191">
        <v>0</v>
      </c>
      <c r="AI21" s="850" t="str">
        <f t="shared" ref="AI21:AI91" si="42">AI20</f>
        <v>per measure</v>
      </c>
      <c r="AJ21" s="51">
        <f>'HVAC Deemed Table'!L10</f>
        <v>2.9891966173361513</v>
      </c>
      <c r="AK21" s="609"/>
      <c r="AL21" s="609"/>
      <c r="AX21" s="1226" t="str">
        <f t="shared" si="36"/>
        <v>CAC-SEER15_ROF_SF</v>
      </c>
      <c r="AY21" s="1249"/>
      <c r="AZ21" s="1312" t="str">
        <f t="shared" si="37"/>
        <v>350650</v>
      </c>
      <c r="BA21" s="849">
        <f>ROUND((K20*$BC$3)+(K21*$BC$4),2)</f>
        <v>1369.95</v>
      </c>
      <c r="BB21" s="1195"/>
      <c r="BC21" s="849">
        <f>ROUND((M20*$BC$3)+(K21*$BC$4),2)</f>
        <v>269.14999999999998</v>
      </c>
      <c r="BD21" s="1195"/>
      <c r="BE21" s="1176"/>
      <c r="BF21" s="1192">
        <f>ROUND(BA21*'CP FACTORS'!$B$9,6)</f>
        <v>1.2979149999999999</v>
      </c>
      <c r="BG21" s="1193">
        <f>ROUND(BB21*'CP FACTORS'!$B$14,6)</f>
        <v>0</v>
      </c>
      <c r="BH21" s="1192">
        <f>ROUND(BC21*'CP FACTORS'!$B$9,6)</f>
        <v>0.254998</v>
      </c>
      <c r="BI21" s="1194">
        <f>ROUND(BD21*'CP FACTORS'!$B$14,6)</f>
        <v>0</v>
      </c>
      <c r="BJ21" s="1176"/>
      <c r="BK21" s="685">
        <f t="shared" si="38"/>
        <v>1369.95</v>
      </c>
      <c r="BL21" s="1213">
        <f t="shared" si="39"/>
        <v>269.14999999999998</v>
      </c>
      <c r="BM21" s="1212">
        <f t="shared" si="40"/>
        <v>1.2979149999999999</v>
      </c>
      <c r="BN21" s="1211">
        <f t="shared" si="41"/>
        <v>0.254998</v>
      </c>
    </row>
    <row r="22" spans="1:66" x14ac:dyDescent="0.25">
      <c r="A22" s="49" t="str">
        <f t="shared" si="25"/>
        <v>350800</v>
      </c>
      <c r="B22" s="1307" t="str">
        <f>'HVAC Deemed Table'!C11</f>
        <v>350800_2024_12_</v>
      </c>
      <c r="C22" s="1249" t="str">
        <f>'HVAC Deemed Table'!G11</f>
        <v>Cooling RES</v>
      </c>
      <c r="D22" s="1249" t="str">
        <f>'HVAC Deemed Table'!G12</f>
        <v>Cooling RES ER2</v>
      </c>
      <c r="E22" s="1249"/>
      <c r="F22" s="1249"/>
      <c r="G22" s="1249" t="str">
        <f>'HVAC Deemed Table'!E11</f>
        <v>CAC-SEER16_ER1_SF</v>
      </c>
      <c r="H22" s="18" t="str">
        <f>'HVAC Deemed Table'!D11</f>
        <v>PAYS / IE</v>
      </c>
      <c r="I22" s="737">
        <f t="shared" si="26"/>
        <v>2184.27</v>
      </c>
      <c r="J22" s="737">
        <f t="shared" si="27"/>
        <v>366.69</v>
      </c>
      <c r="K22" s="185">
        <f>'HVAC Deemed Table'!F11</f>
        <v>2184.27</v>
      </c>
      <c r="L22" s="185">
        <v>0</v>
      </c>
      <c r="M22" s="185">
        <f>'HVAC Deemed Table'!F12</f>
        <v>366.69</v>
      </c>
      <c r="N22" s="185">
        <v>0</v>
      </c>
      <c r="O22" s="738">
        <f t="shared" si="28"/>
        <v>2.0694170000000001</v>
      </c>
      <c r="P22" s="738">
        <f t="shared" si="29"/>
        <v>0.34740900000000002</v>
      </c>
      <c r="Q22" s="739">
        <f>'HVAC Deemed Table'!I11</f>
        <v>2.0694170000000001</v>
      </c>
      <c r="R22" s="739"/>
      <c r="S22" s="739">
        <f>'HVAC Deemed Table'!I12</f>
        <v>0.34740900000000002</v>
      </c>
      <c r="T22" s="739"/>
      <c r="U22" s="740">
        <f t="shared" si="30"/>
        <v>0</v>
      </c>
      <c r="V22" s="740">
        <f t="shared" si="31"/>
        <v>0</v>
      </c>
      <c r="W22" s="740">
        <f t="shared" si="32"/>
        <v>2.0694170000000001</v>
      </c>
      <c r="X22" s="22">
        <f>'HVAC Deemed Table'!J11</f>
        <v>6</v>
      </c>
      <c r="Y22" s="22">
        <f>'HVAC Deemed Table'!J12</f>
        <v>12</v>
      </c>
      <c r="Z22" s="22">
        <f t="shared" si="33"/>
        <v>18</v>
      </c>
      <c r="AA22" s="17">
        <f>'HVAC Deemed Table'!DG11</f>
        <v>3.737573071863415</v>
      </c>
      <c r="AB22" s="757">
        <f>'HVAC Deemed Table'!K11</f>
        <v>708.92766284367963</v>
      </c>
      <c r="AC22" s="846">
        <f t="shared" si="34"/>
        <v>2175.2011235420923</v>
      </c>
      <c r="AD22" s="846">
        <f t="shared" si="35"/>
        <v>474.46781900151075</v>
      </c>
      <c r="AE22" s="191">
        <f>'HVAC Deemed Table'!DI11</f>
        <v>2175.2011235420923</v>
      </c>
      <c r="AF22" s="191">
        <v>0</v>
      </c>
      <c r="AG22" s="191">
        <f>'HVAC Deemed Table'!DI12</f>
        <v>474.46781900151075</v>
      </c>
      <c r="AH22" s="191">
        <v>0</v>
      </c>
      <c r="AI22" s="850" t="str">
        <f>AI21</f>
        <v>per measure</v>
      </c>
      <c r="AJ22" s="51">
        <f>'HVAC Deemed Table'!L11</f>
        <v>2.8756478324403312</v>
      </c>
      <c r="AK22" s="609"/>
      <c r="AL22" s="609"/>
      <c r="AX22" s="1226" t="str">
        <f t="shared" si="36"/>
        <v>CAC-SEER16_ER1_SF</v>
      </c>
      <c r="AY22" s="1249"/>
      <c r="AZ22" s="1312" t="str">
        <f t="shared" si="37"/>
        <v>350800</v>
      </c>
      <c r="BA22" s="849">
        <f>ROUND((K22*$BC$3)+(K23*$BC$4),2)</f>
        <v>1455.93</v>
      </c>
      <c r="BB22" s="1195"/>
      <c r="BC22" s="849">
        <f>ROUND((M22*$BC$3)+(K23*$BC$4),2)</f>
        <v>365.39</v>
      </c>
      <c r="BD22" s="1195"/>
      <c r="BE22" s="1176"/>
      <c r="BF22" s="1192">
        <f>ROUND(BA22*'CP FACTORS'!$B$9,6)</f>
        <v>1.3793740000000001</v>
      </c>
      <c r="BG22" s="1193">
        <f>ROUND(BB22*'CP FACTORS'!$B$14,6)</f>
        <v>0</v>
      </c>
      <c r="BH22" s="1192">
        <f>ROUND(BC22*'CP FACTORS'!$B$9,6)</f>
        <v>0.34617700000000001</v>
      </c>
      <c r="BI22" s="1194">
        <f>ROUND(BD22*'CP FACTORS'!$B$14,6)</f>
        <v>0</v>
      </c>
      <c r="BJ22" s="1176"/>
      <c r="BK22" s="685">
        <f t="shared" si="38"/>
        <v>1455.93</v>
      </c>
      <c r="BL22" s="1213">
        <f t="shared" si="39"/>
        <v>365.39</v>
      </c>
      <c r="BM22" s="1212">
        <f t="shared" si="40"/>
        <v>1.3793740000000001</v>
      </c>
      <c r="BN22" s="1211">
        <f t="shared" si="41"/>
        <v>0.34617700000000001</v>
      </c>
    </row>
    <row r="23" spans="1:66" x14ac:dyDescent="0.25">
      <c r="A23" s="49" t="str">
        <f t="shared" si="25"/>
        <v>350850</v>
      </c>
      <c r="B23" s="1307" t="str">
        <f>'HVAC Deemed Table'!C13</f>
        <v>350850_2024_12_</v>
      </c>
      <c r="C23" s="1249" t="str">
        <f>'HVAC Deemed Table'!G13</f>
        <v>Cooling RES</v>
      </c>
      <c r="D23" s="1249"/>
      <c r="E23" s="1249"/>
      <c r="F23" s="1249"/>
      <c r="G23" s="1249" t="str">
        <f>'HVAC Deemed Table'!E13</f>
        <v>CAC-SEER16_ROF_SF</v>
      </c>
      <c r="H23" s="18" t="str">
        <f>'HVAC Deemed Table'!D13</f>
        <v>PAYS / IE</v>
      </c>
      <c r="I23" s="737">
        <f t="shared" si="26"/>
        <v>363.43</v>
      </c>
      <c r="J23" s="737">
        <f t="shared" si="27"/>
        <v>0</v>
      </c>
      <c r="K23" s="185">
        <f>'HVAC Deemed Table'!F13</f>
        <v>363.43</v>
      </c>
      <c r="L23" s="185">
        <v>0</v>
      </c>
      <c r="M23" s="185"/>
      <c r="N23" s="185">
        <v>0</v>
      </c>
      <c r="O23" s="738">
        <f t="shared" si="28"/>
        <v>0.34432000000000001</v>
      </c>
      <c r="P23" s="738">
        <f t="shared" si="29"/>
        <v>0</v>
      </c>
      <c r="Q23" s="739">
        <f>'HVAC Deemed Table'!I13</f>
        <v>0.34432000000000001</v>
      </c>
      <c r="R23" s="739"/>
      <c r="S23" s="739"/>
      <c r="T23" s="739"/>
      <c r="U23" s="740">
        <f t="shared" si="30"/>
        <v>0</v>
      </c>
      <c r="V23" s="740">
        <f t="shared" si="31"/>
        <v>0</v>
      </c>
      <c r="W23" s="740">
        <f t="shared" si="32"/>
        <v>0.34432000000000001</v>
      </c>
      <c r="X23" s="22">
        <f>'HVAC Deemed Table'!J13</f>
        <v>18</v>
      </c>
      <c r="Y23" s="22"/>
      <c r="Z23" s="22">
        <f t="shared" si="33"/>
        <v>18</v>
      </c>
      <c r="AA23" s="17">
        <f>'HVAC Deemed Table'!DG13</f>
        <v>1.3105438137147511</v>
      </c>
      <c r="AB23" s="757">
        <f>'HVAC Deemed Table'!K13</f>
        <v>634.98122114487387</v>
      </c>
      <c r="AC23" s="846">
        <f t="shared" si="34"/>
        <v>832.17071119645277</v>
      </c>
      <c r="AD23" s="846">
        <f t="shared" si="35"/>
        <v>0</v>
      </c>
      <c r="AE23" s="191">
        <f>'HVAC Deemed Table'!DI13</f>
        <v>832.17071119645277</v>
      </c>
      <c r="AF23" s="191">
        <v>0</v>
      </c>
      <c r="AG23" s="191"/>
      <c r="AH23" s="191">
        <v>0</v>
      </c>
      <c r="AI23" s="850" t="str">
        <f t="shared" si="42"/>
        <v>per measure</v>
      </c>
      <c r="AJ23" s="51">
        <f>'HVAC Deemed Table'!L13</f>
        <v>2.8453773584905662</v>
      </c>
      <c r="AK23" s="609"/>
      <c r="AL23" s="609"/>
      <c r="AX23" s="1226" t="str">
        <f t="shared" si="36"/>
        <v>CAC-SEER16_ROF_SF</v>
      </c>
      <c r="AY23" s="1249"/>
      <c r="AZ23" s="1312" t="str">
        <f t="shared" si="37"/>
        <v>350850</v>
      </c>
      <c r="BA23" s="849">
        <f>ROUND((K22*$BC$3)+(K23*$BC$4),2)</f>
        <v>1455.93</v>
      </c>
      <c r="BB23" s="1195"/>
      <c r="BC23" s="849">
        <f>ROUND((M22*$BC$3)+(K23*$BC$4),2)</f>
        <v>365.39</v>
      </c>
      <c r="BD23" s="1195"/>
      <c r="BE23" s="1176"/>
      <c r="BF23" s="1192">
        <f>ROUND(BA23*'CP FACTORS'!$B$9,6)</f>
        <v>1.3793740000000001</v>
      </c>
      <c r="BG23" s="1193">
        <f>ROUND(BB23*'CP FACTORS'!$B$14,6)</f>
        <v>0</v>
      </c>
      <c r="BH23" s="1192">
        <f>ROUND(BC23*'CP FACTORS'!$B$9,6)</f>
        <v>0.34617700000000001</v>
      </c>
      <c r="BI23" s="1194">
        <f>ROUND(BD23*'CP FACTORS'!$B$14,6)</f>
        <v>0</v>
      </c>
      <c r="BJ23" s="1176"/>
      <c r="BK23" s="685">
        <f t="shared" si="38"/>
        <v>1455.93</v>
      </c>
      <c r="BL23" s="1213">
        <f t="shared" si="39"/>
        <v>365.39</v>
      </c>
      <c r="BM23" s="1212">
        <f t="shared" si="40"/>
        <v>1.3793740000000001</v>
      </c>
      <c r="BN23" s="1211">
        <f t="shared" si="41"/>
        <v>0.34617700000000001</v>
      </c>
    </row>
    <row r="24" spans="1:66" x14ac:dyDescent="0.25">
      <c r="A24" s="49" t="str">
        <f t="shared" si="25"/>
        <v>350900</v>
      </c>
      <c r="B24" s="1307" t="str">
        <f>'HVAC Deemed Table'!C14</f>
        <v>350900_2024_12_</v>
      </c>
      <c r="C24" s="1249" t="str">
        <f>'HVAC Deemed Table'!G14</f>
        <v>Cooling RES</v>
      </c>
      <c r="D24" s="1249" t="str">
        <f>'HVAC Deemed Table'!G15</f>
        <v>Cooling RES ER2</v>
      </c>
      <c r="E24" s="1249"/>
      <c r="F24" s="1249"/>
      <c r="G24" s="1249" t="str">
        <f>'HVAC Deemed Table'!E14</f>
        <v>CAC-SEER16_ER1_MF</v>
      </c>
      <c r="H24" s="18" t="str">
        <f>'HVAC Deemed Table'!D14</f>
        <v>IE</v>
      </c>
      <c r="I24" s="737">
        <f t="shared" si="26"/>
        <v>1902.85</v>
      </c>
      <c r="J24" s="737">
        <f t="shared" si="27"/>
        <v>324.05</v>
      </c>
      <c r="K24" s="185">
        <f>'HVAC Deemed Table'!F14</f>
        <v>1902.85</v>
      </c>
      <c r="L24" s="185">
        <v>0</v>
      </c>
      <c r="M24" s="185">
        <f>'HVAC Deemed Table'!F15</f>
        <v>324.05</v>
      </c>
      <c r="N24" s="185">
        <v>0</v>
      </c>
      <c r="O24" s="738">
        <f t="shared" si="28"/>
        <v>1.8027949999999999</v>
      </c>
      <c r="P24" s="738">
        <f t="shared" si="29"/>
        <v>0.30701099999999998</v>
      </c>
      <c r="Q24" s="739">
        <f>'HVAC Deemed Table'!I14</f>
        <v>1.8027949999999999</v>
      </c>
      <c r="R24" s="739"/>
      <c r="S24" s="739">
        <f>'HVAC Deemed Table'!I15</f>
        <v>0.30701099999999998</v>
      </c>
      <c r="T24" s="739"/>
      <c r="U24" s="740">
        <f t="shared" si="30"/>
        <v>0</v>
      </c>
      <c r="V24" s="740">
        <f t="shared" si="31"/>
        <v>0</v>
      </c>
      <c r="W24" s="740">
        <f t="shared" si="32"/>
        <v>1.8027949999999999</v>
      </c>
      <c r="X24" s="22">
        <f>'HVAC Deemed Table'!J14</f>
        <v>6</v>
      </c>
      <c r="Y24" s="22">
        <f>'HVAC Deemed Table'!J15</f>
        <v>12</v>
      </c>
      <c r="Z24" s="22">
        <f t="shared" si="33"/>
        <v>18</v>
      </c>
      <c r="AA24" s="17">
        <f>'HVAC Deemed Table'!DG14</f>
        <v>3.2644297990868072</v>
      </c>
      <c r="AB24" s="757">
        <f>'HVAC Deemed Table'!K14</f>
        <v>708.92766284367963</v>
      </c>
      <c r="AC24" s="846">
        <f t="shared" si="34"/>
        <v>1894.9495519931463</v>
      </c>
      <c r="AD24" s="846">
        <f t="shared" si="35"/>
        <v>419.29503599072672</v>
      </c>
      <c r="AE24" s="191">
        <f>'HVAC Deemed Table'!DI14</f>
        <v>1894.9495519931463</v>
      </c>
      <c r="AF24" s="191">
        <v>0</v>
      </c>
      <c r="AG24" s="191">
        <f>'HVAC Deemed Table'!DI15</f>
        <v>419.29503599072672</v>
      </c>
      <c r="AH24" s="191">
        <v>0</v>
      </c>
      <c r="AI24" s="850" t="str">
        <f t="shared" si="42"/>
        <v>per measure</v>
      </c>
      <c r="AJ24" s="51">
        <f>'HVAC Deemed Table'!L14</f>
        <v>2.5384615384615383</v>
      </c>
      <c r="AK24" s="609"/>
      <c r="AL24" s="609"/>
      <c r="AX24" s="1226" t="str">
        <f t="shared" si="36"/>
        <v>CAC-SEER16_ER1_MF</v>
      </c>
      <c r="AY24" s="1249"/>
      <c r="AZ24" s="1312" t="str">
        <f t="shared" si="37"/>
        <v>350900</v>
      </c>
      <c r="BA24" s="1196">
        <f>ROUND((K24*$BC$3)+(M24*$BC$4),2)</f>
        <v>1271.33</v>
      </c>
      <c r="BB24" s="1195"/>
      <c r="BC24" s="1196">
        <f>ROUND((M24*$BC$3)+(M24*$BC$4),2)</f>
        <v>324.05</v>
      </c>
      <c r="BD24" s="1195"/>
      <c r="BE24" s="1176"/>
      <c r="BF24" s="1192">
        <f>ROUND(BA24*'CP FACTORS'!$B$9,6)</f>
        <v>1.2044809999999999</v>
      </c>
      <c r="BG24" s="1193">
        <f>ROUND(BB24*'CP FACTORS'!$B$14,6)</f>
        <v>0</v>
      </c>
      <c r="BH24" s="1192">
        <f>ROUND(BC24*'CP FACTORS'!$B$9,6)</f>
        <v>0.30701099999999998</v>
      </c>
      <c r="BI24" s="1194">
        <f>ROUND(BD24*'CP FACTORS'!$B$14,6)</f>
        <v>0</v>
      </c>
      <c r="BJ24" s="1176"/>
      <c r="BK24" s="685">
        <f t="shared" si="38"/>
        <v>1271.33</v>
      </c>
      <c r="BL24" s="1213">
        <f t="shared" si="39"/>
        <v>324.05</v>
      </c>
      <c r="BM24" s="1212">
        <f t="shared" si="40"/>
        <v>1.2044809999999999</v>
      </c>
      <c r="BN24" s="1211">
        <f t="shared" si="41"/>
        <v>0.30701099999999998</v>
      </c>
    </row>
    <row r="25" spans="1:66" x14ac:dyDescent="0.25">
      <c r="A25" s="49" t="str">
        <f t="shared" ref="A25:A48" si="43">LEFT(B25,6)</f>
        <v>351000</v>
      </c>
      <c r="B25" s="1307" t="str">
        <f>'HVAC Deemed Table'!C16</f>
        <v>351000_2024_12_</v>
      </c>
      <c r="C25" s="1249" t="str">
        <f>'HVAC Deemed Table'!G16</f>
        <v>Cooling RES</v>
      </c>
      <c r="D25" s="1249" t="str">
        <f>'HVAC Deemed Table'!G17</f>
        <v>Cooling RES ER2</v>
      </c>
      <c r="E25" s="1249"/>
      <c r="F25" s="1249"/>
      <c r="G25" s="1249" t="str">
        <f>'HVAC Deemed Table'!E16</f>
        <v>CAC-SEER17_ER1_SF</v>
      </c>
      <c r="H25" s="18" t="str">
        <f>'HVAC Deemed Table'!D16</f>
        <v>PAYS / IE</v>
      </c>
      <c r="I25" s="737">
        <f t="shared" si="26"/>
        <v>2381.9499999999998</v>
      </c>
      <c r="J25" s="737">
        <f t="shared" si="27"/>
        <v>530.38</v>
      </c>
      <c r="K25" s="185">
        <f>'HVAC Deemed Table'!F16</f>
        <v>2381.9499999999998</v>
      </c>
      <c r="L25" s="185">
        <v>0</v>
      </c>
      <c r="M25" s="185">
        <f>'HVAC Deemed Table'!F17</f>
        <v>530.38</v>
      </c>
      <c r="N25" s="185">
        <v>0</v>
      </c>
      <c r="O25" s="738">
        <f t="shared" si="28"/>
        <v>2.2567029999999999</v>
      </c>
      <c r="P25" s="738">
        <f t="shared" si="29"/>
        <v>0.50249200000000005</v>
      </c>
      <c r="Q25" s="739">
        <f>'HVAC Deemed Table'!I16</f>
        <v>2.2567029999999999</v>
      </c>
      <c r="R25" s="739"/>
      <c r="S25" s="739">
        <f>'HVAC Deemed Table'!I17</f>
        <v>0.50249200000000005</v>
      </c>
      <c r="T25" s="739"/>
      <c r="U25" s="740">
        <f t="shared" si="30"/>
        <v>0</v>
      </c>
      <c r="V25" s="740">
        <f t="shared" si="31"/>
        <v>0</v>
      </c>
      <c r="W25" s="740">
        <f t="shared" si="32"/>
        <v>2.2567029999999999</v>
      </c>
      <c r="X25" s="22">
        <f>'HVAC Deemed Table'!J16</f>
        <v>6</v>
      </c>
      <c r="Y25" s="22">
        <f>'HVAC Deemed Table'!J17</f>
        <v>12</v>
      </c>
      <c r="Z25" s="22">
        <f t="shared" ref="Z25:Z48" si="44">Y25+X25</f>
        <v>18</v>
      </c>
      <c r="AA25" s="17">
        <f>'HVAC Deemed Table'!DG16</f>
        <v>3.1687674818130427</v>
      </c>
      <c r="AB25" s="757">
        <f>'HVAC Deemed Table'!K16</f>
        <v>965.14815558634655</v>
      </c>
      <c r="AC25" s="846">
        <f t="shared" ref="AC25:AC48" si="45">AE25+AF25</f>
        <v>2372.0603754211184</v>
      </c>
      <c r="AD25" s="846">
        <f t="shared" si="35"/>
        <v>686.26971513273145</v>
      </c>
      <c r="AE25" s="191">
        <f>'HVAC Deemed Table'!DI16</f>
        <v>2372.0603754211184</v>
      </c>
      <c r="AF25" s="191">
        <v>0</v>
      </c>
      <c r="AG25" s="191">
        <f>'HVAC Deemed Table'!DI17</f>
        <v>686.26971513273145</v>
      </c>
      <c r="AH25" s="191">
        <v>0</v>
      </c>
      <c r="AI25" s="850" t="str">
        <f>AI24</f>
        <v>per measure</v>
      </c>
      <c r="AJ25" s="51">
        <f>'HVAC Deemed Table'!L16</f>
        <v>3.1718995290423861</v>
      </c>
      <c r="AK25" s="609"/>
      <c r="AL25" s="609"/>
      <c r="AX25" s="1226" t="str">
        <f t="shared" si="36"/>
        <v>CAC-SEER17_ER1_SF</v>
      </c>
      <c r="AY25" s="1249"/>
      <c r="AZ25" s="1312" t="str">
        <f t="shared" si="37"/>
        <v>351000</v>
      </c>
      <c r="BA25" s="849">
        <f>ROUND((K25*$BC$3)+(K26*$BC$4),2)</f>
        <v>1648.96</v>
      </c>
      <c r="BB25" s="1195"/>
      <c r="BC25" s="849">
        <f>ROUND((M25*$BC$3)+(K26*$BC$4),2)</f>
        <v>538.02</v>
      </c>
      <c r="BD25" s="1195"/>
      <c r="BE25" s="1176"/>
      <c r="BF25" s="1192">
        <f>ROUND(BA25*'CP FACTORS'!$B$9,6)</f>
        <v>1.5622549999999999</v>
      </c>
      <c r="BG25" s="1193">
        <f>ROUND(BB25*'CP FACTORS'!$B$14,6)</f>
        <v>0</v>
      </c>
      <c r="BH25" s="1192">
        <f>ROUND(BC25*'CP FACTORS'!$B$9,6)</f>
        <v>0.50973000000000002</v>
      </c>
      <c r="BI25" s="1194">
        <f>ROUND(BD25*'CP FACTORS'!$B$14,6)</f>
        <v>0</v>
      </c>
      <c r="BJ25" s="1176"/>
      <c r="BK25" s="685">
        <f t="shared" si="38"/>
        <v>1648.96</v>
      </c>
      <c r="BL25" s="1213">
        <f t="shared" si="39"/>
        <v>538.02</v>
      </c>
      <c r="BM25" s="1212">
        <f t="shared" si="40"/>
        <v>1.5622549999999999</v>
      </c>
      <c r="BN25" s="1211">
        <f t="shared" si="41"/>
        <v>0.50973000000000002</v>
      </c>
    </row>
    <row r="26" spans="1:66" x14ac:dyDescent="0.25">
      <c r="A26" s="49" t="str">
        <f t="shared" si="43"/>
        <v>351050</v>
      </c>
      <c r="B26" s="1307" t="str">
        <f>'HVAC Deemed Table'!C18</f>
        <v>351050_2024_12_</v>
      </c>
      <c r="C26" s="1249" t="str">
        <f>'HVAC Deemed Table'!G18</f>
        <v>Cooling RES</v>
      </c>
      <c r="D26" s="1249"/>
      <c r="E26" s="1249"/>
      <c r="F26" s="1249"/>
      <c r="G26" s="1249" t="str">
        <f>'HVAC Deemed Table'!E18</f>
        <v>CAC-SEER17_ROF_SF</v>
      </c>
      <c r="H26" s="18" t="str">
        <f>'HVAC Deemed Table'!D18</f>
        <v>PAYS / IE</v>
      </c>
      <c r="I26" s="737">
        <f t="shared" si="26"/>
        <v>549.48</v>
      </c>
      <c r="J26" s="737">
        <f t="shared" si="27"/>
        <v>0</v>
      </c>
      <c r="K26" s="185">
        <f>'HVAC Deemed Table'!F18</f>
        <v>549.48</v>
      </c>
      <c r="L26" s="185">
        <v>0</v>
      </c>
      <c r="M26" s="185"/>
      <c r="N26" s="185">
        <v>0</v>
      </c>
      <c r="O26" s="738">
        <f t="shared" si="28"/>
        <v>0.52058700000000002</v>
      </c>
      <c r="P26" s="738">
        <f t="shared" si="29"/>
        <v>0</v>
      </c>
      <c r="Q26" s="739">
        <f>'HVAC Deemed Table'!I18</f>
        <v>0.52058700000000002</v>
      </c>
      <c r="R26" s="739"/>
      <c r="S26" s="739"/>
      <c r="T26" s="739"/>
      <c r="U26" s="740">
        <f t="shared" si="30"/>
        <v>0</v>
      </c>
      <c r="V26" s="740">
        <f t="shared" si="31"/>
        <v>0</v>
      </c>
      <c r="W26" s="740">
        <f t="shared" si="32"/>
        <v>0.52058700000000002</v>
      </c>
      <c r="X26" s="22">
        <f>'HVAC Deemed Table'!J18</f>
        <v>18</v>
      </c>
      <c r="Y26" s="22"/>
      <c r="Z26" s="22">
        <f t="shared" si="44"/>
        <v>18</v>
      </c>
      <c r="AA26" s="17">
        <f>'HVAC Deemed Table'!DG18</f>
        <v>1.4117816374996219</v>
      </c>
      <c r="AB26" s="757">
        <f>'HVAC Deemed Table'!K18</f>
        <v>891.20171388754079</v>
      </c>
      <c r="AC26" s="846">
        <f t="shared" si="45"/>
        <v>1258.182214974622</v>
      </c>
      <c r="AD26" s="846">
        <f t="shared" si="35"/>
        <v>0</v>
      </c>
      <c r="AE26" s="191">
        <f>'HVAC Deemed Table'!DI18</f>
        <v>1258.182214974622</v>
      </c>
      <c r="AF26" s="191">
        <v>0</v>
      </c>
      <c r="AG26" s="191"/>
      <c r="AH26" s="191">
        <v>0</v>
      </c>
      <c r="AI26" s="850" t="str">
        <f t="shared" si="42"/>
        <v>per measure</v>
      </c>
      <c r="AJ26" s="51">
        <f>'HVAC Deemed Table'!L18</f>
        <v>3.3001127819548874</v>
      </c>
      <c r="AK26" s="609"/>
      <c r="AL26" s="609"/>
      <c r="AX26" s="1226" t="str">
        <f t="shared" ref="AX26:AX49" si="46">G26</f>
        <v>CAC-SEER17_ROF_SF</v>
      </c>
      <c r="AY26" s="1249"/>
      <c r="AZ26" s="1312" t="str">
        <f t="shared" ref="AZ26:AZ49" si="47">A26</f>
        <v>351050</v>
      </c>
      <c r="BA26" s="849">
        <f>ROUND((K25*$BC$3)+(K26*$BC$4),2)</f>
        <v>1648.96</v>
      </c>
      <c r="BB26" s="1195"/>
      <c r="BC26" s="849">
        <f>ROUND((M25*$BC$3)+(K26*$BC$4),2)</f>
        <v>538.02</v>
      </c>
      <c r="BD26" s="1195"/>
      <c r="BE26" s="1176"/>
      <c r="BF26" s="1192">
        <f>ROUND(BA26*'CP FACTORS'!$B$9,6)</f>
        <v>1.5622549999999999</v>
      </c>
      <c r="BG26" s="1193">
        <f>ROUND(BB26*'CP FACTORS'!$B$14,6)</f>
        <v>0</v>
      </c>
      <c r="BH26" s="1192">
        <f>ROUND(BC26*'CP FACTORS'!$B$9,6)</f>
        <v>0.50973000000000002</v>
      </c>
      <c r="BI26" s="1194">
        <f>ROUND(BD26*'CP FACTORS'!$B$14,6)</f>
        <v>0</v>
      </c>
      <c r="BJ26" s="1176"/>
      <c r="BK26" s="685">
        <f t="shared" si="38"/>
        <v>1648.96</v>
      </c>
      <c r="BL26" s="1213">
        <f t="shared" si="39"/>
        <v>538.02</v>
      </c>
      <c r="BM26" s="1212">
        <f t="shared" si="40"/>
        <v>1.5622549999999999</v>
      </c>
      <c r="BN26" s="1211">
        <f t="shared" si="41"/>
        <v>0.50973000000000002</v>
      </c>
    </row>
    <row r="27" spans="1:66" x14ac:dyDescent="0.25">
      <c r="A27" s="49" t="str">
        <f t="shared" si="43"/>
        <v>351160</v>
      </c>
      <c r="B27" s="1307" t="str">
        <f>'HVAC Deemed Table'!C19</f>
        <v>351160_2024_12_</v>
      </c>
      <c r="C27" s="1249" t="str">
        <f>'HVAC Deemed Table'!G19</f>
        <v>Cooling RES</v>
      </c>
      <c r="D27" s="1249" t="str">
        <f>'HVAC Deemed Table'!G20</f>
        <v>Cooling RES ER2</v>
      </c>
      <c r="E27" s="1249"/>
      <c r="F27" s="1249"/>
      <c r="G27" s="1249" t="str">
        <f>'HVAC Deemed Table'!E19</f>
        <v>CAC-SEER18_ER1_SF</v>
      </c>
      <c r="H27" s="18" t="str">
        <f>'HVAC Deemed Table'!D19</f>
        <v>PAYS / IE</v>
      </c>
      <c r="I27" s="737">
        <f t="shared" si="26"/>
        <v>2517.94</v>
      </c>
      <c r="J27" s="737">
        <f t="shared" si="27"/>
        <v>662.17</v>
      </c>
      <c r="K27" s="185">
        <f>'HVAC Deemed Table'!F19</f>
        <v>2517.94</v>
      </c>
      <c r="L27" s="185">
        <v>0</v>
      </c>
      <c r="M27" s="185">
        <f>'HVAC Deemed Table'!F20</f>
        <v>662.17</v>
      </c>
      <c r="N27" s="185">
        <v>0</v>
      </c>
      <c r="O27" s="738">
        <f t="shared" si="28"/>
        <v>2.3855420000000001</v>
      </c>
      <c r="P27" s="738">
        <f t="shared" si="29"/>
        <v>0.62735200000000002</v>
      </c>
      <c r="Q27" s="739">
        <f>'HVAC Deemed Table'!I19</f>
        <v>2.3855420000000001</v>
      </c>
      <c r="R27" s="739">
        <v>0</v>
      </c>
      <c r="S27" s="739">
        <f>'HVAC Deemed Table'!I20</f>
        <v>0.62735200000000002</v>
      </c>
      <c r="T27" s="739">
        <v>0</v>
      </c>
      <c r="U27" s="740">
        <f t="shared" si="30"/>
        <v>0</v>
      </c>
      <c r="V27" s="740">
        <f t="shared" si="31"/>
        <v>0</v>
      </c>
      <c r="W27" s="740">
        <f t="shared" si="32"/>
        <v>2.3855420000000001</v>
      </c>
      <c r="X27" s="22">
        <f>'HVAC Deemed Table'!J19</f>
        <v>6</v>
      </c>
      <c r="Y27" s="22">
        <f>'HVAC Deemed Table'!J20</f>
        <v>12</v>
      </c>
      <c r="Z27" s="22">
        <f t="shared" si="44"/>
        <v>18</v>
      </c>
      <c r="AA27" s="17">
        <f>'HVAC Deemed Table'!DG19</f>
        <v>3.3816804496492248</v>
      </c>
      <c r="AB27" s="757">
        <f>'HVAC Deemed Table'!K19</f>
        <v>994.85487938259848</v>
      </c>
      <c r="AC27" s="846">
        <f t="shared" si="45"/>
        <v>2507.4857581762217</v>
      </c>
      <c r="AD27" s="846">
        <f t="shared" si="35"/>
        <v>856.79553767004927</v>
      </c>
      <c r="AE27" s="191">
        <f>'HVAC Deemed Table'!DI19</f>
        <v>2507.4857581762217</v>
      </c>
      <c r="AF27" s="191"/>
      <c r="AG27" s="191">
        <f>'HVAC Deemed Table'!DI20</f>
        <v>856.79553767004927</v>
      </c>
      <c r="AH27" s="191"/>
      <c r="AI27" s="850" t="str">
        <f>AI26</f>
        <v>per measure</v>
      </c>
      <c r="AJ27" s="51">
        <f>'HVAC Deemed Table'!L19</f>
        <v>3.3330761421319792</v>
      </c>
      <c r="AK27" s="609"/>
      <c r="AL27" s="609"/>
      <c r="AX27" s="1226" t="str">
        <f t="shared" si="46"/>
        <v>CAC-SEER18_ER1_SF</v>
      </c>
      <c r="AY27" s="1249"/>
      <c r="AZ27" s="1312" t="str">
        <f t="shared" si="47"/>
        <v>351160</v>
      </c>
      <c r="BA27" s="849">
        <f>ROUND((K27*$BC$3)+(K28*$BC$4),2)</f>
        <v>1775.01</v>
      </c>
      <c r="BB27" s="1195"/>
      <c r="BC27" s="849">
        <f>ROUND((M27*$BC$3)+(K28*$BC$4),2)</f>
        <v>661.55</v>
      </c>
      <c r="BD27" s="1195"/>
      <c r="BE27" s="1176"/>
      <c r="BF27" s="1192">
        <f>ROUND(BA27*'CP FACTORS'!$B$9,6)</f>
        <v>1.6816770000000001</v>
      </c>
      <c r="BG27" s="1193">
        <f>ROUND(BB27*'CP FACTORS'!$B$14,6)</f>
        <v>0</v>
      </c>
      <c r="BH27" s="1192">
        <f>ROUND(BC27*'CP FACTORS'!$B$9,6)</f>
        <v>0.62676399999999999</v>
      </c>
      <c r="BI27" s="1194">
        <f>ROUND(BD27*'CP FACTORS'!$B$14,6)</f>
        <v>0</v>
      </c>
      <c r="BJ27" s="1176"/>
      <c r="BK27" s="685">
        <f t="shared" si="38"/>
        <v>1775.01</v>
      </c>
      <c r="BL27" s="1213">
        <f t="shared" si="39"/>
        <v>661.55</v>
      </c>
      <c r="BM27" s="1212">
        <f t="shared" si="40"/>
        <v>1.6816770000000001</v>
      </c>
      <c r="BN27" s="1211">
        <f t="shared" si="41"/>
        <v>0.62676399999999999</v>
      </c>
    </row>
    <row r="28" spans="1:66" x14ac:dyDescent="0.25">
      <c r="A28" s="49" t="str">
        <f t="shared" si="43"/>
        <v>351161</v>
      </c>
      <c r="B28" s="1307" t="str">
        <f>'HVAC Deemed Table'!C21</f>
        <v>351161_2024_12_</v>
      </c>
      <c r="C28" s="1249" t="str">
        <f>'HVAC Deemed Table'!G21</f>
        <v>Cooling RES</v>
      </c>
      <c r="D28" s="1249"/>
      <c r="E28" s="1249"/>
      <c r="F28" s="1249"/>
      <c r="G28" s="1249" t="str">
        <f>'HVAC Deemed Table'!E21</f>
        <v>CAC-SEER18_ROF_SF</v>
      </c>
      <c r="H28" s="18" t="str">
        <f>'HVAC Deemed Table'!D21</f>
        <v>PAYS / IE</v>
      </c>
      <c r="I28" s="737">
        <f t="shared" si="26"/>
        <v>660.62</v>
      </c>
      <c r="J28" s="737">
        <f t="shared" si="27"/>
        <v>0</v>
      </c>
      <c r="K28" s="185">
        <f>'HVAC Deemed Table'!F21</f>
        <v>660.62</v>
      </c>
      <c r="L28" s="185">
        <v>0</v>
      </c>
      <c r="M28" s="185"/>
      <c r="N28" s="185">
        <v>0</v>
      </c>
      <c r="O28" s="738">
        <f t="shared" si="28"/>
        <v>0.62588299999999997</v>
      </c>
      <c r="P28" s="738">
        <f t="shared" si="29"/>
        <v>0</v>
      </c>
      <c r="Q28" s="739">
        <f>'HVAC Deemed Table'!I21</f>
        <v>0.62588299999999997</v>
      </c>
      <c r="R28" s="739">
        <v>0</v>
      </c>
      <c r="S28" s="739"/>
      <c r="T28" s="739">
        <v>0</v>
      </c>
      <c r="U28" s="740">
        <f t="shared" si="30"/>
        <v>0</v>
      </c>
      <c r="V28" s="740">
        <f t="shared" si="31"/>
        <v>0</v>
      </c>
      <c r="W28" s="740">
        <f t="shared" si="32"/>
        <v>0.62588299999999997</v>
      </c>
      <c r="X28" s="22">
        <f>'HVAC Deemed Table'!J21</f>
        <v>18</v>
      </c>
      <c r="Y28" s="22"/>
      <c r="Z28" s="22">
        <f t="shared" si="44"/>
        <v>18</v>
      </c>
      <c r="AA28" s="17">
        <f>'HVAC Deemed Table'!DG21</f>
        <v>1.6425814647602304</v>
      </c>
      <c r="AB28" s="757">
        <f>'HVAC Deemed Table'!K21</f>
        <v>920.90843768379273</v>
      </c>
      <c r="AC28" s="846">
        <f t="shared" si="45"/>
        <v>1512.6671304806996</v>
      </c>
      <c r="AD28" s="846">
        <f t="shared" si="35"/>
        <v>0</v>
      </c>
      <c r="AE28" s="191">
        <f>'HVAC Deemed Table'!DI21</f>
        <v>1512.6671304806996</v>
      </c>
      <c r="AF28" s="191"/>
      <c r="AG28" s="191"/>
      <c r="AH28" s="191"/>
      <c r="AI28" s="850" t="str">
        <f t="shared" si="42"/>
        <v>per measure</v>
      </c>
      <c r="AJ28" s="51">
        <f>'HVAC Deemed Table'!L21</f>
        <v>3.3284552845487805</v>
      </c>
      <c r="AK28" s="609"/>
      <c r="AL28" s="609"/>
      <c r="AX28" s="1226" t="str">
        <f t="shared" si="46"/>
        <v>CAC-SEER18_ROF_SF</v>
      </c>
      <c r="AY28" s="1249"/>
      <c r="AZ28" s="1312" t="str">
        <f t="shared" si="47"/>
        <v>351161</v>
      </c>
      <c r="BA28" s="849">
        <f>ROUND((K27*$BC$3)+(K28*$BC$4),2)</f>
        <v>1775.01</v>
      </c>
      <c r="BB28" s="1195"/>
      <c r="BC28" s="849">
        <f>ROUND((M27*$BC$3)+(K28*$BC$4),2)</f>
        <v>661.55</v>
      </c>
      <c r="BD28" s="1195"/>
      <c r="BE28" s="1176"/>
      <c r="BF28" s="1192">
        <f>ROUND(BA28*'CP FACTORS'!$B$9,6)</f>
        <v>1.6816770000000001</v>
      </c>
      <c r="BG28" s="1193">
        <f>ROUND(BB28*'CP FACTORS'!$B$14,6)</f>
        <v>0</v>
      </c>
      <c r="BH28" s="1192">
        <f>ROUND(BC28*'CP FACTORS'!$B$9,6)</f>
        <v>0.62676399999999999</v>
      </c>
      <c r="BI28" s="1194">
        <f>ROUND(BD28*'CP FACTORS'!$B$14,6)</f>
        <v>0</v>
      </c>
      <c r="BJ28" s="1176"/>
      <c r="BK28" s="685">
        <f t="shared" si="38"/>
        <v>1775.01</v>
      </c>
      <c r="BL28" s="1213">
        <f t="shared" si="39"/>
        <v>661.55</v>
      </c>
      <c r="BM28" s="1212">
        <f t="shared" si="40"/>
        <v>1.6816770000000001</v>
      </c>
      <c r="BN28" s="1211">
        <f t="shared" si="41"/>
        <v>0.62676399999999999</v>
      </c>
    </row>
    <row r="29" spans="1:66" x14ac:dyDescent="0.25">
      <c r="A29" s="49" t="str">
        <f t="shared" si="43"/>
        <v>351170</v>
      </c>
      <c r="B29" s="1307" t="str">
        <f>'HVAC Deemed Table'!C22</f>
        <v>351170_2025_12_</v>
      </c>
      <c r="C29" s="1249" t="str">
        <f>'HVAC Deemed Table'!G22</f>
        <v>Cooling RES</v>
      </c>
      <c r="D29" s="1249" t="str">
        <f>'HVAC Deemed Table'!G23</f>
        <v>Cooling RES ER2</v>
      </c>
      <c r="E29" s="1249"/>
      <c r="F29" s="1249"/>
      <c r="G29" s="1249" t="str">
        <f>'HVAC Deemed Table'!E22</f>
        <v>CAC-SEER19_ER1_SF</v>
      </c>
      <c r="H29" s="18" t="str">
        <f>'HVAC Deemed Table'!D22</f>
        <v>PAYS / IE</v>
      </c>
      <c r="I29" s="737">
        <f t="shared" si="26"/>
        <v>2860.89</v>
      </c>
      <c r="J29" s="737">
        <f t="shared" si="27"/>
        <v>826.44</v>
      </c>
      <c r="K29" s="185">
        <f>'HVAC Deemed Table'!F22</f>
        <v>2860.89</v>
      </c>
      <c r="L29" s="185">
        <v>0</v>
      </c>
      <c r="M29" s="185">
        <f>'HVAC Deemed Table'!F23</f>
        <v>826.44</v>
      </c>
      <c r="N29" s="185">
        <v>0</v>
      </c>
      <c r="O29" s="738">
        <f t="shared" si="28"/>
        <v>2.7104590000000002</v>
      </c>
      <c r="P29" s="738">
        <f t="shared" si="29"/>
        <v>0.78298400000000001</v>
      </c>
      <c r="Q29" s="739">
        <f>'HVAC Deemed Table'!I22</f>
        <v>2.7104590000000002</v>
      </c>
      <c r="R29" s="739">
        <v>0</v>
      </c>
      <c r="S29" s="739">
        <f>'HVAC Deemed Table'!I23</f>
        <v>0.78298400000000001</v>
      </c>
      <c r="T29" s="739">
        <v>0</v>
      </c>
      <c r="U29" s="740">
        <f t="shared" si="30"/>
        <v>0</v>
      </c>
      <c r="V29" s="740">
        <f t="shared" si="31"/>
        <v>0</v>
      </c>
      <c r="W29" s="740">
        <f t="shared" si="32"/>
        <v>2.7104590000000002</v>
      </c>
      <c r="X29" s="22">
        <f>'HVAC Deemed Table'!J22</f>
        <v>6</v>
      </c>
      <c r="Y29" s="22">
        <f>'HVAC Deemed Table'!J23</f>
        <v>12</v>
      </c>
      <c r="Z29" s="22">
        <f t="shared" si="44"/>
        <v>18</v>
      </c>
      <c r="AA29" s="17">
        <f>'HVAC Deemed Table'!DG22</f>
        <v>3.9386244689796817</v>
      </c>
      <c r="AB29" s="757">
        <f>'HVAC Deemed Table'!K22</f>
        <v>994.85487938259848</v>
      </c>
      <c r="AC29" s="846">
        <f t="shared" si="45"/>
        <v>2849.0118631535183</v>
      </c>
      <c r="AD29" s="846">
        <f t="shared" si="35"/>
        <v>1069.3479078666137</v>
      </c>
      <c r="AE29" s="191">
        <f>'HVAC Deemed Table'!DI22</f>
        <v>2849.0118631535183</v>
      </c>
      <c r="AF29" s="191"/>
      <c r="AG29" s="191">
        <f>'HVAC Deemed Table'!DI23</f>
        <v>1069.3479078666137</v>
      </c>
      <c r="AH29" s="191"/>
      <c r="AI29" s="850" t="str">
        <f t="shared" si="42"/>
        <v>per measure</v>
      </c>
      <c r="AJ29" s="51">
        <f>'HVAC Deemed Table'!L22</f>
        <v>3.549074074074074</v>
      </c>
      <c r="AK29" s="609"/>
      <c r="AL29" s="609"/>
      <c r="AX29" s="1226" t="str">
        <f t="shared" si="46"/>
        <v>CAC-SEER19_ER1_SF</v>
      </c>
      <c r="AY29" s="1249"/>
      <c r="AZ29" s="1312" t="str">
        <f t="shared" si="47"/>
        <v>351170</v>
      </c>
      <c r="BA29" s="849">
        <f>ROUND((K29*$BC$3)+(K30*$BC$4),2)</f>
        <v>2038.77</v>
      </c>
      <c r="BB29" s="1195"/>
      <c r="BC29" s="849">
        <f>ROUND((M29*$BC$3)+(K30*$BC$4),2)</f>
        <v>818.1</v>
      </c>
      <c r="BD29" s="1195"/>
      <c r="BE29" s="1176"/>
      <c r="BF29" s="1192">
        <f>ROUND(BA29*'CP FACTORS'!$B$9,6)</f>
        <v>1.931568</v>
      </c>
      <c r="BG29" s="1193">
        <f>ROUND(BB29*'CP FACTORS'!$B$14,6)</f>
        <v>0</v>
      </c>
      <c r="BH29" s="1192">
        <f>ROUND(BC29*'CP FACTORS'!$B$9,6)</f>
        <v>0.77508299999999997</v>
      </c>
      <c r="BI29" s="1194">
        <f>ROUND(BD29*'CP FACTORS'!$B$14,6)</f>
        <v>0</v>
      </c>
      <c r="BJ29" s="1176"/>
      <c r="BK29" s="685">
        <f t="shared" si="38"/>
        <v>2038.77</v>
      </c>
      <c r="BL29" s="1213">
        <f t="shared" si="39"/>
        <v>818.1</v>
      </c>
      <c r="BM29" s="1212">
        <f t="shared" si="40"/>
        <v>1.931568</v>
      </c>
      <c r="BN29" s="1211">
        <f t="shared" si="41"/>
        <v>0.77508299999999997</v>
      </c>
    </row>
    <row r="30" spans="1:66" x14ac:dyDescent="0.25">
      <c r="A30" s="49" t="str">
        <f t="shared" si="43"/>
        <v>351171</v>
      </c>
      <c r="B30" s="1307" t="str">
        <f>'HVAC Deemed Table'!C24</f>
        <v>351171_2025_12_</v>
      </c>
      <c r="C30" s="1249" t="str">
        <f>'HVAC Deemed Table'!G24</f>
        <v>Cooling RES</v>
      </c>
      <c r="D30" s="1249"/>
      <c r="E30" s="1249"/>
      <c r="F30" s="1249"/>
      <c r="G30" s="1249" t="str">
        <f>'HVAC Deemed Table'!E24</f>
        <v>CAC-SEER19_ROF_SF</v>
      </c>
      <c r="H30" s="18" t="str">
        <f>'HVAC Deemed Table'!D24</f>
        <v>PAYS / IE</v>
      </c>
      <c r="I30" s="737">
        <f t="shared" si="26"/>
        <v>805.6</v>
      </c>
      <c r="J30" s="737">
        <f t="shared" si="27"/>
        <v>0</v>
      </c>
      <c r="K30" s="185">
        <f>'HVAC Deemed Table'!F24</f>
        <v>805.6</v>
      </c>
      <c r="L30" s="185">
        <v>0</v>
      </c>
      <c r="M30" s="185"/>
      <c r="N30" s="185">
        <v>0</v>
      </c>
      <c r="O30" s="738">
        <f t="shared" si="28"/>
        <v>0.76324000000000003</v>
      </c>
      <c r="P30" s="738">
        <f t="shared" si="29"/>
        <v>0</v>
      </c>
      <c r="Q30" s="739">
        <f>'HVAC Deemed Table'!I24</f>
        <v>0.76324000000000003</v>
      </c>
      <c r="R30" s="739">
        <v>0</v>
      </c>
      <c r="S30" s="739"/>
      <c r="T30" s="739">
        <v>0</v>
      </c>
      <c r="U30" s="740">
        <f t="shared" si="30"/>
        <v>0</v>
      </c>
      <c r="V30" s="740">
        <f t="shared" si="31"/>
        <v>0</v>
      </c>
      <c r="W30" s="740">
        <f t="shared" si="32"/>
        <v>0.76324000000000003</v>
      </c>
      <c r="X30" s="22">
        <f>'HVAC Deemed Table'!J24</f>
        <v>18</v>
      </c>
      <c r="Y30" s="22"/>
      <c r="Z30" s="22">
        <f t="shared" si="44"/>
        <v>18</v>
      </c>
      <c r="AA30" s="17">
        <f>'HVAC Deemed Table'!DG24</f>
        <v>2.003063225471287</v>
      </c>
      <c r="AB30" s="757">
        <f>'HVAC Deemed Table'!K24</f>
        <v>920.90843768379273</v>
      </c>
      <c r="AC30" s="846">
        <f t="shared" si="45"/>
        <v>1844.6378255506215</v>
      </c>
      <c r="AD30" s="846">
        <f t="shared" si="35"/>
        <v>0</v>
      </c>
      <c r="AE30" s="191">
        <f>'HVAC Deemed Table'!DI24</f>
        <v>1844.6378255506215</v>
      </c>
      <c r="AF30" s="191"/>
      <c r="AG30" s="191"/>
      <c r="AH30" s="191"/>
      <c r="AI30" s="850" t="str">
        <f t="shared" si="42"/>
        <v>per measure</v>
      </c>
      <c r="AJ30" s="51">
        <f>'HVAC Deemed Table'!L24</f>
        <v>3.4388888888888887</v>
      </c>
      <c r="AK30" s="609"/>
      <c r="AL30" s="609"/>
      <c r="AX30" s="1226" t="str">
        <f t="shared" si="46"/>
        <v>CAC-SEER19_ROF_SF</v>
      </c>
      <c r="AY30" s="1249"/>
      <c r="AZ30" s="1312" t="str">
        <f t="shared" si="47"/>
        <v>351171</v>
      </c>
      <c r="BA30" s="849">
        <f>ROUND((K29*$BC$3)+(K30*$BC$4),2)</f>
        <v>2038.77</v>
      </c>
      <c r="BB30" s="1195"/>
      <c r="BC30" s="849">
        <f>ROUND((M29*$BC$3)+(K30*$BC$4),2)</f>
        <v>818.1</v>
      </c>
      <c r="BD30" s="1195"/>
      <c r="BE30" s="1176"/>
      <c r="BF30" s="1192">
        <f>ROUND(BA30*'CP FACTORS'!$B$9,6)</f>
        <v>1.931568</v>
      </c>
      <c r="BG30" s="1193">
        <f>ROUND(BB30*'CP FACTORS'!$B$14,6)</f>
        <v>0</v>
      </c>
      <c r="BH30" s="1192">
        <f>ROUND(BC30*'CP FACTORS'!$B$9,6)</f>
        <v>0.77508299999999997</v>
      </c>
      <c r="BI30" s="1194">
        <f>ROUND(BD30*'CP FACTORS'!$B$14,6)</f>
        <v>0</v>
      </c>
      <c r="BJ30" s="1176"/>
      <c r="BK30" s="685">
        <f t="shared" si="38"/>
        <v>2038.77</v>
      </c>
      <c r="BL30" s="1213">
        <f t="shared" si="39"/>
        <v>818.1</v>
      </c>
      <c r="BM30" s="1212">
        <f t="shared" si="40"/>
        <v>1.931568</v>
      </c>
      <c r="BN30" s="1211">
        <f t="shared" si="41"/>
        <v>0.77508299999999997</v>
      </c>
    </row>
    <row r="31" spans="1:66" x14ac:dyDescent="0.25">
      <c r="A31" s="49" t="str">
        <f t="shared" si="43"/>
        <v>351180</v>
      </c>
      <c r="B31" s="1307" t="str">
        <f>'HVAC Deemed Table'!C25</f>
        <v>351180_2024_12_</v>
      </c>
      <c r="C31" s="1249" t="str">
        <f>'HVAC Deemed Table'!G25</f>
        <v>Cooling RES</v>
      </c>
      <c r="D31" s="1249" t="str">
        <f>'HVAC Deemed Table'!G26</f>
        <v>Cooling RES ER2</v>
      </c>
      <c r="E31" s="1249"/>
      <c r="F31" s="1249"/>
      <c r="G31" s="1249" t="str">
        <f>'HVAC Deemed Table'!E25</f>
        <v>CAC-SEER20_ER1_SF</v>
      </c>
      <c r="H31" s="18" t="str">
        <f>'HVAC Deemed Table'!D25</f>
        <v>PAYS / IE</v>
      </c>
      <c r="I31" s="737">
        <f t="shared" si="26"/>
        <v>2828.06</v>
      </c>
      <c r="J31" s="737">
        <f t="shared" si="27"/>
        <v>935.32</v>
      </c>
      <c r="K31" s="185">
        <f>'HVAC Deemed Table'!F25</f>
        <v>2828.06</v>
      </c>
      <c r="L31" s="185">
        <v>0</v>
      </c>
      <c r="M31" s="185">
        <f>'HVAC Deemed Table'!F26</f>
        <v>935.32</v>
      </c>
      <c r="N31" s="185">
        <v>0</v>
      </c>
      <c r="O31" s="738">
        <f t="shared" si="28"/>
        <v>2.6793550000000002</v>
      </c>
      <c r="P31" s="738">
        <f t="shared" si="29"/>
        <v>0.88613900000000001</v>
      </c>
      <c r="Q31" s="739">
        <f>'HVAC Deemed Table'!I25</f>
        <v>2.6793550000000002</v>
      </c>
      <c r="R31" s="739">
        <v>0</v>
      </c>
      <c r="S31" s="739">
        <f>'HVAC Deemed Table'!I26</f>
        <v>0.88613900000000001</v>
      </c>
      <c r="T31" s="739">
        <v>0</v>
      </c>
      <c r="U31" s="740">
        <f t="shared" si="30"/>
        <v>0</v>
      </c>
      <c r="V31" s="740">
        <f t="shared" si="31"/>
        <v>0</v>
      </c>
      <c r="W31" s="740">
        <f t="shared" si="32"/>
        <v>2.6793550000000002</v>
      </c>
      <c r="X31" s="22">
        <f>'HVAC Deemed Table'!J25</f>
        <v>6</v>
      </c>
      <c r="Y31" s="22">
        <f>'HVAC Deemed Table'!J26</f>
        <v>12</v>
      </c>
      <c r="Z31" s="22">
        <f t="shared" si="44"/>
        <v>18</v>
      </c>
      <c r="AA31" s="17">
        <f>'HVAC Deemed Table'!DG25</f>
        <v>3.7273821117244457</v>
      </c>
      <c r="AB31" s="757">
        <f>'HVAC Deemed Table'!K25</f>
        <v>1080.2617102968206</v>
      </c>
      <c r="AC31" s="846">
        <f t="shared" si="45"/>
        <v>2816.3181701183685</v>
      </c>
      <c r="AD31" s="846">
        <f t="shared" si="35"/>
        <v>1210.230004822856</v>
      </c>
      <c r="AE31" s="191">
        <f>'HVAC Deemed Table'!DI25</f>
        <v>2816.3181701183685</v>
      </c>
      <c r="AF31" s="191"/>
      <c r="AG31" s="191">
        <f>'HVAC Deemed Table'!DI26</f>
        <v>1210.230004822856</v>
      </c>
      <c r="AH31" s="191"/>
      <c r="AI31" s="850" t="str">
        <f t="shared" si="42"/>
        <v>per measure</v>
      </c>
      <c r="AJ31" s="51">
        <f>'HVAC Deemed Table'!L25</f>
        <v>3.6090823970000003</v>
      </c>
      <c r="AK31" s="609"/>
      <c r="AL31" s="609"/>
      <c r="AX31" s="1226" t="str">
        <f t="shared" si="46"/>
        <v>CAC-SEER20_ER1_SF</v>
      </c>
      <c r="AY31" s="1249"/>
      <c r="AZ31" s="1312" t="str">
        <f t="shared" si="47"/>
        <v>351180</v>
      </c>
      <c r="BA31" s="849">
        <f>ROUND((K31*$BC$3)+(K32*$BC$4),2)</f>
        <v>2084.33</v>
      </c>
      <c r="BB31" s="1195"/>
      <c r="BC31" s="849">
        <f>ROUND((M31*$BC$3)+(K32*$BC$4),2)</f>
        <v>948.68</v>
      </c>
      <c r="BD31" s="1195"/>
      <c r="BE31" s="1176"/>
      <c r="BF31" s="1192">
        <f>ROUND(BA31*'CP FACTORS'!$B$9,6)</f>
        <v>1.9747319999999999</v>
      </c>
      <c r="BG31" s="1193">
        <f>ROUND(BB31*'CP FACTORS'!$B$14,6)</f>
        <v>0</v>
      </c>
      <c r="BH31" s="1192">
        <f>ROUND(BC31*'CP FACTORS'!$B$9,6)</f>
        <v>0.89879699999999996</v>
      </c>
      <c r="BI31" s="1194">
        <f>ROUND(BD31*'CP FACTORS'!$B$14,6)</f>
        <v>0</v>
      </c>
      <c r="BJ31" s="1176"/>
      <c r="BK31" s="685">
        <f t="shared" si="38"/>
        <v>2084.33</v>
      </c>
      <c r="BL31" s="1213">
        <f t="shared" si="39"/>
        <v>948.68</v>
      </c>
      <c r="BM31" s="1212">
        <f t="shared" si="40"/>
        <v>1.9747319999999999</v>
      </c>
      <c r="BN31" s="1211">
        <f t="shared" si="41"/>
        <v>0.89879699999999996</v>
      </c>
    </row>
    <row r="32" spans="1:66" x14ac:dyDescent="0.25">
      <c r="A32" s="49" t="str">
        <f t="shared" si="43"/>
        <v>351181</v>
      </c>
      <c r="B32" s="1307" t="str">
        <f>'HVAC Deemed Table'!C27</f>
        <v>351181_2024_12_</v>
      </c>
      <c r="C32" s="1249" t="str">
        <f>'HVAC Deemed Table'!G27</f>
        <v>Cooling RES</v>
      </c>
      <c r="D32" s="1249"/>
      <c r="E32" s="1249"/>
      <c r="F32" s="1249"/>
      <c r="G32" s="1249" t="str">
        <f>'HVAC Deemed Table'!E27</f>
        <v>CAC-SEER20_ROF_SF</v>
      </c>
      <c r="H32" s="18" t="str">
        <f>'HVAC Deemed Table'!D27</f>
        <v>PAYS / IE</v>
      </c>
      <c r="I32" s="737">
        <f t="shared" si="26"/>
        <v>968.73</v>
      </c>
      <c r="J32" s="737">
        <f t="shared" si="27"/>
        <v>0</v>
      </c>
      <c r="K32" s="185">
        <f>'HVAC Deemed Table'!F27</f>
        <v>968.73</v>
      </c>
      <c r="L32" s="185">
        <v>0</v>
      </c>
      <c r="M32" s="185"/>
      <c r="N32" s="185">
        <v>0</v>
      </c>
      <c r="O32" s="738">
        <f t="shared" si="28"/>
        <v>0.91779200000000005</v>
      </c>
      <c r="P32" s="738">
        <f t="shared" si="29"/>
        <v>0</v>
      </c>
      <c r="Q32" s="739">
        <f>'HVAC Deemed Table'!I27</f>
        <v>0.91779200000000005</v>
      </c>
      <c r="R32" s="739">
        <v>0</v>
      </c>
      <c r="S32" s="739"/>
      <c r="T32" s="739">
        <v>0</v>
      </c>
      <c r="U32" s="740">
        <f t="shared" si="30"/>
        <v>0</v>
      </c>
      <c r="V32" s="740">
        <f t="shared" si="31"/>
        <v>0</v>
      </c>
      <c r="W32" s="740">
        <f t="shared" si="32"/>
        <v>0.91779200000000005</v>
      </c>
      <c r="X32" s="22">
        <f>'HVAC Deemed Table'!J27</f>
        <v>18</v>
      </c>
      <c r="Y32" s="22"/>
      <c r="Z32" s="22">
        <f t="shared" si="44"/>
        <v>18</v>
      </c>
      <c r="AA32" s="17">
        <f>'HVAC Deemed Table'!DG27</f>
        <v>2.2042474116877364</v>
      </c>
      <c r="AB32" s="757">
        <f>'HVAC Deemed Table'!K27</f>
        <v>1006.3152685980149</v>
      </c>
      <c r="AC32" s="846">
        <f t="shared" si="45"/>
        <v>2218.1678261490238</v>
      </c>
      <c r="AD32" s="846">
        <f t="shared" si="35"/>
        <v>0</v>
      </c>
      <c r="AE32" s="191">
        <f>'HVAC Deemed Table'!DI27</f>
        <v>2218.1678261490238</v>
      </c>
      <c r="AF32" s="191"/>
      <c r="AG32" s="191"/>
      <c r="AH32" s="191"/>
      <c r="AI32" s="850" t="str">
        <f t="shared" si="42"/>
        <v>per measure</v>
      </c>
      <c r="AJ32" s="51">
        <f>'HVAC Deemed Table'!L27</f>
        <v>3.7737500000000002</v>
      </c>
      <c r="AK32" s="609"/>
      <c r="AL32" s="609"/>
      <c r="AX32" s="1226" t="str">
        <f t="shared" si="46"/>
        <v>CAC-SEER20_ROF_SF</v>
      </c>
      <c r="AY32" s="1249"/>
      <c r="AZ32" s="1312" t="str">
        <f t="shared" si="47"/>
        <v>351181</v>
      </c>
      <c r="BA32" s="849">
        <f>ROUND((K31*$BC$3)+(K32*$BC$4),2)</f>
        <v>2084.33</v>
      </c>
      <c r="BB32" s="1195"/>
      <c r="BC32" s="849">
        <f>ROUND((M31*$BC$3)+(K32*$BC$4),2)</f>
        <v>948.68</v>
      </c>
      <c r="BD32" s="1195"/>
      <c r="BE32" s="1176"/>
      <c r="BF32" s="1192">
        <f>ROUND(BA32*'CP FACTORS'!$B$9,6)</f>
        <v>1.9747319999999999</v>
      </c>
      <c r="BG32" s="1193">
        <f>ROUND(BB32*'CP FACTORS'!$B$14,6)</f>
        <v>0</v>
      </c>
      <c r="BH32" s="1192">
        <f>ROUND(BC32*'CP FACTORS'!$B$9,6)</f>
        <v>0.89879699999999996</v>
      </c>
      <c r="BI32" s="1194">
        <f>ROUND(BD32*'CP FACTORS'!$B$14,6)</f>
        <v>0</v>
      </c>
      <c r="BJ32" s="1176"/>
      <c r="BK32" s="685">
        <f t="shared" si="38"/>
        <v>2084.33</v>
      </c>
      <c r="BL32" s="1213">
        <f t="shared" si="39"/>
        <v>948.68</v>
      </c>
      <c r="BM32" s="1212">
        <f t="shared" si="40"/>
        <v>1.9747319999999999</v>
      </c>
      <c r="BN32" s="1211">
        <f t="shared" si="41"/>
        <v>0.89879699999999996</v>
      </c>
    </row>
    <row r="33" spans="1:66" x14ac:dyDescent="0.25">
      <c r="A33" s="49" t="str">
        <f t="shared" si="43"/>
        <v>351190</v>
      </c>
      <c r="B33" s="1307" t="str">
        <f>'HVAC Deemed Table'!C28</f>
        <v>351190_2024_12_</v>
      </c>
      <c r="C33" s="1249" t="str">
        <f>'HVAC Deemed Table'!G28</f>
        <v>Cooling RES</v>
      </c>
      <c r="D33" s="1249" t="str">
        <f>'HVAC Deemed Table'!G29</f>
        <v>Cooling RES ER2</v>
      </c>
      <c r="E33" s="1249"/>
      <c r="F33" s="1249"/>
      <c r="G33" s="1249" t="str">
        <f>'HVAC Deemed Table'!E28</f>
        <v>CAC-SEER21+_ER1_SF</v>
      </c>
      <c r="H33" s="18" t="str">
        <f>'HVAC Deemed Table'!D28</f>
        <v>PAYS / IE</v>
      </c>
      <c r="I33" s="737">
        <f t="shared" si="26"/>
        <v>2724.14</v>
      </c>
      <c r="J33" s="737">
        <f t="shared" si="27"/>
        <v>1010.53</v>
      </c>
      <c r="K33" s="185">
        <f>'HVAC Deemed Table'!F28</f>
        <v>2724.14</v>
      </c>
      <c r="L33" s="185">
        <v>0</v>
      </c>
      <c r="M33" s="185">
        <f>'HVAC Deemed Table'!F29</f>
        <v>1010.53</v>
      </c>
      <c r="N33" s="185">
        <v>0</v>
      </c>
      <c r="O33" s="738">
        <f t="shared" si="28"/>
        <v>2.5809000000000002</v>
      </c>
      <c r="P33" s="738">
        <f t="shared" si="29"/>
        <v>0.95739399999999997</v>
      </c>
      <c r="Q33" s="739">
        <f>'HVAC Deemed Table'!I28</f>
        <v>2.5809000000000002</v>
      </c>
      <c r="R33" s="739">
        <v>0</v>
      </c>
      <c r="S33" s="739">
        <f>'HVAC Deemed Table'!I29</f>
        <v>0.95739399999999997</v>
      </c>
      <c r="T33" s="739">
        <v>0</v>
      </c>
      <c r="U33" s="740">
        <f t="shared" si="30"/>
        <v>0</v>
      </c>
      <c r="V33" s="740">
        <f t="shared" si="31"/>
        <v>0</v>
      </c>
      <c r="W33" s="740">
        <f t="shared" si="32"/>
        <v>2.5809000000000002</v>
      </c>
      <c r="X33" s="22">
        <f>'HVAC Deemed Table'!J28</f>
        <v>6</v>
      </c>
      <c r="Y33" s="22">
        <f>'HVAC Deemed Table'!J29</f>
        <v>12</v>
      </c>
      <c r="Z33" s="22">
        <f t="shared" si="44"/>
        <v>18</v>
      </c>
      <c r="AA33" s="17">
        <f>'HVAC Deemed Table'!DG28</f>
        <v>3.3685067344796575</v>
      </c>
      <c r="AB33" s="757">
        <f>'HVAC Deemed Table'!K28</f>
        <v>1193.5185947700302</v>
      </c>
      <c r="AC33" s="846">
        <f t="shared" si="45"/>
        <v>2712.8296358444491</v>
      </c>
      <c r="AD33" s="846">
        <f t="shared" si="35"/>
        <v>1307.5457883650949</v>
      </c>
      <c r="AE33" s="191">
        <f>'HVAC Deemed Table'!DI28</f>
        <v>2712.8296358444491</v>
      </c>
      <c r="AF33" s="191"/>
      <c r="AG33" s="191">
        <f>'HVAC Deemed Table'!DI29</f>
        <v>1307.5457883650949</v>
      </c>
      <c r="AH33" s="191"/>
      <c r="AI33" s="850" t="str">
        <f t="shared" si="42"/>
        <v>per measure</v>
      </c>
      <c r="AJ33" s="51">
        <f>'HVAC Deemed Table'!L28</f>
        <v>3.297874149663266</v>
      </c>
      <c r="AK33" s="609"/>
      <c r="AL33" s="609"/>
      <c r="AX33" s="1226" t="str">
        <f t="shared" si="46"/>
        <v>CAC-SEER21+_ER1_SF</v>
      </c>
      <c r="AY33" s="1249"/>
      <c r="AZ33" s="1312" t="str">
        <f t="shared" si="47"/>
        <v>351190</v>
      </c>
      <c r="BA33" s="849">
        <f>ROUND((K33*$BC$3)+(K34*$BC$4),2)</f>
        <v>2061.5100000000002</v>
      </c>
      <c r="BB33" s="1195"/>
      <c r="BC33" s="849">
        <f>ROUND((M33*$BC$3)+(K34*$BC$4),2)</f>
        <v>1033.3499999999999</v>
      </c>
      <c r="BD33" s="1195"/>
      <c r="BE33" s="1176"/>
      <c r="BF33" s="1192">
        <f>ROUND(BA33*'CP FACTORS'!$B$9,6)</f>
        <v>1.953112</v>
      </c>
      <c r="BG33" s="1193">
        <f>ROUND(BB33*'CP FACTORS'!$B$14,6)</f>
        <v>0</v>
      </c>
      <c r="BH33" s="1192">
        <f>ROUND(BC33*'CP FACTORS'!$B$9,6)</f>
        <v>0.97901400000000005</v>
      </c>
      <c r="BI33" s="1194">
        <f>ROUND(BD33*'CP FACTORS'!$B$14,6)</f>
        <v>0</v>
      </c>
      <c r="BJ33" s="1176"/>
      <c r="BK33" s="685">
        <f t="shared" si="38"/>
        <v>2061.5100000000002</v>
      </c>
      <c r="BL33" s="1213">
        <f t="shared" si="39"/>
        <v>1033.3499999999999</v>
      </c>
      <c r="BM33" s="1212">
        <f t="shared" si="40"/>
        <v>1.953112</v>
      </c>
      <c r="BN33" s="1211">
        <f t="shared" si="41"/>
        <v>0.97901400000000005</v>
      </c>
    </row>
    <row r="34" spans="1:66" x14ac:dyDescent="0.25">
      <c r="A34" s="49" t="str">
        <f t="shared" si="43"/>
        <v>351191</v>
      </c>
      <c r="B34" s="1307" t="str">
        <f>'HVAC Deemed Table'!C30</f>
        <v>351191_2024_12_</v>
      </c>
      <c r="C34" s="1249" t="str">
        <f>'HVAC Deemed Table'!G30</f>
        <v>Cooling RES</v>
      </c>
      <c r="D34" s="1249"/>
      <c r="E34" s="1249"/>
      <c r="F34" s="1249"/>
      <c r="G34" s="1249" t="str">
        <f>'HVAC Deemed Table'!E30</f>
        <v>CAC-SEER21+_ROF_SF</v>
      </c>
      <c r="H34" s="18" t="str">
        <f>'HVAC Deemed Table'!D30</f>
        <v>PAYS / IE</v>
      </c>
      <c r="I34" s="737">
        <f t="shared" si="26"/>
        <v>1067.57</v>
      </c>
      <c r="J34" s="737">
        <f t="shared" si="27"/>
        <v>0</v>
      </c>
      <c r="K34" s="185">
        <f>'HVAC Deemed Table'!F30</f>
        <v>1067.57</v>
      </c>
      <c r="L34" s="185">
        <v>0</v>
      </c>
      <c r="M34" s="185"/>
      <c r="N34" s="185">
        <v>0</v>
      </c>
      <c r="O34" s="738">
        <f t="shared" si="28"/>
        <v>1.0114350000000001</v>
      </c>
      <c r="P34" s="738">
        <f t="shared" si="29"/>
        <v>0</v>
      </c>
      <c r="Q34" s="739">
        <f>'HVAC Deemed Table'!I30</f>
        <v>1.0114350000000001</v>
      </c>
      <c r="R34" s="739">
        <v>0</v>
      </c>
      <c r="S34" s="739"/>
      <c r="T34" s="739">
        <v>0</v>
      </c>
      <c r="U34" s="740">
        <f t="shared" si="30"/>
        <v>0</v>
      </c>
      <c r="V34" s="740">
        <f t="shared" si="31"/>
        <v>0</v>
      </c>
      <c r="W34" s="740">
        <f t="shared" si="32"/>
        <v>1.0114350000000001</v>
      </c>
      <c r="X34" s="22">
        <f>'HVAC Deemed Table'!J30</f>
        <v>18</v>
      </c>
      <c r="Y34" s="22"/>
      <c r="Z34" s="22">
        <f t="shared" si="44"/>
        <v>18</v>
      </c>
      <c r="AA34" s="17">
        <f>'HVAC Deemed Table'!DG30</f>
        <v>1.9709553019910859</v>
      </c>
      <c r="AB34" s="757">
        <f>'HVAC Deemed Table'!K30</f>
        <v>1240.2557184934958</v>
      </c>
      <c r="AC34" s="846">
        <f t="shared" si="45"/>
        <v>2444.4885841895193</v>
      </c>
      <c r="AD34" s="846">
        <f t="shared" si="35"/>
        <v>0</v>
      </c>
      <c r="AE34" s="191">
        <f>'HVAC Deemed Table'!DI30</f>
        <v>2444.4885841895193</v>
      </c>
      <c r="AF34" s="191"/>
      <c r="AG34" s="191"/>
      <c r="AH34" s="191"/>
      <c r="AI34" s="850" t="str">
        <f t="shared" si="42"/>
        <v>per measure</v>
      </c>
      <c r="AJ34" s="51">
        <f>'HVAC Deemed Table'!L30</f>
        <v>3.376689189189189</v>
      </c>
      <c r="AK34" s="609"/>
      <c r="AL34" s="609"/>
      <c r="AX34" s="1226" t="str">
        <f t="shared" si="46"/>
        <v>CAC-SEER21+_ROF_SF</v>
      </c>
      <c r="AY34" s="1249"/>
      <c r="AZ34" s="1312" t="str">
        <f t="shared" si="47"/>
        <v>351191</v>
      </c>
      <c r="BA34" s="849">
        <f>ROUND((K33*$BC$3)+(K34*$BC$4),2)</f>
        <v>2061.5100000000002</v>
      </c>
      <c r="BB34" s="1195"/>
      <c r="BC34" s="849">
        <f>ROUND((M33*$BC$3)+(K34*$BC$4),2)</f>
        <v>1033.3499999999999</v>
      </c>
      <c r="BD34" s="1195"/>
      <c r="BE34" s="1176"/>
      <c r="BF34" s="1192">
        <f>ROUND(BA34*'CP FACTORS'!$B$9,6)</f>
        <v>1.953112</v>
      </c>
      <c r="BG34" s="1193">
        <f>ROUND(BB34*'CP FACTORS'!$B$14,6)</f>
        <v>0</v>
      </c>
      <c r="BH34" s="1192">
        <f>ROUND(BC34*'CP FACTORS'!$B$9,6)</f>
        <v>0.97901400000000005</v>
      </c>
      <c r="BI34" s="1194">
        <f>ROUND(BD34*'CP FACTORS'!$B$14,6)</f>
        <v>0</v>
      </c>
      <c r="BJ34" s="1176"/>
      <c r="BK34" s="685">
        <f t="shared" si="38"/>
        <v>2061.5100000000002</v>
      </c>
      <c r="BL34" s="1213">
        <f t="shared" si="39"/>
        <v>1033.3499999999999</v>
      </c>
      <c r="BM34" s="1212">
        <f t="shared" si="40"/>
        <v>1.953112</v>
      </c>
      <c r="BN34" s="1211">
        <f t="shared" si="41"/>
        <v>0.97901400000000005</v>
      </c>
    </row>
    <row r="35" spans="1:66" x14ac:dyDescent="0.25">
      <c r="A35" s="49" t="str">
        <f t="shared" si="43"/>
        <v>351200</v>
      </c>
      <c r="B35" s="1307" t="str">
        <f>'HVAC Deemed Table'!C231</f>
        <v>351200_2024_12_</v>
      </c>
      <c r="C35" s="1249" t="str">
        <f>'HVAC Deemed Table'!G231</f>
        <v>Cooling RES</v>
      </c>
      <c r="D35" s="1249" t="str">
        <f>'HVAC Deemed Table'!G232</f>
        <v>Cooling RES ER2</v>
      </c>
      <c r="E35" s="1249"/>
      <c r="F35" s="1249"/>
      <c r="G35" s="1249" t="str">
        <f>'HVAC Deemed Table'!E231</f>
        <v>Mini/MultiSplitAC_ER1_SF</v>
      </c>
      <c r="H35" s="18" t="str">
        <f>'HVAC Deemed Table'!D231</f>
        <v>PAYS / IE</v>
      </c>
      <c r="I35" s="737">
        <f t="shared" si="26"/>
        <v>1227.25</v>
      </c>
      <c r="J35" s="737">
        <f t="shared" si="27"/>
        <v>322.8</v>
      </c>
      <c r="K35" s="185">
        <f>'HVAC Deemed Table'!F231</f>
        <v>1227.25</v>
      </c>
      <c r="L35" s="185"/>
      <c r="M35" s="185">
        <f>'HVAC Deemed Table'!F232</f>
        <v>322.8</v>
      </c>
      <c r="N35" s="185">
        <v>0</v>
      </c>
      <c r="O35" s="738">
        <f t="shared" si="28"/>
        <v>1.1627190000000001</v>
      </c>
      <c r="P35" s="738">
        <f t="shared" si="29"/>
        <v>0.30582700000000002</v>
      </c>
      <c r="Q35" s="739">
        <f>'HVAC Deemed Table'!I231</f>
        <v>1.1627190000000001</v>
      </c>
      <c r="R35" s="739"/>
      <c r="S35" s="739">
        <f>'HVAC Deemed Table'!I232</f>
        <v>0.30582700000000002</v>
      </c>
      <c r="T35" s="739"/>
      <c r="U35" s="740">
        <f t="shared" si="30"/>
        <v>0</v>
      </c>
      <c r="V35" s="740">
        <f t="shared" si="31"/>
        <v>0</v>
      </c>
      <c r="W35" s="740">
        <f t="shared" si="32"/>
        <v>1.1627190000000001</v>
      </c>
      <c r="X35" s="22">
        <f>'HVAC Deemed Table'!J231</f>
        <v>6</v>
      </c>
      <c r="Y35" s="22">
        <f>'HVAC Deemed Table'!J232</f>
        <v>12</v>
      </c>
      <c r="Z35" s="22">
        <f t="shared" si="44"/>
        <v>18</v>
      </c>
      <c r="AA35" s="17">
        <f>'HVAC Deemed Table'!DG231</f>
        <v>2.397703376394094</v>
      </c>
      <c r="AB35" s="757">
        <f>'HVAC Deemed Table'!K231</f>
        <v>683.91788099116957</v>
      </c>
      <c r="AC35" s="846">
        <f t="shared" si="45"/>
        <v>1222.1545774409906</v>
      </c>
      <c r="AD35" s="846">
        <f t="shared" si="35"/>
        <v>417.6776349878308</v>
      </c>
      <c r="AE35" s="191">
        <f>'HVAC Deemed Table'!DI231</f>
        <v>1222.1545774409906</v>
      </c>
      <c r="AF35" s="191"/>
      <c r="AG35" s="191">
        <f>'HVAC Deemed Table'!DI232</f>
        <v>417.6776349878308</v>
      </c>
      <c r="AH35" s="191">
        <v>0</v>
      </c>
      <c r="AI35" s="850" t="str">
        <f t="shared" si="42"/>
        <v>per measure</v>
      </c>
      <c r="AJ35" s="51">
        <f>'HVAC Deemed Table'!L231</f>
        <v>1.75</v>
      </c>
      <c r="AK35" s="609"/>
      <c r="AL35" s="609"/>
      <c r="AX35" s="1226" t="str">
        <f t="shared" si="46"/>
        <v>Mini/MultiSplitAC_ER1_SF</v>
      </c>
      <c r="AY35" s="1249"/>
      <c r="AZ35" s="1312" t="str">
        <f t="shared" si="47"/>
        <v>351200</v>
      </c>
      <c r="BA35" s="849">
        <f>ROUND((K35*$BC$3)+(K36*$BC$4),2)</f>
        <v>832.46</v>
      </c>
      <c r="BB35" s="1195"/>
      <c r="BC35" s="849">
        <f>ROUND((M35*$BC$3)+(K36*$BC$4),2)</f>
        <v>289.79000000000002</v>
      </c>
      <c r="BD35" s="1195"/>
      <c r="BE35" s="1176"/>
      <c r="BF35" s="1192">
        <f>ROUND(BA35*'CP FACTORS'!$B$9,6)</f>
        <v>0.78868799999999994</v>
      </c>
      <c r="BG35" s="1193">
        <f>ROUND(BB35*'CP FACTORS'!$B$14,6)</f>
        <v>0</v>
      </c>
      <c r="BH35" s="1192">
        <f>ROUND(BC35*'CP FACTORS'!$B$9,6)</f>
        <v>0.27455200000000002</v>
      </c>
      <c r="BI35" s="1194">
        <f>ROUND(BD35*'CP FACTORS'!$B$14,6)</f>
        <v>0</v>
      </c>
      <c r="BJ35" s="1176"/>
      <c r="BK35" s="685">
        <f t="shared" si="38"/>
        <v>832.46</v>
      </c>
      <c r="BL35" s="1213">
        <f t="shared" si="39"/>
        <v>289.79000000000002</v>
      </c>
      <c r="BM35" s="1212">
        <f t="shared" si="40"/>
        <v>0.78868799999999994</v>
      </c>
      <c r="BN35" s="1211">
        <f t="shared" si="41"/>
        <v>0.27455200000000002</v>
      </c>
    </row>
    <row r="36" spans="1:66" x14ac:dyDescent="0.25">
      <c r="A36" s="49" t="str">
        <f t="shared" si="43"/>
        <v>351250</v>
      </c>
      <c r="B36" s="1307" t="str">
        <f>'HVAC Deemed Table'!C233</f>
        <v>351250_2024_12_</v>
      </c>
      <c r="C36" s="1249" t="str">
        <f>'HVAC Deemed Table'!G233</f>
        <v>Cooling RES</v>
      </c>
      <c r="D36" s="1249"/>
      <c r="E36" s="1249"/>
      <c r="F36" s="1249"/>
      <c r="G36" s="1249" t="str">
        <f>'HVAC Deemed Table'!E233</f>
        <v>Mini/MultiSplitAC_ROF_SF</v>
      </c>
      <c r="H36" s="18" t="str">
        <f>'HVAC Deemed Table'!D233</f>
        <v>PAYS / IE</v>
      </c>
      <c r="I36" s="737">
        <f t="shared" si="26"/>
        <v>240.28</v>
      </c>
      <c r="J36" s="737">
        <f t="shared" si="27"/>
        <v>0</v>
      </c>
      <c r="K36" s="185">
        <f>'HVAC Deemed Table'!F233</f>
        <v>240.28</v>
      </c>
      <c r="L36" s="185"/>
      <c r="M36" s="185"/>
      <c r="N36" s="185">
        <v>0</v>
      </c>
      <c r="O36" s="738">
        <f t="shared" si="28"/>
        <v>0.22764599999999999</v>
      </c>
      <c r="P36" s="738">
        <f t="shared" si="29"/>
        <v>0</v>
      </c>
      <c r="Q36" s="739">
        <f>'HVAC Deemed Table'!I233</f>
        <v>0.22764599999999999</v>
      </c>
      <c r="R36" s="739"/>
      <c r="S36" s="739"/>
      <c r="T36" s="739"/>
      <c r="U36" s="740">
        <f t="shared" si="30"/>
        <v>0</v>
      </c>
      <c r="V36" s="740">
        <f t="shared" si="31"/>
        <v>0</v>
      </c>
      <c r="W36" s="740">
        <f t="shared" si="32"/>
        <v>0.22764599999999999</v>
      </c>
      <c r="X36" s="22">
        <f>'HVAC Deemed Table'!J233</f>
        <v>18</v>
      </c>
      <c r="Y36" s="22"/>
      <c r="Z36" s="22">
        <f t="shared" si="44"/>
        <v>18</v>
      </c>
      <c r="AA36" s="17">
        <f>'HVAC Deemed Table'!DG233</f>
        <v>1.0119161965158152</v>
      </c>
      <c r="AB36" s="757">
        <f>'HVAC Deemed Table'!K233</f>
        <v>543.7067546700647</v>
      </c>
      <c r="AC36" s="846">
        <f t="shared" si="45"/>
        <v>550.18567120568935</v>
      </c>
      <c r="AD36" s="846">
        <f t="shared" si="35"/>
        <v>0</v>
      </c>
      <c r="AE36" s="191">
        <f>'HVAC Deemed Table'!DI233</f>
        <v>550.18567120568935</v>
      </c>
      <c r="AF36" s="191"/>
      <c r="AG36" s="191"/>
      <c r="AH36" s="191">
        <v>0</v>
      </c>
      <c r="AI36" s="850" t="str">
        <f t="shared" si="42"/>
        <v>per measure</v>
      </c>
      <c r="AJ36" s="51">
        <f>'HVAC Deemed Table'!L233</f>
        <v>1.0555555555555556</v>
      </c>
      <c r="AK36" s="609"/>
      <c r="AL36" s="609"/>
      <c r="AX36" s="1226" t="str">
        <f t="shared" si="46"/>
        <v>Mini/MultiSplitAC_ROF_SF</v>
      </c>
      <c r="AY36" s="1249"/>
      <c r="AZ36" s="1312" t="str">
        <f t="shared" si="47"/>
        <v>351250</v>
      </c>
      <c r="BA36" s="849">
        <f>ROUND((K35*$BC$3)+(K36*$BC$4),2)</f>
        <v>832.46</v>
      </c>
      <c r="BB36" s="1195"/>
      <c r="BC36" s="849">
        <f>ROUND((M35*$BC$3)+(K36*$BC$4),2)</f>
        <v>289.79000000000002</v>
      </c>
      <c r="BD36" s="1195"/>
      <c r="BE36" s="1176"/>
      <c r="BF36" s="1192">
        <f>ROUND(BA36*'CP FACTORS'!$B$9,6)</f>
        <v>0.78868799999999994</v>
      </c>
      <c r="BG36" s="1193">
        <f>ROUND(BB36*'CP FACTORS'!$B$14,6)</f>
        <v>0</v>
      </c>
      <c r="BH36" s="1192">
        <f>ROUND(BC36*'CP FACTORS'!$B$9,6)</f>
        <v>0.27455200000000002</v>
      </c>
      <c r="BI36" s="1194">
        <f>ROUND(BD36*'CP FACTORS'!$B$14,6)</f>
        <v>0</v>
      </c>
      <c r="BJ36" s="1176"/>
      <c r="BK36" s="685">
        <f t="shared" si="38"/>
        <v>832.46</v>
      </c>
      <c r="BL36" s="1213">
        <f t="shared" si="39"/>
        <v>289.79000000000002</v>
      </c>
      <c r="BM36" s="1212">
        <f t="shared" si="40"/>
        <v>0.78868799999999994</v>
      </c>
      <c r="BN36" s="1211">
        <f t="shared" si="41"/>
        <v>0.27455200000000002</v>
      </c>
    </row>
    <row r="37" spans="1:66" x14ac:dyDescent="0.25">
      <c r="A37" s="49" t="str">
        <f t="shared" si="43"/>
        <v>351300</v>
      </c>
      <c r="B37" s="1307" t="str">
        <f>'HVAC Deemed Table'!C234</f>
        <v>351300_2024_12_</v>
      </c>
      <c r="C37" s="1249" t="str">
        <f>'HVAC Deemed Table'!G234</f>
        <v>Cooling RES</v>
      </c>
      <c r="D37" s="1249" t="str">
        <f>'HVAC Deemed Table'!G235</f>
        <v>Heating RES</v>
      </c>
      <c r="E37" s="1249"/>
      <c r="F37" s="1249"/>
      <c r="G37" s="1249" t="str">
        <f>'HVAC Deemed Table'!E234</f>
        <v>Mini/MultiSplitASHP_ROF_SF_NC</v>
      </c>
      <c r="H37" s="18" t="str">
        <f>'HVAC Deemed Table'!D234</f>
        <v>PAYS / IE</v>
      </c>
      <c r="I37" s="737">
        <f t="shared" si="26"/>
        <v>1168.58</v>
      </c>
      <c r="J37" s="737">
        <f t="shared" si="27"/>
        <v>0</v>
      </c>
      <c r="K37" s="185">
        <f>'HVAC Deemed Table'!F234</f>
        <v>251.78</v>
      </c>
      <c r="L37" s="185">
        <f>'HVAC Deemed Table'!F235</f>
        <v>916.8</v>
      </c>
      <c r="M37" s="185">
        <v>0</v>
      </c>
      <c r="N37" s="185">
        <v>0</v>
      </c>
      <c r="O37" s="738">
        <f t="shared" si="28"/>
        <v>0.238541</v>
      </c>
      <c r="P37" s="738">
        <f t="shared" si="29"/>
        <v>0</v>
      </c>
      <c r="Q37" s="739">
        <f>'HVAC Deemed Table'!I234</f>
        <v>0.238541</v>
      </c>
      <c r="R37" s="739">
        <f>'HVAC Deemed Table'!I235</f>
        <v>0</v>
      </c>
      <c r="S37" s="739"/>
      <c r="T37" s="739"/>
      <c r="U37" s="740">
        <f t="shared" si="30"/>
        <v>0</v>
      </c>
      <c r="V37" s="740">
        <f t="shared" si="31"/>
        <v>0</v>
      </c>
      <c r="W37" s="740">
        <f t="shared" si="32"/>
        <v>0.238541</v>
      </c>
      <c r="X37" s="22">
        <f>'HVAC Deemed Table'!J234</f>
        <v>18</v>
      </c>
      <c r="Y37" s="22"/>
      <c r="Z37" s="22">
        <f t="shared" si="44"/>
        <v>18</v>
      </c>
      <c r="AA37" s="17">
        <f>'HVAC Deemed Table'!DG234</f>
        <v>2.0823125947678669</v>
      </c>
      <c r="AB37" s="757">
        <f>'HVAC Deemed Table'!K234</f>
        <v>543.7067546700647</v>
      </c>
      <c r="AC37" s="846">
        <f t="shared" si="45"/>
        <v>1132.1674231098384</v>
      </c>
      <c r="AD37" s="846">
        <f t="shared" si="35"/>
        <v>0</v>
      </c>
      <c r="AE37" s="191">
        <f>'HVAC Deemed Table'!DI234</f>
        <v>576.5180135515584</v>
      </c>
      <c r="AF37" s="191">
        <f>'HVAC Deemed Table'!DI235</f>
        <v>555.64940955828001</v>
      </c>
      <c r="AG37" s="191">
        <v>0</v>
      </c>
      <c r="AH37" s="191">
        <v>0</v>
      </c>
      <c r="AI37" s="850" t="str">
        <f t="shared" si="42"/>
        <v>per measure</v>
      </c>
      <c r="AJ37" s="51">
        <f>'HVAC Deemed Table'!L234</f>
        <v>1.3282828282828283</v>
      </c>
      <c r="AK37" s="609"/>
      <c r="AL37" s="609"/>
      <c r="AX37" s="1226" t="str">
        <f t="shared" si="46"/>
        <v>Mini/MultiSplitASHP_ROF_SF_NC</v>
      </c>
      <c r="AY37" s="1249"/>
      <c r="AZ37" s="1312" t="str">
        <f t="shared" si="47"/>
        <v>351300</v>
      </c>
      <c r="BA37" s="1198">
        <f>BA38</f>
        <v>795.42</v>
      </c>
      <c r="BB37" s="1198">
        <f>BB38</f>
        <v>1240.51</v>
      </c>
      <c r="BC37" s="1198">
        <f>BC38</f>
        <v>583.36</v>
      </c>
      <c r="BD37" s="1198">
        <f>BD38</f>
        <v>980.18</v>
      </c>
      <c r="BE37" s="1176"/>
      <c r="BF37" s="1192">
        <f>ROUND(BA37*'CP FACTORS'!$B$9,6)</f>
        <v>0.75359500000000001</v>
      </c>
      <c r="BG37" s="1193">
        <f>ROUND(BB37*'CP FACTORS'!$B$14,6)</f>
        <v>0</v>
      </c>
      <c r="BH37" s="1192">
        <f>ROUND(BC37*'CP FACTORS'!$B$9,6)</f>
        <v>0.55268600000000001</v>
      </c>
      <c r="BI37" s="1194">
        <f>ROUND(BD37*'CP FACTORS'!$B$14,6)</f>
        <v>0</v>
      </c>
      <c r="BJ37" s="1176"/>
      <c r="BK37" s="685">
        <f t="shared" si="38"/>
        <v>2035.9299999999998</v>
      </c>
      <c r="BL37" s="1213">
        <f t="shared" si="39"/>
        <v>1563.54</v>
      </c>
      <c r="BM37" s="1212">
        <f t="shared" si="40"/>
        <v>0.75359500000000001</v>
      </c>
      <c r="BN37" s="1211">
        <f t="shared" si="41"/>
        <v>0.55268600000000001</v>
      </c>
    </row>
    <row r="38" spans="1:66" x14ac:dyDescent="0.25">
      <c r="A38" s="49" t="str">
        <f t="shared" si="43"/>
        <v>351350</v>
      </c>
      <c r="B38" s="1307" t="str">
        <f>'HVAC Deemed Table'!C236</f>
        <v>351350_2024_12_</v>
      </c>
      <c r="C38" s="1249" t="str">
        <f>'HVAC Deemed Table'!G236</f>
        <v>Cooling RES</v>
      </c>
      <c r="D38" s="1249" t="str">
        <f>'HVAC Deemed Table'!G237</f>
        <v>Heating RES</v>
      </c>
      <c r="E38" s="1249"/>
      <c r="F38" s="1249"/>
      <c r="G38" s="1249" t="str">
        <f>'HVAC Deemed Table'!E236</f>
        <v>Mini/MultiSplitASHP_ROF_SF</v>
      </c>
      <c r="H38" s="18" t="str">
        <f>'HVAC Deemed Table'!D236</f>
        <v>PAYS / IE</v>
      </c>
      <c r="I38" s="737">
        <f t="shared" si="26"/>
        <v>1168.58</v>
      </c>
      <c r="J38" s="737">
        <f t="shared" si="27"/>
        <v>0</v>
      </c>
      <c r="K38" s="185">
        <f>'HVAC Deemed Table'!F236</f>
        <v>251.78</v>
      </c>
      <c r="L38" s="185">
        <f>'HVAC Deemed Table'!F237</f>
        <v>916.8</v>
      </c>
      <c r="M38" s="185">
        <v>0</v>
      </c>
      <c r="N38" s="185">
        <v>0</v>
      </c>
      <c r="O38" s="738">
        <f t="shared" si="28"/>
        <v>0.238541</v>
      </c>
      <c r="P38" s="738">
        <f t="shared" si="29"/>
        <v>0</v>
      </c>
      <c r="Q38" s="739">
        <f>'HVAC Deemed Table'!I236</f>
        <v>0.238541</v>
      </c>
      <c r="R38" s="739">
        <f>'HVAC Deemed Table'!I237</f>
        <v>0</v>
      </c>
      <c r="S38" s="739"/>
      <c r="T38" s="739"/>
      <c r="U38" s="740">
        <f t="shared" si="30"/>
        <v>0</v>
      </c>
      <c r="V38" s="740">
        <f t="shared" si="31"/>
        <v>0</v>
      </c>
      <c r="W38" s="740">
        <f t="shared" si="32"/>
        <v>0.238541</v>
      </c>
      <c r="X38" s="22">
        <f>'HVAC Deemed Table'!J236</f>
        <v>18</v>
      </c>
      <c r="Y38" s="22"/>
      <c r="Z38" s="22">
        <f t="shared" si="44"/>
        <v>18</v>
      </c>
      <c r="AA38" s="17">
        <f>'HVAC Deemed Table'!DG236</f>
        <v>2.0823125947678669</v>
      </c>
      <c r="AB38" s="757">
        <f>'HVAC Deemed Table'!K236</f>
        <v>543.7067546700647</v>
      </c>
      <c r="AC38" s="846">
        <f t="shared" si="45"/>
        <v>1132.1674231098384</v>
      </c>
      <c r="AD38" s="846">
        <f t="shared" si="35"/>
        <v>0</v>
      </c>
      <c r="AE38" s="191">
        <f>'HVAC Deemed Table'!DI236</f>
        <v>576.5180135515584</v>
      </c>
      <c r="AF38" s="191">
        <f>'HVAC Deemed Table'!DI237</f>
        <v>555.64940955828001</v>
      </c>
      <c r="AG38" s="191">
        <v>0</v>
      </c>
      <c r="AH38" s="191">
        <v>0</v>
      </c>
      <c r="AI38" s="850" t="str">
        <f t="shared" si="42"/>
        <v>per measure</v>
      </c>
      <c r="AJ38" s="51">
        <f>'HVAC Deemed Table'!L236</f>
        <v>1.3282828282828283</v>
      </c>
      <c r="AK38" s="609"/>
      <c r="AL38" s="609"/>
      <c r="AX38" s="1226" t="str">
        <f t="shared" si="46"/>
        <v>Mini/MultiSplitASHP_ROF_SF</v>
      </c>
      <c r="AY38" s="1249"/>
      <c r="AZ38" s="1312" t="str">
        <f t="shared" si="47"/>
        <v>351350</v>
      </c>
      <c r="BA38" s="685">
        <f>BA43</f>
        <v>795.42</v>
      </c>
      <c r="BB38" s="685">
        <f>BB43</f>
        <v>1240.51</v>
      </c>
      <c r="BC38" s="685">
        <f>BC43</f>
        <v>583.36</v>
      </c>
      <c r="BD38" s="685">
        <f>BD43</f>
        <v>980.18</v>
      </c>
      <c r="BE38" s="1176"/>
      <c r="BF38" s="1192">
        <f>ROUND(BA38*'CP FACTORS'!$B$9,6)</f>
        <v>0.75359500000000001</v>
      </c>
      <c r="BG38" s="1193">
        <f>ROUND(BB38*'CP FACTORS'!$B$14,6)</f>
        <v>0</v>
      </c>
      <c r="BH38" s="1192">
        <f>ROUND(BC38*'CP FACTORS'!$B$9,6)</f>
        <v>0.55268600000000001</v>
      </c>
      <c r="BI38" s="1194">
        <f>ROUND(BD38*'CP FACTORS'!$B$14,6)</f>
        <v>0</v>
      </c>
      <c r="BJ38" s="1176"/>
      <c r="BK38" s="685">
        <f t="shared" si="38"/>
        <v>2035.9299999999998</v>
      </c>
      <c r="BL38" s="1213">
        <f t="shared" si="39"/>
        <v>1563.54</v>
      </c>
      <c r="BM38" s="1212">
        <f t="shared" si="40"/>
        <v>0.75359500000000001</v>
      </c>
      <c r="BN38" s="1211">
        <f t="shared" si="41"/>
        <v>0.55268600000000001</v>
      </c>
    </row>
    <row r="39" spans="1:66" x14ac:dyDescent="0.25">
      <c r="A39" s="49" t="str">
        <f t="shared" si="43"/>
        <v>351400</v>
      </c>
      <c r="B39" s="1307" t="str">
        <f>'HVAC Deemed Table'!C238</f>
        <v>351400_2024_12_</v>
      </c>
      <c r="C39" s="1249" t="str">
        <f>'HVAC Deemed Table'!G238</f>
        <v>Cooling RES</v>
      </c>
      <c r="D39" s="1249" t="str">
        <f>'HVAC Deemed Table'!G239</f>
        <v>Heating RES</v>
      </c>
      <c r="E39" s="1249" t="str">
        <f>'HVAC Deemed Table'!G240</f>
        <v>Cooling RES ER2</v>
      </c>
      <c r="F39" s="1249" t="str">
        <f>'HVAC Deemed Table'!G241</f>
        <v>Heating RES ER2</v>
      </c>
      <c r="G39" s="1249" t="str">
        <f>'HVAC Deemed Table'!E238</f>
        <v>Mini/MultiSplitASHP-Replace_CAC_ElectricHeat_ER1_SF</v>
      </c>
      <c r="H39" s="18" t="str">
        <f>'HVAC Deemed Table'!D238</f>
        <v>PAYS / IE</v>
      </c>
      <c r="I39" s="737">
        <f t="shared" si="26"/>
        <v>5898.35</v>
      </c>
      <c r="J39" s="737">
        <f t="shared" si="27"/>
        <v>5170.45</v>
      </c>
      <c r="K39" s="185">
        <f>'HVAC Deemed Table'!F238</f>
        <v>1157.8399999999999</v>
      </c>
      <c r="L39" s="185">
        <f>'HVAC Deemed Table'!F239</f>
        <v>4740.51</v>
      </c>
      <c r="M39" s="185">
        <f>'HVAC Deemed Table'!F240</f>
        <v>429.94</v>
      </c>
      <c r="N39" s="185">
        <f>'HVAC Deemed Table'!F241</f>
        <v>4740.51</v>
      </c>
      <c r="O39" s="738">
        <f t="shared" si="28"/>
        <v>1.096959</v>
      </c>
      <c r="P39" s="738">
        <f t="shared" si="29"/>
        <v>0.407333</v>
      </c>
      <c r="Q39" s="739">
        <f>'HVAC Deemed Table'!I238</f>
        <v>1.096959</v>
      </c>
      <c r="R39" s="739">
        <f>'HVAC Deemed Table'!I239</f>
        <v>0</v>
      </c>
      <c r="S39" s="739">
        <f>'HVAC Deemed Table'!I240</f>
        <v>0.407333</v>
      </c>
      <c r="T39" s="739">
        <f>'HVAC Deemed Table'!I241</f>
        <v>0</v>
      </c>
      <c r="U39" s="740">
        <f t="shared" si="30"/>
        <v>0</v>
      </c>
      <c r="V39" s="740">
        <f t="shared" si="31"/>
        <v>0</v>
      </c>
      <c r="W39" s="740">
        <f t="shared" si="32"/>
        <v>1.096959</v>
      </c>
      <c r="X39" s="22">
        <f>'HVAC Deemed Table'!J238</f>
        <v>6</v>
      </c>
      <c r="Y39" s="22">
        <f>'HVAC Deemed Table'!J240</f>
        <v>12</v>
      </c>
      <c r="Z39" s="22">
        <f t="shared" si="44"/>
        <v>18</v>
      </c>
      <c r="AA39" s="17">
        <f>'HVAC Deemed Table'!DG238</f>
        <v>7.3143219896259657</v>
      </c>
      <c r="AB39" s="757">
        <f>'HVAC Deemed Table'!K238</f>
        <v>626.5030303030303</v>
      </c>
      <c r="AC39" s="846">
        <f t="shared" si="45"/>
        <v>2424.3370946237897</v>
      </c>
      <c r="AD39" s="846">
        <f t="shared" si="35"/>
        <v>2158.1077964889673</v>
      </c>
      <c r="AE39" s="191">
        <f>'HVAC Deemed Table'!DI238</f>
        <v>1153.0327610057254</v>
      </c>
      <c r="AF39" s="191">
        <f>'HVAC Deemed Table'!DI239</f>
        <v>1271.3043336180642</v>
      </c>
      <c r="AG39" s="191">
        <f>'HVAC Deemed Table'!DI240</f>
        <v>556.30830974804201</v>
      </c>
      <c r="AH39" s="191">
        <f>'HVAC Deemed Table'!DI241</f>
        <v>1601.7994867409254</v>
      </c>
      <c r="AI39" s="850" t="str">
        <f t="shared" si="42"/>
        <v>per measure</v>
      </c>
      <c r="AJ39" s="51">
        <f>'HVAC Deemed Table'!L238</f>
        <v>1.9242424242424243</v>
      </c>
      <c r="AK39" s="609"/>
      <c r="AL39" s="609"/>
      <c r="AX39" s="1226" t="str">
        <f t="shared" si="46"/>
        <v>Mini/MultiSplitASHP-Replace_CAC_ElectricHeat_ER1_SF</v>
      </c>
      <c r="AY39" s="1249"/>
      <c r="AZ39" s="1312" t="str">
        <f t="shared" si="47"/>
        <v>351400</v>
      </c>
      <c r="BA39" s="1196">
        <f>ROUND((K39*$BC$3)+(K41*$BC$4),2)</f>
        <v>814.43</v>
      </c>
      <c r="BB39" s="1196">
        <f>ROUND((L39*$BC$3)+(L41*$BC$4),2)</f>
        <v>4501.71</v>
      </c>
      <c r="BC39" s="1196">
        <f>ROUND((M39*$BC$3)+(K41*$BC$4),2)</f>
        <v>377.69</v>
      </c>
      <c r="BD39" s="1196">
        <f>ROUND((N39*$BC$3)+(L41*$BC$4),2)</f>
        <v>4501.71</v>
      </c>
      <c r="BE39" s="1176"/>
      <c r="BF39" s="1192">
        <f>ROUND(BA39*'CP FACTORS'!$B$9,6)</f>
        <v>0.77160600000000001</v>
      </c>
      <c r="BG39" s="1193">
        <f>ROUND(BB39*'CP FACTORS'!$B$14,6)</f>
        <v>0</v>
      </c>
      <c r="BH39" s="1192">
        <f>ROUND(BC39*'CP FACTORS'!$B$9,6)</f>
        <v>0.35782999999999998</v>
      </c>
      <c r="BI39" s="1194">
        <f>ROUND(BD39*'CP FACTORS'!$B$14,6)</f>
        <v>0</v>
      </c>
      <c r="BJ39" s="1176"/>
      <c r="BK39" s="685">
        <f t="shared" si="38"/>
        <v>5316.14</v>
      </c>
      <c r="BL39" s="1213">
        <f t="shared" si="39"/>
        <v>4879.3999999999996</v>
      </c>
      <c r="BM39" s="1212">
        <f t="shared" si="40"/>
        <v>0.77160600000000001</v>
      </c>
      <c r="BN39" s="1211">
        <f t="shared" si="41"/>
        <v>0.35782999999999998</v>
      </c>
    </row>
    <row r="40" spans="1:66" x14ac:dyDescent="0.25">
      <c r="A40" s="49" t="str">
        <f t="shared" si="43"/>
        <v>351401</v>
      </c>
      <c r="B40" s="1307" t="str">
        <f>'HVAC Deemed Table'!C242</f>
        <v>351401_2024_12_</v>
      </c>
      <c r="C40" s="830" t="str">
        <f>'HVAC Deemed Table'!G242</f>
        <v>Cooling RES</v>
      </c>
      <c r="D40" s="830" t="str">
        <f>'HVAC Deemed Table'!G243</f>
        <v>Heating RES</v>
      </c>
      <c r="E40" s="1249" t="str">
        <f>'HVAC Deemed Table'!G244</f>
        <v>Cooling RES ER2</v>
      </c>
      <c r="F40" s="830" t="str">
        <f>'HVAC Deemed Table'!G245</f>
        <v>Heating RES ER2</v>
      </c>
      <c r="G40" s="1249" t="str">
        <f>'HVAC Deemed Table'!E242</f>
        <v>Mini/MultiSplitASHP-Replace_CAC_NonElectricHeat_ER1_SF</v>
      </c>
      <c r="H40" s="18" t="str">
        <f>'HVAC Deemed Table'!D242</f>
        <v>PAYS / IE</v>
      </c>
      <c r="I40" s="737">
        <f t="shared" si="26"/>
        <v>1157.8399999999999</v>
      </c>
      <c r="J40" s="737">
        <f t="shared" si="27"/>
        <v>429.94</v>
      </c>
      <c r="K40" s="185">
        <f>'HVAC Deemed Table'!F242</f>
        <v>1157.8399999999999</v>
      </c>
      <c r="L40" s="185">
        <f>'HVAC Deemed Table'!F243</f>
        <v>0</v>
      </c>
      <c r="M40" s="185">
        <f>'HVAC Deemed Table'!F244</f>
        <v>429.94</v>
      </c>
      <c r="N40" s="185">
        <f>'HVAC Deemed Table'!F245</f>
        <v>0</v>
      </c>
      <c r="O40" s="738">
        <f t="shared" si="28"/>
        <v>1.096959</v>
      </c>
      <c r="P40" s="738">
        <f t="shared" si="29"/>
        <v>0.407333</v>
      </c>
      <c r="Q40" s="739">
        <f>'HVAC Deemed Table'!I242</f>
        <v>1.096959</v>
      </c>
      <c r="R40" s="739">
        <f>'HVAC Deemed Table'!I243</f>
        <v>0</v>
      </c>
      <c r="S40" s="739">
        <f>'HVAC Deemed Table'!I244</f>
        <v>0.407333</v>
      </c>
      <c r="T40" s="739">
        <f>'HVAC Deemed Table'!I245</f>
        <v>0</v>
      </c>
      <c r="U40" s="740">
        <f t="shared" si="30"/>
        <v>0</v>
      </c>
      <c r="V40" s="740">
        <f t="shared" si="31"/>
        <v>0</v>
      </c>
      <c r="W40" s="740">
        <f t="shared" si="32"/>
        <v>1.096959</v>
      </c>
      <c r="X40" s="22">
        <f>'HVAC Deemed Table'!J242</f>
        <v>6</v>
      </c>
      <c r="Y40" s="22">
        <f>'HVAC Deemed Table'!J244</f>
        <v>12</v>
      </c>
      <c r="Z40" s="22">
        <f t="shared" si="44"/>
        <v>18</v>
      </c>
      <c r="AA40" s="17">
        <f>'HVAC Deemed Table'!DG242</f>
        <v>19.020230024557058</v>
      </c>
      <c r="AB40" s="757">
        <f>'HVAC Deemed Table'!K242</f>
        <v>89.869631889142951</v>
      </c>
      <c r="AC40" s="846">
        <f t="shared" si="45"/>
        <v>1153.0327610057254</v>
      </c>
      <c r="AD40" s="846">
        <f t="shared" si="35"/>
        <v>556.30830974804201</v>
      </c>
      <c r="AE40" s="191">
        <f>'HVAC Deemed Table'!DI242</f>
        <v>1153.0327610057254</v>
      </c>
      <c r="AF40" s="191">
        <f>'HVAC Deemed Table'!DI243</f>
        <v>0</v>
      </c>
      <c r="AG40" s="191">
        <f>'HVAC Deemed Table'!DI244</f>
        <v>556.30830974804201</v>
      </c>
      <c r="AH40" s="191">
        <f>'HVAC Deemed Table'!DI245</f>
        <v>0</v>
      </c>
      <c r="AI40" s="850" t="str">
        <f t="shared" si="42"/>
        <v>per measure</v>
      </c>
      <c r="AJ40" s="46">
        <f>'HVAC Deemed Table'!L242</f>
        <v>1.924242424242425</v>
      </c>
      <c r="AK40" s="609"/>
      <c r="AL40" s="609"/>
      <c r="AX40" s="1226" t="str">
        <f t="shared" si="46"/>
        <v>Mini/MultiSplitASHP-Replace_CAC_NonElectricHeat_ER1_SF</v>
      </c>
      <c r="AY40" s="1249"/>
      <c r="AZ40" s="1312" t="str">
        <f t="shared" si="47"/>
        <v>351401</v>
      </c>
      <c r="BA40" s="1197">
        <f>ROUND((K40*$BC$3)+(K42*$BC$4),2)</f>
        <v>814.43</v>
      </c>
      <c r="BB40" s="1197">
        <f>ROUND((L40*$BC$3)+(L42*$BC$4),2)</f>
        <v>0</v>
      </c>
      <c r="BC40" s="1197">
        <f>ROUND((M40*$BC$3)+(K42*$BC$4),2)</f>
        <v>377.69</v>
      </c>
      <c r="BD40" s="1197">
        <f>ROUND((N40*$BC$3)+(L42*$BC$4),2)</f>
        <v>0</v>
      </c>
      <c r="BE40" s="1176"/>
      <c r="BF40" s="1192">
        <f>ROUND(BA40*'CP FACTORS'!$B$9,6)</f>
        <v>0.77160600000000001</v>
      </c>
      <c r="BG40" s="1193">
        <f>ROUND(BB40*'CP FACTORS'!$B$14,6)</f>
        <v>0</v>
      </c>
      <c r="BH40" s="1192">
        <f>ROUND(BC40*'CP FACTORS'!$B$9,6)</f>
        <v>0.35782999999999998</v>
      </c>
      <c r="BI40" s="1194">
        <f>ROUND(BD40*'CP FACTORS'!$B$14,6)</f>
        <v>0</v>
      </c>
      <c r="BJ40" s="1176"/>
      <c r="BK40" s="685">
        <f t="shared" si="38"/>
        <v>814.43</v>
      </c>
      <c r="BL40" s="1213">
        <f t="shared" si="39"/>
        <v>377.69</v>
      </c>
      <c r="BM40" s="1212">
        <f t="shared" si="40"/>
        <v>0.77160600000000001</v>
      </c>
      <c r="BN40" s="1211">
        <f t="shared" si="41"/>
        <v>0.35782999999999998</v>
      </c>
    </row>
    <row r="41" spans="1:66" x14ac:dyDescent="0.25">
      <c r="A41" s="49" t="str">
        <f t="shared" si="43"/>
        <v>351450</v>
      </c>
      <c r="B41" s="1307" t="str">
        <f>'HVAC Deemed Table'!C246</f>
        <v>351450_2024_12_</v>
      </c>
      <c r="C41" s="1249" t="str">
        <f>'HVAC Deemed Table'!G246</f>
        <v>Cooling RES</v>
      </c>
      <c r="D41" s="1249" t="str">
        <f>'HVAC Deemed Table'!G247</f>
        <v>Heating RES</v>
      </c>
      <c r="E41" s="1249"/>
      <c r="F41" s="1249"/>
      <c r="G41" s="1249" t="str">
        <f>'HVAC Deemed Table'!E246</f>
        <v>Mini/MultiSplitASHP-Replace_CAC_ElectricHeat_ROF_SF</v>
      </c>
      <c r="H41" s="18" t="str">
        <f>'HVAC Deemed Table'!D246</f>
        <v>PAYS / IE</v>
      </c>
      <c r="I41" s="737">
        <f t="shared" si="26"/>
        <v>4442.83</v>
      </c>
      <c r="J41" s="737">
        <f t="shared" si="27"/>
        <v>0</v>
      </c>
      <c r="K41" s="185">
        <f>'HVAC Deemed Table'!F246</f>
        <v>299.32</v>
      </c>
      <c r="L41" s="185">
        <f>'HVAC Deemed Table'!F247</f>
        <v>4143.51</v>
      </c>
      <c r="M41" s="185"/>
      <c r="N41" s="185"/>
      <c r="O41" s="738">
        <f t="shared" si="28"/>
        <v>0.28358100000000003</v>
      </c>
      <c r="P41" s="738">
        <f t="shared" si="29"/>
        <v>0</v>
      </c>
      <c r="Q41" s="739">
        <f>'HVAC Deemed Table'!I246</f>
        <v>0.28358100000000003</v>
      </c>
      <c r="R41" s="739">
        <f>'HVAC Deemed Table'!I247</f>
        <v>0</v>
      </c>
      <c r="S41" s="739"/>
      <c r="T41" s="739"/>
      <c r="U41" s="740">
        <f t="shared" si="30"/>
        <v>0</v>
      </c>
      <c r="V41" s="740">
        <f t="shared" si="31"/>
        <v>0</v>
      </c>
      <c r="W41" s="740">
        <f t="shared" si="32"/>
        <v>0.28358100000000003</v>
      </c>
      <c r="X41" s="22">
        <f>'HVAC Deemed Table'!J246</f>
        <v>18</v>
      </c>
      <c r="Y41" s="22"/>
      <c r="Z41" s="22">
        <f t="shared" si="44"/>
        <v>18</v>
      </c>
      <c r="AA41" s="17">
        <f>'HVAC Deemed Table'!DG246</f>
        <v>5.8793655640780518</v>
      </c>
      <c r="AB41" s="757">
        <f>'HVAC Deemed Table'!K246</f>
        <v>543.7067546700647</v>
      </c>
      <c r="AC41" s="846">
        <f t="shared" si="45"/>
        <v>3196.6507703638117</v>
      </c>
      <c r="AD41" s="846">
        <f t="shared" si="35"/>
        <v>0</v>
      </c>
      <c r="AE41" s="191">
        <f>'HVAC Deemed Table'!DI246</f>
        <v>685.37362704048167</v>
      </c>
      <c r="AF41" s="191">
        <f>'HVAC Deemed Table'!DI247</f>
        <v>2511.2771433233302</v>
      </c>
      <c r="AG41" s="191">
        <v>0</v>
      </c>
      <c r="AH41" s="191">
        <v>0</v>
      </c>
      <c r="AI41" s="850" t="str">
        <f t="shared" si="42"/>
        <v>per measure</v>
      </c>
      <c r="AJ41" s="51">
        <f>'HVAC Deemed Table'!L246</f>
        <v>1.3282828282828283</v>
      </c>
      <c r="AK41" s="609"/>
      <c r="AL41" s="609"/>
      <c r="AX41" s="1226" t="str">
        <f t="shared" si="46"/>
        <v>Mini/MultiSplitASHP-Replace_CAC_ElectricHeat_ROF_SF</v>
      </c>
      <c r="AY41" s="1249"/>
      <c r="AZ41" s="1312" t="str">
        <f t="shared" si="47"/>
        <v>351450</v>
      </c>
      <c r="BA41" s="1196">
        <f>ROUND((K39*$BC$3)+(K41*$BC$4),2)</f>
        <v>814.43</v>
      </c>
      <c r="BB41" s="1196">
        <f>ROUND((L39*$BC$3)+(L41*$BC$4),2)</f>
        <v>4501.71</v>
      </c>
      <c r="BC41" s="1196">
        <f>ROUND((M39*$BC$3)+(K41*$BC$4),2)</f>
        <v>377.69</v>
      </c>
      <c r="BD41" s="1196">
        <f>ROUND((N39*$BC$3)+(L41*$BC$4),2)</f>
        <v>4501.71</v>
      </c>
      <c r="BE41" s="1176"/>
      <c r="BF41" s="1192">
        <f>ROUND(BA41*'CP FACTORS'!$B$9,6)</f>
        <v>0.77160600000000001</v>
      </c>
      <c r="BG41" s="1193">
        <f>ROUND(BB41*'CP FACTORS'!$B$14,6)</f>
        <v>0</v>
      </c>
      <c r="BH41" s="1192">
        <f>ROUND(BC41*'CP FACTORS'!$B$9,6)</f>
        <v>0.35782999999999998</v>
      </c>
      <c r="BI41" s="1194">
        <f>ROUND(BD41*'CP FACTORS'!$B$14,6)</f>
        <v>0</v>
      </c>
      <c r="BJ41" s="1176"/>
      <c r="BK41" s="685">
        <f t="shared" si="38"/>
        <v>5316.14</v>
      </c>
      <c r="BL41" s="1213">
        <f t="shared" si="39"/>
        <v>4879.3999999999996</v>
      </c>
      <c r="BM41" s="1212">
        <f t="shared" si="40"/>
        <v>0.77160600000000001</v>
      </c>
      <c r="BN41" s="1211">
        <f t="shared" si="41"/>
        <v>0.35782999999999998</v>
      </c>
    </row>
    <row r="42" spans="1:66" s="39" customFormat="1" x14ac:dyDescent="0.25">
      <c r="A42" s="49" t="str">
        <f t="shared" si="43"/>
        <v>351451</v>
      </c>
      <c r="B42" s="1307" t="str">
        <f>'HVAC Deemed Table'!C248</f>
        <v>351451_2024_12_</v>
      </c>
      <c r="C42" s="830" t="str">
        <f>'HVAC Deemed Table'!G248</f>
        <v>Cooling RES</v>
      </c>
      <c r="D42" s="830" t="str">
        <f>'HVAC Deemed Table'!G249</f>
        <v>Heating RES</v>
      </c>
      <c r="E42" s="1249"/>
      <c r="F42" s="1249"/>
      <c r="G42" s="1249" t="str">
        <f>'HVAC Deemed Table'!E248</f>
        <v>Mini/MultiSplitASHP-Replace_CAC_NonElectricHeat_ROF_SF</v>
      </c>
      <c r="H42" s="18" t="str">
        <f>'HVAC Deemed Table'!D248</f>
        <v>PAYS / IE</v>
      </c>
      <c r="I42" s="737">
        <f t="shared" si="26"/>
        <v>299.32</v>
      </c>
      <c r="J42" s="737">
        <f t="shared" si="27"/>
        <v>0</v>
      </c>
      <c r="K42" s="185">
        <f>'HVAC Deemed Table'!F248</f>
        <v>299.32</v>
      </c>
      <c r="L42" s="185">
        <f>'HVAC Deemed Table'!F249</f>
        <v>0</v>
      </c>
      <c r="M42" s="185"/>
      <c r="N42" s="185"/>
      <c r="O42" s="738">
        <f t="shared" si="28"/>
        <v>0.28358100000000003</v>
      </c>
      <c r="P42" s="738">
        <f t="shared" si="29"/>
        <v>0</v>
      </c>
      <c r="Q42" s="739">
        <f>'HVAC Deemed Table'!I248</f>
        <v>0.28358100000000003</v>
      </c>
      <c r="R42" s="739">
        <f>'HVAC Deemed Table'!I249</f>
        <v>0</v>
      </c>
      <c r="S42" s="739"/>
      <c r="T42" s="739"/>
      <c r="U42" s="740">
        <f t="shared" si="30"/>
        <v>0</v>
      </c>
      <c r="V42" s="740">
        <f t="shared" si="31"/>
        <v>0</v>
      </c>
      <c r="W42" s="740">
        <f t="shared" si="32"/>
        <v>0.28358100000000003</v>
      </c>
      <c r="X42" s="22">
        <f>'HVAC Deemed Table'!J248</f>
        <v>18</v>
      </c>
      <c r="Y42" s="22"/>
      <c r="Z42" s="22">
        <f t="shared" si="44"/>
        <v>18</v>
      </c>
      <c r="AA42" s="17">
        <f>'HVAC Deemed Table'!DG248</f>
        <v>18.710552835718158</v>
      </c>
      <c r="AB42" s="757">
        <f>'HVAC Deemed Table'!K248</f>
        <v>36.630324772238367</v>
      </c>
      <c r="AC42" s="846">
        <f t="shared" si="45"/>
        <v>685.37362704048167</v>
      </c>
      <c r="AD42" s="846">
        <f t="shared" si="35"/>
        <v>0</v>
      </c>
      <c r="AE42" s="191">
        <f>'HVAC Deemed Table'!DI248</f>
        <v>685.37362704048167</v>
      </c>
      <c r="AF42" s="191">
        <f>'HVAC Deemed Table'!DI249</f>
        <v>0</v>
      </c>
      <c r="AG42" s="191">
        <v>0</v>
      </c>
      <c r="AH42" s="191">
        <v>0</v>
      </c>
      <c r="AI42" s="850" t="str">
        <f t="shared" si="42"/>
        <v>per measure</v>
      </c>
      <c r="AJ42" s="46">
        <f>'HVAC Deemed Table'!L248</f>
        <v>1.3282828282828283</v>
      </c>
      <c r="AK42" s="861"/>
      <c r="AL42" s="861"/>
      <c r="AM42"/>
      <c r="AN42"/>
      <c r="AO42"/>
      <c r="AP42"/>
      <c r="AQ42"/>
      <c r="AR42"/>
      <c r="AS42"/>
      <c r="AT42"/>
      <c r="AU42"/>
      <c r="AV42"/>
      <c r="AW42"/>
      <c r="AX42" s="1226" t="str">
        <f t="shared" si="46"/>
        <v>Mini/MultiSplitASHP-Replace_CAC_NonElectricHeat_ROF_SF</v>
      </c>
      <c r="AY42" s="1249"/>
      <c r="AZ42" s="1312" t="str">
        <f t="shared" si="47"/>
        <v>351451</v>
      </c>
      <c r="BA42" s="1197">
        <f>ROUND((K40*$BC$3)+(K42*$BC$4),2)</f>
        <v>814.43</v>
      </c>
      <c r="BB42" s="1197">
        <f>ROUND((L40*$BC$3)+(L42*$BC$4),2)</f>
        <v>0</v>
      </c>
      <c r="BC42" s="1197">
        <f>ROUND((M40*$BC$3)+(K42*$BC$4),2)</f>
        <v>377.69</v>
      </c>
      <c r="BD42" s="1197">
        <f>ROUND((N40*$BC$3)+(L42*$BC$4),2)</f>
        <v>0</v>
      </c>
      <c r="BE42" s="1177"/>
      <c r="BF42" s="1192">
        <f>ROUND(BA42*'CP FACTORS'!$B$9,6)</f>
        <v>0.77160600000000001</v>
      </c>
      <c r="BG42" s="1193">
        <f>ROUND(BB42*'CP FACTORS'!$B$14,6)</f>
        <v>0</v>
      </c>
      <c r="BH42" s="1192">
        <f>ROUND(BC42*'CP FACTORS'!$B$9,6)</f>
        <v>0.35782999999999998</v>
      </c>
      <c r="BI42" s="1194">
        <f>ROUND(BD42*'CP FACTORS'!$B$14,6)</f>
        <v>0</v>
      </c>
      <c r="BJ42" s="1176"/>
      <c r="BK42" s="685">
        <f t="shared" si="38"/>
        <v>814.43</v>
      </c>
      <c r="BL42" s="1213">
        <f t="shared" si="39"/>
        <v>377.69</v>
      </c>
      <c r="BM42" s="1212">
        <f t="shared" si="40"/>
        <v>0.77160600000000001</v>
      </c>
      <c r="BN42" s="1211">
        <f t="shared" si="41"/>
        <v>0.35782999999999998</v>
      </c>
    </row>
    <row r="43" spans="1:66" x14ac:dyDescent="0.25">
      <c r="A43" s="49" t="str">
        <f t="shared" si="43"/>
        <v>351500</v>
      </c>
      <c r="B43" s="1307" t="str">
        <f>'HVAC Deemed Table'!C250</f>
        <v>351500_2024_12_</v>
      </c>
      <c r="C43" s="1249" t="str">
        <f>'HVAC Deemed Table'!G250</f>
        <v>Cooling RES</v>
      </c>
      <c r="D43" s="1249" t="str">
        <f>'HVAC Deemed Table'!G251</f>
        <v>Heating RES</v>
      </c>
      <c r="E43" s="1249" t="str">
        <f>'HVAC Deemed Table'!G252</f>
        <v>Cooling RES ER2</v>
      </c>
      <c r="F43" s="1249" t="str">
        <f>'HVAC Deemed Table'!G253</f>
        <v>Heating RES ER2</v>
      </c>
      <c r="G43" s="1249" t="str">
        <f>'HVAC Deemed Table'!E250</f>
        <v>Mini/MultiSplitASHP_ER1_SF</v>
      </c>
      <c r="H43" s="18" t="str">
        <f>'HVAC Deemed Table'!D250</f>
        <v>PAYS / IE</v>
      </c>
      <c r="I43" s="737">
        <f t="shared" si="26"/>
        <v>2614.16</v>
      </c>
      <c r="J43" s="737">
        <f t="shared" si="27"/>
        <v>1383.5</v>
      </c>
      <c r="K43" s="185">
        <f>'HVAC Deemed Table'!F250</f>
        <v>1157.8399999999999</v>
      </c>
      <c r="L43" s="185">
        <f>'HVAC Deemed Table'!F251</f>
        <v>1456.32</v>
      </c>
      <c r="M43" s="185">
        <f>'HVAC Deemed Table'!F252</f>
        <v>361.07</v>
      </c>
      <c r="N43" s="185">
        <f>'HVAC Deemed Table'!F253</f>
        <v>1022.43</v>
      </c>
      <c r="O43" s="738">
        <f t="shared" si="28"/>
        <v>1.096959</v>
      </c>
      <c r="P43" s="738">
        <f t="shared" si="29"/>
        <v>0.342084</v>
      </c>
      <c r="Q43" s="739">
        <f>'HVAC Deemed Table'!I250</f>
        <v>1.096959</v>
      </c>
      <c r="R43" s="739">
        <f>'HVAC Deemed Table'!I251</f>
        <v>0</v>
      </c>
      <c r="S43" s="739">
        <f>'HVAC Deemed Table'!I252</f>
        <v>0.342084</v>
      </c>
      <c r="T43" s="739">
        <f>'HVAC Deemed Table'!I253</f>
        <v>0</v>
      </c>
      <c r="U43" s="740">
        <f t="shared" si="30"/>
        <v>0</v>
      </c>
      <c r="V43" s="740">
        <f t="shared" si="31"/>
        <v>0</v>
      </c>
      <c r="W43" s="740">
        <f t="shared" si="32"/>
        <v>1.096959</v>
      </c>
      <c r="X43" s="22">
        <f>'HVAC Deemed Table'!J250</f>
        <v>6</v>
      </c>
      <c r="Y43" s="22">
        <f>'HVAC Deemed Table'!J252</f>
        <v>12</v>
      </c>
      <c r="Z43" s="22">
        <f t="shared" si="44"/>
        <v>18</v>
      </c>
      <c r="AA43" s="17">
        <f>'HVAC Deemed Table'!DG250</f>
        <v>3.4452351798525354</v>
      </c>
      <c r="AB43" s="757">
        <f>'HVAC Deemed Table'!K250</f>
        <v>683.91788099116957</v>
      </c>
      <c r="AC43" s="846">
        <f t="shared" si="45"/>
        <v>1543.5869265142169</v>
      </c>
      <c r="AD43" s="846">
        <f t="shared" si="35"/>
        <v>812.6710172067601</v>
      </c>
      <c r="AE43" s="191">
        <f>'HVAC Deemed Table'!DI250</f>
        <v>1153.0327610057254</v>
      </c>
      <c r="AF43" s="191">
        <f>'HVAC Deemed Table'!DI251</f>
        <v>390.55416550849151</v>
      </c>
      <c r="AG43" s="191">
        <f>'HVAC Deemed Table'!DI252</f>
        <v>467.1959840924909</v>
      </c>
      <c r="AH43" s="191">
        <f>'HVAC Deemed Table'!DI253</f>
        <v>345.47503311426919</v>
      </c>
      <c r="AI43" s="850" t="str">
        <f t="shared" si="42"/>
        <v>per measure</v>
      </c>
      <c r="AJ43" s="51">
        <f>'HVAC Deemed Table'!L250</f>
        <v>1.9242424242424243</v>
      </c>
      <c r="AK43" s="609"/>
      <c r="AL43" s="609"/>
      <c r="AX43" s="1226" t="str">
        <f t="shared" si="46"/>
        <v>Mini/MultiSplitASHP_ER1_SF</v>
      </c>
      <c r="AY43" s="1249"/>
      <c r="AZ43" s="1312" t="str">
        <f t="shared" si="47"/>
        <v>351500</v>
      </c>
      <c r="BA43" s="1199">
        <f>ROUND((K43*$BC$3)+(K38*$BC$4),2)</f>
        <v>795.42</v>
      </c>
      <c r="BB43" s="1199">
        <f>ROUND((L43*$BC$3)+(L38*$BC$4),2)</f>
        <v>1240.51</v>
      </c>
      <c r="BC43" s="1199">
        <f>ROUND((M43*$BC$3)+(L38*$BC$4),2)</f>
        <v>583.36</v>
      </c>
      <c r="BD43" s="1199">
        <f>ROUND((N43*$BC$3)+(L38*$BC$4),2)</f>
        <v>980.18</v>
      </c>
      <c r="BE43" s="1176"/>
      <c r="BF43" s="1192">
        <f>ROUND(BA43*'CP FACTORS'!$B$9,6)</f>
        <v>0.75359500000000001</v>
      </c>
      <c r="BG43" s="1193">
        <f>ROUND(BB43*'CP FACTORS'!$B$14,6)</f>
        <v>0</v>
      </c>
      <c r="BH43" s="1192">
        <f>ROUND(BC43*'CP FACTORS'!$B$9,6)</f>
        <v>0.55268600000000001</v>
      </c>
      <c r="BI43" s="1194">
        <f>ROUND(BD43*'CP FACTORS'!$B$14,6)</f>
        <v>0</v>
      </c>
      <c r="BJ43" s="1176"/>
      <c r="BK43" s="685">
        <f t="shared" si="38"/>
        <v>2035.9299999999998</v>
      </c>
      <c r="BL43" s="1213">
        <f t="shared" si="39"/>
        <v>1563.54</v>
      </c>
      <c r="BM43" s="1212">
        <f t="shared" si="40"/>
        <v>0.75359500000000001</v>
      </c>
      <c r="BN43" s="1211">
        <f t="shared" si="41"/>
        <v>0.55268600000000001</v>
      </c>
    </row>
    <row r="44" spans="1:66" x14ac:dyDescent="0.25">
      <c r="A44" s="49" t="str">
        <f t="shared" si="43"/>
        <v>351550</v>
      </c>
      <c r="B44" s="1307" t="str">
        <f>'HVAC Deemed Table'!C254</f>
        <v>351550_2024_12_</v>
      </c>
      <c r="C44" s="1249" t="str">
        <f>'HVAC Deemed Table'!G254</f>
        <v>Cooling RES</v>
      </c>
      <c r="D44" s="1249" t="str">
        <f>'HVAC Deemed Table'!G255</f>
        <v>Cooling RES ER2</v>
      </c>
      <c r="E44" s="1249"/>
      <c r="F44" s="1249"/>
      <c r="G44" s="1249" t="str">
        <f>'HVAC Deemed Table'!E254</f>
        <v>Mini/MultiSplitAC_ER1_MF</v>
      </c>
      <c r="H44" s="18" t="str">
        <f>'HVAC Deemed Table'!D254</f>
        <v>IE</v>
      </c>
      <c r="I44" s="737">
        <f t="shared" si="26"/>
        <v>1402.57</v>
      </c>
      <c r="J44" s="737">
        <f t="shared" si="27"/>
        <v>368.91</v>
      </c>
      <c r="K44" s="185">
        <f>'HVAC Deemed Table'!F254</f>
        <v>1402.57</v>
      </c>
      <c r="L44" s="185"/>
      <c r="M44" s="185">
        <f>'HVAC Deemed Table'!F255</f>
        <v>368.91</v>
      </c>
      <c r="N44" s="185"/>
      <c r="O44" s="738">
        <f t="shared" si="28"/>
        <v>1.3288199999999999</v>
      </c>
      <c r="P44" s="738">
        <f t="shared" si="29"/>
        <v>0.34951199999999999</v>
      </c>
      <c r="Q44" s="739">
        <f>'HVAC Deemed Table'!I254</f>
        <v>1.3288199999999999</v>
      </c>
      <c r="R44" s="739"/>
      <c r="S44" s="739">
        <f>'HVAC Deemed Table'!I255</f>
        <v>0.34951199999999999</v>
      </c>
      <c r="T44" s="739"/>
      <c r="U44" s="740">
        <f t="shared" si="30"/>
        <v>0</v>
      </c>
      <c r="V44" s="740">
        <f t="shared" si="31"/>
        <v>0</v>
      </c>
      <c r="W44" s="740">
        <f t="shared" si="32"/>
        <v>1.3288199999999999</v>
      </c>
      <c r="X44" s="22">
        <f>'HVAC Deemed Table'!J254</f>
        <v>6</v>
      </c>
      <c r="Y44" s="22">
        <f>'HVAC Deemed Table'!J255</f>
        <v>12</v>
      </c>
      <c r="Z44" s="22">
        <f t="shared" si="44"/>
        <v>18</v>
      </c>
      <c r="AA44" s="17" t="e">
        <f>'HVAC Deemed Table'!DG254</f>
        <v>#DIV/0!</v>
      </c>
      <c r="AB44" s="757">
        <f>'HVAC Deemed Table'!K254</f>
        <v>0</v>
      </c>
      <c r="AC44" s="846">
        <f t="shared" si="45"/>
        <v>1396.7466658638502</v>
      </c>
      <c r="AD44" s="846">
        <f t="shared" si="35"/>
        <v>477.34032318265389</v>
      </c>
      <c r="AE44" s="191">
        <f>'HVAC Deemed Table'!DI254</f>
        <v>1396.7466658638502</v>
      </c>
      <c r="AF44" s="191"/>
      <c r="AG44" s="191">
        <f>'HVAC Deemed Table'!DI255</f>
        <v>477.34032318265389</v>
      </c>
      <c r="AH44" s="191"/>
      <c r="AI44" s="850" t="str">
        <f t="shared" si="42"/>
        <v>per measure</v>
      </c>
      <c r="AJ44" s="51">
        <f>'HVAC Deemed Table'!L254</f>
        <v>1.75</v>
      </c>
      <c r="AK44" s="609"/>
      <c r="AL44" s="609"/>
      <c r="AP44" s="1995"/>
      <c r="AQ44" s="1995"/>
      <c r="AR44" s="1995"/>
      <c r="AS44" s="1995"/>
      <c r="AT44" s="1995"/>
      <c r="AU44" s="1995"/>
      <c r="AV44" s="1995"/>
      <c r="AW44" s="1995"/>
      <c r="AX44" s="1226" t="str">
        <f t="shared" si="46"/>
        <v>Mini/MultiSplitAC_ER1_MF</v>
      </c>
      <c r="AY44" s="1249"/>
      <c r="AZ44" s="1312" t="str">
        <f t="shared" si="47"/>
        <v>351550</v>
      </c>
      <c r="BA44" s="2127">
        <f>ROUND((K44*$BC$3)+(M44*$BC$4),2)</f>
        <v>989.11</v>
      </c>
      <c r="BB44" s="2127">
        <f>ROUND((L44*$BC$3)+(N44*$BC$4),2)</f>
        <v>0</v>
      </c>
      <c r="BC44" s="2127">
        <f>ROUND((M44*$BC$3)+(M44*$BC$4),2)</f>
        <v>368.91</v>
      </c>
      <c r="BD44" s="2127">
        <f>ROUND((N44*$BC$3)+(N44*$BC$4),2)</f>
        <v>0</v>
      </c>
      <c r="BE44" s="1176"/>
      <c r="BF44" s="1192">
        <f>ROUND(BA44*'CP FACTORS'!$B$9,6)</f>
        <v>0.93710099999999996</v>
      </c>
      <c r="BG44" s="1193">
        <f>ROUND(BB44*'CP FACTORS'!$B$14,6)</f>
        <v>0</v>
      </c>
      <c r="BH44" s="1192">
        <f>ROUND(BC44*'CP FACTORS'!$B$9,6)</f>
        <v>0.34951199999999999</v>
      </c>
      <c r="BI44" s="1194">
        <f>ROUND(BD44*'CP FACTORS'!$B$14,6)</f>
        <v>0</v>
      </c>
      <c r="BJ44" s="1176"/>
      <c r="BK44" s="685">
        <f t="shared" si="38"/>
        <v>989.11</v>
      </c>
      <c r="BL44" s="1213">
        <f t="shared" si="39"/>
        <v>368.91</v>
      </c>
      <c r="BM44" s="1212">
        <f t="shared" si="40"/>
        <v>0.93710099999999996</v>
      </c>
      <c r="BN44" s="1211">
        <f t="shared" si="41"/>
        <v>0.34951199999999999</v>
      </c>
    </row>
    <row r="45" spans="1:66" x14ac:dyDescent="0.25">
      <c r="A45" s="49" t="str">
        <f t="shared" si="43"/>
        <v>351900</v>
      </c>
      <c r="B45" s="1307" t="str">
        <f>'HVAC Deemed Table'!C448</f>
        <v>351900_2024_12_</v>
      </c>
      <c r="C45" s="830" t="str">
        <f>'HVAC Deemed Table'!G448</f>
        <v>Cooling Res</v>
      </c>
      <c r="D45" s="830" t="str">
        <f>'HVAC Deemed Table'!G449</f>
        <v>Heating Res</v>
      </c>
      <c r="E45" s="1249"/>
      <c r="F45" s="1249"/>
      <c r="G45" s="1249" t="str">
        <f>'HVAC Deemed Table'!E448</f>
        <v>DFHP-SEER19-ROF_MF</v>
      </c>
      <c r="H45" s="18" t="str">
        <f>'HVAC Deemed Table'!D448</f>
        <v>PAYS / IE</v>
      </c>
      <c r="I45" s="737">
        <f t="shared" ref="I45:I73" si="48">K45+L45</f>
        <v>944.42000000000007</v>
      </c>
      <c r="J45" s="737">
        <f t="shared" ref="J45:J73" si="49">M45+N45</f>
        <v>0</v>
      </c>
      <c r="K45" s="185">
        <f>'HVAC Deemed Table'!F448</f>
        <v>398.66</v>
      </c>
      <c r="L45" s="185">
        <f>'HVAC Deemed Table'!F449</f>
        <v>545.76</v>
      </c>
      <c r="M45" s="185"/>
      <c r="N45" s="185"/>
      <c r="O45" s="738">
        <f t="shared" ref="O45:O73" si="50">Q45+R45</f>
        <v>0.37769799999999998</v>
      </c>
      <c r="P45" s="738">
        <f t="shared" ref="P45:P73" si="51">S45+T45</f>
        <v>0</v>
      </c>
      <c r="Q45" s="739">
        <f>'HVAC Deemed Table'!I448</f>
        <v>0.37769799999999998</v>
      </c>
      <c r="R45" s="739">
        <f>'HVAC Deemed Table'!I449</f>
        <v>0</v>
      </c>
      <c r="S45" s="739"/>
      <c r="T45" s="739"/>
      <c r="U45" s="740">
        <f t="shared" ref="U45:U72" si="52">IFERROR(IF(V45+W45&gt;0,0,IF(Z45&gt;0,O45,0)),0)</f>
        <v>0</v>
      </c>
      <c r="V45" s="740">
        <f t="shared" ref="V45:V72" si="53">IF(W45&gt;0,0,IF(Z45&gt;9,O45,0))</f>
        <v>0</v>
      </c>
      <c r="W45" s="740">
        <f t="shared" ref="W45:W72" si="54">IF(Z45&gt;14,O45,0)</f>
        <v>0.37769799999999998</v>
      </c>
      <c r="X45" s="22">
        <f>'HVAC Deemed Table'!J448</f>
        <v>18</v>
      </c>
      <c r="Y45" s="22"/>
      <c r="Z45" s="22">
        <f t="shared" si="44"/>
        <v>18</v>
      </c>
      <c r="AA45" s="17">
        <f>'HVAC Deemed Table'!DG448</f>
        <v>1.15042615353807</v>
      </c>
      <c r="AB45" s="757">
        <f>'HVAC Deemed Table'!K448</f>
        <v>1081</v>
      </c>
      <c r="AC45" s="846">
        <f t="shared" si="45"/>
        <v>1243.6106719746535</v>
      </c>
      <c r="AD45" s="846">
        <f t="shared" ref="AD45:AD70" si="55">AG45+AH45</f>
        <v>0</v>
      </c>
      <c r="AE45" s="191">
        <f>'HVAC Deemed Table'!DI448</f>
        <v>912.83926953079788</v>
      </c>
      <c r="AF45" s="191">
        <f>'HVAC Deemed Table'!DI449</f>
        <v>330.77140244385566</v>
      </c>
      <c r="AG45" s="191"/>
      <c r="AH45" s="191"/>
      <c r="AI45" s="850" t="str">
        <f t="shared" si="42"/>
        <v>per measure</v>
      </c>
      <c r="AJ45" s="45">
        <f>'HVAC Deemed Table'!L448</f>
        <v>3.4</v>
      </c>
      <c r="AK45" s="609"/>
      <c r="AL45" s="609"/>
      <c r="AX45" s="1226" t="str">
        <f t="shared" si="46"/>
        <v>DFHP-SEER19-ROF_MF</v>
      </c>
      <c r="AY45" s="1249"/>
      <c r="AZ45" s="1312" t="str">
        <f t="shared" si="47"/>
        <v>351900</v>
      </c>
      <c r="BA45" s="1198">
        <f t="shared" ref="BA45:BD47" si="56">K45</f>
        <v>398.66</v>
      </c>
      <c r="BB45" s="1198">
        <f t="shared" si="56"/>
        <v>545.76</v>
      </c>
      <c r="BC45" s="1198">
        <f t="shared" si="56"/>
        <v>0</v>
      </c>
      <c r="BD45" s="1198">
        <f t="shared" si="56"/>
        <v>0</v>
      </c>
      <c r="BE45" s="1176"/>
      <c r="BF45" s="1192">
        <f>ROUND(BA45*'CP FACTORS'!$B$9,6)</f>
        <v>0.37769799999999998</v>
      </c>
      <c r="BG45" s="1193">
        <f>ROUND(BB45*'CP FACTORS'!$B$14,6)</f>
        <v>0</v>
      </c>
      <c r="BH45" s="1192">
        <f>ROUND(BC45*'CP FACTORS'!$B$9,6)</f>
        <v>0</v>
      </c>
      <c r="BI45" s="1194">
        <f>ROUND(BD45*'CP FACTORS'!$B$14,6)</f>
        <v>0</v>
      </c>
      <c r="BJ45" s="1176"/>
      <c r="BK45" s="685">
        <f t="shared" ref="BK45:BK74" si="57">BA45+BB45</f>
        <v>944.42000000000007</v>
      </c>
      <c r="BL45" s="1213">
        <f t="shared" ref="BL45:BL74" si="58">BC45+BD45</f>
        <v>0</v>
      </c>
      <c r="BM45" s="1212">
        <f t="shared" ref="BM45:BM74" si="59">BF45+BG45</f>
        <v>0.37769799999999998</v>
      </c>
      <c r="BN45" s="1211">
        <f t="shared" ref="BN45:BN74" si="60">BH45+BI45</f>
        <v>0</v>
      </c>
    </row>
    <row r="46" spans="1:66" x14ac:dyDescent="0.25">
      <c r="A46" s="49" t="str">
        <f t="shared" si="43"/>
        <v>351950</v>
      </c>
      <c r="B46" s="1307" t="str">
        <f>'HVAC Deemed Table'!C450</f>
        <v>351950_2024_12_</v>
      </c>
      <c r="C46" s="830" t="str">
        <f>'HVAC Deemed Table'!G450</f>
        <v>Cooling Res</v>
      </c>
      <c r="D46" s="830" t="str">
        <f>'HVAC Deemed Table'!G451</f>
        <v>Heating Res</v>
      </c>
      <c r="E46" s="1249"/>
      <c r="F46" s="1249"/>
      <c r="G46" s="1249" t="str">
        <f>'HVAC Deemed Table'!E450</f>
        <v>DFHP-SEER20-ROF_MF</v>
      </c>
      <c r="H46" s="18" t="str">
        <f>'HVAC Deemed Table'!D450</f>
        <v>PAYS / IE</v>
      </c>
      <c r="I46" s="737">
        <f t="shared" si="48"/>
        <v>1470.46</v>
      </c>
      <c r="J46" s="737">
        <f t="shared" si="49"/>
        <v>0</v>
      </c>
      <c r="K46" s="185">
        <f>'HVAC Deemed Table'!F450</f>
        <v>594.4</v>
      </c>
      <c r="L46" s="185">
        <f>'HVAC Deemed Table'!F451</f>
        <v>876.06</v>
      </c>
      <c r="M46" s="185"/>
      <c r="N46" s="185"/>
      <c r="O46" s="738">
        <f t="shared" si="50"/>
        <v>0.56314500000000001</v>
      </c>
      <c r="P46" s="738">
        <f t="shared" si="51"/>
        <v>0</v>
      </c>
      <c r="Q46" s="739">
        <f>'HVAC Deemed Table'!I450</f>
        <v>0.56314500000000001</v>
      </c>
      <c r="R46" s="739">
        <f>'HVAC Deemed Table'!I451</f>
        <v>0</v>
      </c>
      <c r="S46" s="739"/>
      <c r="T46" s="739"/>
      <c r="U46" s="740">
        <f t="shared" si="52"/>
        <v>0</v>
      </c>
      <c r="V46" s="740">
        <f t="shared" si="53"/>
        <v>0</v>
      </c>
      <c r="W46" s="740">
        <f t="shared" si="54"/>
        <v>0.56314500000000001</v>
      </c>
      <c r="X46" s="22">
        <f>'HVAC Deemed Table'!J450</f>
        <v>18</v>
      </c>
      <c r="Y46" s="22"/>
      <c r="Z46" s="22">
        <f t="shared" si="44"/>
        <v>18</v>
      </c>
      <c r="AA46" s="17">
        <f>'HVAC Deemed Table'!DG450</f>
        <v>1.7502280801942376</v>
      </c>
      <c r="AB46" s="757">
        <f>'HVAC Deemed Table'!K450</f>
        <v>1081</v>
      </c>
      <c r="AC46" s="846">
        <f t="shared" si="45"/>
        <v>1891.9965546899709</v>
      </c>
      <c r="AD46" s="846">
        <f t="shared" si="55"/>
        <v>0</v>
      </c>
      <c r="AE46" s="191">
        <f>'HVAC Deemed Table'!DI450</f>
        <v>1361.0386339464862</v>
      </c>
      <c r="AF46" s="191">
        <f>'HVAC Deemed Table'!DI451</f>
        <v>530.95792074348469</v>
      </c>
      <c r="AG46" s="191"/>
      <c r="AH46" s="191"/>
      <c r="AI46" s="850" t="str">
        <f t="shared" si="42"/>
        <v>per measure</v>
      </c>
      <c r="AJ46" s="45">
        <f>'HVAC Deemed Table'!L450</f>
        <v>4.4000000000000004</v>
      </c>
      <c r="AK46" s="609"/>
      <c r="AL46" s="609"/>
      <c r="AX46" s="1226" t="str">
        <f t="shared" si="46"/>
        <v>DFHP-SEER20-ROF_MF</v>
      </c>
      <c r="AY46" s="1249"/>
      <c r="AZ46" s="1312" t="str">
        <f t="shared" si="47"/>
        <v>351950</v>
      </c>
      <c r="BA46" s="1198">
        <f t="shared" si="56"/>
        <v>594.4</v>
      </c>
      <c r="BB46" s="1198">
        <f t="shared" si="56"/>
        <v>876.06</v>
      </c>
      <c r="BC46" s="1198">
        <f t="shared" si="56"/>
        <v>0</v>
      </c>
      <c r="BD46" s="1198">
        <f t="shared" si="56"/>
        <v>0</v>
      </c>
      <c r="BE46" s="1176"/>
      <c r="BF46" s="1192">
        <f>ROUND(BA46*'CP FACTORS'!$B$9,6)</f>
        <v>0.56314500000000001</v>
      </c>
      <c r="BG46" s="1193">
        <f>ROUND(BB46*'CP FACTORS'!$B$14,6)</f>
        <v>0</v>
      </c>
      <c r="BH46" s="1192">
        <f>ROUND(BC46*'CP FACTORS'!$B$9,6)</f>
        <v>0</v>
      </c>
      <c r="BI46" s="1194">
        <f>ROUND(BD46*'CP FACTORS'!$B$14,6)</f>
        <v>0</v>
      </c>
      <c r="BJ46" s="1176"/>
      <c r="BK46" s="685">
        <f t="shared" si="57"/>
        <v>1470.46</v>
      </c>
      <c r="BL46" s="1213">
        <f t="shared" si="58"/>
        <v>0</v>
      </c>
      <c r="BM46" s="1212">
        <f t="shared" si="59"/>
        <v>0.56314500000000001</v>
      </c>
      <c r="BN46" s="1211">
        <f t="shared" si="60"/>
        <v>0</v>
      </c>
    </row>
    <row r="47" spans="1:66" ht="12" customHeight="1" x14ac:dyDescent="0.25">
      <c r="A47" s="49" t="str">
        <f t="shared" si="43"/>
        <v>352000</v>
      </c>
      <c r="B47" s="1307" t="str">
        <f>'HVAC Deemed Table'!C452</f>
        <v>352000_2024_12_</v>
      </c>
      <c r="C47" s="830" t="str">
        <f>'HVAC Deemed Table'!G452</f>
        <v>Cooling Res</v>
      </c>
      <c r="D47" s="830" t="str">
        <f>'HVAC Deemed Table'!G453</f>
        <v>Heating Res</v>
      </c>
      <c r="E47" s="1249"/>
      <c r="F47" s="1249"/>
      <c r="G47" s="1249" t="str">
        <f>'HVAC Deemed Table'!E452</f>
        <v>DFHP-SEER21-ROF_MF</v>
      </c>
      <c r="H47" s="18" t="str">
        <f>'HVAC Deemed Table'!D452</f>
        <v>PAYS / IE</v>
      </c>
      <c r="I47" s="737">
        <f t="shared" si="48"/>
        <v>2084.73</v>
      </c>
      <c r="J47" s="737">
        <f t="shared" si="49"/>
        <v>0</v>
      </c>
      <c r="K47" s="185">
        <f>'HVAC Deemed Table'!F452</f>
        <v>816.63</v>
      </c>
      <c r="L47" s="185">
        <f>'HVAC Deemed Table'!F453</f>
        <v>1268.0999999999999</v>
      </c>
      <c r="M47" s="185"/>
      <c r="N47" s="185"/>
      <c r="O47" s="738">
        <f t="shared" si="50"/>
        <v>0.77368999999999999</v>
      </c>
      <c r="P47" s="738">
        <f t="shared" si="51"/>
        <v>0</v>
      </c>
      <c r="Q47" s="739">
        <f>'HVAC Deemed Table'!I452</f>
        <v>0.77368999999999999</v>
      </c>
      <c r="R47" s="739">
        <f>'HVAC Deemed Table'!I453</f>
        <v>0</v>
      </c>
      <c r="S47" s="739"/>
      <c r="T47" s="739"/>
      <c r="U47" s="740">
        <f t="shared" si="52"/>
        <v>0</v>
      </c>
      <c r="V47" s="740">
        <f t="shared" si="53"/>
        <v>0</v>
      </c>
      <c r="W47" s="740">
        <f t="shared" si="54"/>
        <v>0.77368999999999999</v>
      </c>
      <c r="X47" s="22">
        <f>'HVAC Deemed Table'!J452</f>
        <v>18</v>
      </c>
      <c r="Y47" s="22"/>
      <c r="Z47" s="22">
        <f t="shared" si="44"/>
        <v>18</v>
      </c>
      <c r="AA47" s="17">
        <f>'HVAC Deemed Table'!DG452</f>
        <v>2.4407562219478138</v>
      </c>
      <c r="AB47" s="757">
        <f>'HVAC Deemed Table'!K452</f>
        <v>1081</v>
      </c>
      <c r="AC47" s="846">
        <f t="shared" si="45"/>
        <v>2638.4574759255866</v>
      </c>
      <c r="AD47" s="846">
        <f t="shared" si="55"/>
        <v>0</v>
      </c>
      <c r="AE47" s="191">
        <f>'HVAC Deemed Table'!DI452</f>
        <v>1869.8939765136593</v>
      </c>
      <c r="AF47" s="191">
        <f>'HVAC Deemed Table'!DI453</f>
        <v>768.56349941192718</v>
      </c>
      <c r="AG47" s="191"/>
      <c r="AH47" s="191"/>
      <c r="AI47" s="850" t="str">
        <f t="shared" si="42"/>
        <v>per measure</v>
      </c>
      <c r="AJ47" s="45">
        <f>'HVAC Deemed Table'!L452</f>
        <v>5.4</v>
      </c>
      <c r="AK47" s="609"/>
      <c r="AL47" s="609"/>
      <c r="AX47" s="1226" t="str">
        <f t="shared" si="46"/>
        <v>DFHP-SEER21-ROF_MF</v>
      </c>
      <c r="AY47" s="1249"/>
      <c r="AZ47" s="1312" t="str">
        <f t="shared" si="47"/>
        <v>352000</v>
      </c>
      <c r="BA47" s="1198">
        <f t="shared" si="56"/>
        <v>816.63</v>
      </c>
      <c r="BB47" s="1198">
        <f t="shared" si="56"/>
        <v>1268.0999999999999</v>
      </c>
      <c r="BC47" s="1198">
        <f t="shared" si="56"/>
        <v>0</v>
      </c>
      <c r="BD47" s="1198">
        <f t="shared" si="56"/>
        <v>0</v>
      </c>
      <c r="BE47" s="1176"/>
      <c r="BF47" s="1192">
        <f>ROUND(BA47*'CP FACTORS'!$B$9,6)</f>
        <v>0.77368999999999999</v>
      </c>
      <c r="BG47" s="1193">
        <f>ROUND(BB47*'CP FACTORS'!$B$14,6)</f>
        <v>0</v>
      </c>
      <c r="BH47" s="1192">
        <f>ROUND(BC47*'CP FACTORS'!$B$9,6)</f>
        <v>0</v>
      </c>
      <c r="BI47" s="1194">
        <f>ROUND(BD47*'CP FACTORS'!$B$14,6)</f>
        <v>0</v>
      </c>
      <c r="BJ47" s="1176"/>
      <c r="BK47" s="685">
        <f t="shared" si="57"/>
        <v>2084.73</v>
      </c>
      <c r="BL47" s="1213">
        <f t="shared" si="58"/>
        <v>0</v>
      </c>
      <c r="BM47" s="1212">
        <f t="shared" si="59"/>
        <v>0.77368999999999999</v>
      </c>
      <c r="BN47" s="1211">
        <f t="shared" si="60"/>
        <v>0</v>
      </c>
    </row>
    <row r="48" spans="1:66" ht="14.25" customHeight="1" x14ac:dyDescent="0.25">
      <c r="A48" s="49" t="str">
        <f t="shared" si="43"/>
        <v>352050</v>
      </c>
      <c r="B48" s="1307" t="str">
        <f>'HVAC Deemed Table'!C513</f>
        <v>352050_2025_12_</v>
      </c>
      <c r="C48" s="830" t="str">
        <f>'HVAC Deemed Table'!G513</f>
        <v>Cooling Res</v>
      </c>
      <c r="D48" s="830" t="str">
        <f>'HVAC Deemed Table'!G514</f>
        <v>Heating RES</v>
      </c>
      <c r="E48" s="1249"/>
      <c r="F48" s="1249"/>
      <c r="G48" s="1249" t="str">
        <f>'HVAC Deemed Table'!E513</f>
        <v>GSHP-EER23-Replace_CAC_ElectricHeat_ROF_SF</v>
      </c>
      <c r="H48" s="18" t="str">
        <f>'HVAC Deemed Table'!D513</f>
        <v>PAYS / IE</v>
      </c>
      <c r="I48" s="737">
        <f t="shared" si="48"/>
        <v>17937.39</v>
      </c>
      <c r="J48" s="737">
        <f t="shared" si="49"/>
        <v>0</v>
      </c>
      <c r="K48" s="185">
        <f>'HVAC Deemed Table'!F513</f>
        <v>1641.63</v>
      </c>
      <c r="L48" s="185">
        <f>'HVAC Deemed Table'!F514</f>
        <v>16295.76</v>
      </c>
      <c r="M48" s="185"/>
      <c r="N48" s="185"/>
      <c r="O48" s="738">
        <f t="shared" si="50"/>
        <v>1.55531</v>
      </c>
      <c r="P48" s="738">
        <f t="shared" si="51"/>
        <v>0</v>
      </c>
      <c r="Q48" s="739">
        <f>'HVAC Deemed Table'!I513</f>
        <v>1.55531</v>
      </c>
      <c r="R48" s="739">
        <f>'HVAC Deemed Table'!I514</f>
        <v>0</v>
      </c>
      <c r="S48" s="739"/>
      <c r="T48" s="739"/>
      <c r="U48" s="740">
        <f t="shared" si="52"/>
        <v>0</v>
      </c>
      <c r="V48" s="740">
        <f t="shared" si="53"/>
        <v>0</v>
      </c>
      <c r="W48" s="740">
        <f t="shared" si="54"/>
        <v>1.55531</v>
      </c>
      <c r="X48" s="22">
        <f>'HVAC Deemed Table'!J513</f>
        <v>18</v>
      </c>
      <c r="Y48" s="22"/>
      <c r="Z48" s="22">
        <f t="shared" si="44"/>
        <v>18</v>
      </c>
      <c r="AA48" s="17">
        <f>'HVAC Deemed Table'!DG513</f>
        <v>1.3123737247060048</v>
      </c>
      <c r="AB48" s="757">
        <f>'HVAC Deemed Table'!K513</f>
        <v>10389.878378378377</v>
      </c>
      <c r="AC48" s="846">
        <f t="shared" si="45"/>
        <v>13635.403386674814</v>
      </c>
      <c r="AD48" s="846">
        <f t="shared" si="55"/>
        <v>0</v>
      </c>
      <c r="AE48" s="191">
        <f>'HVAC Deemed Table'!DI513</f>
        <v>3758.9533187173124</v>
      </c>
      <c r="AF48" s="191">
        <f>'HVAC Deemed Table'!DI514</f>
        <v>9876.4500679575012</v>
      </c>
      <c r="AG48" s="191"/>
      <c r="AH48" s="191"/>
      <c r="AI48" s="850" t="str">
        <f t="shared" si="42"/>
        <v>per measure</v>
      </c>
      <c r="AJ48" s="45">
        <f>'HVAC Deemed Table'!L513</f>
        <v>3.993150684931507</v>
      </c>
      <c r="AK48" s="609"/>
      <c r="AL48" s="609"/>
      <c r="AX48" s="1226" t="str">
        <f t="shared" si="46"/>
        <v>GSHP-EER23-Replace_CAC_ElectricHeat_ROF_SF</v>
      </c>
      <c r="AY48" s="1249"/>
      <c r="AZ48" s="1312" t="str">
        <f t="shared" si="47"/>
        <v>352050</v>
      </c>
      <c r="BA48" s="1201">
        <f>ROUND((K49*$BC$3)+(K48*$BC$4),2)</f>
        <v>3512.24</v>
      </c>
      <c r="BB48" s="1201">
        <f>ROUND((L49*$BC$3)+(L48*$BC$4),2)</f>
        <v>16031.22</v>
      </c>
      <c r="BC48" s="1201">
        <f>ROUND((M49*$BC$3)+(K48*$BC$4),2)</f>
        <v>1611.22</v>
      </c>
      <c r="BD48" s="1201">
        <f>ROUND((N49*$BC$3)+(L48*$BC$4),2)</f>
        <v>16031.22</v>
      </c>
      <c r="BE48" s="1176"/>
      <c r="BF48" s="1192">
        <f>ROUND(BA48*'CP FACTORS'!$B$9,6)</f>
        <v>3.3275600000000001</v>
      </c>
      <c r="BG48" s="1193">
        <f>ROUND(BB48*'CP FACTORS'!$B$14,6)</f>
        <v>0</v>
      </c>
      <c r="BH48" s="1192">
        <f>ROUND(BC48*'CP FACTORS'!$B$9,6)</f>
        <v>1.5264990000000001</v>
      </c>
      <c r="BI48" s="1194">
        <f>ROUND(BD48*'CP FACTORS'!$B$14,6)</f>
        <v>0</v>
      </c>
      <c r="BJ48" s="1176"/>
      <c r="BK48" s="685">
        <f t="shared" si="57"/>
        <v>19543.46</v>
      </c>
      <c r="BL48" s="1213">
        <f t="shared" si="58"/>
        <v>17642.439999999999</v>
      </c>
      <c r="BM48" s="1212">
        <f t="shared" si="59"/>
        <v>3.3275600000000001</v>
      </c>
      <c r="BN48" s="1211">
        <f t="shared" si="60"/>
        <v>1.5264990000000001</v>
      </c>
    </row>
    <row r="49" spans="1:66" ht="15" customHeight="1" x14ac:dyDescent="0.25">
      <c r="A49" s="49" t="str">
        <f t="shared" ref="A49:A85" si="61">LEFT(B49,6)</f>
        <v>352100</v>
      </c>
      <c r="B49" s="1307" t="str">
        <f>'HVAC Deemed Table'!C515</f>
        <v>352100_2025_12_</v>
      </c>
      <c r="C49" s="830" t="str">
        <f>'HVAC Deemed Table'!G515</f>
        <v>Cooling Res</v>
      </c>
      <c r="D49" s="830" t="str">
        <f>'HVAC Deemed Table'!G516</f>
        <v>Heating RES</v>
      </c>
      <c r="E49" s="830" t="str">
        <f>'HVAC Deemed Table'!G517</f>
        <v>Cooling Res ER2</v>
      </c>
      <c r="F49" s="830" t="str">
        <f>'HVAC Deemed Table'!G518</f>
        <v>Heating RES ER2</v>
      </c>
      <c r="G49" s="1249" t="str">
        <f>'HVAC Deemed Table'!E515</f>
        <v>GSHP-EER23-Replace_CAC_ElectricHeat_ER1_SF</v>
      </c>
      <c r="H49" s="18" t="str">
        <f>'HVAC Deemed Table'!D515</f>
        <v>PAYS / IE</v>
      </c>
      <c r="I49" s="737">
        <f t="shared" si="48"/>
        <v>20614.170000000002</v>
      </c>
      <c r="J49" s="737">
        <f t="shared" si="49"/>
        <v>17445.8</v>
      </c>
      <c r="K49" s="185">
        <f>'HVAC Deemed Table'!F515</f>
        <v>4759.3100000000004</v>
      </c>
      <c r="L49" s="185">
        <f>'HVAC Deemed Table'!F516</f>
        <v>15854.86</v>
      </c>
      <c r="M49" s="185">
        <f>'HVAC Deemed Table'!F517</f>
        <v>1590.94</v>
      </c>
      <c r="N49" s="185">
        <f>'HVAC Deemed Table'!F518</f>
        <v>15854.86</v>
      </c>
      <c r="O49" s="738">
        <f t="shared" si="50"/>
        <v>4.5090560000000002</v>
      </c>
      <c r="P49" s="738">
        <f t="shared" si="51"/>
        <v>1.507285</v>
      </c>
      <c r="Q49" s="739">
        <f>'HVAC Deemed Table'!I515</f>
        <v>4.5090560000000002</v>
      </c>
      <c r="R49" s="739">
        <f>'HVAC Deemed Table'!I516</f>
        <v>0</v>
      </c>
      <c r="S49" s="739">
        <f>'HVAC Deemed Table'!I517</f>
        <v>1.507285</v>
      </c>
      <c r="T49" s="739">
        <f>'HVAC Deemed Table'!I518</f>
        <v>0</v>
      </c>
      <c r="U49" s="740">
        <f t="shared" si="52"/>
        <v>0</v>
      </c>
      <c r="V49" s="740">
        <f t="shared" si="53"/>
        <v>0</v>
      </c>
      <c r="W49" s="740">
        <f t="shared" si="54"/>
        <v>4.5090560000000002</v>
      </c>
      <c r="X49" s="22">
        <f>'HVAC Deemed Table'!J515</f>
        <v>6</v>
      </c>
      <c r="Y49" s="22">
        <f>'HVAC Deemed Table'!J517</f>
        <v>12</v>
      </c>
      <c r="Z49" s="22">
        <f t="shared" ref="Z49:Z85" si="62">Y49+X49</f>
        <v>18</v>
      </c>
      <c r="AA49" s="17">
        <f>'HVAC Deemed Table'!DG515</f>
        <v>1.6397854576196593</v>
      </c>
      <c r="AB49" s="757">
        <f>'HVAC Deemed Table'!K515</f>
        <v>10005.779576760684</v>
      </c>
      <c r="AC49" s="846">
        <f t="shared" ref="AC49:AC85" si="63">AE49+AF49</f>
        <v>8991.4873057092555</v>
      </c>
      <c r="AD49" s="846">
        <f t="shared" si="55"/>
        <v>7415.8445364107047</v>
      </c>
      <c r="AE49" s="191">
        <f>'HVAC Deemed Table'!DI515</f>
        <v>4739.5498080755196</v>
      </c>
      <c r="AF49" s="191">
        <f>'HVAC Deemed Table'!DI516</f>
        <v>4251.9374976337358</v>
      </c>
      <c r="AG49" s="191">
        <f>'HVAC Deemed Table'!DI517</f>
        <v>2058.5503612377311</v>
      </c>
      <c r="AH49" s="191">
        <f>'HVAC Deemed Table'!DI518</f>
        <v>5357.2941751729732</v>
      </c>
      <c r="AI49" s="850" t="str">
        <f t="shared" si="42"/>
        <v>per measure</v>
      </c>
      <c r="AJ49" s="45">
        <f>'HVAC Deemed Table'!L515</f>
        <v>3.8698630136986303</v>
      </c>
      <c r="AK49" s="609"/>
      <c r="AL49" s="609"/>
      <c r="AX49" s="1226" t="str">
        <f t="shared" si="46"/>
        <v>GSHP-EER23-Replace_CAC_ElectricHeat_ER1_SF</v>
      </c>
      <c r="AY49" s="1249"/>
      <c r="AZ49" s="1312" t="str">
        <f t="shared" si="47"/>
        <v>352100</v>
      </c>
      <c r="BA49" s="1201">
        <f>BA48</f>
        <v>3512.24</v>
      </c>
      <c r="BB49" s="1201">
        <f>BB48</f>
        <v>16031.22</v>
      </c>
      <c r="BC49" s="1201">
        <f>BC48</f>
        <v>1611.22</v>
      </c>
      <c r="BD49" s="1201">
        <f>BD48</f>
        <v>16031.22</v>
      </c>
      <c r="BE49" s="1176"/>
      <c r="BF49" s="1192">
        <f>ROUND(BA49*'CP FACTORS'!$B$9,6)</f>
        <v>3.3275600000000001</v>
      </c>
      <c r="BG49" s="1193">
        <f>ROUND(BB49*'CP FACTORS'!$B$14,6)</f>
        <v>0</v>
      </c>
      <c r="BH49" s="1192">
        <f>ROUND(BC49*'CP FACTORS'!$B$9,6)</f>
        <v>1.5264990000000001</v>
      </c>
      <c r="BI49" s="1194">
        <f>ROUND(BD49*'CP FACTORS'!$B$14,6)</f>
        <v>0</v>
      </c>
      <c r="BJ49" s="1176"/>
      <c r="BK49" s="685">
        <f t="shared" si="57"/>
        <v>19543.46</v>
      </c>
      <c r="BL49" s="1213">
        <f t="shared" si="58"/>
        <v>17642.439999999999</v>
      </c>
      <c r="BM49" s="1212">
        <f t="shared" si="59"/>
        <v>3.3275600000000001</v>
      </c>
      <c r="BN49" s="1211">
        <f t="shared" si="60"/>
        <v>1.5264990000000001</v>
      </c>
    </row>
    <row r="50" spans="1:66" ht="20.25" customHeight="1" x14ac:dyDescent="0.25">
      <c r="A50" s="49" t="str">
        <f t="shared" si="61"/>
        <v>352200</v>
      </c>
      <c r="B50" s="1307" t="str">
        <f>'HVAC Deemed Table'!C519</f>
        <v>352200_2025_12_</v>
      </c>
      <c r="C50" s="830" t="str">
        <f>'HVAC Deemed Table'!G519</f>
        <v>Cooling Res</v>
      </c>
      <c r="D50" s="830" t="str">
        <f>'HVAC Deemed Table'!G520</f>
        <v>Heating RES</v>
      </c>
      <c r="E50" s="830" t="str">
        <f>'HVAC Deemed Table'!G521</f>
        <v>Cooling Res ER2</v>
      </c>
      <c r="F50" s="830" t="str">
        <f>'HVAC Deemed Table'!G522</f>
        <v>Heating RES ER2</v>
      </c>
      <c r="G50" s="1249" t="str">
        <f>'HVAC Deemed Table'!E519</f>
        <v>GSHP-EER23-Replace_ASHP_ER1_SF</v>
      </c>
      <c r="H50" s="18" t="str">
        <f>'HVAC Deemed Table'!D519</f>
        <v>PAYS / IE</v>
      </c>
      <c r="I50" s="737">
        <f t="shared" si="48"/>
        <v>9164.27</v>
      </c>
      <c r="J50" s="737">
        <f t="shared" si="49"/>
        <v>6146.2100000000009</v>
      </c>
      <c r="K50" s="185">
        <f>'HVAC Deemed Table'!F519</f>
        <v>4419.46</v>
      </c>
      <c r="L50" s="185">
        <f>'HVAC Deemed Table'!F520</f>
        <v>4744.8100000000004</v>
      </c>
      <c r="M50" s="185">
        <f>'HVAC Deemed Table'!F521</f>
        <v>1401.4</v>
      </c>
      <c r="N50" s="185">
        <f>'HVAC Deemed Table'!F522</f>
        <v>4744.8100000000004</v>
      </c>
      <c r="O50" s="738">
        <f t="shared" si="50"/>
        <v>4.1870760000000002</v>
      </c>
      <c r="P50" s="738">
        <f t="shared" si="51"/>
        <v>1.327712</v>
      </c>
      <c r="Q50" s="739">
        <f>'HVAC Deemed Table'!I519</f>
        <v>4.1870760000000002</v>
      </c>
      <c r="R50" s="739">
        <f>'HVAC Deemed Table'!I520</f>
        <v>0</v>
      </c>
      <c r="S50" s="739">
        <f>'HVAC Deemed Table'!I521</f>
        <v>1.327712</v>
      </c>
      <c r="T50" s="739">
        <f>'HVAC Deemed Table'!I522</f>
        <v>0</v>
      </c>
      <c r="U50" s="740">
        <f t="shared" si="52"/>
        <v>0</v>
      </c>
      <c r="V50" s="740">
        <f t="shared" si="53"/>
        <v>0</v>
      </c>
      <c r="W50" s="740">
        <f t="shared" si="54"/>
        <v>4.1870760000000002</v>
      </c>
      <c r="X50" s="22">
        <f>'HVAC Deemed Table'!J519</f>
        <v>6</v>
      </c>
      <c r="Y50" s="22">
        <f>'HVAC Deemed Table'!J521</f>
        <v>12</v>
      </c>
      <c r="Z50" s="22">
        <f t="shared" si="62"/>
        <v>18</v>
      </c>
      <c r="AA50" s="17">
        <f>'HVAC Deemed Table'!DG519</f>
        <v>1.4547348596340037</v>
      </c>
      <c r="AB50" s="757">
        <f>'HVAC Deemed Table'!K519</f>
        <v>6248.64477985144</v>
      </c>
      <c r="AC50" s="846">
        <f t="shared" si="63"/>
        <v>5673.5683347037357</v>
      </c>
      <c r="AD50" s="846">
        <f t="shared" si="55"/>
        <v>3416.5530520161997</v>
      </c>
      <c r="AE50" s="191">
        <f>'HVAC Deemed Table'!DI519</f>
        <v>4401.1108321999272</v>
      </c>
      <c r="AF50" s="191">
        <f>'HVAC Deemed Table'!DI520</f>
        <v>1272.4575025038082</v>
      </c>
      <c r="AG50" s="191">
        <f>'HVAC Deemed Table'!DI521</f>
        <v>1813.3006123666237</v>
      </c>
      <c r="AH50" s="191">
        <f>'HVAC Deemed Table'!DI522</f>
        <v>1603.252439649576</v>
      </c>
      <c r="AI50" s="850" t="str">
        <f t="shared" si="42"/>
        <v>per measure</v>
      </c>
      <c r="AJ50" s="45">
        <f>'HVAC Deemed Table'!L519</f>
        <v>3.8698630136986303</v>
      </c>
      <c r="AK50" s="609"/>
      <c r="AL50" s="609"/>
      <c r="AX50" s="1226" t="str">
        <f t="shared" ref="AX50:AX82" si="64">G50</f>
        <v>GSHP-EER23-Replace_ASHP_ER1_SF</v>
      </c>
      <c r="AY50" s="1249"/>
      <c r="AZ50" s="1312" t="str">
        <f t="shared" ref="AZ50:AZ82" si="65">A50</f>
        <v>352200</v>
      </c>
      <c r="BA50" s="1202">
        <f>ROUND((K50*$BC$3)+(K51*$BC$4),2)</f>
        <v>3241.21</v>
      </c>
      <c r="BB50" s="1202">
        <f>ROUND((L50*$BC$3)+(L51*$BC$4),2)</f>
        <v>4811.34</v>
      </c>
      <c r="BC50" s="1202">
        <f>ROUND((M50*$BC$3)+(K51*$BC$4),2)</f>
        <v>1430.38</v>
      </c>
      <c r="BD50" s="1202">
        <f>ROUND((N50*$BC$3)+(L51*$BC$4),2)</f>
        <v>4811.34</v>
      </c>
      <c r="BE50" s="1176"/>
      <c r="BF50" s="1192">
        <f>ROUND(BA50*'CP FACTORS'!$B$9,6)</f>
        <v>3.0707810000000002</v>
      </c>
      <c r="BG50" s="1193">
        <f>ROUND(BB50*'CP FACTORS'!$B$14,6)</f>
        <v>0</v>
      </c>
      <c r="BH50" s="1192">
        <f>ROUND(BC50*'CP FACTORS'!$B$9,6)</f>
        <v>1.3551679999999999</v>
      </c>
      <c r="BI50" s="1194">
        <f>ROUND(BD50*'CP FACTORS'!$B$14,6)</f>
        <v>0</v>
      </c>
      <c r="BJ50" s="1176"/>
      <c r="BK50" s="685">
        <f t="shared" si="57"/>
        <v>8052.55</v>
      </c>
      <c r="BL50" s="1213">
        <f t="shared" si="58"/>
        <v>6241.72</v>
      </c>
      <c r="BM50" s="1212">
        <f t="shared" si="59"/>
        <v>3.0707810000000002</v>
      </c>
      <c r="BN50" s="1211">
        <f t="shared" si="60"/>
        <v>1.3551679999999999</v>
      </c>
    </row>
    <row r="51" spans="1:66" s="39" customFormat="1" ht="14.25" customHeight="1" x14ac:dyDescent="0.25">
      <c r="A51" s="49" t="str">
        <f t="shared" si="61"/>
        <v>352250</v>
      </c>
      <c r="B51" s="1307" t="str">
        <f>'HVAC Deemed Table'!C523</f>
        <v>352250_2025_12_</v>
      </c>
      <c r="C51" s="830" t="str">
        <f>'HVAC Deemed Table'!G523</f>
        <v>Cooling Res</v>
      </c>
      <c r="D51" s="830" t="str">
        <f>'HVAC Deemed Table'!G524</f>
        <v>Heating RES</v>
      </c>
      <c r="E51" s="1249"/>
      <c r="F51" s="1249"/>
      <c r="G51" s="1249" t="str">
        <f>'HVAC Deemed Table'!E523</f>
        <v>GSHP-EER23_ROF_SF</v>
      </c>
      <c r="H51" s="18" t="str">
        <f>'HVAC Deemed Table'!D523</f>
        <v>PAYS / IE</v>
      </c>
      <c r="I51" s="737">
        <f t="shared" si="48"/>
        <v>6384.9800000000005</v>
      </c>
      <c r="J51" s="737">
        <f t="shared" si="49"/>
        <v>0</v>
      </c>
      <c r="K51" s="185">
        <f>'HVAC Deemed Table'!F523</f>
        <v>1473.84</v>
      </c>
      <c r="L51" s="185">
        <f>'HVAC Deemed Table'!F524</f>
        <v>4911.1400000000003</v>
      </c>
      <c r="M51" s="185"/>
      <c r="N51" s="185"/>
      <c r="O51" s="738">
        <f t="shared" si="50"/>
        <v>1.3963429999999999</v>
      </c>
      <c r="P51" s="738">
        <f t="shared" si="51"/>
        <v>0</v>
      </c>
      <c r="Q51" s="739">
        <f>'HVAC Deemed Table'!I523</f>
        <v>1.3963429999999999</v>
      </c>
      <c r="R51" s="739">
        <f>'HVAC Deemed Table'!I524</f>
        <v>0</v>
      </c>
      <c r="S51" s="739"/>
      <c r="T51" s="739"/>
      <c r="U51" s="740">
        <f t="shared" si="52"/>
        <v>0</v>
      </c>
      <c r="V51" s="740">
        <f t="shared" si="53"/>
        <v>0</v>
      </c>
      <c r="W51" s="740">
        <f t="shared" si="54"/>
        <v>1.3963429999999999</v>
      </c>
      <c r="X51" s="22">
        <f>'HVAC Deemed Table'!J523</f>
        <v>18</v>
      </c>
      <c r="Y51" s="22"/>
      <c r="Z51" s="22">
        <f t="shared" si="62"/>
        <v>18</v>
      </c>
      <c r="AA51" s="17">
        <f>'HVAC Deemed Table'!DG523</f>
        <v>0.84583379349211296</v>
      </c>
      <c r="AB51" s="757">
        <f>'HVAC Deemed Table'!K523</f>
        <v>7508.8881687196081</v>
      </c>
      <c r="AC51" s="846">
        <f t="shared" si="63"/>
        <v>6351.2713646561515</v>
      </c>
      <c r="AD51" s="846">
        <f t="shared" si="55"/>
        <v>0</v>
      </c>
      <c r="AE51" s="191">
        <f>'HVAC Deemed Table'!DI523</f>
        <v>3374.7529950465837</v>
      </c>
      <c r="AF51" s="191">
        <f>'HVAC Deemed Table'!DI524</f>
        <v>2976.5183696095673</v>
      </c>
      <c r="AG51" s="191"/>
      <c r="AH51" s="191"/>
      <c r="AI51" s="850" t="str">
        <f t="shared" si="42"/>
        <v>per measure</v>
      </c>
      <c r="AJ51" s="45">
        <f>'HVAC Deemed Table'!L523</f>
        <v>3.993150684931507</v>
      </c>
      <c r="AK51" s="609"/>
      <c r="AL51" s="609"/>
      <c r="AM51"/>
      <c r="AN51"/>
      <c r="AO51"/>
      <c r="AP51"/>
      <c r="AQ51"/>
      <c r="AR51"/>
      <c r="AS51"/>
      <c r="AT51"/>
      <c r="AU51"/>
      <c r="AV51"/>
      <c r="AW51"/>
      <c r="AX51" s="1226" t="str">
        <f t="shared" si="64"/>
        <v>GSHP-EER23_ROF_SF</v>
      </c>
      <c r="AY51" s="1249"/>
      <c r="AZ51" s="1312" t="str">
        <f t="shared" si="65"/>
        <v>352250</v>
      </c>
      <c r="BA51" s="1202">
        <f t="shared" ref="BA51:BD52" si="66">BA50</f>
        <v>3241.21</v>
      </c>
      <c r="BB51" s="1202">
        <f t="shared" si="66"/>
        <v>4811.34</v>
      </c>
      <c r="BC51" s="1202">
        <f t="shared" si="66"/>
        <v>1430.38</v>
      </c>
      <c r="BD51" s="1202">
        <f t="shared" si="66"/>
        <v>4811.34</v>
      </c>
      <c r="BE51" s="1177"/>
      <c r="BF51" s="1192">
        <f>ROUND(BA51*'CP FACTORS'!$B$9,6)</f>
        <v>3.0707810000000002</v>
      </c>
      <c r="BG51" s="1193">
        <f>ROUND(BB51*'CP FACTORS'!$B$14,6)</f>
        <v>0</v>
      </c>
      <c r="BH51" s="1192">
        <f>ROUND(BC51*'CP FACTORS'!$B$9,6)</f>
        <v>1.3551679999999999</v>
      </c>
      <c r="BI51" s="1194">
        <f>ROUND(BD51*'CP FACTORS'!$B$14,6)</f>
        <v>0</v>
      </c>
      <c r="BJ51" s="1176"/>
      <c r="BK51" s="685">
        <f t="shared" si="57"/>
        <v>8052.55</v>
      </c>
      <c r="BL51" s="1213">
        <f t="shared" si="58"/>
        <v>6241.72</v>
      </c>
      <c r="BM51" s="1212">
        <f t="shared" si="59"/>
        <v>3.0707810000000002</v>
      </c>
      <c r="BN51" s="1211">
        <f t="shared" si="60"/>
        <v>1.3551679999999999</v>
      </c>
    </row>
    <row r="52" spans="1:66" s="39" customFormat="1" ht="14.25" customHeight="1" x14ac:dyDescent="0.25">
      <c r="A52" s="49" t="str">
        <f t="shared" ref="A52" si="67">LEFT(B52,6)</f>
        <v>352260</v>
      </c>
      <c r="B52" s="1307" t="str">
        <f>'HVAC Deemed Table'!C525</f>
        <v>352260_2025_12_</v>
      </c>
      <c r="C52" s="830" t="str">
        <f>'HVAC Deemed Table'!G525</f>
        <v>Cooling Res</v>
      </c>
      <c r="D52" s="830" t="str">
        <f>'HVAC Deemed Table'!G526</f>
        <v>Heating RES</v>
      </c>
      <c r="E52" s="1249"/>
      <c r="F52" s="1249"/>
      <c r="G52" s="1249" t="str">
        <f>'HVAC Deemed Table'!E525</f>
        <v>GSHP-EER23-Replace_GSHP_ER1_SF</v>
      </c>
      <c r="H52" s="18" t="str">
        <f>'HVAC Deemed Table'!D525</f>
        <v>PAYS / IE</v>
      </c>
      <c r="I52" s="737">
        <f t="shared" ref="I52" si="68">K52+L52</f>
        <v>6335.75</v>
      </c>
      <c r="J52" s="737">
        <f t="shared" ref="J52" si="69">M52+N52</f>
        <v>0</v>
      </c>
      <c r="K52" s="185">
        <f>'HVAC Deemed Table'!F525</f>
        <v>1590.94</v>
      </c>
      <c r="L52" s="185">
        <f>'HVAC Deemed Table'!F526</f>
        <v>4744.8100000000004</v>
      </c>
      <c r="M52" s="185"/>
      <c r="N52" s="185"/>
      <c r="O52" s="738">
        <f t="shared" ref="O52" si="70">Q52+R52</f>
        <v>1.507285</v>
      </c>
      <c r="P52" s="738">
        <f t="shared" ref="P52" si="71">S52+T52</f>
        <v>0</v>
      </c>
      <c r="Q52" s="739">
        <f>'HVAC Deemed Table'!I525</f>
        <v>1.507285</v>
      </c>
      <c r="R52" s="739">
        <f>'HVAC Deemed Table'!I526</f>
        <v>0</v>
      </c>
      <c r="S52" s="739"/>
      <c r="T52" s="739"/>
      <c r="U52" s="740">
        <f t="shared" si="52"/>
        <v>0</v>
      </c>
      <c r="V52" s="740">
        <f t="shared" si="53"/>
        <v>0</v>
      </c>
      <c r="W52" s="740">
        <f t="shared" si="54"/>
        <v>1.507285</v>
      </c>
      <c r="X52" s="22">
        <f>'HVAC Deemed Table'!J525</f>
        <v>6</v>
      </c>
      <c r="Y52" s="22">
        <f>'HVAC Deemed Table'!J527</f>
        <v>12</v>
      </c>
      <c r="Z52" s="22">
        <f t="shared" ref="Z52" si="72">Y52+X52</f>
        <v>18</v>
      </c>
      <c r="AA52" s="17">
        <f>'HVAC Deemed Table'!DG525</f>
        <v>1.0039529125907434</v>
      </c>
      <c r="AB52" s="757">
        <f>'HVAC Deemed Table'!K525</f>
        <v>6248.64477985144</v>
      </c>
      <c r="AC52" s="846">
        <f t="shared" ref="AC52" si="73">AE52+AF52</f>
        <v>2856.7920744605976</v>
      </c>
      <c r="AD52" s="846">
        <f t="shared" ref="AD52" si="74">AG52+AH52</f>
        <v>0</v>
      </c>
      <c r="AE52" s="191">
        <f>'HVAC Deemed Table'!DI525</f>
        <v>1584.3345719567894</v>
      </c>
      <c r="AF52" s="191">
        <f>'HVAC Deemed Table'!DI526</f>
        <v>1272.4575025038082</v>
      </c>
      <c r="AG52" s="191"/>
      <c r="AH52" s="191"/>
      <c r="AI52" s="850" t="str">
        <f t="shared" si="42"/>
        <v>per measure</v>
      </c>
      <c r="AJ52" s="45">
        <f>'HVAC Deemed Table'!L525</f>
        <v>3.8698630136986303</v>
      </c>
      <c r="AK52" s="609"/>
      <c r="AL52" s="609"/>
      <c r="AM52"/>
      <c r="AN52"/>
      <c r="AO52"/>
      <c r="AP52"/>
      <c r="AQ52"/>
      <c r="AR52"/>
      <c r="AS52"/>
      <c r="AT52"/>
      <c r="AU52"/>
      <c r="AV52"/>
      <c r="AW52"/>
      <c r="AX52" s="1226" t="str">
        <f t="shared" ref="AX52" si="75">G52</f>
        <v>GSHP-EER23-Replace_GSHP_ER1_SF</v>
      </c>
      <c r="AY52" s="1249"/>
      <c r="AZ52" s="1312" t="str">
        <f t="shared" ref="AZ52" si="76">A52</f>
        <v>352260</v>
      </c>
      <c r="BA52" s="1202">
        <f t="shared" si="66"/>
        <v>3241.21</v>
      </c>
      <c r="BB52" s="1202">
        <f t="shared" si="66"/>
        <v>4811.34</v>
      </c>
      <c r="BC52" s="1202">
        <f t="shared" si="66"/>
        <v>1430.38</v>
      </c>
      <c r="BD52" s="1202">
        <f t="shared" si="66"/>
        <v>4811.34</v>
      </c>
      <c r="BE52" s="1177"/>
      <c r="BF52" s="1192">
        <f>ROUND(BA52*'CP FACTORS'!$B$9,6)</f>
        <v>3.0707810000000002</v>
      </c>
      <c r="BG52" s="1193">
        <f>ROUND(BB52*'CP FACTORS'!$B$14,6)</f>
        <v>0</v>
      </c>
      <c r="BH52" s="1192">
        <f>ROUND(BC52*'CP FACTORS'!$B$9,6)</f>
        <v>1.3551679999999999</v>
      </c>
      <c r="BI52" s="1194">
        <f>ROUND(BD52*'CP FACTORS'!$B$14,6)</f>
        <v>0</v>
      </c>
      <c r="BJ52" s="1176"/>
      <c r="BK52" s="685">
        <f t="shared" ref="BK52" si="77">BA52+BB52</f>
        <v>8052.55</v>
      </c>
      <c r="BL52" s="1213">
        <f t="shared" ref="BL52" si="78">BC52+BD52</f>
        <v>6241.72</v>
      </c>
      <c r="BM52" s="1212">
        <f t="shared" ref="BM52" si="79">BF52+BG52</f>
        <v>3.0707810000000002</v>
      </c>
      <c r="BN52" s="1211">
        <f t="shared" ref="BN52" si="80">BH52+BI52</f>
        <v>1.3551679999999999</v>
      </c>
    </row>
    <row r="53" spans="1:66" x14ac:dyDescent="0.25">
      <c r="A53" s="49" t="str">
        <f t="shared" si="61"/>
        <v>352300</v>
      </c>
      <c r="B53" s="1307" t="str">
        <f>'HVAC Deemed Table'!C647</f>
        <v>352300_2024_12_</v>
      </c>
      <c r="C53" s="830" t="str">
        <f>'HVAC Deemed Table'!G647</f>
        <v>Cooling Res</v>
      </c>
      <c r="D53" s="830" t="str">
        <f>'HVAC Deemed Table'!G648</f>
        <v>Heating Res</v>
      </c>
      <c r="E53" s="830" t="str">
        <f>'HVAC Deemed Table'!G649</f>
        <v>Cooling Res ER2</v>
      </c>
      <c r="F53" s="830" t="str">
        <f>'HVAC Deemed Table'!G650</f>
        <v>Heating Res ER2</v>
      </c>
      <c r="G53" s="1249" t="str">
        <f>'HVAC Deemed Table'!E647</f>
        <v>ASHP-SEER15-Replace_CAC_ElectricHeat_ER1_SF</v>
      </c>
      <c r="H53" s="18" t="str">
        <f>'HVAC Deemed Table'!D647</f>
        <v>PAYS / IE</v>
      </c>
      <c r="I53" s="737">
        <f t="shared" si="48"/>
        <v>9775.07</v>
      </c>
      <c r="J53" s="737">
        <f t="shared" si="49"/>
        <v>8037.0499999999993</v>
      </c>
      <c r="K53" s="185">
        <f>'HVAC Deemed Table'!F647</f>
        <v>2004.34</v>
      </c>
      <c r="L53" s="185">
        <f>'HVAC Deemed Table'!F648</f>
        <v>7770.73</v>
      </c>
      <c r="M53" s="185">
        <f>'HVAC Deemed Table'!F649</f>
        <v>266.32</v>
      </c>
      <c r="N53" s="185">
        <f>'HVAC Deemed Table'!F650</f>
        <v>7770.73</v>
      </c>
      <c r="O53" s="738">
        <f t="shared" si="50"/>
        <v>1.8989480000000001</v>
      </c>
      <c r="P53" s="738">
        <f t="shared" si="51"/>
        <v>0.25231599999999998</v>
      </c>
      <c r="Q53" s="739">
        <f>'HVAC Deemed Table'!I647</f>
        <v>1.8989480000000001</v>
      </c>
      <c r="R53" s="739">
        <f>'HVAC Deemed Table'!I648</f>
        <v>0</v>
      </c>
      <c r="S53" s="739">
        <f>'HVAC Deemed Table'!I649</f>
        <v>0.25231599999999998</v>
      </c>
      <c r="T53" s="739">
        <f>'HVAC Deemed Table'!I650</f>
        <v>0</v>
      </c>
      <c r="U53" s="740">
        <f t="shared" si="52"/>
        <v>0</v>
      </c>
      <c r="V53" s="740">
        <f t="shared" si="53"/>
        <v>0</v>
      </c>
      <c r="W53" s="740">
        <f t="shared" si="54"/>
        <v>1.8989480000000001</v>
      </c>
      <c r="X53" s="22">
        <f>'HVAC Deemed Table'!J647</f>
        <v>6</v>
      </c>
      <c r="Y53" s="22">
        <f>'HVAC Deemed Table'!J649</f>
        <v>12</v>
      </c>
      <c r="Z53" s="22">
        <f t="shared" si="62"/>
        <v>18</v>
      </c>
      <c r="AA53" s="17">
        <f>'HVAC Deemed Table'!DG647</f>
        <v>2.1784788019264281</v>
      </c>
      <c r="AB53" s="241">
        <f>'HVAC Deemed Table'!K647</f>
        <v>3236.3220917485878</v>
      </c>
      <c r="AC53" s="846">
        <f t="shared" si="63"/>
        <v>4079.9633045804449</v>
      </c>
      <c r="AD53" s="846">
        <f t="shared" si="55"/>
        <v>2970.2957685000497</v>
      </c>
      <c r="AE53" s="191">
        <f>'HVAC Deemed Table'!DI647</f>
        <v>1996.0181753905683</v>
      </c>
      <c r="AF53" s="191">
        <f>'HVAC Deemed Table'!DI648</f>
        <v>2083.9451291898763</v>
      </c>
      <c r="AG53" s="191">
        <f>'HVAC Deemed Table'!DI649</f>
        <v>344.59698807298355</v>
      </c>
      <c r="AH53" s="191">
        <f>'HVAC Deemed Table'!DI650</f>
        <v>2625.6987804270661</v>
      </c>
      <c r="AI53" s="850" t="str">
        <f t="shared" si="42"/>
        <v>per measure</v>
      </c>
      <c r="AJ53" s="45">
        <f>'HVAC Deemed Table'!L647</f>
        <v>2.5726507669889709</v>
      </c>
      <c r="AK53" s="609"/>
      <c r="AL53" s="609"/>
      <c r="AX53" s="1226" t="str">
        <f t="shared" si="64"/>
        <v>ASHP-SEER15-Replace_CAC_ElectricHeat_ER1_SF</v>
      </c>
      <c r="AY53" s="1249"/>
      <c r="AZ53" s="1312" t="str">
        <f t="shared" si="65"/>
        <v>352300</v>
      </c>
      <c r="BA53" s="1203">
        <f t="shared" ref="BA53:BB54" si="81">ROUND((K53*$BC$3)+(K56*$BC$4),2)</f>
        <v>1312.07</v>
      </c>
      <c r="BB53" s="1203">
        <f t="shared" si="81"/>
        <v>8052.66</v>
      </c>
      <c r="BC53" s="1203">
        <f t="shared" ref="BC53:BD54" si="82">ROUND((M53*$BC$3)+(K56*$BC$4),2)</f>
        <v>269.26</v>
      </c>
      <c r="BD53" s="1203">
        <f t="shared" si="82"/>
        <v>8052.66</v>
      </c>
      <c r="BE53" s="1176"/>
      <c r="BF53" s="1192">
        <f>ROUND(BA53*'CP FACTORS'!$B$9,6)</f>
        <v>1.243079</v>
      </c>
      <c r="BG53" s="1193">
        <f>ROUND(BB53*'CP FACTORS'!$B$14,6)</f>
        <v>0</v>
      </c>
      <c r="BH53" s="1192">
        <f>ROUND(BC53*'CP FACTORS'!$B$9,6)</f>
        <v>0.255102</v>
      </c>
      <c r="BI53" s="1194">
        <f>ROUND(BD53*'CP FACTORS'!$B$14,6)</f>
        <v>0</v>
      </c>
      <c r="BJ53" s="1176"/>
      <c r="BK53" s="685">
        <f t="shared" si="57"/>
        <v>9364.73</v>
      </c>
      <c r="BL53" s="1213">
        <f t="shared" si="58"/>
        <v>8321.92</v>
      </c>
      <c r="BM53" s="1212">
        <f t="shared" si="59"/>
        <v>1.243079</v>
      </c>
      <c r="BN53" s="1211">
        <f t="shared" si="60"/>
        <v>0.255102</v>
      </c>
    </row>
    <row r="54" spans="1:66" x14ac:dyDescent="0.25">
      <c r="A54" s="49" t="str">
        <f t="shared" si="61"/>
        <v>352310</v>
      </c>
      <c r="B54" s="1307" t="str">
        <f>'HVAC Deemed Table'!C651</f>
        <v>352310_2024_12_</v>
      </c>
      <c r="C54" s="830" t="str">
        <f>'HVAC Deemed Table'!G651</f>
        <v>Cooling Res</v>
      </c>
      <c r="D54" s="830" t="str">
        <f>'HVAC Deemed Table'!G652</f>
        <v>Heating Res</v>
      </c>
      <c r="E54" s="830" t="str">
        <f>'HVAC Deemed Table'!G653</f>
        <v>Cooling Res ER2</v>
      </c>
      <c r="F54" s="830" t="str">
        <f>'HVAC Deemed Table'!G654</f>
        <v>Heating Res ER2</v>
      </c>
      <c r="G54" s="1249" t="str">
        <f>'HVAC Deemed Table'!E651</f>
        <v>ASHP-SEER15-Replace_CAC_NonElectricHeat_ER1_SF</v>
      </c>
      <c r="H54" s="18" t="str">
        <f>'HVAC Deemed Table'!D651</f>
        <v>PAYS / IE</v>
      </c>
      <c r="I54" s="737">
        <f t="shared" si="48"/>
        <v>2004.34</v>
      </c>
      <c r="J54" s="737">
        <f t="shared" si="49"/>
        <v>266.32</v>
      </c>
      <c r="K54" s="185">
        <f>'HVAC Deemed Table'!F651</f>
        <v>2004.34</v>
      </c>
      <c r="L54" s="185">
        <f>'HVAC Deemed Table'!F652</f>
        <v>0</v>
      </c>
      <c r="M54" s="185">
        <f>'HVAC Deemed Table'!F653</f>
        <v>266.32</v>
      </c>
      <c r="N54" s="185">
        <f>'HVAC Deemed Table'!F654</f>
        <v>0</v>
      </c>
      <c r="O54" s="738">
        <f t="shared" si="50"/>
        <v>1.8989480000000001</v>
      </c>
      <c r="P54" s="738">
        <f t="shared" si="51"/>
        <v>0.25231599999999998</v>
      </c>
      <c r="Q54" s="739">
        <f>'HVAC Deemed Table'!I651</f>
        <v>1.8989480000000001</v>
      </c>
      <c r="R54" s="739">
        <f>'HVAC Deemed Table'!I652</f>
        <v>0</v>
      </c>
      <c r="S54" s="739">
        <f>'HVAC Deemed Table'!I653</f>
        <v>0.25231599999999998</v>
      </c>
      <c r="T54" s="739">
        <f>'HVAC Deemed Table'!I654</f>
        <v>0</v>
      </c>
      <c r="U54" s="740">
        <f t="shared" si="52"/>
        <v>0</v>
      </c>
      <c r="V54" s="740">
        <f t="shared" si="53"/>
        <v>0</v>
      </c>
      <c r="W54" s="740">
        <f t="shared" si="54"/>
        <v>1.8989480000000001</v>
      </c>
      <c r="X54" s="22">
        <f>'HVAC Deemed Table'!J651</f>
        <v>6</v>
      </c>
      <c r="Y54" s="22">
        <f>'HVAC Deemed Table'!J653</f>
        <v>12</v>
      </c>
      <c r="Z54" s="22">
        <f t="shared" si="62"/>
        <v>18</v>
      </c>
      <c r="AA54" s="17">
        <f>'HVAC Deemed Table'!DG651</f>
        <v>5.6733787706133754</v>
      </c>
      <c r="AB54" s="241">
        <f>'HVAC Deemed Table'!K651</f>
        <v>412.56106071876053</v>
      </c>
      <c r="AC54" s="846">
        <f t="shared" si="63"/>
        <v>1996.0181753905683</v>
      </c>
      <c r="AD54" s="846">
        <f t="shared" si="55"/>
        <v>344.59698807298355</v>
      </c>
      <c r="AE54" s="191">
        <f>'HVAC Deemed Table'!DI651</f>
        <v>1996.0181753905683</v>
      </c>
      <c r="AF54" s="191">
        <f>'HVAC Deemed Table'!DI652</f>
        <v>0</v>
      </c>
      <c r="AG54" s="191">
        <f>'HVAC Deemed Table'!DI653</f>
        <v>344.59698807298355</v>
      </c>
      <c r="AH54" s="191">
        <f>'HVAC Deemed Table'!DI654</f>
        <v>0</v>
      </c>
      <c r="AI54" s="850" t="str">
        <f t="shared" si="42"/>
        <v>per measure</v>
      </c>
      <c r="AJ54" s="45">
        <f>'HVAC Deemed Table'!L651</f>
        <v>2.5726507669889709</v>
      </c>
      <c r="AK54" s="861"/>
      <c r="AL54" s="861"/>
      <c r="AX54" s="1226" t="str">
        <f t="shared" si="64"/>
        <v>ASHP-SEER15-Replace_CAC_NonElectricHeat_ER1_SF</v>
      </c>
      <c r="AY54" s="1249"/>
      <c r="AZ54" s="1312" t="str">
        <f t="shared" si="65"/>
        <v>352310</v>
      </c>
      <c r="BA54" s="1203">
        <f t="shared" si="81"/>
        <v>1312.07</v>
      </c>
      <c r="BB54" s="1203">
        <f t="shared" si="81"/>
        <v>0</v>
      </c>
      <c r="BC54" s="1203">
        <f t="shared" si="82"/>
        <v>269.26</v>
      </c>
      <c r="BD54" s="1203">
        <f t="shared" si="82"/>
        <v>0</v>
      </c>
      <c r="BE54" s="1176"/>
      <c r="BF54" s="1192">
        <f>ROUND(BA54*'CP FACTORS'!$B$9,6)</f>
        <v>1.243079</v>
      </c>
      <c r="BG54" s="1193">
        <f>ROUND(BB54*'CP FACTORS'!$B$14,6)</f>
        <v>0</v>
      </c>
      <c r="BH54" s="1192">
        <f>ROUND(BC54*'CP FACTORS'!$B$9,6)</f>
        <v>0.255102</v>
      </c>
      <c r="BI54" s="1194">
        <f>ROUND(BD54*'CP FACTORS'!$B$14,6)</f>
        <v>0</v>
      </c>
      <c r="BJ54" s="1176"/>
      <c r="BK54" s="685">
        <f t="shared" si="57"/>
        <v>1312.07</v>
      </c>
      <c r="BL54" s="1213">
        <f t="shared" si="58"/>
        <v>269.26</v>
      </c>
      <c r="BM54" s="1212">
        <f t="shared" si="59"/>
        <v>1.243079</v>
      </c>
      <c r="BN54" s="1211">
        <f t="shared" si="60"/>
        <v>0.255102</v>
      </c>
    </row>
    <row r="55" spans="1:66" s="39" customFormat="1" x14ac:dyDescent="0.25">
      <c r="A55" s="49" t="str">
        <f t="shared" si="61"/>
        <v>352350</v>
      </c>
      <c r="B55" s="1307" t="str">
        <f>'HVAC Deemed Table'!C655</f>
        <v>352350_2024_12_</v>
      </c>
      <c r="C55" s="830" t="str">
        <f>'HVAC Deemed Table'!G655</f>
        <v>Cooling Res</v>
      </c>
      <c r="D55" s="830" t="str">
        <f>'HVAC Deemed Table'!G656</f>
        <v>Heating Res</v>
      </c>
      <c r="E55" s="830" t="str">
        <f>'HVAC Deemed Table'!G657</f>
        <v>Cooling Res ER2</v>
      </c>
      <c r="F55" s="830" t="str">
        <f>'HVAC Deemed Table'!G658</f>
        <v>Heating Res ER2</v>
      </c>
      <c r="G55" s="1249" t="str">
        <f>'HVAC Deemed Table'!E655</f>
        <v>ASHP-SEER15_ER1_SF</v>
      </c>
      <c r="H55" s="18" t="str">
        <f>'HVAC Deemed Table'!D655</f>
        <v>PAYS / IE</v>
      </c>
      <c r="I55" s="737">
        <f t="shared" si="48"/>
        <v>3250.1899999999996</v>
      </c>
      <c r="J55" s="737">
        <f t="shared" si="49"/>
        <v>504.33</v>
      </c>
      <c r="K55" s="185">
        <f>'HVAC Deemed Table'!F655</f>
        <v>2004.34</v>
      </c>
      <c r="L55" s="185">
        <f>'HVAC Deemed Table'!F656</f>
        <v>1245.8499999999999</v>
      </c>
      <c r="M55" s="185">
        <f>'HVAC Deemed Table'!F657</f>
        <v>119.46</v>
      </c>
      <c r="N55" s="185">
        <f>'HVAC Deemed Table'!F658</f>
        <v>384.87</v>
      </c>
      <c r="O55" s="738">
        <f t="shared" si="50"/>
        <v>1.8989480000000001</v>
      </c>
      <c r="P55" s="738">
        <f t="shared" si="51"/>
        <v>0.113179</v>
      </c>
      <c r="Q55" s="739">
        <f>'HVAC Deemed Table'!I655</f>
        <v>1.8989480000000001</v>
      </c>
      <c r="R55" s="739">
        <f>'HVAC Deemed Table'!I656</f>
        <v>0</v>
      </c>
      <c r="S55" s="739">
        <f>'HVAC Deemed Table'!I657</f>
        <v>0.113179</v>
      </c>
      <c r="T55" s="739">
        <f>'HVAC Deemed Table'!I658</f>
        <v>0</v>
      </c>
      <c r="U55" s="740">
        <f t="shared" si="52"/>
        <v>0</v>
      </c>
      <c r="V55" s="740">
        <f t="shared" si="53"/>
        <v>0</v>
      </c>
      <c r="W55" s="740">
        <f t="shared" si="54"/>
        <v>1.8989480000000001</v>
      </c>
      <c r="X55" s="22">
        <f>'HVAC Deemed Table'!J655</f>
        <v>6</v>
      </c>
      <c r="Y55" s="22">
        <f>'HVAC Deemed Table'!J657</f>
        <v>12</v>
      </c>
      <c r="Z55" s="22">
        <f t="shared" si="62"/>
        <v>18</v>
      </c>
      <c r="AA55" s="17">
        <f>'HVAC Deemed Table'!DG655</f>
        <v>19.854163033022541</v>
      </c>
      <c r="AB55" s="241">
        <f>'HVAC Deemed Table'!K655</f>
        <v>131.69764772075905</v>
      </c>
      <c r="AC55" s="846">
        <f t="shared" si="63"/>
        <v>2330.1287466240569</v>
      </c>
      <c r="AD55" s="846">
        <f t="shared" si="55"/>
        <v>284.61782228946294</v>
      </c>
      <c r="AE55" s="191">
        <f>'HVAC Deemed Table'!DI655</f>
        <v>1996.0181753905683</v>
      </c>
      <c r="AF55" s="191">
        <f>'HVAC Deemed Table'!DI656</f>
        <v>334.1105712334886</v>
      </c>
      <c r="AG55" s="191">
        <f>'HVAC Deemed Table'!DI657</f>
        <v>154.57177904475299</v>
      </c>
      <c r="AH55" s="191">
        <f>'HVAC Deemed Table'!DI658</f>
        <v>130.04604324470995</v>
      </c>
      <c r="AI55" s="850" t="str">
        <f t="shared" si="42"/>
        <v>per measure</v>
      </c>
      <c r="AJ55" s="45">
        <f>'HVAC Deemed Table'!L655</f>
        <v>2.5726507669889709</v>
      </c>
      <c r="AK55" s="609"/>
      <c r="AL55" s="609"/>
      <c r="AM55"/>
      <c r="AN55"/>
      <c r="AO55"/>
      <c r="AP55"/>
      <c r="AQ55"/>
      <c r="AR55"/>
      <c r="AS55"/>
      <c r="AT55"/>
      <c r="AU55"/>
      <c r="AV55"/>
      <c r="AW55"/>
      <c r="AX55" s="1226" t="str">
        <f t="shared" si="64"/>
        <v>ASHP-SEER15_ER1_SF</v>
      </c>
      <c r="AY55" s="1249"/>
      <c r="AZ55" s="1312" t="str">
        <f t="shared" si="65"/>
        <v>352350</v>
      </c>
      <c r="BA55" s="1203">
        <f>ROUND((K55*$BC$3)+(M55*$BC$4),2)</f>
        <v>1250.3900000000001</v>
      </c>
      <c r="BB55" s="1203">
        <f>ROUND((L55*$BC$3)+(N55*$BC$4),2)</f>
        <v>901.46</v>
      </c>
      <c r="BC55" s="1203">
        <f>ROUND((M55*$BC$3)+(M55*$BC$4),2)</f>
        <v>119.46</v>
      </c>
      <c r="BD55" s="1203">
        <f>ROUND((N55*$BC$3)+(N55*$BC$4),2)</f>
        <v>384.87</v>
      </c>
      <c r="BE55" s="1177"/>
      <c r="BF55" s="1192">
        <f>ROUND(BA55*'CP FACTORS'!$B$9,6)</f>
        <v>1.184642</v>
      </c>
      <c r="BG55" s="1193">
        <f>ROUND(BB55*'CP FACTORS'!$B$14,6)</f>
        <v>0</v>
      </c>
      <c r="BH55" s="1192">
        <f>ROUND(BC55*'CP FACTORS'!$B$9,6)</f>
        <v>0.113179</v>
      </c>
      <c r="BI55" s="1194">
        <f>ROUND(BD55*'CP FACTORS'!$B$14,6)</f>
        <v>0</v>
      </c>
      <c r="BJ55" s="1176"/>
      <c r="BK55" s="685">
        <f t="shared" si="57"/>
        <v>2151.8500000000004</v>
      </c>
      <c r="BL55" s="1213">
        <f t="shared" si="58"/>
        <v>504.33</v>
      </c>
      <c r="BM55" s="1212">
        <f t="shared" si="59"/>
        <v>1.184642</v>
      </c>
      <c r="BN55" s="1211">
        <f t="shared" si="60"/>
        <v>0.113179</v>
      </c>
    </row>
    <row r="56" spans="1:66" x14ac:dyDescent="0.25">
      <c r="A56" s="49" t="str">
        <f>LEFT(B56,6)</f>
        <v>352400</v>
      </c>
      <c r="B56" s="1307" t="str">
        <f>'HVAC Deemed Table'!C659</f>
        <v>352400_2024_12_</v>
      </c>
      <c r="C56" s="830" t="str">
        <f>'HVAC Deemed Table'!G659</f>
        <v>Cooling Res</v>
      </c>
      <c r="D56" s="830" t="str">
        <f>'HVAC Deemed Table'!G660</f>
        <v>Heating Res</v>
      </c>
      <c r="E56" s="1249"/>
      <c r="F56" s="1249"/>
      <c r="G56" s="1249" t="str">
        <f>'HVAC Deemed Table'!E659</f>
        <v>ASHP-SEER15-Replace_CAC_ElectricHeat_ROF_SF</v>
      </c>
      <c r="H56" s="18" t="str">
        <f>'HVAC Deemed Table'!D659</f>
        <v>PAYS / IE</v>
      </c>
      <c r="I56" s="737">
        <f t="shared" si="48"/>
        <v>8749.2199999999993</v>
      </c>
      <c r="J56" s="737">
        <f t="shared" si="49"/>
        <v>0</v>
      </c>
      <c r="K56" s="185">
        <f>'HVAC Deemed Table'!F659</f>
        <v>273.67</v>
      </c>
      <c r="L56" s="185">
        <f>'HVAC Deemed Table'!F660</f>
        <v>8475.5499999999993</v>
      </c>
      <c r="M56" s="185"/>
      <c r="N56" s="185"/>
      <c r="O56" s="738">
        <f t="shared" si="50"/>
        <v>0.25928000000000001</v>
      </c>
      <c r="P56" s="738">
        <f t="shared" si="51"/>
        <v>0</v>
      </c>
      <c r="Q56" s="739">
        <f>'HVAC Deemed Table'!I659</f>
        <v>0.25928000000000001</v>
      </c>
      <c r="R56" s="739">
        <f>'HVAC Deemed Table'!I660</f>
        <v>0</v>
      </c>
      <c r="S56" s="739"/>
      <c r="T56" s="739"/>
      <c r="U56" s="740">
        <f t="shared" si="52"/>
        <v>0</v>
      </c>
      <c r="V56" s="740">
        <f t="shared" si="53"/>
        <v>0</v>
      </c>
      <c r="W56" s="740">
        <f t="shared" si="54"/>
        <v>0.25928000000000001</v>
      </c>
      <c r="X56" s="22">
        <f>'HVAC Deemed Table'!J659</f>
        <v>18</v>
      </c>
      <c r="Y56" s="22"/>
      <c r="Z56" s="22">
        <f t="shared" si="62"/>
        <v>18</v>
      </c>
      <c r="AA56" s="17">
        <f>'HVAC Deemed Table'!DG659</f>
        <v>1.7283831771757425</v>
      </c>
      <c r="AB56" s="241">
        <f>'HVAC Deemed Table'!K659</f>
        <v>3334.5954220882886</v>
      </c>
      <c r="AC56" s="846">
        <f t="shared" si="63"/>
        <v>5763.4586302246425</v>
      </c>
      <c r="AD56" s="846">
        <f t="shared" si="55"/>
        <v>0</v>
      </c>
      <c r="AE56" s="191">
        <f>'HVAC Deemed Table'!DI659</f>
        <v>626.64105476469535</v>
      </c>
      <c r="AF56" s="191">
        <f>'HVAC Deemed Table'!DI660</f>
        <v>5136.817575459947</v>
      </c>
      <c r="AG56" s="191"/>
      <c r="AH56" s="191"/>
      <c r="AI56" s="850" t="str">
        <f t="shared" si="42"/>
        <v>per measure</v>
      </c>
      <c r="AJ56" s="45">
        <f>'HVAC Deemed Table'!L659</f>
        <v>2.8059923701471465</v>
      </c>
      <c r="AK56" s="609"/>
      <c r="AL56" s="609"/>
      <c r="AX56" s="1226" t="str">
        <f t="shared" si="64"/>
        <v>ASHP-SEER15-Replace_CAC_ElectricHeat_ROF_SF</v>
      </c>
      <c r="AY56" s="1249"/>
      <c r="AZ56" s="1312" t="str">
        <f t="shared" si="65"/>
        <v>352400</v>
      </c>
      <c r="BA56" s="1204">
        <f>BA53</f>
        <v>1312.07</v>
      </c>
      <c r="BB56" s="1204">
        <f>BB53</f>
        <v>8052.66</v>
      </c>
      <c r="BC56" s="1204">
        <f>BC53</f>
        <v>269.26</v>
      </c>
      <c r="BD56" s="1204">
        <f>BD53</f>
        <v>8052.66</v>
      </c>
      <c r="BE56" s="1176"/>
      <c r="BF56" s="1192">
        <f>ROUND(BA56*'CP FACTORS'!$B$9,6)</f>
        <v>1.243079</v>
      </c>
      <c r="BG56" s="1193">
        <f>ROUND(BB56*'CP FACTORS'!$B$14,6)</f>
        <v>0</v>
      </c>
      <c r="BH56" s="1192">
        <f>ROUND(BC56*'CP FACTORS'!$B$9,6)</f>
        <v>0.255102</v>
      </c>
      <c r="BI56" s="1194">
        <f>ROUND(BD56*'CP FACTORS'!$B$14,6)</f>
        <v>0</v>
      </c>
      <c r="BJ56" s="1176"/>
      <c r="BK56" s="685">
        <f t="shared" si="57"/>
        <v>9364.73</v>
      </c>
      <c r="BL56" s="1213">
        <f t="shared" si="58"/>
        <v>8321.92</v>
      </c>
      <c r="BM56" s="1212">
        <f t="shared" si="59"/>
        <v>1.243079</v>
      </c>
      <c r="BN56" s="1211">
        <f t="shared" si="60"/>
        <v>0.255102</v>
      </c>
    </row>
    <row r="57" spans="1:66" x14ac:dyDescent="0.25">
      <c r="A57" s="49" t="str">
        <f t="shared" si="61"/>
        <v>352410</v>
      </c>
      <c r="B57" s="1307" t="str">
        <f>'HVAC Deemed Table'!C661</f>
        <v>352410_2024_12_</v>
      </c>
      <c r="C57" s="830" t="str">
        <f>'HVAC Deemed Table'!G661</f>
        <v>Cooling Res</v>
      </c>
      <c r="D57" s="830" t="str">
        <f>'HVAC Deemed Table'!G662</f>
        <v>Heating Res</v>
      </c>
      <c r="E57" s="1249"/>
      <c r="F57" s="1249"/>
      <c r="G57" s="1249" t="str">
        <f>'HVAC Deemed Table'!E661</f>
        <v>ASHP-SEER15-Replace_CAC_NonElectricHeat_ROF_SF</v>
      </c>
      <c r="H57" s="18" t="str">
        <f>'HVAC Deemed Table'!D661</f>
        <v>PAYS / IE</v>
      </c>
      <c r="I57" s="737">
        <f t="shared" si="48"/>
        <v>273.67</v>
      </c>
      <c r="J57" s="737">
        <f t="shared" si="49"/>
        <v>0</v>
      </c>
      <c r="K57" s="185">
        <f>'HVAC Deemed Table'!F661</f>
        <v>273.67</v>
      </c>
      <c r="L57" s="185">
        <f>'HVAC Deemed Table'!F662</f>
        <v>0</v>
      </c>
      <c r="M57" s="185"/>
      <c r="N57" s="185"/>
      <c r="O57" s="738">
        <f t="shared" si="50"/>
        <v>0.25928000000000001</v>
      </c>
      <c r="P57" s="738">
        <f t="shared" si="51"/>
        <v>0</v>
      </c>
      <c r="Q57" s="739">
        <f>'HVAC Deemed Table'!I661</f>
        <v>0.25928000000000001</v>
      </c>
      <c r="R57" s="739">
        <f>'HVAC Deemed Table'!I662</f>
        <v>0</v>
      </c>
      <c r="S57" s="739"/>
      <c r="T57" s="739"/>
      <c r="U57" s="740">
        <f t="shared" si="52"/>
        <v>0</v>
      </c>
      <c r="V57" s="740">
        <f t="shared" si="53"/>
        <v>0</v>
      </c>
      <c r="W57" s="740">
        <f t="shared" si="54"/>
        <v>0.25928000000000001</v>
      </c>
      <c r="X57" s="22">
        <f>'HVAC Deemed Table'!J661</f>
        <v>18</v>
      </c>
      <c r="Y57" s="22"/>
      <c r="Z57" s="22">
        <f t="shared" si="62"/>
        <v>18</v>
      </c>
      <c r="AA57" s="17">
        <f>'HVAC Deemed Table'!DG661</f>
        <v>6.0078328301575832</v>
      </c>
      <c r="AB57" s="241">
        <f>'HVAC Deemed Table'!K661</f>
        <v>104.30400986178219</v>
      </c>
      <c r="AC57" s="846">
        <f t="shared" si="63"/>
        <v>626.64105476469535</v>
      </c>
      <c r="AD57" s="846">
        <f t="shared" si="55"/>
        <v>0</v>
      </c>
      <c r="AE57" s="191">
        <f>'HVAC Deemed Table'!DI661</f>
        <v>626.64105476469535</v>
      </c>
      <c r="AF57" s="191">
        <f>'HVAC Deemed Table'!DI662</f>
        <v>0</v>
      </c>
      <c r="AG57" s="191"/>
      <c r="AH57" s="191"/>
      <c r="AI57" s="850" t="str">
        <f t="shared" si="42"/>
        <v>per measure</v>
      </c>
      <c r="AJ57" s="45">
        <f>'HVAC Deemed Table'!L661</f>
        <v>2.8059923701471465</v>
      </c>
      <c r="AK57" s="861"/>
      <c r="AL57" s="861"/>
      <c r="AX57" s="1226" t="str">
        <f t="shared" si="64"/>
        <v>ASHP-SEER15-Replace_CAC_NonElectricHeat_ROF_SF</v>
      </c>
      <c r="AY57" s="1249"/>
      <c r="AZ57" s="1312" t="str">
        <f t="shared" si="65"/>
        <v>352410</v>
      </c>
      <c r="BA57" s="1204">
        <f t="shared" ref="BA57:BD57" si="83">BA54</f>
        <v>1312.07</v>
      </c>
      <c r="BB57" s="1204">
        <f t="shared" si="83"/>
        <v>0</v>
      </c>
      <c r="BC57" s="1204">
        <f t="shared" si="83"/>
        <v>269.26</v>
      </c>
      <c r="BD57" s="1204">
        <f t="shared" si="83"/>
        <v>0</v>
      </c>
      <c r="BE57" s="1176"/>
      <c r="BF57" s="1192">
        <f>ROUND(BA57*'CP FACTORS'!$B$9,6)</f>
        <v>1.243079</v>
      </c>
      <c r="BG57" s="1193">
        <f>ROUND(BB57*'CP FACTORS'!$B$14,6)</f>
        <v>0</v>
      </c>
      <c r="BH57" s="1192">
        <f>ROUND(BC57*'CP FACTORS'!$B$9,6)</f>
        <v>0.255102</v>
      </c>
      <c r="BI57" s="1194">
        <f>ROUND(BD57*'CP FACTORS'!$B$14,6)</f>
        <v>0</v>
      </c>
      <c r="BJ57" s="1176"/>
      <c r="BK57" s="685">
        <f t="shared" si="57"/>
        <v>1312.07</v>
      </c>
      <c r="BL57" s="1213">
        <f t="shared" si="58"/>
        <v>269.26</v>
      </c>
      <c r="BM57" s="1212">
        <f t="shared" si="59"/>
        <v>1.243079</v>
      </c>
      <c r="BN57" s="1211">
        <f t="shared" si="60"/>
        <v>0.255102</v>
      </c>
    </row>
    <row r="58" spans="1:66" s="39" customFormat="1" x14ac:dyDescent="0.25">
      <c r="A58" s="659" t="str">
        <f t="shared" ref="A58" si="84">LEFT(B58,6)</f>
        <v>352420</v>
      </c>
      <c r="B58" s="645" t="str">
        <f>'HVAC Deemed Table'!C663</f>
        <v>352420_2025_12_</v>
      </c>
      <c r="C58" s="2116" t="str">
        <f>'HVAC Deemed Table'!G663</f>
        <v>Cooling Res</v>
      </c>
      <c r="D58" s="2116" t="str">
        <f>'HVAC Deemed Table'!G664</f>
        <v>Heating Res</v>
      </c>
      <c r="E58" s="2116" t="str">
        <f>'HVAC Deemed Table'!G665</f>
        <v>Cooling Res ER2</v>
      </c>
      <c r="F58" s="2116" t="str">
        <f>'HVAC Deemed Table'!G666</f>
        <v>Heating Res ER2</v>
      </c>
      <c r="G58" s="644" t="str">
        <f>'HVAC Deemed Table'!E663</f>
        <v>ASHP-SEER15-Replace_CAC_ElectricHeat_ER1_MF</v>
      </c>
      <c r="H58" s="650" t="str">
        <f>'HVAC Deemed Table'!D663</f>
        <v>IE</v>
      </c>
      <c r="I58" s="648">
        <f t="shared" ref="I58" si="85">K58+L58</f>
        <v>8069.8099999999995</v>
      </c>
      <c r="J58" s="648">
        <f t="shared" ref="J58" si="86">M58+N58</f>
        <v>6344.8099999999995</v>
      </c>
      <c r="K58" s="646">
        <f>'HVAC Deemed Table'!F663</f>
        <v>1923.9</v>
      </c>
      <c r="L58" s="646">
        <f>'HVAC Deemed Table'!F664</f>
        <v>6145.91</v>
      </c>
      <c r="M58" s="646">
        <f>'HVAC Deemed Table'!F665</f>
        <v>198.9</v>
      </c>
      <c r="N58" s="646">
        <f>'HVAC Deemed Table'!F666</f>
        <v>6145.91</v>
      </c>
      <c r="O58" s="649">
        <f t="shared" ref="O58" si="87">Q58+R58</f>
        <v>1.822738</v>
      </c>
      <c r="P58" s="649">
        <f t="shared" ref="P58" si="88">S58+T58</f>
        <v>0.188441</v>
      </c>
      <c r="Q58" s="651">
        <f>'HVAC Deemed Table'!I663</f>
        <v>1.822738</v>
      </c>
      <c r="R58" s="651">
        <f>'HVAC Deemed Table'!I664</f>
        <v>0</v>
      </c>
      <c r="S58" s="651">
        <f>'HVAC Deemed Table'!I665</f>
        <v>0.188441</v>
      </c>
      <c r="T58" s="651">
        <f>'HVAC Deemed Table'!I666</f>
        <v>0</v>
      </c>
      <c r="U58" s="2117">
        <f t="shared" ref="U58" si="89">IFERROR(IF(V58+W58&gt;0,0,IF(Z58&gt;0,O58,0)),0)</f>
        <v>0</v>
      </c>
      <c r="V58" s="2117">
        <f t="shared" ref="V58" si="90">IF(W58&gt;0,0,IF(Z58&gt;9,O58,0))</f>
        <v>0</v>
      </c>
      <c r="W58" s="2117">
        <f t="shared" ref="W58" si="91">IF(Z58&gt;14,O58,0)</f>
        <v>1.822738</v>
      </c>
      <c r="X58" s="642">
        <f>'HVAC Deemed Table'!J663</f>
        <v>6</v>
      </c>
      <c r="Y58" s="642">
        <f>'HVAC Deemed Table'!J665</f>
        <v>12</v>
      </c>
      <c r="Z58" s="642">
        <f t="shared" ref="Z58" si="92">Y58+X58</f>
        <v>18</v>
      </c>
      <c r="AA58" s="112">
        <f>'HVAC Deemed Table'!DG663</f>
        <v>2.0243771694958634</v>
      </c>
      <c r="AB58" s="733">
        <f>'HVAC Deemed Table'!K663</f>
        <v>2913.5649648885365</v>
      </c>
      <c r="AC58" s="736">
        <f t="shared" ref="AC58" si="93">AE58+AF58</f>
        <v>3564.1149885306822</v>
      </c>
      <c r="AD58" s="736">
        <f t="shared" ref="AD58" si="94">AG58+AH58</f>
        <v>2334.0394082326875</v>
      </c>
      <c r="AE58" s="652">
        <f>'HVAC Deemed Table'!DI663</f>
        <v>1915.9121544418188</v>
      </c>
      <c r="AF58" s="652">
        <f>'HVAC Deemed Table'!DI664</f>
        <v>1648.2028340888633</v>
      </c>
      <c r="AG58" s="652">
        <f>'HVAC Deemed Table'!DI665</f>
        <v>257.36084758079164</v>
      </c>
      <c r="AH58" s="652">
        <f>'HVAC Deemed Table'!DI666</f>
        <v>2076.6785606518961</v>
      </c>
      <c r="AI58" s="850" t="str">
        <f t="shared" si="42"/>
        <v>per measure</v>
      </c>
      <c r="AJ58" s="46">
        <f>'HVAC Deemed Table'!L663</f>
        <v>2.0347222222222219</v>
      </c>
      <c r="AK58" s="861"/>
      <c r="AL58" s="861"/>
      <c r="AN58" s="2129"/>
      <c r="AO58" s="2129"/>
      <c r="AP58" s="2129"/>
      <c r="AQ58" s="2129"/>
      <c r="AR58" s="2129"/>
      <c r="AS58" s="2129"/>
      <c r="AT58" s="2129"/>
      <c r="AU58" s="2129"/>
      <c r="AV58" s="2129"/>
      <c r="AW58" s="2129"/>
      <c r="AX58" s="2130" t="str">
        <f t="shared" ref="AX58" si="95">G58</f>
        <v>ASHP-SEER15-Replace_CAC_ElectricHeat_ER1_MF</v>
      </c>
      <c r="AY58" s="2131"/>
      <c r="AZ58" s="2119" t="str">
        <f t="shared" ref="AZ58" si="96">A58</f>
        <v>352420</v>
      </c>
      <c r="BA58" s="2120">
        <f>ROUND((K58*$BC$3)+(K59*$BC$4),2)</f>
        <v>1259.4000000000001</v>
      </c>
      <c r="BB58" s="2120">
        <f>ROUND((L58*$BC$3)+(L59*$BC$4),2)</f>
        <v>7151.07</v>
      </c>
      <c r="BC58" s="2120">
        <f>ROUND((M58*$BC$3)+(K59*$BC$4),2)</f>
        <v>224.4</v>
      </c>
      <c r="BD58" s="2120">
        <f>ROUND((N58*$BC$3)+(L59*$BC$4),2)</f>
        <v>7151.07</v>
      </c>
      <c r="BE58" s="1177"/>
      <c r="BF58" s="1193">
        <f>ROUND(BA58*'CP FACTORS'!$B$9,6)</f>
        <v>1.1931780000000001</v>
      </c>
      <c r="BG58" s="1193">
        <f>ROUND(BB58*'CP FACTORS'!$B$14,6)</f>
        <v>0</v>
      </c>
      <c r="BH58" s="1193">
        <f>ROUND(BC58*'CP FACTORS'!$B$9,6)</f>
        <v>0.21260100000000001</v>
      </c>
      <c r="BI58" s="1194">
        <f>ROUND(BD58*'CP FACTORS'!$B$14,6)</f>
        <v>0</v>
      </c>
      <c r="BJ58" s="1177"/>
      <c r="BK58" s="204">
        <f t="shared" ref="BK58" si="97">BA58+BB58</f>
        <v>8410.4699999999993</v>
      </c>
      <c r="BL58" s="2121">
        <f t="shared" ref="BL58" si="98">BC58+BD58</f>
        <v>7375.4699999999993</v>
      </c>
      <c r="BM58" s="2122">
        <f t="shared" ref="BM58" si="99">BF58+BG58</f>
        <v>1.1931780000000001</v>
      </c>
      <c r="BN58" s="1194">
        <f t="shared" ref="BN58" si="100">BH58+BI58</f>
        <v>0.21260100000000001</v>
      </c>
    </row>
    <row r="59" spans="1:66" s="39" customFormat="1" x14ac:dyDescent="0.25">
      <c r="A59" s="659" t="str">
        <f t="shared" ref="A59" si="101">LEFT(B59,6)</f>
        <v>352425</v>
      </c>
      <c r="B59" s="645" t="str">
        <f>'HVAC Deemed Table'!C667</f>
        <v>352425_2025_12_</v>
      </c>
      <c r="C59" s="2116" t="str">
        <f>'HVAC Deemed Table'!G667</f>
        <v>Cooling Res</v>
      </c>
      <c r="D59" s="2116" t="str">
        <f>'HVAC Deemed Table'!G668</f>
        <v>Heating Res</v>
      </c>
      <c r="E59" s="2116"/>
      <c r="F59" s="2116"/>
      <c r="G59" s="644" t="str">
        <f>'HVAC Deemed Table'!E667</f>
        <v>ASHP-SEER15-Replace_CAC_ElectricHeat_ROF_MF</v>
      </c>
      <c r="H59" s="650" t="str">
        <f>'HVAC Deemed Table'!D667</f>
        <v>IE</v>
      </c>
      <c r="I59" s="648">
        <f t="shared" ref="I59" si="102">K59+L59</f>
        <v>8921.4599999999991</v>
      </c>
      <c r="J59" s="648">
        <f t="shared" ref="J59" si="103">M59+N59</f>
        <v>0</v>
      </c>
      <c r="K59" s="646">
        <f>'HVAC Deemed Table'!F667</f>
        <v>262.64999999999998</v>
      </c>
      <c r="L59" s="646">
        <f>'HVAC Deemed Table'!F668</f>
        <v>8658.81</v>
      </c>
      <c r="M59" s="646"/>
      <c r="N59" s="646"/>
      <c r="O59" s="649">
        <f t="shared" ref="O59" si="104">Q59+R59</f>
        <v>0.248839</v>
      </c>
      <c r="P59" s="649">
        <f t="shared" ref="P59" si="105">S59+T59</f>
        <v>0</v>
      </c>
      <c r="Q59" s="651">
        <f>'HVAC Deemed Table'!I667</f>
        <v>0.248839</v>
      </c>
      <c r="R59" s="651">
        <f>'HVAC Deemed Table'!I668</f>
        <v>0</v>
      </c>
      <c r="S59" s="651"/>
      <c r="T59" s="651"/>
      <c r="U59" s="2117">
        <f t="shared" ref="U59" si="106">IFERROR(IF(V59+W59&gt;0,0,IF(Z59&gt;0,O59,0)),0)</f>
        <v>0</v>
      </c>
      <c r="V59" s="2117">
        <f t="shared" ref="V59" si="107">IF(W59&gt;0,0,IF(Z59&gt;9,O59,0))</f>
        <v>0</v>
      </c>
      <c r="W59" s="2117">
        <f t="shared" ref="W59" si="108">IF(Z59&gt;14,O59,0)</f>
        <v>0.248839</v>
      </c>
      <c r="X59" s="642">
        <f>'HVAC Deemed Table'!J667</f>
        <v>18</v>
      </c>
      <c r="Y59" s="642"/>
      <c r="Z59" s="642">
        <f t="shared" ref="Z59" si="109">Y59+X59</f>
        <v>18</v>
      </c>
      <c r="AA59" s="112">
        <f>'HVAC Deemed Table'!DG667</f>
        <v>1.7351808517883911</v>
      </c>
      <c r="AB59" s="733">
        <f>'HVAC Deemed Table'!K667</f>
        <v>3371</v>
      </c>
      <c r="AC59" s="736">
        <f t="shared" ref="AC59" si="110">AE59+AF59</f>
        <v>5849.2946513786665</v>
      </c>
      <c r="AD59" s="736">
        <f t="shared" ref="AD59" si="111">AG59+AH59</f>
        <v>0</v>
      </c>
      <c r="AE59" s="652">
        <f>'HVAC Deemed Table'!DI667</f>
        <v>601.40780149065381</v>
      </c>
      <c r="AF59" s="652">
        <f>'HVAC Deemed Table'!DI668</f>
        <v>5247.8868498880129</v>
      </c>
      <c r="AG59" s="652"/>
      <c r="AH59" s="652"/>
      <c r="AI59" s="850" t="str">
        <f t="shared" si="42"/>
        <v>per measure</v>
      </c>
      <c r="AJ59" s="46">
        <f>'HVAC Deemed Table'!L667</f>
        <v>2.7222222222222223</v>
      </c>
      <c r="AK59" s="861"/>
      <c r="AL59" s="861"/>
      <c r="AN59" s="2129"/>
      <c r="AO59" s="2129"/>
      <c r="AP59" s="2129"/>
      <c r="AQ59" s="2129"/>
      <c r="AR59" s="2129"/>
      <c r="AS59" s="2129"/>
      <c r="AT59" s="2129"/>
      <c r="AU59" s="2129"/>
      <c r="AV59" s="2129"/>
      <c r="AW59" s="2129"/>
      <c r="AX59" s="2130" t="str">
        <f t="shared" ref="AX59" si="112">G59</f>
        <v>ASHP-SEER15-Replace_CAC_ElectricHeat_ROF_MF</v>
      </c>
      <c r="AY59" s="2131"/>
      <c r="AZ59" s="2119" t="str">
        <f t="shared" ref="AZ59" si="113">A59</f>
        <v>352425</v>
      </c>
      <c r="BA59" s="2120">
        <f>BA58</f>
        <v>1259.4000000000001</v>
      </c>
      <c r="BB59" s="2120">
        <f t="shared" ref="BB59:BD59" si="114">BB58</f>
        <v>7151.07</v>
      </c>
      <c r="BC59" s="2120">
        <f t="shared" si="114"/>
        <v>224.4</v>
      </c>
      <c r="BD59" s="2120">
        <f t="shared" si="114"/>
        <v>7151.07</v>
      </c>
      <c r="BE59" s="1177"/>
      <c r="BF59" s="1193">
        <f>ROUND(BA59*'CP FACTORS'!$B$9,6)</f>
        <v>1.1931780000000001</v>
      </c>
      <c r="BG59" s="1193">
        <f>ROUND(BB59*'CP FACTORS'!$B$14,6)</f>
        <v>0</v>
      </c>
      <c r="BH59" s="1193">
        <f>ROUND(BC59*'CP FACTORS'!$B$9,6)</f>
        <v>0.21260100000000001</v>
      </c>
      <c r="BI59" s="1194">
        <f>ROUND(BD59*'CP FACTORS'!$B$14,6)</f>
        <v>0</v>
      </c>
      <c r="BJ59" s="1177"/>
      <c r="BK59" s="204">
        <f t="shared" ref="BK59" si="115">BA59+BB59</f>
        <v>8410.4699999999993</v>
      </c>
      <c r="BL59" s="2121">
        <f t="shared" ref="BL59" si="116">BC59+BD59</f>
        <v>7375.4699999999993</v>
      </c>
      <c r="BM59" s="2122">
        <f t="shared" ref="BM59" si="117">BF59+BG59</f>
        <v>1.1931780000000001</v>
      </c>
      <c r="BN59" s="1194">
        <f t="shared" ref="BN59" si="118">BH59+BI59</f>
        <v>0.21260100000000001</v>
      </c>
    </row>
    <row r="60" spans="1:66" x14ac:dyDescent="0.25">
      <c r="A60" s="49" t="str">
        <f t="shared" si="61"/>
        <v>352500</v>
      </c>
      <c r="B60" s="1307" t="str">
        <f>'HVAC Deemed Table'!C669</f>
        <v>352500_2024_12_</v>
      </c>
      <c r="C60" s="830" t="str">
        <f>'HVAC Deemed Table'!G669</f>
        <v>Cooling Res</v>
      </c>
      <c r="D60" s="830" t="str">
        <f>'HVAC Deemed Table'!G670</f>
        <v>Heating Res</v>
      </c>
      <c r="E60" s="830" t="str">
        <f>'HVAC Deemed Table'!G671</f>
        <v>Cooling Res ER2</v>
      </c>
      <c r="F60" s="830" t="str">
        <f>'HVAC Deemed Table'!G672</f>
        <v>Heating Res ER2</v>
      </c>
      <c r="G60" s="1249" t="str">
        <f>'HVAC Deemed Table'!E669</f>
        <v>ASHP-SEER16-Replace_CAC_ElectricHeat_ER1_SF</v>
      </c>
      <c r="H60" s="18" t="str">
        <f>'HVAC Deemed Table'!D669</f>
        <v>PAYS / IE</v>
      </c>
      <c r="I60" s="737">
        <f t="shared" si="48"/>
        <v>9795.18</v>
      </c>
      <c r="J60" s="737">
        <f t="shared" si="49"/>
        <v>8032.4400000000005</v>
      </c>
      <c r="K60" s="185">
        <f>'HVAC Deemed Table'!F669</f>
        <v>2150.16</v>
      </c>
      <c r="L60" s="185">
        <f>'HVAC Deemed Table'!F670</f>
        <v>7645.02</v>
      </c>
      <c r="M60" s="185">
        <f>'HVAC Deemed Table'!F671</f>
        <v>387.42</v>
      </c>
      <c r="N60" s="185">
        <f>'HVAC Deemed Table'!F672</f>
        <v>7645.02</v>
      </c>
      <c r="O60" s="738">
        <f t="shared" si="50"/>
        <v>2.0371009999999998</v>
      </c>
      <c r="P60" s="738">
        <f t="shared" si="51"/>
        <v>0.36704900000000001</v>
      </c>
      <c r="Q60" s="739">
        <f>'HVAC Deemed Table'!I669</f>
        <v>2.0371009999999998</v>
      </c>
      <c r="R60" s="739">
        <f>'HVAC Deemed Table'!I670</f>
        <v>0</v>
      </c>
      <c r="S60" s="739">
        <f>'HVAC Deemed Table'!I671</f>
        <v>0.36704900000000001</v>
      </c>
      <c r="T60" s="739">
        <f>'HVAC Deemed Table'!I672</f>
        <v>0</v>
      </c>
      <c r="U60" s="740">
        <f t="shared" si="52"/>
        <v>0</v>
      </c>
      <c r="V60" s="740">
        <f t="shared" si="53"/>
        <v>0</v>
      </c>
      <c r="W60" s="740">
        <f t="shared" si="54"/>
        <v>2.0371009999999998</v>
      </c>
      <c r="X60" s="22">
        <f>'HVAC Deemed Table'!J669</f>
        <v>6</v>
      </c>
      <c r="Y60" s="22">
        <f>'HVAC Deemed Table'!J671</f>
        <v>12</v>
      </c>
      <c r="Z60" s="22">
        <f t="shared" si="62"/>
        <v>18</v>
      </c>
      <c r="AA60" s="17">
        <f>'HVAC Deemed Table'!DG669</f>
        <v>2.0804263440096844</v>
      </c>
      <c r="AB60" s="241">
        <f>'HVAC Deemed Table'!K669</f>
        <v>3497.3493799102171</v>
      </c>
      <c r="AC60" s="846">
        <f t="shared" si="63"/>
        <v>4191.4651158469269</v>
      </c>
      <c r="AD60" s="846">
        <f t="shared" si="55"/>
        <v>3084.5126683242224</v>
      </c>
      <c r="AE60" s="191">
        <f>'HVAC Deemed Table'!DI669</f>
        <v>2141.2327449423674</v>
      </c>
      <c r="AF60" s="191">
        <f>'HVAC Deemed Table'!DI670</f>
        <v>2050.2323709045595</v>
      </c>
      <c r="AG60" s="191">
        <f>'HVAC Deemed Table'!DI671</f>
        <v>501.29079723353601</v>
      </c>
      <c r="AH60" s="191">
        <f>'HVAC Deemed Table'!DI672</f>
        <v>2583.2218710906864</v>
      </c>
      <c r="AI60" s="850" t="str">
        <f>AI58</f>
        <v>per measure</v>
      </c>
      <c r="AJ60" s="45">
        <f>'HVAC Deemed Table'!L669</f>
        <v>2.5310295805916874</v>
      </c>
      <c r="AK60" s="609"/>
      <c r="AL60" s="609"/>
      <c r="AX60" s="1226" t="str">
        <f t="shared" si="64"/>
        <v>ASHP-SEER16-Replace_CAC_ElectricHeat_ER1_SF</v>
      </c>
      <c r="AY60" s="1249"/>
      <c r="AZ60" s="1312" t="str">
        <f t="shared" si="65"/>
        <v>352500</v>
      </c>
      <c r="BA60" s="1203">
        <f>ROUND((K60*$BC$3)+(K64*$BC$4),2)</f>
        <v>1447.94</v>
      </c>
      <c r="BB60" s="1203">
        <f>ROUND((L60*$BC$3)+(L64*$BC$4),2)</f>
        <v>7982.6</v>
      </c>
      <c r="BC60" s="1203">
        <f>ROUND((M60*$BC$3)+(K64*$BC$4),2)</f>
        <v>390.3</v>
      </c>
      <c r="BD60" s="1203">
        <f>ROUND((N60*$BC$3)+(L64*$BC$4),2)</f>
        <v>7982.6</v>
      </c>
      <c r="BE60" s="1176"/>
      <c r="BF60" s="1192">
        <f>ROUND(BA60*'CP FACTORS'!$B$9,6)</f>
        <v>1.3718049999999999</v>
      </c>
      <c r="BG60" s="1193">
        <f>ROUND(BB60*'CP FACTORS'!$B$14,6)</f>
        <v>0</v>
      </c>
      <c r="BH60" s="1192">
        <f>ROUND(BC60*'CP FACTORS'!$B$9,6)</f>
        <v>0.36977700000000002</v>
      </c>
      <c r="BI60" s="1194">
        <f>ROUND(BD60*'CP FACTORS'!$B$14,6)</f>
        <v>0</v>
      </c>
      <c r="BJ60" s="1176"/>
      <c r="BK60" s="685">
        <f t="shared" si="57"/>
        <v>9430.5400000000009</v>
      </c>
      <c r="BL60" s="1213">
        <f t="shared" si="58"/>
        <v>8372.9</v>
      </c>
      <c r="BM60" s="1212">
        <f t="shared" si="59"/>
        <v>1.3718049999999999</v>
      </c>
      <c r="BN60" s="1211">
        <f t="shared" si="60"/>
        <v>0.36977700000000002</v>
      </c>
    </row>
    <row r="61" spans="1:66" x14ac:dyDescent="0.25">
      <c r="A61" s="49" t="str">
        <f t="shared" si="61"/>
        <v>352510</v>
      </c>
      <c r="B61" s="1307" t="str">
        <f>'HVAC Deemed Table'!C673</f>
        <v>352510_2024_12_</v>
      </c>
      <c r="C61" s="830" t="str">
        <f>'HVAC Deemed Table'!G673</f>
        <v>Cooling Res</v>
      </c>
      <c r="D61" s="830" t="str">
        <f>'HVAC Deemed Table'!G674</f>
        <v>Heating Res</v>
      </c>
      <c r="E61" s="830" t="str">
        <f>'HVAC Deemed Table'!G675</f>
        <v>Cooling Res ER2</v>
      </c>
      <c r="F61" s="830" t="str">
        <f>'HVAC Deemed Table'!G676</f>
        <v>Heating Res ER2</v>
      </c>
      <c r="G61" s="1249" t="str">
        <f>'HVAC Deemed Table'!E673</f>
        <v>ASHP-SEER16-Replace_CAC_NonElectricHeat_ER1_SF</v>
      </c>
      <c r="H61" s="18" t="str">
        <f>'HVAC Deemed Table'!D673</f>
        <v>PAYS / IE</v>
      </c>
      <c r="I61" s="737">
        <f t="shared" si="48"/>
        <v>2150.16</v>
      </c>
      <c r="J61" s="737">
        <f t="shared" si="49"/>
        <v>387.42</v>
      </c>
      <c r="K61" s="185">
        <f>'HVAC Deemed Table'!F673</f>
        <v>2150.16</v>
      </c>
      <c r="L61" s="185">
        <f>'HVAC Deemed Table'!F674</f>
        <v>0</v>
      </c>
      <c r="M61" s="185">
        <f>'HVAC Deemed Table'!F675</f>
        <v>387.42</v>
      </c>
      <c r="N61" s="185">
        <f>'HVAC Deemed Table'!F676</f>
        <v>0</v>
      </c>
      <c r="O61" s="738">
        <f t="shared" si="50"/>
        <v>2.0371009999999998</v>
      </c>
      <c r="P61" s="738">
        <f t="shared" si="51"/>
        <v>0.36704900000000001</v>
      </c>
      <c r="Q61" s="739">
        <f>'HVAC Deemed Table'!I673</f>
        <v>2.0371009999999998</v>
      </c>
      <c r="R61" s="739">
        <f>'HVAC Deemed Table'!I674</f>
        <v>0</v>
      </c>
      <c r="S61" s="739">
        <f>'HVAC Deemed Table'!I675</f>
        <v>0.36704900000000001</v>
      </c>
      <c r="T61" s="739">
        <f>'HVAC Deemed Table'!I676</f>
        <v>0</v>
      </c>
      <c r="U61" s="740">
        <f t="shared" si="52"/>
        <v>0</v>
      </c>
      <c r="V61" s="740">
        <f t="shared" si="53"/>
        <v>0</v>
      </c>
      <c r="W61" s="740">
        <f t="shared" si="54"/>
        <v>2.0371009999999998</v>
      </c>
      <c r="X61" s="22">
        <f>'HVAC Deemed Table'!J673</f>
        <v>6</v>
      </c>
      <c r="Y61" s="22">
        <f>'HVAC Deemed Table'!J675</f>
        <v>12</v>
      </c>
      <c r="Z61" s="22">
        <f t="shared" si="62"/>
        <v>18</v>
      </c>
      <c r="AA61" s="17">
        <f>'HVAC Deemed Table'!DG673</f>
        <v>5.3082756986058346</v>
      </c>
      <c r="AB61" s="241">
        <f>'HVAC Deemed Table'!K673</f>
        <v>497.81203769614604</v>
      </c>
      <c r="AC61" s="846">
        <f t="shared" si="63"/>
        <v>2141.2327449423674</v>
      </c>
      <c r="AD61" s="846">
        <f t="shared" si="55"/>
        <v>501.29079723353601</v>
      </c>
      <c r="AE61" s="191">
        <f>'HVAC Deemed Table'!DI673</f>
        <v>2141.2327449423674</v>
      </c>
      <c r="AF61" s="191">
        <f>'HVAC Deemed Table'!DI674</f>
        <v>0</v>
      </c>
      <c r="AG61" s="191">
        <f>'HVAC Deemed Table'!DI675</f>
        <v>501.29079723353601</v>
      </c>
      <c r="AH61" s="191">
        <f>'HVAC Deemed Table'!DI676</f>
        <v>0</v>
      </c>
      <c r="AI61" s="850" t="str">
        <f t="shared" si="42"/>
        <v>per measure</v>
      </c>
      <c r="AJ61" s="45">
        <f>'HVAC Deemed Table'!L673</f>
        <v>2.5310295805916874</v>
      </c>
      <c r="AK61" s="861"/>
      <c r="AL61" s="861"/>
      <c r="AX61" s="1226" t="str">
        <f t="shared" si="64"/>
        <v>ASHP-SEER16-Replace_CAC_NonElectricHeat_ER1_SF</v>
      </c>
      <c r="AY61" s="1249"/>
      <c r="AZ61" s="1312" t="str">
        <f t="shared" si="65"/>
        <v>352510</v>
      </c>
      <c r="BA61" s="1203">
        <f>ROUND((K61*$BC$3)+(K66*$BC$4),2)</f>
        <v>1447.94</v>
      </c>
      <c r="BB61" s="1203">
        <f>ROUND((L61*$BC$3)+(L66*$BC$4),2)</f>
        <v>0</v>
      </c>
      <c r="BC61" s="1203">
        <f>ROUND((M61*$BC$3)+(K66*$BC$4),2)</f>
        <v>390.3</v>
      </c>
      <c r="BD61" s="1203">
        <f>ROUND((N61*$BC$3)+(L66*$BC$4),2)</f>
        <v>0</v>
      </c>
      <c r="BE61" s="1176"/>
      <c r="BF61" s="1192">
        <f>ROUND(BA61*'CP FACTORS'!$B$9,6)</f>
        <v>1.3718049999999999</v>
      </c>
      <c r="BG61" s="1193">
        <f>ROUND(BB61*'CP FACTORS'!$B$14,6)</f>
        <v>0</v>
      </c>
      <c r="BH61" s="1192">
        <f>ROUND(BC61*'CP FACTORS'!$B$9,6)</f>
        <v>0.36977700000000002</v>
      </c>
      <c r="BI61" s="1194">
        <f>ROUND(BD61*'CP FACTORS'!$B$14,6)</f>
        <v>0</v>
      </c>
      <c r="BJ61" s="1176"/>
      <c r="BK61" s="685">
        <f t="shared" si="57"/>
        <v>1447.94</v>
      </c>
      <c r="BL61" s="1213">
        <f t="shared" si="58"/>
        <v>390.3</v>
      </c>
      <c r="BM61" s="1212">
        <f t="shared" si="59"/>
        <v>1.3718049999999999</v>
      </c>
      <c r="BN61" s="1211">
        <f t="shared" si="60"/>
        <v>0.36977700000000002</v>
      </c>
    </row>
    <row r="62" spans="1:66" s="39" customFormat="1" x14ac:dyDescent="0.25">
      <c r="A62" s="659" t="str">
        <f t="shared" ref="A62" si="119">LEFT(B62,6)</f>
        <v>352520</v>
      </c>
      <c r="B62" s="645" t="str">
        <f>'HVAC Deemed Table'!C677</f>
        <v>352520_2025_12_</v>
      </c>
      <c r="C62" s="2116" t="str">
        <f>'HVAC Deemed Table'!G677</f>
        <v>Cooling Res</v>
      </c>
      <c r="D62" s="2116" t="str">
        <f>'HVAC Deemed Table'!G678</f>
        <v>Heating Res</v>
      </c>
      <c r="E62" s="2116" t="str">
        <f>'HVAC Deemed Table'!G679</f>
        <v>Cooling Res ER2</v>
      </c>
      <c r="F62" s="2116" t="str">
        <f>'HVAC Deemed Table'!G680</f>
        <v>Heating Res ER2</v>
      </c>
      <c r="G62" s="644" t="str">
        <f>'HVAC Deemed Table'!E677</f>
        <v>ASHP-SEER16-Replace_CAC_NonElectricHeat_ER1_MF</v>
      </c>
      <c r="H62" s="650" t="str">
        <f>'HVAC Deemed Table'!D677</f>
        <v>IE</v>
      </c>
      <c r="I62" s="648">
        <f t="shared" ref="I62" si="120">K62+L62</f>
        <v>1811.61</v>
      </c>
      <c r="J62" s="648">
        <f t="shared" ref="J62" si="121">M62+N62</f>
        <v>148.5</v>
      </c>
      <c r="K62" s="646">
        <f>'HVAC Deemed Table'!F677</f>
        <v>1811.61</v>
      </c>
      <c r="L62" s="646">
        <f>'HVAC Deemed Table'!F678</f>
        <v>0</v>
      </c>
      <c r="M62" s="646">
        <f>'HVAC Deemed Table'!F679</f>
        <v>148.5</v>
      </c>
      <c r="N62" s="646">
        <f>'HVAC Deemed Table'!F680</f>
        <v>0</v>
      </c>
      <c r="O62" s="649">
        <f t="shared" ref="O62" si="122">Q62+R62</f>
        <v>1.7163520000000001</v>
      </c>
      <c r="P62" s="649">
        <f t="shared" ref="P62" si="123">S62+T62</f>
        <v>0.14069200000000001</v>
      </c>
      <c r="Q62" s="651">
        <f>'HVAC Deemed Table'!I677</f>
        <v>1.7163520000000001</v>
      </c>
      <c r="R62" s="651">
        <f>'HVAC Deemed Table'!I678</f>
        <v>0</v>
      </c>
      <c r="S62" s="651">
        <f>'HVAC Deemed Table'!I679</f>
        <v>0.14069200000000001</v>
      </c>
      <c r="T62" s="651">
        <f>'HVAC Deemed Table'!I680</f>
        <v>0</v>
      </c>
      <c r="U62" s="2117">
        <f t="shared" ref="U62" si="124">IFERROR(IF(V62+W62&gt;0,0,IF(Z62&gt;0,O62,0)),0)</f>
        <v>0</v>
      </c>
      <c r="V62" s="2117">
        <f t="shared" ref="V62" si="125">IF(W62&gt;0,0,IF(Z62&gt;9,O62,0))</f>
        <v>0</v>
      </c>
      <c r="W62" s="2117">
        <f t="shared" ref="W62" si="126">IF(Z62&gt;14,O62,0)</f>
        <v>1.7163520000000001</v>
      </c>
      <c r="X62" s="642">
        <f>'HVAC Deemed Table'!J677</f>
        <v>6</v>
      </c>
      <c r="Y62" s="642">
        <f>'HVAC Deemed Table'!J679</f>
        <v>12</v>
      </c>
      <c r="Z62" s="642">
        <f t="shared" ref="Z62" si="127">Y62+X62</f>
        <v>18</v>
      </c>
      <c r="AA62" s="112">
        <f>'HVAC Deemed Table'!DG677</f>
        <v>6.295406518774211</v>
      </c>
      <c r="AB62" s="733">
        <f>'HVAC Deemed Table'!K677</f>
        <v>317.09399619931401</v>
      </c>
      <c r="AC62" s="736">
        <f t="shared" ref="AC62" si="128">AE62+AF62</f>
        <v>1804.0883715932964</v>
      </c>
      <c r="AD62" s="736">
        <f t="shared" ref="AD62" si="129">AG62+AH62</f>
        <v>192.14723914402998</v>
      </c>
      <c r="AE62" s="652">
        <f>'HVAC Deemed Table'!DI677</f>
        <v>1804.0883715932964</v>
      </c>
      <c r="AF62" s="652">
        <f>'HVAC Deemed Table'!DI678</f>
        <v>0</v>
      </c>
      <c r="AG62" s="652">
        <f>'HVAC Deemed Table'!DI679</f>
        <v>192.14723914402998</v>
      </c>
      <c r="AH62" s="652">
        <f>'HVAC Deemed Table'!DI680</f>
        <v>0</v>
      </c>
      <c r="AI62" s="2118" t="str">
        <f t="shared" si="42"/>
        <v>per measure</v>
      </c>
      <c r="AJ62" s="46">
        <f>'HVAC Deemed Table'!L677</f>
        <v>1.95</v>
      </c>
      <c r="AK62" s="861"/>
      <c r="AL62" s="861"/>
      <c r="AN62" s="2125"/>
      <c r="AO62" s="2125"/>
      <c r="AP62" s="2129"/>
      <c r="AQ62" s="2129"/>
      <c r="AR62" s="2129"/>
      <c r="AS62" s="2129"/>
      <c r="AT62" s="2129"/>
      <c r="AU62" s="2129"/>
      <c r="AV62" s="2129"/>
      <c r="AW62" s="2129"/>
      <c r="AX62" s="2130" t="str">
        <f t="shared" ref="AX62" si="130">G62</f>
        <v>ASHP-SEER16-Replace_CAC_NonElectricHeat_ER1_MF</v>
      </c>
      <c r="AY62" s="2131"/>
      <c r="AZ62" s="2119" t="str">
        <f t="shared" ref="AZ62" si="131">A62</f>
        <v>352520</v>
      </c>
      <c r="BA62" s="2120">
        <f>ROUND((K62*$BC$3)+(M62*$BC$4),2)</f>
        <v>1146.3699999999999</v>
      </c>
      <c r="BB62" s="2120">
        <f>ROUND((L62*$BC$3)+(N62*$BC$4),2)</f>
        <v>0</v>
      </c>
      <c r="BC62" s="2120">
        <f>ROUND((M62*$BC$3)+(M62*$BC$4),2)</f>
        <v>148.5</v>
      </c>
      <c r="BD62" s="2120">
        <f>ROUND((N62*$BC$3)+(N62*$BC$4),2)</f>
        <v>0</v>
      </c>
      <c r="BE62" s="1177"/>
      <c r="BF62" s="1193">
        <f>ROUND(BA62*'CP FACTORS'!$B$9,6)</f>
        <v>1.0860920000000001</v>
      </c>
      <c r="BG62" s="1193">
        <f>ROUND(BB62*'CP FACTORS'!$B$14,6)</f>
        <v>0</v>
      </c>
      <c r="BH62" s="1193">
        <f>ROUND(BC62*'CP FACTORS'!$B$9,6)</f>
        <v>0.14069200000000001</v>
      </c>
      <c r="BI62" s="1194">
        <f>ROUND(BD62*'CP FACTORS'!$B$14,6)</f>
        <v>0</v>
      </c>
      <c r="BJ62" s="1177"/>
      <c r="BK62" s="204">
        <f t="shared" ref="BK62" si="132">BA62+BB62</f>
        <v>1146.3699999999999</v>
      </c>
      <c r="BL62" s="2121">
        <f t="shared" ref="BL62" si="133">BC62+BD62</f>
        <v>148.5</v>
      </c>
      <c r="BM62" s="2122">
        <f t="shared" ref="BM62" si="134">BF62+BG62</f>
        <v>1.0860920000000001</v>
      </c>
      <c r="BN62" s="1194">
        <f t="shared" ref="BN62" si="135">BH62+BI62</f>
        <v>0.14069200000000001</v>
      </c>
    </row>
    <row r="63" spans="1:66" x14ac:dyDescent="0.25">
      <c r="A63" s="49" t="str">
        <f t="shared" si="61"/>
        <v>352550</v>
      </c>
      <c r="B63" s="1307" t="str">
        <f>'HVAC Deemed Table'!C681</f>
        <v>352550_2024_12_</v>
      </c>
      <c r="C63" s="830" t="str">
        <f>'HVAC Deemed Table'!G681</f>
        <v>Cooling Res</v>
      </c>
      <c r="D63" s="830" t="str">
        <f>'HVAC Deemed Table'!G682</f>
        <v>Heating Res</v>
      </c>
      <c r="E63" s="830" t="str">
        <f>'HVAC Deemed Table'!G683</f>
        <v>Cooling Res ER2</v>
      </c>
      <c r="F63" s="830" t="str">
        <f>'HVAC Deemed Table'!G684</f>
        <v>Heating Res ER2</v>
      </c>
      <c r="G63" s="1249" t="str">
        <f>'HVAC Deemed Table'!E681</f>
        <v>ASHP-SEER16_ER1_SF</v>
      </c>
      <c r="H63" s="18" t="str">
        <f>'HVAC Deemed Table'!D681</f>
        <v>PAYS / IE</v>
      </c>
      <c r="I63" s="737">
        <f t="shared" si="48"/>
        <v>3375.8599999999997</v>
      </c>
      <c r="J63" s="737">
        <f t="shared" si="49"/>
        <v>618.38</v>
      </c>
      <c r="K63" s="185">
        <f>'HVAC Deemed Table'!F681</f>
        <v>2150.16</v>
      </c>
      <c r="L63" s="185">
        <f>'HVAC Deemed Table'!F682</f>
        <v>1225.7</v>
      </c>
      <c r="M63" s="185">
        <f>'HVAC Deemed Table'!F683</f>
        <v>239.74</v>
      </c>
      <c r="N63" s="185">
        <f>'HVAC Deemed Table'!F684</f>
        <v>378.64</v>
      </c>
      <c r="O63" s="738">
        <f t="shared" si="50"/>
        <v>2.0371009999999998</v>
      </c>
      <c r="P63" s="738">
        <f t="shared" si="51"/>
        <v>0.227134</v>
      </c>
      <c r="Q63" s="739">
        <f>'HVAC Deemed Table'!I681</f>
        <v>2.0371009999999998</v>
      </c>
      <c r="R63" s="739">
        <f>'HVAC Deemed Table'!I682</f>
        <v>0</v>
      </c>
      <c r="S63" s="739">
        <f>'HVAC Deemed Table'!I683</f>
        <v>0.227134</v>
      </c>
      <c r="T63" s="739">
        <f>'HVAC Deemed Table'!I684</f>
        <v>0</v>
      </c>
      <c r="U63" s="740">
        <f t="shared" si="52"/>
        <v>0</v>
      </c>
      <c r="V63" s="740">
        <f t="shared" si="53"/>
        <v>0</v>
      </c>
      <c r="W63" s="740">
        <f t="shared" si="54"/>
        <v>2.0371009999999998</v>
      </c>
      <c r="X63" s="22">
        <f>'HVAC Deemed Table'!J681</f>
        <v>6</v>
      </c>
      <c r="Y63" s="22">
        <f>'HVAC Deemed Table'!J683</f>
        <v>12</v>
      </c>
      <c r="Z63" s="22">
        <f t="shared" si="62"/>
        <v>18</v>
      </c>
      <c r="AA63" s="17">
        <f>'HVAC Deemed Table'!DG681</f>
        <v>6.9624680433547841</v>
      </c>
      <c r="AB63" s="241">
        <f>'HVAC Deemed Table'!K681</f>
        <v>417.68019891621225</v>
      </c>
      <c r="AC63" s="846">
        <f t="shared" si="63"/>
        <v>2469.9395131414981</v>
      </c>
      <c r="AD63" s="846">
        <f t="shared" si="55"/>
        <v>438.14552415469905</v>
      </c>
      <c r="AE63" s="191">
        <f>'HVAC Deemed Table'!DI681</f>
        <v>2141.2327449423674</v>
      </c>
      <c r="AF63" s="191">
        <f>'HVAC Deemed Table'!DI682</f>
        <v>328.70676819913075</v>
      </c>
      <c r="AG63" s="191">
        <f>'HVAC Deemed Table'!DI683</f>
        <v>310.20457314740571</v>
      </c>
      <c r="AH63" s="191">
        <f>'HVAC Deemed Table'!DI684</f>
        <v>127.94095100729331</v>
      </c>
      <c r="AI63" s="850" t="str">
        <f>AI61</f>
        <v>per measure</v>
      </c>
      <c r="AJ63" s="45">
        <f>'HVAC Deemed Table'!L681</f>
        <v>2.5310295805916874</v>
      </c>
      <c r="AK63" s="609"/>
      <c r="AL63" s="609"/>
      <c r="AX63" s="1226" t="str">
        <f t="shared" si="64"/>
        <v>ASHP-SEER16_ER1_SF</v>
      </c>
      <c r="AY63" s="1249"/>
      <c r="AZ63" s="1312" t="str">
        <f t="shared" si="65"/>
        <v>352550</v>
      </c>
      <c r="BA63" s="1203">
        <f t="shared" ref="BA63:BB63" si="136">ROUND((K63*$BC$3)+(K67*$BC$4),2)</f>
        <v>1387.72</v>
      </c>
      <c r="BB63" s="1203">
        <f t="shared" si="136"/>
        <v>903.6</v>
      </c>
      <c r="BC63" s="1203">
        <f t="shared" ref="BC63:BD63" si="137">ROUND((M63*$BC$3)+(K67*$BC$4),2)</f>
        <v>241.47</v>
      </c>
      <c r="BD63" s="1203">
        <f t="shared" si="137"/>
        <v>395.36</v>
      </c>
      <c r="BE63" s="1176"/>
      <c r="BF63" s="1192">
        <f>ROUND(BA63*'CP FACTORS'!$B$9,6)</f>
        <v>1.314751</v>
      </c>
      <c r="BG63" s="1193">
        <f>ROUND(BB63*'CP FACTORS'!$B$14,6)</f>
        <v>0</v>
      </c>
      <c r="BH63" s="1192">
        <f>ROUND(BC63*'CP FACTORS'!$B$9,6)</f>
        <v>0.228773</v>
      </c>
      <c r="BI63" s="1194">
        <f>ROUND(BD63*'CP FACTORS'!$B$14,6)</f>
        <v>0</v>
      </c>
      <c r="BJ63" s="1176"/>
      <c r="BK63" s="685">
        <f t="shared" si="57"/>
        <v>2291.3200000000002</v>
      </c>
      <c r="BL63" s="1213">
        <f t="shared" si="58"/>
        <v>636.83000000000004</v>
      </c>
      <c r="BM63" s="1212">
        <f t="shared" si="59"/>
        <v>1.314751</v>
      </c>
      <c r="BN63" s="1211">
        <f t="shared" si="60"/>
        <v>0.228773</v>
      </c>
    </row>
    <row r="64" spans="1:66" x14ac:dyDescent="0.25">
      <c r="A64" s="49" t="str">
        <f t="shared" si="61"/>
        <v>352600</v>
      </c>
      <c r="B64" s="1307" t="str">
        <f>'HVAC Deemed Table'!C685</f>
        <v>352600_2024_12_</v>
      </c>
      <c r="C64" s="830" t="str">
        <f>'HVAC Deemed Table'!G685</f>
        <v>Cooling Res</v>
      </c>
      <c r="D64" s="830" t="str">
        <f>'HVAC Deemed Table'!G686</f>
        <v>Heating Res</v>
      </c>
      <c r="E64" s="1249"/>
      <c r="F64" s="1249"/>
      <c r="G64" s="1249" t="str">
        <f>'HVAC Deemed Table'!E685</f>
        <v>ASHP-SEER16-Replace_CAC_ElectricHeat_ROF_SF</v>
      </c>
      <c r="H64" s="18" t="str">
        <f>'HVAC Deemed Table'!D685</f>
        <v>PAYS / IE</v>
      </c>
      <c r="I64" s="737">
        <f t="shared" si="48"/>
        <v>8883.59</v>
      </c>
      <c r="J64" s="737">
        <f t="shared" si="49"/>
        <v>0</v>
      </c>
      <c r="K64" s="185">
        <f>'HVAC Deemed Table'!F685</f>
        <v>394.62</v>
      </c>
      <c r="L64" s="185">
        <f>'HVAC Deemed Table'!F686</f>
        <v>8488.9699999999993</v>
      </c>
      <c r="M64" s="185"/>
      <c r="N64" s="185"/>
      <c r="O64" s="738">
        <f t="shared" si="50"/>
        <v>0.37386999999999998</v>
      </c>
      <c r="P64" s="738">
        <f t="shared" si="51"/>
        <v>0</v>
      </c>
      <c r="Q64" s="739">
        <f>'HVAC Deemed Table'!I685</f>
        <v>0.37386999999999998</v>
      </c>
      <c r="R64" s="739">
        <f>'HVAC Deemed Table'!I686</f>
        <v>0</v>
      </c>
      <c r="S64" s="739"/>
      <c r="T64" s="739"/>
      <c r="U64" s="740">
        <f t="shared" si="52"/>
        <v>0</v>
      </c>
      <c r="V64" s="740">
        <f t="shared" si="53"/>
        <v>0</v>
      </c>
      <c r="W64" s="740">
        <f t="shared" si="54"/>
        <v>0.37386999999999998</v>
      </c>
      <c r="X64" s="22">
        <f>'HVAC Deemed Table'!J685</f>
        <v>18</v>
      </c>
      <c r="Y64" s="22"/>
      <c r="Z64" s="22">
        <f t="shared" si="62"/>
        <v>18</v>
      </c>
      <c r="AA64" s="17">
        <f>'HVAC Deemed Table'!DG685</f>
        <v>1.6693633737204159</v>
      </c>
      <c r="AB64" s="241">
        <f>'HVAC Deemed Table'!K685</f>
        <v>3623.261297181818</v>
      </c>
      <c r="AC64" s="846">
        <f t="shared" si="63"/>
        <v>6048.5397029340502</v>
      </c>
      <c r="AD64" s="846">
        <f t="shared" si="55"/>
        <v>0</v>
      </c>
      <c r="AE64" s="191">
        <f>'HVAC Deemed Table'!DI685</f>
        <v>903.58860317624908</v>
      </c>
      <c r="AF64" s="191">
        <f>'HVAC Deemed Table'!DI686</f>
        <v>5144.9510997578009</v>
      </c>
      <c r="AG64" s="191"/>
      <c r="AH64" s="191"/>
      <c r="AI64" s="850" t="str">
        <f t="shared" si="42"/>
        <v>per measure</v>
      </c>
      <c r="AJ64" s="45">
        <f>'HVAC Deemed Table'!L685</f>
        <v>2.8104354953030306</v>
      </c>
      <c r="AK64" s="609"/>
      <c r="AL64" s="609"/>
      <c r="AX64" s="1226" t="str">
        <f t="shared" si="64"/>
        <v>ASHP-SEER16-Replace_CAC_ElectricHeat_ROF_SF</v>
      </c>
      <c r="AY64" s="1249"/>
      <c r="AZ64" s="1312" t="str">
        <f t="shared" si="65"/>
        <v>352600</v>
      </c>
      <c r="BA64" s="1204">
        <f>BA60</f>
        <v>1447.94</v>
      </c>
      <c r="BB64" s="1204">
        <f>BB60</f>
        <v>7982.6</v>
      </c>
      <c r="BC64" s="1204">
        <f>BC60</f>
        <v>390.3</v>
      </c>
      <c r="BD64" s="1204">
        <f>BD60</f>
        <v>7982.6</v>
      </c>
      <c r="BE64" s="1176"/>
      <c r="BF64" s="1192">
        <f>ROUND(BA64*'CP FACTORS'!$B$9,6)</f>
        <v>1.3718049999999999</v>
      </c>
      <c r="BG64" s="1193">
        <f>ROUND(BB64*'CP FACTORS'!$B$14,6)</f>
        <v>0</v>
      </c>
      <c r="BH64" s="1192">
        <f>ROUND(BC64*'CP FACTORS'!$B$9,6)</f>
        <v>0.36977700000000002</v>
      </c>
      <c r="BI64" s="1194">
        <f>ROUND(BD64*'CP FACTORS'!$B$14,6)</f>
        <v>0</v>
      </c>
      <c r="BJ64" s="1176"/>
      <c r="BK64" s="685">
        <f t="shared" si="57"/>
        <v>9430.5400000000009</v>
      </c>
      <c r="BL64" s="1213">
        <f t="shared" si="58"/>
        <v>8372.9</v>
      </c>
      <c r="BM64" s="1212">
        <f t="shared" si="59"/>
        <v>1.3718049999999999</v>
      </c>
      <c r="BN64" s="1211">
        <f t="shared" si="60"/>
        <v>0.36977700000000002</v>
      </c>
    </row>
    <row r="65" spans="1:66" s="39" customFormat="1" x14ac:dyDescent="0.25">
      <c r="A65" s="659" t="str">
        <f t="shared" si="61"/>
        <v>352605</v>
      </c>
      <c r="B65" s="645" t="str">
        <f>'HVAC Deemed Table'!C687</f>
        <v>352605_2025_12_</v>
      </c>
      <c r="C65" s="2116" t="str">
        <f>'HVAC Deemed Table'!G687</f>
        <v>Cooling Res</v>
      </c>
      <c r="D65" s="2116" t="str">
        <f>'HVAC Deemed Table'!G688</f>
        <v>Heating Res</v>
      </c>
      <c r="E65" s="2116"/>
      <c r="F65" s="2116"/>
      <c r="G65" s="644" t="str">
        <f>'HVAC Deemed Table'!E687</f>
        <v>ASHP-SEER16-Replace_CAC_ElectricHeat_ROF_MF</v>
      </c>
      <c r="H65" s="650" t="str">
        <f>'HVAC Deemed Table'!D687</f>
        <v>IE</v>
      </c>
      <c r="I65" s="648">
        <f t="shared" si="48"/>
        <v>9096.82</v>
      </c>
      <c r="J65" s="648">
        <f t="shared" si="49"/>
        <v>0</v>
      </c>
      <c r="K65" s="646">
        <f>'HVAC Deemed Table'!F687</f>
        <v>387.67</v>
      </c>
      <c r="L65" s="646">
        <f>'HVAC Deemed Table'!F688</f>
        <v>8709.15</v>
      </c>
      <c r="M65" s="646"/>
      <c r="N65" s="646"/>
      <c r="O65" s="649">
        <f t="shared" si="50"/>
        <v>0.367286</v>
      </c>
      <c r="P65" s="649">
        <f t="shared" si="51"/>
        <v>0</v>
      </c>
      <c r="Q65" s="651">
        <f>'HVAC Deemed Table'!I687</f>
        <v>0.367286</v>
      </c>
      <c r="R65" s="651">
        <f>'HVAC Deemed Table'!I688</f>
        <v>0</v>
      </c>
      <c r="S65" s="651"/>
      <c r="T65" s="651"/>
      <c r="U65" s="2117">
        <f t="shared" si="52"/>
        <v>0</v>
      </c>
      <c r="V65" s="2117">
        <f t="shared" si="53"/>
        <v>0</v>
      </c>
      <c r="W65" s="2117">
        <f t="shared" si="54"/>
        <v>0.367286</v>
      </c>
      <c r="X65" s="642">
        <f>'HVAC Deemed Table'!J687</f>
        <v>18</v>
      </c>
      <c r="Y65" s="642"/>
      <c r="Z65" s="642">
        <f t="shared" si="62"/>
        <v>18</v>
      </c>
      <c r="AA65" s="112">
        <f>'HVAC Deemed Table'!DG687</f>
        <v>1.6815029633082215</v>
      </c>
      <c r="AB65" s="733">
        <f>'HVAC Deemed Table'!K687</f>
        <v>3667</v>
      </c>
      <c r="AC65" s="736">
        <f t="shared" si="63"/>
        <v>6166.0713664512477</v>
      </c>
      <c r="AD65" s="736">
        <f t="shared" si="55"/>
        <v>0</v>
      </c>
      <c r="AE65" s="652">
        <f>'HVAC Deemed Table'!DI687</f>
        <v>887.67470932374556</v>
      </c>
      <c r="AF65" s="652">
        <f>'HVAC Deemed Table'!DI688</f>
        <v>5278.3966571275023</v>
      </c>
      <c r="AG65" s="652"/>
      <c r="AH65" s="652"/>
      <c r="AI65" s="2118" t="str">
        <f t="shared" si="42"/>
        <v>per measure</v>
      </c>
      <c r="AJ65" s="46">
        <f>'HVAC Deemed Table'!L687</f>
        <v>2.4</v>
      </c>
      <c r="AK65" s="861"/>
      <c r="AL65" s="861"/>
      <c r="AN65" s="2133"/>
      <c r="AO65" s="2133"/>
      <c r="AP65" s="2133"/>
      <c r="AQ65" s="2133"/>
      <c r="AR65" s="2133"/>
      <c r="AS65" s="2133"/>
      <c r="AT65" s="2133"/>
      <c r="AU65" s="2133"/>
      <c r="AV65" s="2133"/>
      <c r="AW65" s="2133"/>
      <c r="AX65" s="2134" t="str">
        <f t="shared" si="64"/>
        <v>ASHP-SEER16-Replace_CAC_ElectricHeat_ROF_MF</v>
      </c>
      <c r="AY65" s="2135"/>
      <c r="AZ65" s="2119" t="str">
        <f t="shared" si="65"/>
        <v>352605</v>
      </c>
      <c r="BA65" s="2128">
        <f>BA69</f>
        <v>1408.04</v>
      </c>
      <c r="BB65" s="2128">
        <f t="shared" ref="BB65:BD65" si="138">BB69</f>
        <v>8628.61</v>
      </c>
      <c r="BC65" s="2128">
        <f t="shared" si="138"/>
        <v>466.45</v>
      </c>
      <c r="BD65" s="2128">
        <f t="shared" si="138"/>
        <v>8574.91</v>
      </c>
      <c r="BE65" s="1177"/>
      <c r="BF65" s="1193">
        <f>ROUND(BA65*'CP FACTORS'!$B$9,6)</f>
        <v>1.334003</v>
      </c>
      <c r="BG65" s="1193">
        <f>ROUND(BB65*'CP FACTORS'!$B$14,6)</f>
        <v>0</v>
      </c>
      <c r="BH65" s="1193">
        <f>ROUND(BC65*'CP FACTORS'!$B$9,6)</f>
        <v>0.44192300000000001</v>
      </c>
      <c r="BI65" s="1194">
        <f>ROUND(BD65*'CP FACTORS'!$B$14,6)</f>
        <v>0</v>
      </c>
      <c r="BJ65" s="1177"/>
      <c r="BK65" s="204">
        <f t="shared" si="57"/>
        <v>10036.650000000001</v>
      </c>
      <c r="BL65" s="2121">
        <f t="shared" si="58"/>
        <v>9041.36</v>
      </c>
      <c r="BM65" s="2122">
        <f t="shared" si="59"/>
        <v>1.334003</v>
      </c>
      <c r="BN65" s="1194">
        <f t="shared" si="60"/>
        <v>0.44192300000000001</v>
      </c>
    </row>
    <row r="66" spans="1:66" s="39" customFormat="1" x14ac:dyDescent="0.25">
      <c r="A66" s="49" t="str">
        <f>LEFT(B66,6)</f>
        <v>352610</v>
      </c>
      <c r="B66" s="1307" t="str">
        <f>'HVAC Deemed Table'!C689</f>
        <v>352610_2024_12_</v>
      </c>
      <c r="C66" s="830" t="str">
        <f>'HVAC Deemed Table'!G689</f>
        <v>Cooling Res</v>
      </c>
      <c r="D66" s="830" t="str">
        <f>'HVAC Deemed Table'!G690</f>
        <v>Heating Res</v>
      </c>
      <c r="E66" s="1249"/>
      <c r="F66" s="1249"/>
      <c r="G66" s="1249" t="str">
        <f>'HVAC Deemed Table'!E689</f>
        <v>ASHP-SEER16-Replace_CAC_NonElectricHeat_ROF_SF</v>
      </c>
      <c r="H66" s="18" t="str">
        <f>'HVAC Deemed Table'!D689</f>
        <v>PAYS / IE</v>
      </c>
      <c r="I66" s="737">
        <f>K66+L66</f>
        <v>394.62</v>
      </c>
      <c r="J66" s="737">
        <f>M66+N66</f>
        <v>0</v>
      </c>
      <c r="K66" s="185">
        <f>'HVAC Deemed Table'!F689</f>
        <v>394.62</v>
      </c>
      <c r="L66" s="185">
        <f>'HVAC Deemed Table'!F690</f>
        <v>0</v>
      </c>
      <c r="M66" s="185"/>
      <c r="N66" s="185"/>
      <c r="O66" s="738">
        <f>Q66+R66</f>
        <v>0.37386999999999998</v>
      </c>
      <c r="P66" s="738">
        <f>S66+T66</f>
        <v>0</v>
      </c>
      <c r="Q66" s="739">
        <f>'HVAC Deemed Table'!I689</f>
        <v>0.37386999999999998</v>
      </c>
      <c r="R66" s="739">
        <f>'HVAC Deemed Table'!I690</f>
        <v>0</v>
      </c>
      <c r="S66" s="739"/>
      <c r="T66" s="739"/>
      <c r="U66" s="740">
        <f t="shared" si="52"/>
        <v>0</v>
      </c>
      <c r="V66" s="740">
        <f t="shared" si="53"/>
        <v>0</v>
      </c>
      <c r="W66" s="740">
        <f t="shared" si="54"/>
        <v>0.37386999999999998</v>
      </c>
      <c r="X66" s="22">
        <f>'HVAC Deemed Table'!J689</f>
        <v>18</v>
      </c>
      <c r="Y66" s="22"/>
      <c r="Z66" s="22">
        <f>Y66+X66</f>
        <v>18</v>
      </c>
      <c r="AA66" s="17">
        <f>'HVAC Deemed Table'!DG689</f>
        <v>5.61410465068625</v>
      </c>
      <c r="AB66" s="757">
        <f>'HVAC Deemed Table'!K689</f>
        <v>160.94972562825265</v>
      </c>
      <c r="AC66" s="846">
        <f>AE66+AF66</f>
        <v>903.58860317624908</v>
      </c>
      <c r="AD66" s="846">
        <f>AG66+AH66</f>
        <v>0</v>
      </c>
      <c r="AE66" s="191">
        <f>'HVAC Deemed Table'!DI689</f>
        <v>903.58860317624908</v>
      </c>
      <c r="AF66" s="191">
        <f>'HVAC Deemed Table'!DI690</f>
        <v>0</v>
      </c>
      <c r="AG66" s="191"/>
      <c r="AH66" s="191"/>
      <c r="AI66" s="850" t="str">
        <f>AI64</f>
        <v>per measure</v>
      </c>
      <c r="AJ66" s="46">
        <f>'HVAC Deemed Table'!L689</f>
        <v>2.8104354953030306</v>
      </c>
      <c r="AK66" s="861"/>
      <c r="AL66" s="861"/>
      <c r="AM66"/>
      <c r="AN66"/>
      <c r="AO66"/>
      <c r="AP66"/>
      <c r="AQ66"/>
      <c r="AR66"/>
      <c r="AS66"/>
      <c r="AT66"/>
      <c r="AU66"/>
      <c r="AV66"/>
      <c r="AW66"/>
      <c r="AX66" s="1226" t="str">
        <f t="shared" si="64"/>
        <v>ASHP-SEER16-Replace_CAC_NonElectricHeat_ROF_SF</v>
      </c>
      <c r="AY66" s="1249"/>
      <c r="AZ66" s="1312" t="str">
        <f t="shared" si="65"/>
        <v>352610</v>
      </c>
      <c r="BA66" s="1205">
        <f>BA61</f>
        <v>1447.94</v>
      </c>
      <c r="BB66" s="1205">
        <f>BB61</f>
        <v>0</v>
      </c>
      <c r="BC66" s="1205">
        <f>BC61</f>
        <v>390.3</v>
      </c>
      <c r="BD66" s="1205">
        <f>BD61</f>
        <v>0</v>
      </c>
      <c r="BE66" s="1177"/>
      <c r="BF66" s="1192">
        <f>ROUND(BA66*'CP FACTORS'!$B$9,6)</f>
        <v>1.3718049999999999</v>
      </c>
      <c r="BG66" s="1193">
        <f>ROUND(BB66*'CP FACTORS'!$B$14,6)</f>
        <v>0</v>
      </c>
      <c r="BH66" s="1192">
        <f>ROUND(BC66*'CP FACTORS'!$B$9,6)</f>
        <v>0.36977700000000002</v>
      </c>
      <c r="BI66" s="1194">
        <f>ROUND(BD66*'CP FACTORS'!$B$14,6)</f>
        <v>0</v>
      </c>
      <c r="BJ66" s="1176"/>
      <c r="BK66" s="685">
        <f t="shared" si="57"/>
        <v>1447.94</v>
      </c>
      <c r="BL66" s="1213">
        <f t="shared" si="58"/>
        <v>390.3</v>
      </c>
      <c r="BM66" s="1212">
        <f t="shared" si="59"/>
        <v>1.3718049999999999</v>
      </c>
      <c r="BN66" s="1211">
        <f t="shared" si="60"/>
        <v>0.36977700000000002</v>
      </c>
    </row>
    <row r="67" spans="1:66" x14ac:dyDescent="0.25">
      <c r="A67" s="49" t="str">
        <f t="shared" si="61"/>
        <v>352650</v>
      </c>
      <c r="B67" s="1307" t="str">
        <f>'HVAC Deemed Table'!C691</f>
        <v>352650_2024_12_</v>
      </c>
      <c r="C67" s="830" t="str">
        <f>'HVAC Deemed Table'!G691</f>
        <v>Cooling Res</v>
      </c>
      <c r="D67" s="830" t="str">
        <f>'HVAC Deemed Table'!G692</f>
        <v>Heating Res</v>
      </c>
      <c r="E67" s="1249"/>
      <c r="F67" s="1249"/>
      <c r="G67" s="1249" t="str">
        <f>'HVAC Deemed Table'!E691</f>
        <v>ASHP-SEER16_ROF_SF</v>
      </c>
      <c r="H67" s="18" t="str">
        <f>'HVAC Deemed Table'!D691</f>
        <v>PAYS / IE</v>
      </c>
      <c r="I67" s="737">
        <f t="shared" si="48"/>
        <v>664.5</v>
      </c>
      <c r="J67" s="737">
        <f t="shared" si="49"/>
        <v>0</v>
      </c>
      <c r="K67" s="185">
        <f>'HVAC Deemed Table'!F691</f>
        <v>244.06</v>
      </c>
      <c r="L67" s="185">
        <f>'HVAC Deemed Table'!F692</f>
        <v>420.44</v>
      </c>
      <c r="M67" s="185"/>
      <c r="N67" s="185"/>
      <c r="O67" s="738">
        <f t="shared" si="50"/>
        <v>0.23122699999999999</v>
      </c>
      <c r="P67" s="738">
        <f t="shared" si="51"/>
        <v>0</v>
      </c>
      <c r="Q67" s="739">
        <f>'HVAC Deemed Table'!I691</f>
        <v>0.23122699999999999</v>
      </c>
      <c r="R67" s="739">
        <f>'HVAC Deemed Table'!I692</f>
        <v>0</v>
      </c>
      <c r="S67" s="739"/>
      <c r="T67" s="739"/>
      <c r="U67" s="740">
        <f t="shared" si="52"/>
        <v>0</v>
      </c>
      <c r="V67" s="740">
        <f t="shared" si="53"/>
        <v>0</v>
      </c>
      <c r="W67" s="740">
        <f t="shared" si="54"/>
        <v>0.23122699999999999</v>
      </c>
      <c r="X67" s="22">
        <f>'HVAC Deemed Table'!J691</f>
        <v>18</v>
      </c>
      <c r="Y67" s="22"/>
      <c r="Z67" s="22">
        <f t="shared" si="62"/>
        <v>18</v>
      </c>
      <c r="AA67" s="17">
        <f>'HVAC Deemed Table'!DG691</f>
        <v>1.932681951673382</v>
      </c>
      <c r="AB67" s="241">
        <f>'HVAC Deemed Table'!K691</f>
        <v>421</v>
      </c>
      <c r="AC67" s="846">
        <f t="shared" si="63"/>
        <v>813.65910165449384</v>
      </c>
      <c r="AD67" s="846">
        <f t="shared" si="55"/>
        <v>0</v>
      </c>
      <c r="AE67" s="191">
        <f>'HVAC Deemed Table'!DI691</f>
        <v>558.84099764633152</v>
      </c>
      <c r="AF67" s="191">
        <f>'HVAC Deemed Table'!DI692</f>
        <v>254.81810400816235</v>
      </c>
      <c r="AG67" s="191"/>
      <c r="AH67" s="191"/>
      <c r="AI67" s="850" t="str">
        <f t="shared" si="42"/>
        <v>per measure</v>
      </c>
      <c r="AJ67" s="45">
        <f>'HVAC Deemed Table'!L691</f>
        <v>2.8104354953030306</v>
      </c>
      <c r="AK67" s="609"/>
      <c r="AL67" s="609"/>
      <c r="AX67" s="1226" t="str">
        <f t="shared" si="64"/>
        <v>ASHP-SEER16_ROF_SF</v>
      </c>
      <c r="AY67" s="1249"/>
      <c r="AZ67" s="1312" t="str">
        <f t="shared" si="65"/>
        <v>352650</v>
      </c>
      <c r="BA67" s="1205">
        <f>BA63</f>
        <v>1387.72</v>
      </c>
      <c r="BB67" s="1205">
        <f>BB63</f>
        <v>903.6</v>
      </c>
      <c r="BC67" s="1205">
        <f>BC63</f>
        <v>241.47</v>
      </c>
      <c r="BD67" s="1205">
        <f>BD63</f>
        <v>395.36</v>
      </c>
      <c r="BE67" s="1176"/>
      <c r="BF67" s="1192">
        <f>ROUND(BA67*'CP FACTORS'!$B$9,6)</f>
        <v>1.314751</v>
      </c>
      <c r="BG67" s="1193">
        <f>ROUND(BB67*'CP FACTORS'!$B$14,6)</f>
        <v>0</v>
      </c>
      <c r="BH67" s="1192">
        <f>ROUND(BC67*'CP FACTORS'!$B$9,6)</f>
        <v>0.228773</v>
      </c>
      <c r="BI67" s="1194">
        <f>ROUND(BD67*'CP FACTORS'!$B$14,6)</f>
        <v>0</v>
      </c>
      <c r="BJ67" s="1176"/>
      <c r="BK67" s="685">
        <f t="shared" si="57"/>
        <v>2291.3200000000002</v>
      </c>
      <c r="BL67" s="1213">
        <f t="shared" si="58"/>
        <v>636.83000000000004</v>
      </c>
      <c r="BM67" s="1212">
        <f t="shared" si="59"/>
        <v>1.314751</v>
      </c>
      <c r="BN67" s="1211">
        <f t="shared" si="60"/>
        <v>0.228773</v>
      </c>
    </row>
    <row r="68" spans="1:66" s="39" customFormat="1" x14ac:dyDescent="0.25">
      <c r="A68" s="659" t="str">
        <f t="shared" ref="A68" si="139">LEFT(B68,6)</f>
        <v>352660</v>
      </c>
      <c r="B68" s="645" t="str">
        <f>'HVAC Deemed Table'!C693</f>
        <v>352660_2025_12_</v>
      </c>
      <c r="C68" s="2116" t="str">
        <f>'HVAC Deemed Table'!G693</f>
        <v>Cooling Res</v>
      </c>
      <c r="D68" s="2116" t="str">
        <f>'HVAC Deemed Table'!G694</f>
        <v>Heating Res</v>
      </c>
      <c r="E68" s="644"/>
      <c r="F68" s="644"/>
      <c r="G68" s="644" t="str">
        <f>'HVAC Deemed Table'!E693</f>
        <v>ASHP-SEER16_ROF_MF</v>
      </c>
      <c r="H68" s="650" t="str">
        <f>'HVAC Deemed Table'!D693</f>
        <v>IE</v>
      </c>
      <c r="I68" s="648">
        <f t="shared" ref="I68" si="140">K68+L68</f>
        <v>680.04</v>
      </c>
      <c r="J68" s="648">
        <f t="shared" ref="J68" si="141">M68+N68</f>
        <v>0</v>
      </c>
      <c r="K68" s="646">
        <f>'HVAC Deemed Table'!F693</f>
        <v>259.60000000000002</v>
      </c>
      <c r="L68" s="646">
        <f>'HVAC Deemed Table'!F694</f>
        <v>420.44</v>
      </c>
      <c r="M68" s="646"/>
      <c r="N68" s="646"/>
      <c r="O68" s="649">
        <f t="shared" ref="O68" si="142">Q68+R68</f>
        <v>0.24595</v>
      </c>
      <c r="P68" s="649">
        <f t="shared" ref="P68" si="143">S68+T68</f>
        <v>0</v>
      </c>
      <c r="Q68" s="651">
        <f>'HVAC Deemed Table'!I693</f>
        <v>0.24595</v>
      </c>
      <c r="R68" s="651">
        <f>'HVAC Deemed Table'!I694</f>
        <v>0</v>
      </c>
      <c r="S68" s="651"/>
      <c r="T68" s="651"/>
      <c r="U68" s="2117">
        <f t="shared" ref="U68" si="144">IFERROR(IF(V68+W68&gt;0,0,IF(Z68&gt;0,O68,0)),0)</f>
        <v>0</v>
      </c>
      <c r="V68" s="2117">
        <f t="shared" ref="V68" si="145">IF(W68&gt;0,0,IF(Z68&gt;9,O68,0))</f>
        <v>0</v>
      </c>
      <c r="W68" s="2117">
        <f t="shared" ref="W68" si="146">IF(Z68&gt;14,O68,0)</f>
        <v>0.24595</v>
      </c>
      <c r="X68" s="642">
        <f>'HVAC Deemed Table'!J693</f>
        <v>18</v>
      </c>
      <c r="Y68" s="642"/>
      <c r="Z68" s="642">
        <f t="shared" ref="Z68" si="147">Y68+X68</f>
        <v>18</v>
      </c>
      <c r="AA68" s="112">
        <f>'HVAC Deemed Table'!DG693</f>
        <v>2.017202162363211</v>
      </c>
      <c r="AB68" s="733">
        <f>'HVAC Deemed Table'!K693</f>
        <v>421</v>
      </c>
      <c r="AC68" s="736">
        <f t="shared" ref="AC68" si="148">AE68+AF68</f>
        <v>849.2421103549118</v>
      </c>
      <c r="AD68" s="736">
        <f t="shared" ref="AD68" si="149">AG68+AH68</f>
        <v>0</v>
      </c>
      <c r="AE68" s="652">
        <f>'HVAC Deemed Table'!DI693</f>
        <v>594.42400634674948</v>
      </c>
      <c r="AF68" s="652">
        <f>'HVAC Deemed Table'!DI694</f>
        <v>254.81810400816235</v>
      </c>
      <c r="AG68" s="652"/>
      <c r="AH68" s="652"/>
      <c r="AI68" s="2118" t="str">
        <f t="shared" si="42"/>
        <v>per measure</v>
      </c>
      <c r="AJ68" s="46">
        <f>'HVAC Deemed Table'!L693</f>
        <v>2.8833333333333333</v>
      </c>
      <c r="AK68" s="861"/>
      <c r="AL68" s="861"/>
      <c r="AN68" s="2123"/>
      <c r="AO68" s="2123"/>
      <c r="AP68" s="2123"/>
      <c r="AQ68" s="2123"/>
      <c r="AR68" s="2123"/>
      <c r="AS68" s="2123"/>
      <c r="AT68" s="2123"/>
      <c r="AU68" s="2123"/>
      <c r="AV68" s="2123"/>
      <c r="AW68" s="2123"/>
      <c r="AX68" s="2124" t="str">
        <f t="shared" ref="AX68" si="150">G68</f>
        <v>ASHP-SEER16_ROF_MF</v>
      </c>
      <c r="AY68" s="644"/>
      <c r="AZ68" s="2119" t="str">
        <f t="shared" ref="AZ68" si="151">A68</f>
        <v>352660</v>
      </c>
      <c r="BA68" s="2136">
        <f>BA67</f>
        <v>1387.72</v>
      </c>
      <c r="BB68" s="2136">
        <f t="shared" ref="BB68:BD68" si="152">BB67</f>
        <v>903.6</v>
      </c>
      <c r="BC68" s="2136">
        <f t="shared" si="152"/>
        <v>241.47</v>
      </c>
      <c r="BD68" s="2136">
        <f t="shared" si="152"/>
        <v>395.36</v>
      </c>
      <c r="BE68" s="1177"/>
      <c r="BF68" s="1193">
        <f>ROUND(BA68*'CP FACTORS'!$B$9,6)</f>
        <v>1.314751</v>
      </c>
      <c r="BG68" s="1193">
        <f>ROUND(BB68*'CP FACTORS'!$B$14,6)</f>
        <v>0</v>
      </c>
      <c r="BH68" s="1193">
        <f>ROUND(BC68*'CP FACTORS'!$B$9,6)</f>
        <v>0.228773</v>
      </c>
      <c r="BI68" s="1194">
        <f>ROUND(BD68*'CP FACTORS'!$B$14,6)</f>
        <v>0</v>
      </c>
      <c r="BJ68" s="1177"/>
      <c r="BK68" s="204">
        <f t="shared" ref="BK68" si="153">BA68+BB68</f>
        <v>2291.3200000000002</v>
      </c>
      <c r="BL68" s="2121">
        <f t="shared" ref="BL68" si="154">BC68+BD68</f>
        <v>636.83000000000004</v>
      </c>
      <c r="BM68" s="2122">
        <f t="shared" ref="BM68" si="155">BF68+BG68</f>
        <v>1.314751</v>
      </c>
      <c r="BN68" s="1194">
        <f t="shared" ref="BN68" si="156">BH68+BI68</f>
        <v>0.228773</v>
      </c>
    </row>
    <row r="69" spans="1:66" s="39" customFormat="1" x14ac:dyDescent="0.25">
      <c r="A69" s="49" t="str">
        <f t="shared" si="61"/>
        <v>353000</v>
      </c>
      <c r="B69" s="1307" t="str">
        <f>'HVAC Deemed Table'!C695</f>
        <v>353000_2024_12_</v>
      </c>
      <c r="C69" s="830" t="str">
        <f>'HVAC Deemed Table'!G695</f>
        <v>Cooling Res</v>
      </c>
      <c r="D69" s="830" t="str">
        <f>'HVAC Deemed Table'!G696</f>
        <v>Heating Res</v>
      </c>
      <c r="E69" s="830" t="str">
        <f>'HVAC Deemed Table'!G697</f>
        <v>Cooling Res ER2</v>
      </c>
      <c r="F69" s="830" t="str">
        <f>'HVAC Deemed Table'!G698</f>
        <v>Heating Res ER2</v>
      </c>
      <c r="G69" s="1249" t="str">
        <f>'HVAC Deemed Table'!E695</f>
        <v>ASHP-SEER16-Replace_CAC_ElectricHeat_ER1_MF</v>
      </c>
      <c r="H69" s="18" t="str">
        <f>'HVAC Deemed Table'!D695</f>
        <v>IE</v>
      </c>
      <c r="I69" s="737">
        <f t="shared" si="48"/>
        <v>10663.2</v>
      </c>
      <c r="J69" s="737">
        <f t="shared" si="49"/>
        <v>8975.36</v>
      </c>
      <c r="K69" s="185">
        <f>'HVAC Deemed Table'!F695</f>
        <v>2088.29</v>
      </c>
      <c r="L69" s="185">
        <f>'HVAC Deemed Table'!F696</f>
        <v>8574.91</v>
      </c>
      <c r="M69" s="185">
        <f>'HVAC Deemed Table'!F697</f>
        <v>400.45</v>
      </c>
      <c r="N69" s="185">
        <f>'HVAC Deemed Table'!F698</f>
        <v>8574.91</v>
      </c>
      <c r="O69" s="738">
        <f t="shared" si="50"/>
        <v>1.9784839999999999</v>
      </c>
      <c r="P69" s="738">
        <f t="shared" si="51"/>
        <v>0.37939400000000001</v>
      </c>
      <c r="Q69" s="739">
        <f>'HVAC Deemed Table'!I695</f>
        <v>1.9784839999999999</v>
      </c>
      <c r="R69" s="739">
        <f>'HVAC Deemed Table'!I696</f>
        <v>0</v>
      </c>
      <c r="S69" s="739">
        <f>'HVAC Deemed Table'!I697</f>
        <v>0.37939400000000001</v>
      </c>
      <c r="T69" s="739">
        <f>'HVAC Deemed Table'!I698</f>
        <v>0</v>
      </c>
      <c r="U69" s="740">
        <f t="shared" si="52"/>
        <v>0</v>
      </c>
      <c r="V69" s="740">
        <f t="shared" si="53"/>
        <v>0</v>
      </c>
      <c r="W69" s="740">
        <f t="shared" si="54"/>
        <v>1.9784839999999999</v>
      </c>
      <c r="X69" s="22">
        <f>'HVAC Deemed Table'!J695</f>
        <v>6</v>
      </c>
      <c r="Y69" s="22">
        <f>'HVAC Deemed Table'!J697</f>
        <v>12</v>
      </c>
      <c r="Z69" s="22">
        <f t="shared" si="62"/>
        <v>18</v>
      </c>
      <c r="AA69" s="17">
        <f>'HVAC Deemed Table'!DG695</f>
        <v>2.1169662822177129</v>
      </c>
      <c r="AB69" s="241">
        <f>'HVAC Deemed Table'!K695</f>
        <v>3682.0649648885365</v>
      </c>
      <c r="AC69" s="846">
        <f t="shared" si="63"/>
        <v>4379.2287882897572</v>
      </c>
      <c r="AD69" s="846">
        <f t="shared" si="55"/>
        <v>3415.5785913144218</v>
      </c>
      <c r="AE69" s="191">
        <f>'HVAC Deemed Table'!DI695</f>
        <v>2079.619623160926</v>
      </c>
      <c r="AF69" s="191">
        <f>'HVAC Deemed Table'!DI696</f>
        <v>2299.6091651288311</v>
      </c>
      <c r="AG69" s="191">
        <f>'HVAC Deemed Table'!DI697</f>
        <v>518.15058528772261</v>
      </c>
      <c r="AH69" s="191">
        <f>'HVAC Deemed Table'!DI698</f>
        <v>2897.4280060266992</v>
      </c>
      <c r="AI69" s="850" t="str">
        <f>AI67</f>
        <v>per measure</v>
      </c>
      <c r="AJ69" s="45">
        <f>'HVAC Deemed Table'!L695</f>
        <v>2.8388888888888886</v>
      </c>
      <c r="AK69" s="609"/>
      <c r="AL69" s="609"/>
      <c r="AM69"/>
      <c r="AN69"/>
      <c r="AO69"/>
      <c r="AP69"/>
      <c r="AQ69"/>
      <c r="AR69"/>
      <c r="AS69"/>
      <c r="AT69"/>
      <c r="AU69"/>
      <c r="AV69"/>
      <c r="AW69"/>
      <c r="AX69" s="1226" t="str">
        <f t="shared" si="64"/>
        <v>ASHP-SEER16-Replace_CAC_ElectricHeat_ER1_MF</v>
      </c>
      <c r="AY69" s="1249"/>
      <c r="AZ69" s="1312" t="str">
        <f t="shared" si="65"/>
        <v>353000</v>
      </c>
      <c r="BA69" s="2132">
        <f>ROUND((K69*$BC$3)+(K65*$BC$4),2)</f>
        <v>1408.04</v>
      </c>
      <c r="BB69" s="2132">
        <f>ROUND((L69*$BC$3)+(L65*$BC$4),2)</f>
        <v>8628.61</v>
      </c>
      <c r="BC69" s="2132">
        <f>ROUND((K70*$BC$3)+(M69*$BC$4),2)</f>
        <v>466.45</v>
      </c>
      <c r="BD69" s="2132">
        <f>ROUND((N69*$BC$3)+(N69*$BC$4),2)</f>
        <v>8574.91</v>
      </c>
      <c r="BE69" s="1177"/>
      <c r="BF69" s="1192">
        <f>ROUND(BA69*'CP FACTORS'!$B$9,6)</f>
        <v>1.334003</v>
      </c>
      <c r="BG69" s="1193">
        <f>ROUND(BB69*'CP FACTORS'!$B$14,6)</f>
        <v>0</v>
      </c>
      <c r="BH69" s="1192">
        <f>ROUND(BC69*'CP FACTORS'!$B$9,6)</f>
        <v>0.44192300000000001</v>
      </c>
      <c r="BI69" s="1194">
        <f>ROUND(BD69*'CP FACTORS'!$B$14,6)</f>
        <v>0</v>
      </c>
      <c r="BJ69" s="1176"/>
      <c r="BK69" s="685">
        <f t="shared" si="57"/>
        <v>10036.650000000001</v>
      </c>
      <c r="BL69" s="1213">
        <f t="shared" si="58"/>
        <v>9041.36</v>
      </c>
      <c r="BM69" s="1212">
        <f t="shared" si="59"/>
        <v>1.334003</v>
      </c>
      <c r="BN69" s="1211">
        <f t="shared" si="60"/>
        <v>0.44192300000000001</v>
      </c>
    </row>
    <row r="70" spans="1:66" x14ac:dyDescent="0.25">
      <c r="A70" s="49" t="str">
        <f t="shared" si="61"/>
        <v>353100</v>
      </c>
      <c r="B70" s="1307" t="str">
        <f>'HVAC Deemed Table'!C699</f>
        <v>353100_2024_12_</v>
      </c>
      <c r="C70" s="830" t="str">
        <f>'HVAC Deemed Table'!G699</f>
        <v>Cooling Res</v>
      </c>
      <c r="D70" s="830" t="str">
        <f>'HVAC Deemed Table'!G700</f>
        <v>Heating Res</v>
      </c>
      <c r="E70" s="1249"/>
      <c r="F70" s="1249"/>
      <c r="G70" s="1249" t="str">
        <f>'HVAC Deemed Table'!E699</f>
        <v>ASHP-SEER17-Replace_CAC_ElectricHeat_ROF_SF</v>
      </c>
      <c r="H70" s="18" t="str">
        <f>'HVAC Deemed Table'!D699</f>
        <v>PAYS / IE</v>
      </c>
      <c r="I70" s="737">
        <f t="shared" si="48"/>
        <v>10596.18</v>
      </c>
      <c r="J70" s="737">
        <f t="shared" si="49"/>
        <v>0</v>
      </c>
      <c r="K70" s="185">
        <f>'HVAC Deemed Table'!F699</f>
        <v>510.45</v>
      </c>
      <c r="L70" s="185">
        <f>'HVAC Deemed Table'!F700</f>
        <v>10085.73</v>
      </c>
      <c r="M70" s="185"/>
      <c r="N70" s="185"/>
      <c r="O70" s="738">
        <f t="shared" si="50"/>
        <v>0.48360999999999998</v>
      </c>
      <c r="P70" s="738">
        <f t="shared" si="51"/>
        <v>0</v>
      </c>
      <c r="Q70" s="739">
        <f>'HVAC Deemed Table'!I699</f>
        <v>0.48360999999999998</v>
      </c>
      <c r="R70" s="739">
        <f>'HVAC Deemed Table'!I700</f>
        <v>0</v>
      </c>
      <c r="S70" s="739"/>
      <c r="T70" s="739"/>
      <c r="U70" s="740">
        <f t="shared" si="52"/>
        <v>0</v>
      </c>
      <c r="V70" s="740">
        <f t="shared" si="53"/>
        <v>0</v>
      </c>
      <c r="W70" s="740">
        <f t="shared" si="54"/>
        <v>0.48360999999999998</v>
      </c>
      <c r="X70" s="22">
        <f>'HVAC Deemed Table'!J699</f>
        <v>18</v>
      </c>
      <c r="Y70" s="22"/>
      <c r="Z70" s="22">
        <f t="shared" si="62"/>
        <v>18</v>
      </c>
      <c r="AA70" s="17">
        <f>'HVAC Deemed Table'!DG699</f>
        <v>1.7876664564503213</v>
      </c>
      <c r="AB70" s="241">
        <f>'HVAC Deemed Table'!K699</f>
        <v>4073.1981423529414</v>
      </c>
      <c r="AC70" s="846">
        <f t="shared" si="63"/>
        <v>7281.5196895601139</v>
      </c>
      <c r="AD70" s="846">
        <f t="shared" si="55"/>
        <v>0</v>
      </c>
      <c r="AE70" s="191">
        <f>'HVAC Deemed Table'!DI699</f>
        <v>1168.8125348216417</v>
      </c>
      <c r="AF70" s="191">
        <f>'HVAC Deemed Table'!DI700</f>
        <v>6112.7071547384721</v>
      </c>
      <c r="AG70" s="191"/>
      <c r="AH70" s="191"/>
      <c r="AI70" s="850" t="str">
        <f t="shared" si="42"/>
        <v>per measure</v>
      </c>
      <c r="AJ70" s="45">
        <f>'HVAC Deemed Table'!L699</f>
        <v>3.2119969039215692</v>
      </c>
      <c r="AK70" s="609"/>
      <c r="AL70" s="609"/>
      <c r="AX70" s="1226" t="str">
        <f t="shared" si="64"/>
        <v>ASHP-SEER17-Replace_CAC_ElectricHeat_ROF_SF</v>
      </c>
      <c r="AY70" s="1249"/>
      <c r="AZ70" s="1312" t="str">
        <f t="shared" si="65"/>
        <v>353100</v>
      </c>
      <c r="BA70" s="1206">
        <f>ROUND((K94*$BC$3)+(K70*$BC$4),2)</f>
        <v>1539.94</v>
      </c>
      <c r="BB70" s="1206">
        <f>ROUND((L94*$BC$3)+(L70*$BC$4),2)</f>
        <v>9046.4599999999991</v>
      </c>
      <c r="BC70" s="1206">
        <f>ROUND((M94*$BC$3)+(K70*$BC$4),2)</f>
        <v>510.85</v>
      </c>
      <c r="BD70" s="1206">
        <f>ROUND((L69*$BC$3)+(L65*$BC$4),2)</f>
        <v>8628.61</v>
      </c>
      <c r="BE70" s="1176"/>
      <c r="BF70" s="1192">
        <f>ROUND(BA70*'CP FACTORS'!$B$9,6)</f>
        <v>1.4589669999999999</v>
      </c>
      <c r="BG70" s="1193">
        <f>ROUND(BB70*'CP FACTORS'!$B$14,6)</f>
        <v>0</v>
      </c>
      <c r="BH70" s="1192">
        <f>ROUND(BC70*'CP FACTORS'!$B$9,6)</f>
        <v>0.483989</v>
      </c>
      <c r="BI70" s="1194">
        <f>ROUND(BD70*'CP FACTORS'!$B$14,6)</f>
        <v>0</v>
      </c>
      <c r="BJ70" s="1176"/>
      <c r="BK70" s="685">
        <f t="shared" si="57"/>
        <v>10586.4</v>
      </c>
      <c r="BL70" s="1213">
        <f t="shared" si="58"/>
        <v>9139.4600000000009</v>
      </c>
      <c r="BM70" s="1212">
        <f t="shared" si="59"/>
        <v>1.4589669999999999</v>
      </c>
      <c r="BN70" s="1211">
        <f t="shared" si="60"/>
        <v>0.483989</v>
      </c>
    </row>
    <row r="71" spans="1:66" s="39" customFormat="1" x14ac:dyDescent="0.25">
      <c r="A71" s="659" t="str">
        <f t="shared" ref="A71" si="157">LEFT(B71,6)</f>
        <v>353105</v>
      </c>
      <c r="B71" s="645" t="str">
        <f>'HVAC Deemed Table'!C701</f>
        <v>353105_2025_12_</v>
      </c>
      <c r="C71" s="2116" t="str">
        <f>'HVAC Deemed Table'!G701</f>
        <v>Cooling Res</v>
      </c>
      <c r="D71" s="2116" t="str">
        <f>'HVAC Deemed Table'!G702</f>
        <v>Heating Res</v>
      </c>
      <c r="E71" s="644"/>
      <c r="F71" s="644"/>
      <c r="G71" s="644" t="str">
        <f>'HVAC Deemed Table'!E701</f>
        <v>ASHP-SEER17-Replace_CAC_ElectricHeat_ROF_MF</v>
      </c>
      <c r="H71" s="650" t="str">
        <f>'HVAC Deemed Table'!D701</f>
        <v>IE</v>
      </c>
      <c r="I71" s="648">
        <f t="shared" ref="I71" si="158">K71+L71</f>
        <v>7926.14</v>
      </c>
      <c r="J71" s="648">
        <f t="shared" ref="J71" si="159">M71+N71</f>
        <v>0</v>
      </c>
      <c r="K71" s="646">
        <f>'HVAC Deemed Table'!F701</f>
        <v>390.09</v>
      </c>
      <c r="L71" s="646">
        <f>'HVAC Deemed Table'!F702</f>
        <v>7536.05</v>
      </c>
      <c r="M71" s="646"/>
      <c r="N71" s="646"/>
      <c r="O71" s="649">
        <f t="shared" ref="O71" si="160">Q71+R71</f>
        <v>0.36957800000000002</v>
      </c>
      <c r="P71" s="649">
        <f t="shared" ref="P71" si="161">S71+T71</f>
        <v>0</v>
      </c>
      <c r="Q71" s="651">
        <f>'HVAC Deemed Table'!I701</f>
        <v>0.36957800000000002</v>
      </c>
      <c r="R71" s="651">
        <f>'HVAC Deemed Table'!I702</f>
        <v>0</v>
      </c>
      <c r="S71" s="651"/>
      <c r="T71" s="651"/>
      <c r="U71" s="2117">
        <f t="shared" ref="U71" si="162">IFERROR(IF(V71+W71&gt;0,0,IF(Z71&gt;0,O71,0)),0)</f>
        <v>0</v>
      </c>
      <c r="V71" s="2117">
        <f t="shared" ref="V71" si="163">IF(W71&gt;0,0,IF(Z71&gt;9,O71,0))</f>
        <v>0</v>
      </c>
      <c r="W71" s="2117">
        <f t="shared" ref="W71" si="164">IF(Z71&gt;14,O71,0)</f>
        <v>0.36957800000000002</v>
      </c>
      <c r="X71" s="642">
        <f>'HVAC Deemed Table'!J701</f>
        <v>18</v>
      </c>
      <c r="Y71" s="642"/>
      <c r="Z71" s="642">
        <f t="shared" ref="Z71" si="165">Y71+X71</f>
        <v>18</v>
      </c>
      <c r="AA71" s="112">
        <f>'HVAC Deemed Table'!DG701</f>
        <v>1.3074314874355537</v>
      </c>
      <c r="AB71" s="733">
        <f>'HVAC Deemed Table'!K701</f>
        <v>4176.60601696091</v>
      </c>
      <c r="AC71" s="736">
        <f t="shared" ref="AC71" si="166">AE71+AF71</f>
        <v>5460.626217187486</v>
      </c>
      <c r="AD71" s="736">
        <f t="shared" ref="AD71" si="167">AG71+AH71</f>
        <v>0</v>
      </c>
      <c r="AE71" s="652">
        <f>'HVAC Deemed Table'!DI701</f>
        <v>893.21595006087614</v>
      </c>
      <c r="AF71" s="652">
        <f>'HVAC Deemed Table'!DI702</f>
        <v>4567.4102671266101</v>
      </c>
      <c r="AG71" s="652"/>
      <c r="AH71" s="652"/>
      <c r="AI71" s="2118" t="str">
        <f t="shared" si="42"/>
        <v>per measure</v>
      </c>
      <c r="AJ71" s="46">
        <f>'HVAC Deemed Table'!L701</f>
        <v>2.4</v>
      </c>
      <c r="AK71" s="861"/>
      <c r="AL71" s="861"/>
      <c r="AN71" s="2129"/>
      <c r="AO71" s="2129"/>
      <c r="AP71" s="2129"/>
      <c r="AQ71" s="2129"/>
      <c r="AR71" s="2129"/>
      <c r="AS71" s="2129"/>
      <c r="AT71" s="2129"/>
      <c r="AU71" s="2129"/>
      <c r="AV71" s="2129"/>
      <c r="AW71" s="2129"/>
      <c r="AX71" s="2130" t="str">
        <f t="shared" ref="AX71" si="168">G71</f>
        <v>ASHP-SEER17-Replace_CAC_ElectricHeat_ROF_MF</v>
      </c>
      <c r="AY71" s="2131"/>
      <c r="AZ71" s="2119" t="str">
        <f t="shared" ref="AZ71" si="169">A71</f>
        <v>353105</v>
      </c>
      <c r="BA71" s="2126">
        <f>ROUND((K97*$BC$3)+(K71*$BC$4),2)</f>
        <v>927.92</v>
      </c>
      <c r="BB71" s="2126">
        <f>ROUND((L97*$BC$3)+(L71*$BC$4),2)</f>
        <v>6810.7</v>
      </c>
      <c r="BC71" s="2126">
        <f>ROUND((M97*$BC$3)+(K71*$BC$4),2)</f>
        <v>355.28</v>
      </c>
      <c r="BD71" s="2126">
        <f>ROUND((N97*$BC$3)+(L71*$BC$4),2)</f>
        <v>6810.7</v>
      </c>
      <c r="BE71" s="1177"/>
      <c r="BF71" s="1193">
        <f>ROUND(BA71*'CP FACTORS'!$B$9,6)</f>
        <v>0.87912800000000002</v>
      </c>
      <c r="BG71" s="1193">
        <f>ROUND(BB71*'CP FACTORS'!$B$14,6)</f>
        <v>0</v>
      </c>
      <c r="BH71" s="1193">
        <f>ROUND(BC71*'CP FACTORS'!$B$9,6)</f>
        <v>0.33659899999999998</v>
      </c>
      <c r="BI71" s="1194">
        <f>ROUND(BD71*'CP FACTORS'!$B$14,6)</f>
        <v>0</v>
      </c>
      <c r="BJ71" s="1177"/>
      <c r="BK71" s="204">
        <f t="shared" ref="BK71" si="170">BA71+BB71</f>
        <v>7738.62</v>
      </c>
      <c r="BL71" s="2121">
        <f t="shared" ref="BL71" si="171">BC71+BD71</f>
        <v>7165.98</v>
      </c>
      <c r="BM71" s="2122">
        <f t="shared" ref="BM71" si="172">BF71+BG71</f>
        <v>0.87912800000000002</v>
      </c>
      <c r="BN71" s="1194">
        <f t="shared" ref="BN71" si="173">BH71+BI71</f>
        <v>0.33659899999999998</v>
      </c>
    </row>
    <row r="72" spans="1:66" s="39" customFormat="1" x14ac:dyDescent="0.25">
      <c r="A72" s="49" t="str">
        <f>LEFT(B72,6)</f>
        <v>353110</v>
      </c>
      <c r="B72" s="1307" t="str">
        <f>'HVAC Deemed Table'!C703</f>
        <v>353110_2024_12_</v>
      </c>
      <c r="C72" s="830" t="str">
        <f>'HVAC Deemed Table'!G703</f>
        <v>Cooling Res</v>
      </c>
      <c r="D72" s="830" t="str">
        <f>'HVAC Deemed Table'!G704</f>
        <v>Heating Res</v>
      </c>
      <c r="E72" s="1249"/>
      <c r="F72" s="1249"/>
      <c r="G72" s="1249" t="str">
        <f>'HVAC Deemed Table'!E703</f>
        <v>ASHP-SEER17-Replace_CAC_NonElectricHeat_ROF_SF</v>
      </c>
      <c r="H72" s="18" t="str">
        <f>'HVAC Deemed Table'!D703</f>
        <v>PAYS / IE</v>
      </c>
      <c r="I72" s="737">
        <f>K72+L72</f>
        <v>510.45</v>
      </c>
      <c r="J72" s="737">
        <f>M72+N72</f>
        <v>0</v>
      </c>
      <c r="K72" s="185">
        <f>'HVAC Deemed Table'!F703</f>
        <v>510.45</v>
      </c>
      <c r="L72" s="185">
        <f>'HVAC Deemed Table'!F704</f>
        <v>0</v>
      </c>
      <c r="M72" s="185"/>
      <c r="N72" s="185"/>
      <c r="O72" s="738">
        <f>Q72+R72</f>
        <v>0.48360999999999998</v>
      </c>
      <c r="P72" s="738">
        <f>S72+T72</f>
        <v>0</v>
      </c>
      <c r="Q72" s="739">
        <f>'HVAC Deemed Table'!I703</f>
        <v>0.48360999999999998</v>
      </c>
      <c r="R72" s="739">
        <f>'HVAC Deemed Table'!I704</f>
        <v>0</v>
      </c>
      <c r="S72" s="739"/>
      <c r="T72" s="739"/>
      <c r="U72" s="740">
        <f t="shared" si="52"/>
        <v>0</v>
      </c>
      <c r="V72" s="740">
        <f t="shared" si="53"/>
        <v>0</v>
      </c>
      <c r="W72" s="740">
        <f t="shared" si="54"/>
        <v>0.48360999999999998</v>
      </c>
      <c r="X72" s="22">
        <f>'HVAC Deemed Table'!J703</f>
        <v>18</v>
      </c>
      <c r="Y72" s="22"/>
      <c r="Z72" s="22">
        <f>Y72+X72</f>
        <v>18</v>
      </c>
      <c r="AA72" s="17">
        <f>'HVAC Deemed Table'!DG703</f>
        <v>5.956696082793556</v>
      </c>
      <c r="AB72" s="757">
        <f>'HVAC Deemed Table'!K703</f>
        <v>196.21825901070565</v>
      </c>
      <c r="AC72" s="846">
        <f>AE72+AF72</f>
        <v>1168.8125348216417</v>
      </c>
      <c r="AD72" s="846">
        <f>AG72+AH72</f>
        <v>0</v>
      </c>
      <c r="AE72" s="191">
        <f>'HVAC Deemed Table'!DI703</f>
        <v>1168.8125348216417</v>
      </c>
      <c r="AF72" s="191">
        <f>'HVAC Deemed Table'!DI704</f>
        <v>0</v>
      </c>
      <c r="AG72" s="191"/>
      <c r="AH72" s="191"/>
      <c r="AI72" s="850" t="str">
        <f>AI70</f>
        <v>per measure</v>
      </c>
      <c r="AJ72" s="46">
        <f>'HVAC Deemed Table'!L703</f>
        <v>3.2119969039215692</v>
      </c>
      <c r="AK72" s="861"/>
      <c r="AL72" s="861"/>
      <c r="AM72"/>
      <c r="AN72"/>
      <c r="AO72"/>
      <c r="AP72"/>
      <c r="AQ72"/>
      <c r="AR72"/>
      <c r="AS72"/>
      <c r="AT72"/>
      <c r="AU72"/>
      <c r="AV72"/>
      <c r="AW72"/>
      <c r="AX72" s="1226" t="str">
        <f t="shared" si="64"/>
        <v>ASHP-SEER17-Replace_CAC_NonElectricHeat_ROF_SF</v>
      </c>
      <c r="AY72" s="1249"/>
      <c r="AZ72" s="1312" t="str">
        <f t="shared" si="65"/>
        <v>353110</v>
      </c>
      <c r="BA72" s="1206">
        <f>ROUND((K95*$BC$3)+(K72*$BC$4),2)</f>
        <v>1539.94</v>
      </c>
      <c r="BB72" s="1206">
        <f>ROUND((L95*$BC$3)+(L72*$BC$4),2)</f>
        <v>0</v>
      </c>
      <c r="BC72" s="1206">
        <f>ROUND((M95*$BC$3)+(K72*$BC$4),2)</f>
        <v>510.85</v>
      </c>
      <c r="BD72" s="1206">
        <f>ROUND((N95*$BC$3)+(L72*$BC$4),2)</f>
        <v>0</v>
      </c>
      <c r="BE72" s="1177"/>
      <c r="BF72" s="1192">
        <f>ROUND(BA72*'CP FACTORS'!$B$9,6)</f>
        <v>1.4589669999999999</v>
      </c>
      <c r="BG72" s="1193">
        <f>ROUND(BB72*'CP FACTORS'!$B$14,6)</f>
        <v>0</v>
      </c>
      <c r="BH72" s="1192">
        <f>ROUND(BC72*'CP FACTORS'!$B$9,6)</f>
        <v>0.483989</v>
      </c>
      <c r="BI72" s="1194">
        <f>ROUND(BD72*'CP FACTORS'!$B$14,6)</f>
        <v>0</v>
      </c>
      <c r="BJ72" s="1176"/>
      <c r="BK72" s="685">
        <f t="shared" si="57"/>
        <v>1539.94</v>
      </c>
      <c r="BL72" s="1213">
        <f t="shared" si="58"/>
        <v>510.85</v>
      </c>
      <c r="BM72" s="1212">
        <f t="shared" si="59"/>
        <v>1.4589669999999999</v>
      </c>
      <c r="BN72" s="1211">
        <f t="shared" si="60"/>
        <v>0.483989</v>
      </c>
    </row>
    <row r="73" spans="1:66" x14ac:dyDescent="0.25">
      <c r="A73" s="49" t="str">
        <f t="shared" si="61"/>
        <v>353200</v>
      </c>
      <c r="B73" s="1307" t="str">
        <f>'HVAC Deemed Table'!C705</f>
        <v>353200_2024_12_</v>
      </c>
      <c r="C73" s="830" t="str">
        <f>'HVAC Deemed Table'!G705</f>
        <v>Cooling Res</v>
      </c>
      <c r="D73" s="830" t="str">
        <f>'HVAC Deemed Table'!G706</f>
        <v>Heating Res</v>
      </c>
      <c r="E73" s="1249"/>
      <c r="F73" s="1249"/>
      <c r="G73" s="1249" t="str">
        <f>'HVAC Deemed Table'!E705</f>
        <v>ASHP-SEER18-Replace_CAC_ElectricHeat_ROF_SF</v>
      </c>
      <c r="H73" s="18" t="str">
        <f>'HVAC Deemed Table'!D705</f>
        <v>PAYS / IE</v>
      </c>
      <c r="I73" s="737">
        <f t="shared" si="48"/>
        <v>10164.459999999999</v>
      </c>
      <c r="J73" s="737">
        <f t="shared" si="49"/>
        <v>0</v>
      </c>
      <c r="K73" s="185">
        <f>'HVAC Deemed Table'!F705</f>
        <v>700.49</v>
      </c>
      <c r="L73" s="185">
        <f>'HVAC Deemed Table'!F706</f>
        <v>9463.9699999999993</v>
      </c>
      <c r="M73" s="185"/>
      <c r="N73" s="185"/>
      <c r="O73" s="738">
        <f t="shared" si="50"/>
        <v>0.66365700000000005</v>
      </c>
      <c r="P73" s="738">
        <f t="shared" si="51"/>
        <v>0</v>
      </c>
      <c r="Q73" s="739">
        <f>'HVAC Deemed Table'!I705</f>
        <v>0.66365700000000005</v>
      </c>
      <c r="R73" s="739">
        <f>'HVAC Deemed Table'!I706</f>
        <v>0</v>
      </c>
      <c r="S73" s="739"/>
      <c r="T73" s="739"/>
      <c r="U73" s="740">
        <f t="shared" ref="U73:U108" si="174">IFERROR(IF(V73+W73&gt;0,0,IF(Z73&gt;0,O73,0)),0)</f>
        <v>0</v>
      </c>
      <c r="V73" s="740">
        <f t="shared" ref="V73:V108" si="175">IF(W73&gt;0,0,IF(Z73&gt;9,O73,0))</f>
        <v>0</v>
      </c>
      <c r="W73" s="740">
        <f t="shared" ref="W73:W108" si="176">IF(Z73&gt;14,O73,0)</f>
        <v>0.66365700000000005</v>
      </c>
      <c r="X73" s="22">
        <f>'HVAC Deemed Table'!J705</f>
        <v>18</v>
      </c>
      <c r="Y73" s="22"/>
      <c r="Z73" s="22">
        <f t="shared" si="62"/>
        <v>18</v>
      </c>
      <c r="AA73" s="17">
        <f>'HVAC Deemed Table'!DG705</f>
        <v>1.7592146081223683</v>
      </c>
      <c r="AB73" s="241">
        <f>'HVAC Deemed Table'!K705</f>
        <v>4172.2222220000003</v>
      </c>
      <c r="AC73" s="846">
        <f t="shared" si="63"/>
        <v>7339.8342812751671</v>
      </c>
      <c r="AD73" s="846">
        <f t="shared" ref="AD73:AD109" si="177">AG73+AH73</f>
        <v>0</v>
      </c>
      <c r="AE73" s="191">
        <f>'HVAC Deemed Table'!DI705</f>
        <v>1603.9602165093779</v>
      </c>
      <c r="AF73" s="191">
        <f>'HVAC Deemed Table'!DI706</f>
        <v>5735.8740647657887</v>
      </c>
      <c r="AG73" s="191"/>
      <c r="AH73" s="191"/>
      <c r="AI73" s="850" t="str">
        <f t="shared" si="42"/>
        <v>per measure</v>
      </c>
      <c r="AJ73" s="45">
        <f>'HVAC Deemed Table'!L705</f>
        <v>3.0020370366666667</v>
      </c>
      <c r="AK73" s="609"/>
      <c r="AL73" s="609"/>
      <c r="AX73" s="1226" t="str">
        <f t="shared" si="64"/>
        <v>ASHP-SEER18-Replace_CAC_ElectricHeat_ROF_SF</v>
      </c>
      <c r="AY73" s="1249"/>
      <c r="AZ73" s="1312" t="str">
        <f t="shared" si="65"/>
        <v>353200</v>
      </c>
      <c r="BA73" s="1197">
        <f>ROUND((K99*$BC$3)+(K73*$BC$4),2)</f>
        <v>1835.95</v>
      </c>
      <c r="BB73" s="1197">
        <f>ROUND((L99*$BC$3)+(L73*$BC$4),2)</f>
        <v>9256.07</v>
      </c>
      <c r="BC73" s="1197">
        <f>ROUND((M99*$BC$3)+(K73*$BC$4),2)</f>
        <v>680.07</v>
      </c>
      <c r="BD73" s="1197">
        <f>ROUND((N99*$BC$3)+(L73*$BC$4),2)</f>
        <v>9256.07</v>
      </c>
      <c r="BE73" s="1176"/>
      <c r="BF73" s="1192">
        <f>ROUND(BA73*'CP FACTORS'!$B$9,6)</f>
        <v>1.739412</v>
      </c>
      <c r="BG73" s="1193">
        <f>ROUND(BB73*'CP FACTORS'!$B$14,6)</f>
        <v>0</v>
      </c>
      <c r="BH73" s="1192">
        <f>ROUND(BC73*'CP FACTORS'!$B$9,6)</f>
        <v>0.64431099999999997</v>
      </c>
      <c r="BI73" s="1194">
        <f>ROUND(BD73*'CP FACTORS'!$B$14,6)</f>
        <v>0</v>
      </c>
      <c r="BJ73" s="1176"/>
      <c r="BK73" s="685">
        <f t="shared" si="57"/>
        <v>11092.02</v>
      </c>
      <c r="BL73" s="1213">
        <f t="shared" si="58"/>
        <v>9936.14</v>
      </c>
      <c r="BM73" s="1212">
        <f t="shared" si="59"/>
        <v>1.739412</v>
      </c>
      <c r="BN73" s="1211">
        <f t="shared" si="60"/>
        <v>0.64431099999999997</v>
      </c>
    </row>
    <row r="74" spans="1:66" s="39" customFormat="1" x14ac:dyDescent="0.25">
      <c r="A74" s="49" t="str">
        <f>LEFT(B74,6)</f>
        <v>353210</v>
      </c>
      <c r="B74" s="1307" t="str">
        <f>'HVAC Deemed Table'!C707</f>
        <v>353210_2024_12_</v>
      </c>
      <c r="C74" s="830" t="str">
        <f>'HVAC Deemed Table'!G707</f>
        <v>Cooling Res</v>
      </c>
      <c r="D74" s="830" t="str">
        <f>'HVAC Deemed Table'!G708</f>
        <v>Heating Res</v>
      </c>
      <c r="E74" s="1249"/>
      <c r="F74" s="1249"/>
      <c r="G74" s="1249" t="str">
        <f>'HVAC Deemed Table'!E707</f>
        <v>ASHP-SEER18-Replace_CAC_NonElectricHeat_ROF_SF</v>
      </c>
      <c r="H74" s="18" t="str">
        <f>'HVAC Deemed Table'!D707</f>
        <v>PAYS / IE</v>
      </c>
      <c r="I74" s="737">
        <f>K74+L74</f>
        <v>700.49</v>
      </c>
      <c r="J74" s="737">
        <f>M74+N74</f>
        <v>0</v>
      </c>
      <c r="K74" s="185">
        <f>'HVAC Deemed Table'!F707</f>
        <v>700.49</v>
      </c>
      <c r="L74" s="185">
        <f>'HVAC Deemed Table'!F708</f>
        <v>0</v>
      </c>
      <c r="M74" s="185"/>
      <c r="N74" s="185"/>
      <c r="O74" s="738">
        <f>Q74+R74</f>
        <v>0.66365700000000005</v>
      </c>
      <c r="P74" s="738">
        <f>S74+T74</f>
        <v>0</v>
      </c>
      <c r="Q74" s="739">
        <f>'HVAC Deemed Table'!I707</f>
        <v>0.66365700000000005</v>
      </c>
      <c r="R74" s="739">
        <f>'HVAC Deemed Table'!I708</f>
        <v>0</v>
      </c>
      <c r="S74" s="739"/>
      <c r="T74" s="739"/>
      <c r="U74" s="740">
        <f t="shared" si="174"/>
        <v>0</v>
      </c>
      <c r="V74" s="740">
        <f t="shared" si="175"/>
        <v>0</v>
      </c>
      <c r="W74" s="740">
        <f t="shared" si="176"/>
        <v>0.66365700000000005</v>
      </c>
      <c r="X74" s="22">
        <f>'HVAC Deemed Table'!J707</f>
        <v>18</v>
      </c>
      <c r="Y74" s="22"/>
      <c r="Z74" s="22">
        <f>Y74+X74</f>
        <v>18</v>
      </c>
      <c r="AA74" s="17">
        <f>'HVAC Deemed Table'!DG707</f>
        <v>5.5783856063366786</v>
      </c>
      <c r="AB74" s="757">
        <f>'HVAC Deemed Table'!K707</f>
        <v>287.53125540252807</v>
      </c>
      <c r="AC74" s="846">
        <f>AE74+AF74</f>
        <v>1603.9602165093779</v>
      </c>
      <c r="AD74" s="846">
        <f>AG74+AH74</f>
        <v>0</v>
      </c>
      <c r="AE74" s="191">
        <f>'HVAC Deemed Table'!DI707</f>
        <v>1603.9602165093779</v>
      </c>
      <c r="AF74" s="191">
        <f>'HVAC Deemed Table'!DI708</f>
        <v>0</v>
      </c>
      <c r="AG74" s="191"/>
      <c r="AH74" s="191"/>
      <c r="AI74" s="850" t="str">
        <f t="shared" si="42"/>
        <v>per measure</v>
      </c>
      <c r="AJ74" s="46">
        <f>'HVAC Deemed Table'!L707</f>
        <v>3.0020370366666667</v>
      </c>
      <c r="AK74" s="861"/>
      <c r="AL74" s="861"/>
      <c r="AM74"/>
      <c r="AN74"/>
      <c r="AO74"/>
      <c r="AP74"/>
      <c r="AQ74"/>
      <c r="AR74"/>
      <c r="AS74"/>
      <c r="AT74"/>
      <c r="AU74"/>
      <c r="AV74"/>
      <c r="AW74"/>
      <c r="AX74" s="1226" t="str">
        <f t="shared" si="64"/>
        <v>ASHP-SEER18-Replace_CAC_NonElectricHeat_ROF_SF</v>
      </c>
      <c r="AY74" s="1249"/>
      <c r="AZ74" s="1312" t="str">
        <f t="shared" si="65"/>
        <v>353210</v>
      </c>
      <c r="BA74" s="1197">
        <f>ROUND((K100*$BC$3)+(K74*$BC$4),2)</f>
        <v>1835.95</v>
      </c>
      <c r="BB74" s="1197">
        <f>ROUND((L100*$BC$3)+(L74*$BC$4),2)</f>
        <v>0</v>
      </c>
      <c r="BC74" s="1197">
        <f>ROUND((M100*$BC$3)+(K74*$BC$4),2)</f>
        <v>680.07</v>
      </c>
      <c r="BD74" s="1197">
        <f>ROUND((N100*$BC$3)+(L74*$BC$4),2)</f>
        <v>0</v>
      </c>
      <c r="BE74" s="1177"/>
      <c r="BF74" s="1192">
        <f>ROUND(BA74*'CP FACTORS'!$B$9,6)</f>
        <v>1.739412</v>
      </c>
      <c r="BG74" s="1193">
        <f>ROUND(BB74*'CP FACTORS'!$B$14,6)</f>
        <v>0</v>
      </c>
      <c r="BH74" s="1192">
        <f>ROUND(BC74*'CP FACTORS'!$B$9,6)</f>
        <v>0.64431099999999997</v>
      </c>
      <c r="BI74" s="1194">
        <f>ROUND(BD74*'CP FACTORS'!$B$14,6)</f>
        <v>0</v>
      </c>
      <c r="BJ74" s="1176"/>
      <c r="BK74" s="685">
        <f t="shared" si="57"/>
        <v>1835.95</v>
      </c>
      <c r="BL74" s="1213">
        <f t="shared" si="58"/>
        <v>680.07</v>
      </c>
      <c r="BM74" s="1212">
        <f t="shared" si="59"/>
        <v>1.739412</v>
      </c>
      <c r="BN74" s="1211">
        <f t="shared" si="60"/>
        <v>0.64431099999999997</v>
      </c>
    </row>
    <row r="75" spans="1:66" x14ac:dyDescent="0.25">
      <c r="A75" s="49" t="str">
        <f t="shared" si="61"/>
        <v>353300</v>
      </c>
      <c r="B75" s="1307" t="str">
        <f>'HVAC Deemed Table'!C709</f>
        <v>353300_2024_12_</v>
      </c>
      <c r="C75" s="830" t="str">
        <f>'HVAC Deemed Table'!G709</f>
        <v>Cooling Res</v>
      </c>
      <c r="D75" s="830" t="str">
        <f>'HVAC Deemed Table'!G710</f>
        <v>Heating Res</v>
      </c>
      <c r="E75" s="1249"/>
      <c r="F75" s="1249"/>
      <c r="G75" s="1249" t="str">
        <f>'HVAC Deemed Table'!E709</f>
        <v>ASHP-SEER19-Replace_CAC_ElectricHeat_ROF_SF</v>
      </c>
      <c r="H75" s="18" t="str">
        <f>'HVAC Deemed Table'!D709</f>
        <v>PAYS / IE</v>
      </c>
      <c r="I75" s="737">
        <f t="shared" ref="I75:I111" si="178">K75+L75</f>
        <v>10365.730000000001</v>
      </c>
      <c r="J75" s="737">
        <f t="shared" ref="J75:J111" si="179">M75+N75</f>
        <v>0</v>
      </c>
      <c r="K75" s="185">
        <f>'HVAC Deemed Table'!F709</f>
        <v>838.11</v>
      </c>
      <c r="L75" s="185">
        <f>'HVAC Deemed Table'!F710</f>
        <v>9527.6200000000008</v>
      </c>
      <c r="M75" s="185"/>
      <c r="N75" s="185"/>
      <c r="O75" s="738">
        <f t="shared" ref="O75:O111" si="180">Q75+R75</f>
        <v>0.794041</v>
      </c>
      <c r="P75" s="738">
        <f t="shared" ref="P75:P111" si="181">S75+T75</f>
        <v>0</v>
      </c>
      <c r="Q75" s="739">
        <f>'HVAC Deemed Table'!I709</f>
        <v>0.794041</v>
      </c>
      <c r="R75" s="739">
        <f>'HVAC Deemed Table'!I710</f>
        <v>0</v>
      </c>
      <c r="S75" s="739"/>
      <c r="T75" s="739"/>
      <c r="U75" s="740">
        <f t="shared" si="174"/>
        <v>0</v>
      </c>
      <c r="V75" s="740">
        <f t="shared" si="175"/>
        <v>0</v>
      </c>
      <c r="W75" s="740">
        <f t="shared" si="176"/>
        <v>0.794041</v>
      </c>
      <c r="X75" s="22">
        <f>'HVAC Deemed Table'!J709</f>
        <v>18</v>
      </c>
      <c r="Y75" s="22"/>
      <c r="Z75" s="22">
        <f t="shared" si="62"/>
        <v>18</v>
      </c>
      <c r="AA75" s="17">
        <f>'HVAC Deemed Table'!DG709</f>
        <v>1.7516265863807532</v>
      </c>
      <c r="AB75" s="241">
        <f>'HVAC Deemed Table'!K709</f>
        <v>4392.2197803846157</v>
      </c>
      <c r="AC75" s="846">
        <f t="shared" si="63"/>
        <v>7693.5289405491258</v>
      </c>
      <c r="AD75" s="846">
        <f t="shared" si="177"/>
        <v>0</v>
      </c>
      <c r="AE75" s="191">
        <f>'HVAC Deemed Table'!DI709</f>
        <v>1919.0782124779435</v>
      </c>
      <c r="AF75" s="191">
        <f>'HVAC Deemed Table'!DI710</f>
        <v>5774.4507280711823</v>
      </c>
      <c r="AG75" s="191"/>
      <c r="AH75" s="191"/>
      <c r="AI75" s="850" t="str">
        <f t="shared" si="42"/>
        <v>per measure</v>
      </c>
      <c r="AJ75" s="45">
        <f>'HVAC Deemed Table'!L709</f>
        <v>2.9920329673076922</v>
      </c>
      <c r="AK75" s="609"/>
      <c r="AL75" s="609"/>
      <c r="AX75" s="1226" t="str">
        <f t="shared" si="64"/>
        <v>ASHP-SEER19-Replace_CAC_ElectricHeat_ROF_SF</v>
      </c>
      <c r="AY75" s="1249"/>
      <c r="AZ75" s="1312" t="str">
        <f t="shared" si="65"/>
        <v>353300</v>
      </c>
      <c r="BA75" s="1207">
        <f>ROUND((K103*$BC$3)+(K75*$BC$4),2)</f>
        <v>1873.15</v>
      </c>
      <c r="BB75" s="1207">
        <f>ROUND((L103*$BC$3)+(L75*$BC$4),2)</f>
        <v>11019.96</v>
      </c>
      <c r="BC75" s="1207">
        <f>ROUND((M103*$BC$3)+(K75*$BC$4),2)</f>
        <v>840.97</v>
      </c>
      <c r="BD75" s="1207">
        <f>ROUND((N103*$BC$3)+(L75*$BC$4),2)</f>
        <v>11019.96</v>
      </c>
      <c r="BE75" s="1176"/>
      <c r="BF75" s="1192">
        <f>ROUND(BA75*'CP FACTORS'!$B$9,6)</f>
        <v>1.774656</v>
      </c>
      <c r="BG75" s="1193">
        <f>ROUND(BB75*'CP FACTORS'!$B$14,6)</f>
        <v>0</v>
      </c>
      <c r="BH75" s="1192">
        <f>ROUND(BC75*'CP FACTORS'!$B$9,6)</f>
        <v>0.79674999999999996</v>
      </c>
      <c r="BI75" s="1194">
        <f>ROUND(BD75*'CP FACTORS'!$B$14,6)</f>
        <v>0</v>
      </c>
      <c r="BJ75" s="1176"/>
      <c r="BK75" s="685">
        <f t="shared" ref="BK75:BK109" si="182">BA75+BB75</f>
        <v>12893.109999999999</v>
      </c>
      <c r="BL75" s="1213">
        <f t="shared" ref="BL75:BL109" si="183">BC75+BD75</f>
        <v>11860.929999999998</v>
      </c>
      <c r="BM75" s="1212">
        <f t="shared" ref="BM75:BM109" si="184">BF75+BG75</f>
        <v>1.774656</v>
      </c>
      <c r="BN75" s="1211">
        <f t="shared" ref="BN75:BN109" si="185">BH75+BI75</f>
        <v>0.79674999999999996</v>
      </c>
    </row>
    <row r="76" spans="1:66" s="39" customFormat="1" x14ac:dyDescent="0.25">
      <c r="A76" s="49" t="str">
        <f>LEFT(B76,6)</f>
        <v>353310</v>
      </c>
      <c r="B76" s="1307" t="str">
        <f>'HVAC Deemed Table'!C711</f>
        <v>353310_2024_12_</v>
      </c>
      <c r="C76" s="830" t="str">
        <f>'HVAC Deemed Table'!G711</f>
        <v>Cooling Res</v>
      </c>
      <c r="D76" s="830" t="str">
        <f>'HVAC Deemed Table'!G712</f>
        <v>Heating Res</v>
      </c>
      <c r="E76" s="1249"/>
      <c r="F76" s="1249"/>
      <c r="G76" s="1249" t="str">
        <f>'HVAC Deemed Table'!E711</f>
        <v>ASHP-SEER19-Replace_CAC_NonElectricHeat_ROF_SF</v>
      </c>
      <c r="H76" s="18" t="str">
        <f>'HVAC Deemed Table'!D711</f>
        <v>PAYS / IE</v>
      </c>
      <c r="I76" s="737">
        <f>K76+L76</f>
        <v>838.11</v>
      </c>
      <c r="J76" s="737">
        <f>M76+N76</f>
        <v>0</v>
      </c>
      <c r="K76" s="185">
        <f>'HVAC Deemed Table'!F711</f>
        <v>838.11</v>
      </c>
      <c r="L76" s="185">
        <f>'HVAC Deemed Table'!F712</f>
        <v>0</v>
      </c>
      <c r="M76" s="185"/>
      <c r="N76" s="185"/>
      <c r="O76" s="738">
        <f>Q76+R76</f>
        <v>0.794041</v>
      </c>
      <c r="P76" s="738">
        <f>S76+T76</f>
        <v>0</v>
      </c>
      <c r="Q76" s="739">
        <f>'HVAC Deemed Table'!I711</f>
        <v>0.794041</v>
      </c>
      <c r="R76" s="739">
        <f>'HVAC Deemed Table'!I712</f>
        <v>0</v>
      </c>
      <c r="S76" s="739"/>
      <c r="T76" s="739"/>
      <c r="U76" s="740">
        <f t="shared" si="174"/>
        <v>0</v>
      </c>
      <c r="V76" s="740">
        <f t="shared" si="175"/>
        <v>0</v>
      </c>
      <c r="W76" s="740">
        <f t="shared" si="176"/>
        <v>0.794041</v>
      </c>
      <c r="X76" s="22">
        <f>'HVAC Deemed Table'!J711</f>
        <v>18</v>
      </c>
      <c r="Y76" s="22"/>
      <c r="Z76" s="22">
        <f>Y76+X76</f>
        <v>18</v>
      </c>
      <c r="AA76" s="17">
        <f>'HVAC Deemed Table'!DG711</f>
        <v>5.403902209555441</v>
      </c>
      <c r="AB76" s="757">
        <f>'HVAC Deemed Table'!K711</f>
        <v>355.12822735476902</v>
      </c>
      <c r="AC76" s="846">
        <f>AE76+AF76</f>
        <v>1919.0782124779435</v>
      </c>
      <c r="AD76" s="846">
        <f>AG76+AH76</f>
        <v>0</v>
      </c>
      <c r="AE76" s="191">
        <f>'HVAC Deemed Table'!DI711</f>
        <v>1919.0782124779435</v>
      </c>
      <c r="AF76" s="191">
        <f>'HVAC Deemed Table'!DI712</f>
        <v>0</v>
      </c>
      <c r="AG76" s="191"/>
      <c r="AH76" s="191"/>
      <c r="AI76" s="850" t="str">
        <f t="shared" si="42"/>
        <v>per measure</v>
      </c>
      <c r="AJ76" s="46">
        <f>'HVAC Deemed Table'!L711</f>
        <v>2.9920329673076922</v>
      </c>
      <c r="AK76" s="861"/>
      <c r="AL76" s="861"/>
      <c r="AM76"/>
      <c r="AN76"/>
      <c r="AO76"/>
      <c r="AP76"/>
      <c r="AQ76"/>
      <c r="AR76"/>
      <c r="AS76"/>
      <c r="AT76"/>
      <c r="AU76"/>
      <c r="AV76"/>
      <c r="AW76"/>
      <c r="AX76" s="1226" t="str">
        <f t="shared" si="64"/>
        <v>ASHP-SEER19-Replace_CAC_NonElectricHeat_ROF_SF</v>
      </c>
      <c r="AY76" s="1249"/>
      <c r="AZ76" s="1312" t="str">
        <f t="shared" si="65"/>
        <v>353310</v>
      </c>
      <c r="BA76" s="1207">
        <f>ROUND((K104*$BC$3)+(K76*$BC$4),2)</f>
        <v>1873.15</v>
      </c>
      <c r="BB76" s="1207">
        <f>ROUND((L104*$BC$3)+(L76*$BC$4),2)</f>
        <v>0</v>
      </c>
      <c r="BC76" s="1207">
        <f>ROUND((M104*$BC$3)+(K76*$BC$4),2)</f>
        <v>840.97</v>
      </c>
      <c r="BD76" s="1207">
        <f>ROUND((N104*$BC$3)+(L76*$BC$4),2)</f>
        <v>0</v>
      </c>
      <c r="BE76" s="1177"/>
      <c r="BF76" s="1192">
        <f>ROUND(BA76*'CP FACTORS'!$B$9,6)</f>
        <v>1.774656</v>
      </c>
      <c r="BG76" s="1193">
        <f>ROUND(BB76*'CP FACTORS'!$B$14,6)</f>
        <v>0</v>
      </c>
      <c r="BH76" s="1192">
        <f>ROUND(BC76*'CP FACTORS'!$B$9,6)</f>
        <v>0.79674999999999996</v>
      </c>
      <c r="BI76" s="1194">
        <f>ROUND(BD76*'CP FACTORS'!$B$14,6)</f>
        <v>0</v>
      </c>
      <c r="BJ76" s="1176"/>
      <c r="BK76" s="685">
        <f t="shared" si="182"/>
        <v>1873.15</v>
      </c>
      <c r="BL76" s="1213">
        <f t="shared" si="183"/>
        <v>840.97</v>
      </c>
      <c r="BM76" s="1212">
        <f t="shared" si="184"/>
        <v>1.774656</v>
      </c>
      <c r="BN76" s="1211">
        <f t="shared" si="185"/>
        <v>0.79674999999999996</v>
      </c>
    </row>
    <row r="77" spans="1:66" x14ac:dyDescent="0.25">
      <c r="A77" s="49" t="str">
        <f t="shared" si="61"/>
        <v>353400</v>
      </c>
      <c r="B77" s="1307" t="str">
        <f>'HVAC Deemed Table'!C713</f>
        <v>353400_2024_12_</v>
      </c>
      <c r="C77" s="830" t="str">
        <f>'HVAC Deemed Table'!G713</f>
        <v>Cooling Res</v>
      </c>
      <c r="D77" s="830" t="str">
        <f>'HVAC Deemed Table'!G714</f>
        <v>Heating Res</v>
      </c>
      <c r="E77" s="830" t="str">
        <f>'HVAC Deemed Table'!G715</f>
        <v>Cooling Res ER2</v>
      </c>
      <c r="F77" s="830" t="str">
        <f>'HVAC Deemed Table'!G716</f>
        <v>Heating Res ER2</v>
      </c>
      <c r="G77" s="1249" t="str">
        <f>'HVAC Deemed Table'!E713</f>
        <v>ASHP-SEER20-Replace_CAC_ElectricHeat_ER1_SF</v>
      </c>
      <c r="H77" s="18" t="str">
        <f>'HVAC Deemed Table'!D713</f>
        <v>PAYS / IE</v>
      </c>
      <c r="I77" s="737">
        <f t="shared" si="178"/>
        <v>10629.400000000001</v>
      </c>
      <c r="J77" s="737">
        <f t="shared" si="179"/>
        <v>9130.32</v>
      </c>
      <c r="K77" s="185">
        <f>'HVAC Deemed Table'!F713</f>
        <v>2257.71</v>
      </c>
      <c r="L77" s="185">
        <f>'HVAC Deemed Table'!F714</f>
        <v>8371.69</v>
      </c>
      <c r="M77" s="185">
        <f>'HVAC Deemed Table'!F715</f>
        <v>758.63</v>
      </c>
      <c r="N77" s="185">
        <f>'HVAC Deemed Table'!F716</f>
        <v>8371.69</v>
      </c>
      <c r="O77" s="738">
        <f t="shared" si="180"/>
        <v>2.138995</v>
      </c>
      <c r="P77" s="738">
        <f t="shared" si="181"/>
        <v>0.71874000000000005</v>
      </c>
      <c r="Q77" s="739">
        <f>'HVAC Deemed Table'!I713</f>
        <v>2.138995</v>
      </c>
      <c r="R77" s="739">
        <f>'HVAC Deemed Table'!I714</f>
        <v>0</v>
      </c>
      <c r="S77" s="739">
        <f>'HVAC Deemed Table'!I715</f>
        <v>0.71874000000000005</v>
      </c>
      <c r="T77" s="739">
        <f>'HVAC Deemed Table'!I716</f>
        <v>0</v>
      </c>
      <c r="U77" s="740">
        <f t="shared" si="174"/>
        <v>0</v>
      </c>
      <c r="V77" s="740">
        <f t="shared" si="175"/>
        <v>0</v>
      </c>
      <c r="W77" s="740">
        <f t="shared" si="176"/>
        <v>2.138995</v>
      </c>
      <c r="X77" s="22">
        <f>'HVAC Deemed Table'!J713</f>
        <v>6</v>
      </c>
      <c r="Y77" s="22">
        <f>'HVAC Deemed Table'!J715</f>
        <v>12</v>
      </c>
      <c r="Z77" s="22">
        <f t="shared" si="62"/>
        <v>18</v>
      </c>
      <c r="AA77" s="17">
        <f>'HVAC Deemed Table'!DG713</f>
        <v>1.9824081080946245</v>
      </c>
      <c r="AB77" s="241">
        <f>'HVAC Deemed Table'!K713</f>
        <v>4188.7510221369221</v>
      </c>
      <c r="AC77" s="846">
        <f t="shared" si="63"/>
        <v>4493.4460750405278</v>
      </c>
      <c r="AD77" s="846">
        <f t="shared" si="177"/>
        <v>3810.3679140333525</v>
      </c>
      <c r="AE77" s="191">
        <f>'HVAC Deemed Table'!DI713</f>
        <v>2248.3362078095734</v>
      </c>
      <c r="AF77" s="191">
        <f>'HVAC Deemed Table'!DI714</f>
        <v>2245.1098672309545</v>
      </c>
      <c r="AG77" s="191">
        <f>'HVAC Deemed Table'!DI715</f>
        <v>981.60713826151823</v>
      </c>
      <c r="AH77" s="191">
        <f>'HVAC Deemed Table'!DI716</f>
        <v>2828.7607757718342</v>
      </c>
      <c r="AI77" s="850" t="str">
        <f t="shared" si="42"/>
        <v>per measure</v>
      </c>
      <c r="AJ77" s="45">
        <f>'HVAC Deemed Table'!L713</f>
        <v>2.5833656509695291</v>
      </c>
      <c r="AK77" s="609"/>
      <c r="AL77" s="609"/>
      <c r="AX77" s="1226" t="str">
        <f t="shared" si="64"/>
        <v>ASHP-SEER20-Replace_CAC_ElectricHeat_ER1_SF</v>
      </c>
      <c r="AY77" s="1249"/>
      <c r="AZ77" s="1312" t="str">
        <f t="shared" si="65"/>
        <v>353400</v>
      </c>
      <c r="BA77" s="1196">
        <f>ROUND((K77*$BC$3)+(K80*$BC$4),2)</f>
        <v>1684.09</v>
      </c>
      <c r="BB77" s="1196">
        <f>ROUND((L77*$BC$3)+(L80*$BC$4),2)</f>
        <v>8765.39</v>
      </c>
      <c r="BC77" s="1196">
        <f>ROUND((M77*$BC$3)+(K80*$BC$4),2)</f>
        <v>784.64</v>
      </c>
      <c r="BD77" s="1196">
        <f>ROUND((N77*$BC$3)+(L80*$BC$4),2)</f>
        <v>8765.39</v>
      </c>
      <c r="BE77" s="1176"/>
      <c r="BF77" s="1192">
        <f>ROUND(BA77*'CP FACTORS'!$B$9,6)</f>
        <v>1.595537</v>
      </c>
      <c r="BG77" s="1193">
        <f>ROUND(BB77*'CP FACTORS'!$B$14,6)</f>
        <v>0</v>
      </c>
      <c r="BH77" s="1192">
        <f>ROUND(BC77*'CP FACTORS'!$B$9,6)</f>
        <v>0.74338199999999999</v>
      </c>
      <c r="BI77" s="1194">
        <f>ROUND(BD77*'CP FACTORS'!$B$14,6)</f>
        <v>0</v>
      </c>
      <c r="BJ77" s="1176"/>
      <c r="BK77" s="685">
        <f t="shared" si="182"/>
        <v>10449.48</v>
      </c>
      <c r="BL77" s="1213">
        <f t="shared" si="183"/>
        <v>9550.0299999999988</v>
      </c>
      <c r="BM77" s="1212">
        <f t="shared" si="184"/>
        <v>1.595537</v>
      </c>
      <c r="BN77" s="1211">
        <f t="shared" si="185"/>
        <v>0.74338199999999999</v>
      </c>
    </row>
    <row r="78" spans="1:66" x14ac:dyDescent="0.25">
      <c r="A78" s="49" t="str">
        <f t="shared" si="61"/>
        <v>353410</v>
      </c>
      <c r="B78" s="1307" t="str">
        <f>'HVAC Deemed Table'!C717</f>
        <v>353410_2024_12_</v>
      </c>
      <c r="C78" s="830" t="str">
        <f>'HVAC Deemed Table'!G717</f>
        <v>Cooling Res</v>
      </c>
      <c r="D78" s="830" t="str">
        <f>'HVAC Deemed Table'!G718</f>
        <v>Heating Res</v>
      </c>
      <c r="E78" s="830" t="str">
        <f>'HVAC Deemed Table'!G719</f>
        <v>Cooling Res ER2</v>
      </c>
      <c r="F78" s="830" t="str">
        <f>'HVAC Deemed Table'!G720</f>
        <v>Heating Res ER2</v>
      </c>
      <c r="G78" s="1249" t="str">
        <f>'HVAC Deemed Table'!E717</f>
        <v>ASHP-SEER20-Replace_CAC_NonElectricHeat_ER1_SF</v>
      </c>
      <c r="H78" s="18" t="str">
        <f>'HVAC Deemed Table'!D717</f>
        <v>PAYS / IE</v>
      </c>
      <c r="I78" s="737">
        <f t="shared" si="178"/>
        <v>2257.71</v>
      </c>
      <c r="J78" s="737">
        <f t="shared" si="179"/>
        <v>758.63</v>
      </c>
      <c r="K78" s="185">
        <f>'HVAC Deemed Table'!F717</f>
        <v>2257.71</v>
      </c>
      <c r="L78" s="185">
        <f>'HVAC Deemed Table'!F718</f>
        <v>0</v>
      </c>
      <c r="M78" s="185">
        <f>'HVAC Deemed Table'!F719</f>
        <v>758.63</v>
      </c>
      <c r="N78" s="185">
        <f>'HVAC Deemed Table'!F720</f>
        <v>0</v>
      </c>
      <c r="O78" s="738">
        <f t="shared" si="180"/>
        <v>2.138995</v>
      </c>
      <c r="P78" s="738">
        <f t="shared" si="181"/>
        <v>0.71874000000000005</v>
      </c>
      <c r="Q78" s="739">
        <f>'HVAC Deemed Table'!I717</f>
        <v>2.138995</v>
      </c>
      <c r="R78" s="739">
        <f>'HVAC Deemed Table'!I718</f>
        <v>0</v>
      </c>
      <c r="S78" s="739">
        <f>'HVAC Deemed Table'!I719</f>
        <v>0.71874000000000005</v>
      </c>
      <c r="T78" s="739">
        <f>'HVAC Deemed Table'!I720</f>
        <v>0</v>
      </c>
      <c r="U78" s="740">
        <f t="shared" si="174"/>
        <v>0</v>
      </c>
      <c r="V78" s="740">
        <f t="shared" si="175"/>
        <v>0</v>
      </c>
      <c r="W78" s="740">
        <f t="shared" si="176"/>
        <v>2.138995</v>
      </c>
      <c r="X78" s="22">
        <f>'HVAC Deemed Table'!J717</f>
        <v>6</v>
      </c>
      <c r="Y78" s="22">
        <f>'HVAC Deemed Table'!J719</f>
        <v>12</v>
      </c>
      <c r="Z78" s="22">
        <f t="shared" si="62"/>
        <v>18</v>
      </c>
      <c r="AA78" s="17">
        <f>'HVAC Deemed Table'!DG717</f>
        <v>5.0513894263076669</v>
      </c>
      <c r="AB78" s="241">
        <f>'HVAC Deemed Table'!K717</f>
        <v>639.41681653953015</v>
      </c>
      <c r="AC78" s="846">
        <f t="shared" si="63"/>
        <v>2248.3362078095734</v>
      </c>
      <c r="AD78" s="846">
        <f t="shared" si="177"/>
        <v>981.60713826151823</v>
      </c>
      <c r="AE78" s="191">
        <f>'HVAC Deemed Table'!DI717</f>
        <v>2248.3362078095734</v>
      </c>
      <c r="AF78" s="191">
        <f>'HVAC Deemed Table'!DI718</f>
        <v>0</v>
      </c>
      <c r="AG78" s="191">
        <f>'HVAC Deemed Table'!DI719</f>
        <v>981.60713826151823</v>
      </c>
      <c r="AH78" s="191">
        <f>'HVAC Deemed Table'!DI720</f>
        <v>0</v>
      </c>
      <c r="AI78" s="850" t="str">
        <f t="shared" si="42"/>
        <v>per measure</v>
      </c>
      <c r="AJ78" s="45">
        <f>'HVAC Deemed Table'!L717</f>
        <v>2.5833656509695291</v>
      </c>
      <c r="AK78" s="861"/>
      <c r="AL78" s="861"/>
      <c r="AX78" s="1226" t="str">
        <f t="shared" si="64"/>
        <v>ASHP-SEER20-Replace_CAC_NonElectricHeat_ER1_SF</v>
      </c>
      <c r="AY78" s="1249"/>
      <c r="AZ78" s="1312" t="str">
        <f t="shared" si="65"/>
        <v>353410</v>
      </c>
      <c r="BA78" s="1196">
        <f>ROUND((K78*$BC$3)+(K82*$BC$4),2)</f>
        <v>1684.09</v>
      </c>
      <c r="BB78" s="1196">
        <f>ROUND((L78*$BC$3)+(L82*$BC$4),2)</f>
        <v>0</v>
      </c>
      <c r="BC78" s="1196">
        <f>ROUND((M78*$BC$3)+(K82*$BC$4),2)</f>
        <v>784.64</v>
      </c>
      <c r="BD78" s="1196">
        <f>ROUND((N78*$BC$3)+(L82*$BC$4),2)</f>
        <v>0</v>
      </c>
      <c r="BE78" s="1176"/>
      <c r="BF78" s="1192">
        <f>ROUND(BA78*'CP FACTORS'!$B$9,6)</f>
        <v>1.595537</v>
      </c>
      <c r="BG78" s="1193">
        <f>ROUND(BB78*'CP FACTORS'!$B$14,6)</f>
        <v>0</v>
      </c>
      <c r="BH78" s="1192">
        <f>ROUND(BC78*'CP FACTORS'!$B$9,6)</f>
        <v>0.74338199999999999</v>
      </c>
      <c r="BI78" s="1194">
        <f>ROUND(BD78*'CP FACTORS'!$B$14,6)</f>
        <v>0</v>
      </c>
      <c r="BJ78" s="1176"/>
      <c r="BK78" s="685">
        <f t="shared" si="182"/>
        <v>1684.09</v>
      </c>
      <c r="BL78" s="1213">
        <f t="shared" si="183"/>
        <v>784.64</v>
      </c>
      <c r="BM78" s="1212">
        <f t="shared" si="184"/>
        <v>1.595537</v>
      </c>
      <c r="BN78" s="1211">
        <f t="shared" si="185"/>
        <v>0.74338199999999999</v>
      </c>
    </row>
    <row r="79" spans="1:66" s="39" customFormat="1" x14ac:dyDescent="0.25">
      <c r="A79" s="659" t="str">
        <f t="shared" ref="A79" si="186">LEFT(B79,6)</f>
        <v>353420</v>
      </c>
      <c r="B79" s="645" t="str">
        <f>'HVAC Deemed Table'!C721</f>
        <v>353420_2025_12_</v>
      </c>
      <c r="C79" s="2116" t="str">
        <f>'HVAC Deemed Table'!G721</f>
        <v>Cooling Res</v>
      </c>
      <c r="D79" s="2116" t="str">
        <f>'HVAC Deemed Table'!G722</f>
        <v>Heating Res</v>
      </c>
      <c r="E79" s="2116" t="str">
        <f>'HVAC Deemed Table'!G723</f>
        <v>Cooling Res ER2</v>
      </c>
      <c r="F79" s="2116" t="str">
        <f>'HVAC Deemed Table'!G724</f>
        <v>Heating Res ER2</v>
      </c>
      <c r="G79" s="644" t="str">
        <f>'HVAC Deemed Table'!E721</f>
        <v>ASHP-SEER20-Replace_CAC_NonElectricHeat_ER1_MF</v>
      </c>
      <c r="H79" s="650" t="str">
        <f>'HVAC Deemed Table'!D721</f>
        <v>IE</v>
      </c>
      <c r="I79" s="648">
        <f t="shared" ref="I79" si="187">K79+L79</f>
        <v>2079.37</v>
      </c>
      <c r="J79" s="648">
        <f t="shared" ref="J79" si="188">M79+N79</f>
        <v>401.81</v>
      </c>
      <c r="K79" s="646">
        <f>'HVAC Deemed Table'!F721</f>
        <v>2079.37</v>
      </c>
      <c r="L79" s="646">
        <f>'HVAC Deemed Table'!F722</f>
        <v>0</v>
      </c>
      <c r="M79" s="646">
        <f>'HVAC Deemed Table'!F723</f>
        <v>401.81</v>
      </c>
      <c r="N79" s="646">
        <f>'HVAC Deemed Table'!F724</f>
        <v>0</v>
      </c>
      <c r="O79" s="649">
        <f t="shared" ref="O79" si="189">Q79+R79</f>
        <v>1.9700329999999999</v>
      </c>
      <c r="P79" s="649">
        <f t="shared" ref="P79" si="190">S79+T79</f>
        <v>0.38068200000000002</v>
      </c>
      <c r="Q79" s="651">
        <f>'HVAC Deemed Table'!I721</f>
        <v>1.9700329999999999</v>
      </c>
      <c r="R79" s="651">
        <f>'HVAC Deemed Table'!I722</f>
        <v>0</v>
      </c>
      <c r="S79" s="651">
        <f>'HVAC Deemed Table'!I723</f>
        <v>0.38068200000000002</v>
      </c>
      <c r="T79" s="651">
        <f>'HVAC Deemed Table'!I724</f>
        <v>0</v>
      </c>
      <c r="U79" s="2117">
        <f t="shared" ref="U79" si="191">IFERROR(IF(V79+W79&gt;0,0,IF(Z79&gt;0,O79,0)),0)</f>
        <v>0</v>
      </c>
      <c r="V79" s="2117">
        <f t="shared" ref="V79" si="192">IF(W79&gt;0,0,IF(Z79&gt;9,O79,0))</f>
        <v>0</v>
      </c>
      <c r="W79" s="2117">
        <f t="shared" ref="W79" si="193">IF(Z79&gt;14,O79,0)</f>
        <v>1.9700329999999999</v>
      </c>
      <c r="X79" s="642">
        <f>'HVAC Deemed Table'!J721</f>
        <v>6</v>
      </c>
      <c r="Y79" s="642">
        <f>'HVAC Deemed Table'!J723</f>
        <v>12</v>
      </c>
      <c r="Z79" s="642">
        <f t="shared" ref="Z79" si="194">Y79+X79</f>
        <v>18</v>
      </c>
      <c r="AA79" s="112">
        <f>'HVAC Deemed Table'!DG721</f>
        <v>2.6736214933917948</v>
      </c>
      <c r="AB79" s="733">
        <f>'HVAC Deemed Table'!K721</f>
        <v>968.96549571986588</v>
      </c>
      <c r="AC79" s="736">
        <f t="shared" ref="AC79" si="195">AE79+AF79</f>
        <v>2070.7366581327951</v>
      </c>
      <c r="AD79" s="736">
        <f t="shared" ref="AD79" si="196">AG79+AH79</f>
        <v>519.91031757887333</v>
      </c>
      <c r="AE79" s="652">
        <f>'HVAC Deemed Table'!DI721</f>
        <v>2070.7366581327951</v>
      </c>
      <c r="AF79" s="652">
        <f>'HVAC Deemed Table'!DI722</f>
        <v>0</v>
      </c>
      <c r="AG79" s="652">
        <f>'HVAC Deemed Table'!DI723</f>
        <v>519.91031757887333</v>
      </c>
      <c r="AH79" s="652">
        <f>'HVAC Deemed Table'!DI724</f>
        <v>0</v>
      </c>
      <c r="AI79" s="2118" t="str">
        <f t="shared" si="42"/>
        <v>per measure</v>
      </c>
      <c r="AJ79" s="46">
        <f>'HVAC Deemed Table'!L721</f>
        <v>2.2000000000000002</v>
      </c>
      <c r="AK79" s="861"/>
      <c r="AL79" s="861"/>
      <c r="AN79" s="2129"/>
      <c r="AO79" s="2129"/>
      <c r="AP79" s="2129"/>
      <c r="AQ79" s="2129"/>
      <c r="AR79" s="2129"/>
      <c r="AS79" s="2129"/>
      <c r="AT79" s="2129"/>
      <c r="AU79" s="2129"/>
      <c r="AV79" s="2129"/>
      <c r="AW79" s="2129"/>
      <c r="AX79" s="2130" t="str">
        <f t="shared" ref="AX79" si="197">G79</f>
        <v>ASHP-SEER20-Replace_CAC_NonElectricHeat_ER1_MF</v>
      </c>
      <c r="AY79" s="644"/>
      <c r="AZ79" s="2119" t="str">
        <f t="shared" ref="AZ79" si="198">A79</f>
        <v>353420</v>
      </c>
      <c r="BA79" s="2120">
        <f>ROUND((K79*$BC$3)+(K81*$BC$4),2)</f>
        <v>1463.57</v>
      </c>
      <c r="BB79" s="2120">
        <f>ROUND((L79*$BC$3)+(L79*$BC$4),2)</f>
        <v>0</v>
      </c>
      <c r="BC79" s="2120">
        <f>ROUND((M79*$BC$3)+(M79*$BC$4),2)</f>
        <v>401.81</v>
      </c>
      <c r="BD79" s="2120">
        <f>ROUND((N79*$BC$3)+(N79*$BC$4),2)</f>
        <v>0</v>
      </c>
      <c r="BE79" s="1177"/>
      <c r="BF79" s="1193">
        <f>ROUND(BA79*'CP FACTORS'!$B$9,6)</f>
        <v>1.3866130000000001</v>
      </c>
      <c r="BG79" s="1193">
        <f>ROUND(BB79*'CP FACTORS'!$B$14,6)</f>
        <v>0</v>
      </c>
      <c r="BH79" s="1193">
        <f>ROUND(BC79*'CP FACTORS'!$B$9,6)</f>
        <v>0.38068200000000002</v>
      </c>
      <c r="BI79" s="1194">
        <f>ROUND(BD79*'CP FACTORS'!$B$14,6)</f>
        <v>0</v>
      </c>
      <c r="BJ79" s="1177"/>
      <c r="BK79" s="204">
        <f t="shared" ref="BK79" si="199">BA79+BB79</f>
        <v>1463.57</v>
      </c>
      <c r="BL79" s="2121">
        <f t="shared" ref="BL79" si="200">BC79+BD79</f>
        <v>401.81</v>
      </c>
      <c r="BM79" s="2122">
        <f t="shared" ref="BM79" si="201">BF79+BG79</f>
        <v>1.3866130000000001</v>
      </c>
      <c r="BN79" s="1194">
        <f t="shared" ref="BN79" si="202">BH79+BI79</f>
        <v>0.38068200000000002</v>
      </c>
    </row>
    <row r="80" spans="1:66" x14ac:dyDescent="0.25">
      <c r="A80" s="49" t="str">
        <f t="shared" si="61"/>
        <v>353450</v>
      </c>
      <c r="B80" s="1307" t="str">
        <f>'HVAC Deemed Table'!C725</f>
        <v>353450_2024_12_</v>
      </c>
      <c r="C80" s="830" t="str">
        <f>'HVAC Deemed Table'!G725</f>
        <v>Cooling Res</v>
      </c>
      <c r="D80" s="830" t="str">
        <f>'HVAC Deemed Table'!G726</f>
        <v>Heating Res</v>
      </c>
      <c r="E80" s="1249"/>
      <c r="F80" s="1249"/>
      <c r="G80" s="1249" t="str">
        <f>'HVAC Deemed Table'!E725</f>
        <v>ASHP-SEER20-Replace_CAC_ElectricHeat_ROF_SF</v>
      </c>
      <c r="H80" s="18" t="str">
        <f>'HVAC Deemed Table'!D725</f>
        <v>PAYS / IE</v>
      </c>
      <c r="I80" s="737">
        <f t="shared" si="178"/>
        <v>10179.58</v>
      </c>
      <c r="J80" s="737">
        <f t="shared" si="179"/>
        <v>0</v>
      </c>
      <c r="K80" s="185">
        <f>'HVAC Deemed Table'!F725</f>
        <v>823.65</v>
      </c>
      <c r="L80" s="185">
        <f>'HVAC Deemed Table'!F726</f>
        <v>9355.93</v>
      </c>
      <c r="M80" s="185"/>
      <c r="N80" s="185"/>
      <c r="O80" s="738">
        <f t="shared" si="180"/>
        <v>0.78034099999999995</v>
      </c>
      <c r="P80" s="738">
        <f t="shared" si="181"/>
        <v>0</v>
      </c>
      <c r="Q80" s="739">
        <f>'HVAC Deemed Table'!I725</f>
        <v>0.78034099999999995</v>
      </c>
      <c r="R80" s="739">
        <f>'HVAC Deemed Table'!I726</f>
        <v>0</v>
      </c>
      <c r="S80" s="739"/>
      <c r="T80" s="739"/>
      <c r="U80" s="740">
        <f t="shared" si="174"/>
        <v>0</v>
      </c>
      <c r="V80" s="740">
        <f t="shared" si="175"/>
        <v>0</v>
      </c>
      <c r="W80" s="740">
        <f t="shared" si="176"/>
        <v>0.78034099999999995</v>
      </c>
      <c r="X80" s="22">
        <f>'HVAC Deemed Table'!J725</f>
        <v>18</v>
      </c>
      <c r="Y80" s="22"/>
      <c r="Z80" s="22">
        <f t="shared" si="62"/>
        <v>18</v>
      </c>
      <c r="AA80" s="17">
        <f>'HVAC Deemed Table'!DG725</f>
        <v>1.745420544825012</v>
      </c>
      <c r="AB80" s="241">
        <f>'HVAC Deemed Table'!K725</f>
        <v>4329.25</v>
      </c>
      <c r="AC80" s="846">
        <f t="shared" si="63"/>
        <v>7556.3618936836829</v>
      </c>
      <c r="AD80" s="846">
        <f t="shared" si="177"/>
        <v>0</v>
      </c>
      <c r="AE80" s="191">
        <f>'HVAC Deemed Table'!DI725</f>
        <v>1885.9681541891377</v>
      </c>
      <c r="AF80" s="191">
        <f>'HVAC Deemed Table'!DI726</f>
        <v>5670.3937394945451</v>
      </c>
      <c r="AG80" s="191"/>
      <c r="AH80" s="191"/>
      <c r="AI80" s="850" t="str">
        <f>AI78</f>
        <v>per measure</v>
      </c>
      <c r="AJ80" s="45">
        <f>'HVAC Deemed Table'!L725</f>
        <v>2.8870833333333334</v>
      </c>
      <c r="AK80" s="609"/>
      <c r="AL80" s="609"/>
      <c r="AN80" s="2137"/>
      <c r="AO80" s="2137"/>
      <c r="AP80" s="2137"/>
      <c r="AQ80" s="2137"/>
      <c r="AR80" s="2137"/>
      <c r="AS80" s="2137"/>
      <c r="AT80" s="2137"/>
      <c r="AU80" s="2137"/>
      <c r="AV80" s="2137"/>
      <c r="AW80" s="2137"/>
      <c r="AX80" s="2138" t="str">
        <f t="shared" si="64"/>
        <v>ASHP-SEER20-Replace_CAC_ElectricHeat_ROF_SF</v>
      </c>
      <c r="AY80" s="1249"/>
      <c r="AZ80" s="1312" t="str">
        <f t="shared" si="65"/>
        <v>353450</v>
      </c>
      <c r="BA80" s="1203">
        <f>BA77</f>
        <v>1684.09</v>
      </c>
      <c r="BB80" s="2120">
        <f t="shared" ref="BB80:BB81" si="203">ROUND((L80*$BC$3)+(L80*$BC$4),2)</f>
        <v>9355.93</v>
      </c>
      <c r="BC80" s="1203">
        <f>BC77</f>
        <v>784.64</v>
      </c>
      <c r="BD80" s="1203">
        <f>BD77</f>
        <v>8765.39</v>
      </c>
      <c r="BE80" s="1176"/>
      <c r="BF80" s="1192">
        <f>ROUND(BA80*'CP FACTORS'!$B$9,6)</f>
        <v>1.595537</v>
      </c>
      <c r="BG80" s="1193">
        <f>ROUND(BB80*'CP FACTORS'!$B$14,6)</f>
        <v>0</v>
      </c>
      <c r="BH80" s="1192">
        <f>ROUND(BC80*'CP FACTORS'!$B$9,6)</f>
        <v>0.74338199999999999</v>
      </c>
      <c r="BI80" s="1194">
        <f>ROUND(BD80*'CP FACTORS'!$B$14,6)</f>
        <v>0</v>
      </c>
      <c r="BJ80" s="1176"/>
      <c r="BK80" s="685">
        <f t="shared" si="182"/>
        <v>11040.02</v>
      </c>
      <c r="BL80" s="1213">
        <f t="shared" si="183"/>
        <v>9550.0299999999988</v>
      </c>
      <c r="BM80" s="1212">
        <f t="shared" si="184"/>
        <v>1.595537</v>
      </c>
      <c r="BN80" s="1211">
        <f t="shared" si="185"/>
        <v>0.74338199999999999</v>
      </c>
    </row>
    <row r="81" spans="1:66" s="39" customFormat="1" x14ac:dyDescent="0.25">
      <c r="A81" s="659" t="str">
        <f t="shared" ref="A81" si="204">LEFT(B81,6)</f>
        <v>353455</v>
      </c>
      <c r="B81" s="645" t="str">
        <f>'HVAC Deemed Table'!C727</f>
        <v>353455_2025_12_</v>
      </c>
      <c r="C81" s="2116" t="str">
        <f>'HVAC Deemed Table'!G727</f>
        <v>Cooling Res</v>
      </c>
      <c r="D81" s="2116" t="str">
        <f>'HVAC Deemed Table'!G728</f>
        <v>Heating Res</v>
      </c>
      <c r="E81" s="644"/>
      <c r="F81" s="644"/>
      <c r="G81" s="644" t="str">
        <f>'HVAC Deemed Table'!E727</f>
        <v>ASHP-SEER20-Replace_CAC_ElectricHeat_ROF_MF</v>
      </c>
      <c r="H81" s="650" t="str">
        <f>'HVAC Deemed Table'!D727</f>
        <v>IE</v>
      </c>
      <c r="I81" s="648">
        <f t="shared" ref="I81" si="205">K81+L81</f>
        <v>6859.08</v>
      </c>
      <c r="J81" s="648">
        <f t="shared" ref="J81" si="206">M81+N81</f>
        <v>0</v>
      </c>
      <c r="K81" s="646">
        <f>'HVAC Deemed Table'!F727</f>
        <v>539.88</v>
      </c>
      <c r="L81" s="646">
        <f>'HVAC Deemed Table'!F728</f>
        <v>6319.2</v>
      </c>
      <c r="M81" s="646"/>
      <c r="N81" s="646"/>
      <c r="O81" s="649">
        <f t="shared" ref="O81" si="207">Q81+R81</f>
        <v>0.51149199999999995</v>
      </c>
      <c r="P81" s="649">
        <f t="shared" ref="P81" si="208">S81+T81</f>
        <v>0</v>
      </c>
      <c r="Q81" s="651">
        <f>'HVAC Deemed Table'!I727</f>
        <v>0.51149199999999995</v>
      </c>
      <c r="R81" s="651">
        <f>'HVAC Deemed Table'!I728</f>
        <v>0</v>
      </c>
      <c r="S81" s="651"/>
      <c r="T81" s="651"/>
      <c r="U81" s="2117">
        <f t="shared" ref="U81" si="209">IFERROR(IF(V81+W81&gt;0,0,IF(Z81&gt;0,O81,0)),0)</f>
        <v>0</v>
      </c>
      <c r="V81" s="2117">
        <f t="shared" ref="V81" si="210">IF(W81&gt;0,0,IF(Z81&gt;9,O81,0))</f>
        <v>0</v>
      </c>
      <c r="W81" s="2117">
        <f t="shared" ref="W81" si="211">IF(Z81&gt;14,O81,0)</f>
        <v>0.51149199999999995</v>
      </c>
      <c r="X81" s="642">
        <f>'HVAC Deemed Table'!J727</f>
        <v>18</v>
      </c>
      <c r="Y81" s="642"/>
      <c r="Z81" s="642">
        <f t="shared" ref="Z81" si="212">Y81+X81</f>
        <v>18</v>
      </c>
      <c r="AA81" s="112">
        <f>'HVAC Deemed Table'!DG727</f>
        <v>1.1625898525186387</v>
      </c>
      <c r="AB81" s="733">
        <f>'HVAC Deemed Table'!K727</f>
        <v>4357.60601696091</v>
      </c>
      <c r="AC81" s="736">
        <f t="shared" ref="AC81" si="213">AE81+AF81</f>
        <v>5066.1085365929166</v>
      </c>
      <c r="AD81" s="736">
        <f t="shared" ref="AD81" si="214">AG81+AH81</f>
        <v>0</v>
      </c>
      <c r="AE81" s="652">
        <f>'HVAC Deemed Table'!DI727</f>
        <v>1236.2004335380705</v>
      </c>
      <c r="AF81" s="652">
        <f>'HVAC Deemed Table'!DI728</f>
        <v>3829.9081030548459</v>
      </c>
      <c r="AG81" s="652"/>
      <c r="AH81" s="652"/>
      <c r="AI81" s="2118" t="str">
        <f>AI79</f>
        <v>per measure</v>
      </c>
      <c r="AJ81" s="46">
        <f>'HVAC Deemed Table'!L727</f>
        <v>1.95</v>
      </c>
      <c r="AK81" s="861"/>
      <c r="AL81" s="861"/>
      <c r="AN81" s="2129"/>
      <c r="AO81" s="2129"/>
      <c r="AP81" s="2129"/>
      <c r="AQ81" s="2129"/>
      <c r="AR81" s="2129"/>
      <c r="AS81" s="2129"/>
      <c r="AT81" s="2129"/>
      <c r="AU81" s="2129"/>
      <c r="AV81" s="2129"/>
      <c r="AW81" s="2129"/>
      <c r="AX81" s="2130" t="str">
        <f t="shared" ref="AX81" si="215">G81</f>
        <v>ASHP-SEER20-Replace_CAC_ElectricHeat_ROF_MF</v>
      </c>
      <c r="AY81" s="644"/>
      <c r="AZ81" s="2119" t="str">
        <f t="shared" ref="AZ81" si="216">A81</f>
        <v>353455</v>
      </c>
      <c r="BA81" s="2120">
        <f>BA79</f>
        <v>1463.57</v>
      </c>
      <c r="BB81" s="2120">
        <f t="shared" si="203"/>
        <v>6319.2</v>
      </c>
      <c r="BC81" s="2120">
        <f>BC79</f>
        <v>401.81</v>
      </c>
      <c r="BD81" s="2120">
        <f>BD79</f>
        <v>0</v>
      </c>
      <c r="BE81" s="1177"/>
      <c r="BF81" s="1193">
        <f>ROUND(BA81*'CP FACTORS'!$B$9,6)</f>
        <v>1.3866130000000001</v>
      </c>
      <c r="BG81" s="1193">
        <f>ROUND(BB81*'CP FACTORS'!$B$14,6)</f>
        <v>0</v>
      </c>
      <c r="BH81" s="1193">
        <f>ROUND(BC81*'CP FACTORS'!$B$9,6)</f>
        <v>0.38068200000000002</v>
      </c>
      <c r="BI81" s="1194">
        <f>ROUND(BD81*'CP FACTORS'!$B$14,6)</f>
        <v>0</v>
      </c>
      <c r="BJ81" s="1177"/>
      <c r="BK81" s="204">
        <f t="shared" ref="BK81" si="217">BA81+BB81</f>
        <v>7782.7699999999995</v>
      </c>
      <c r="BL81" s="2121">
        <f t="shared" ref="BL81" si="218">BC81+BD81</f>
        <v>401.81</v>
      </c>
      <c r="BM81" s="2122">
        <f t="shared" ref="BM81" si="219">BF81+BG81</f>
        <v>1.3866130000000001</v>
      </c>
      <c r="BN81" s="1194">
        <f t="shared" ref="BN81" si="220">BH81+BI81</f>
        <v>0.38068200000000002</v>
      </c>
    </row>
    <row r="82" spans="1:66" s="39" customFormat="1" x14ac:dyDescent="0.25">
      <c r="A82" s="49" t="str">
        <f>LEFT(B82,6)</f>
        <v>353460</v>
      </c>
      <c r="B82" s="1307" t="str">
        <f>'HVAC Deemed Table'!C729</f>
        <v>353460_2024_12_</v>
      </c>
      <c r="C82" s="830" t="str">
        <f>'HVAC Deemed Table'!G729</f>
        <v>Cooling Res</v>
      </c>
      <c r="D82" s="830" t="str">
        <f>'HVAC Deemed Table'!G730</f>
        <v>Heating Res</v>
      </c>
      <c r="E82" s="1249"/>
      <c r="F82" s="1249"/>
      <c r="G82" s="1249" t="str">
        <f>'HVAC Deemed Table'!E729</f>
        <v>ASHP-SEER20-Replace_CAC_NonElectricHeat_ROF_SF</v>
      </c>
      <c r="H82" s="18" t="str">
        <f>'HVAC Deemed Table'!D729</f>
        <v>PAYS / IE</v>
      </c>
      <c r="I82" s="737">
        <f>K82+L82</f>
        <v>823.65</v>
      </c>
      <c r="J82" s="737">
        <f>M82+N82</f>
        <v>0</v>
      </c>
      <c r="K82" s="185">
        <f>'HVAC Deemed Table'!F729</f>
        <v>823.65</v>
      </c>
      <c r="L82" s="185">
        <f>'HVAC Deemed Table'!F730</f>
        <v>0</v>
      </c>
      <c r="M82" s="185"/>
      <c r="N82" s="185"/>
      <c r="O82" s="738">
        <f>Q82+R82</f>
        <v>0.78034099999999995</v>
      </c>
      <c r="P82" s="738">
        <f>S82+T82</f>
        <v>0</v>
      </c>
      <c r="Q82" s="739">
        <f>'HVAC Deemed Table'!I729</f>
        <v>0.78034099999999995</v>
      </c>
      <c r="R82" s="739">
        <f>'HVAC Deemed Table'!I730</f>
        <v>0</v>
      </c>
      <c r="S82" s="739"/>
      <c r="T82" s="739"/>
      <c r="U82" s="740">
        <f t="shared" si="174"/>
        <v>0</v>
      </c>
      <c r="V82" s="740">
        <f t="shared" si="175"/>
        <v>0</v>
      </c>
      <c r="W82" s="740">
        <f t="shared" si="176"/>
        <v>0.78034099999999995</v>
      </c>
      <c r="X82" s="22">
        <f>'HVAC Deemed Table'!J729</f>
        <v>18</v>
      </c>
      <c r="Y82" s="22"/>
      <c r="Z82" s="22">
        <f>Y82+X82</f>
        <v>18</v>
      </c>
      <c r="AA82" s="17">
        <f>'HVAC Deemed Table'!DG729</f>
        <v>5.3840470509685074</v>
      </c>
      <c r="AB82" s="757">
        <f>'HVAC Deemed Table'!K729</f>
        <v>350.28820074109143</v>
      </c>
      <c r="AC82" s="846">
        <f>AE82+AF82</f>
        <v>1885.9681541891377</v>
      </c>
      <c r="AD82" s="846">
        <f>AG82+AH82</f>
        <v>0</v>
      </c>
      <c r="AE82" s="191">
        <f>'HVAC Deemed Table'!DI729</f>
        <v>1885.9681541891377</v>
      </c>
      <c r="AF82" s="191">
        <f>'HVAC Deemed Table'!DI730</f>
        <v>0</v>
      </c>
      <c r="AG82" s="191"/>
      <c r="AH82" s="191"/>
      <c r="AI82" s="850" t="str">
        <f>AI80</f>
        <v>per measure</v>
      </c>
      <c r="AJ82" s="46">
        <f>'HVAC Deemed Table'!L729</f>
        <v>2.8870833333333334</v>
      </c>
      <c r="AK82" s="861"/>
      <c r="AL82" s="861"/>
      <c r="AM82"/>
      <c r="AN82"/>
      <c r="AO82"/>
      <c r="AP82"/>
      <c r="AQ82"/>
      <c r="AR82"/>
      <c r="AS82"/>
      <c r="AT82"/>
      <c r="AU82"/>
      <c r="AV82"/>
      <c r="AW82"/>
      <c r="AX82" s="1226" t="str">
        <f t="shared" si="64"/>
        <v>ASHP-SEER20-Replace_CAC_NonElectricHeat_ROF_SF</v>
      </c>
      <c r="AY82" s="1249"/>
      <c r="AZ82" s="1312" t="str">
        <f t="shared" si="65"/>
        <v>353460</v>
      </c>
      <c r="BA82" s="1200">
        <f>BA78</f>
        <v>1684.09</v>
      </c>
      <c r="BB82" s="1200">
        <f>BB78</f>
        <v>0</v>
      </c>
      <c r="BC82" s="1200">
        <f>BC78</f>
        <v>784.64</v>
      </c>
      <c r="BD82" s="1200">
        <f>BD78</f>
        <v>0</v>
      </c>
      <c r="BE82" s="1177"/>
      <c r="BF82" s="1192">
        <f>ROUND(BA82*'CP FACTORS'!$B$9,6)</f>
        <v>1.595537</v>
      </c>
      <c r="BG82" s="1193">
        <f>ROUND(BB82*'CP FACTORS'!$B$14,6)</f>
        <v>0</v>
      </c>
      <c r="BH82" s="1192">
        <f>ROUND(BC82*'CP FACTORS'!$B$9,6)</f>
        <v>0.74338199999999999</v>
      </c>
      <c r="BI82" s="1194">
        <f>ROUND(BD82*'CP FACTORS'!$B$14,6)</f>
        <v>0</v>
      </c>
      <c r="BJ82" s="1176"/>
      <c r="BK82" s="685">
        <f t="shared" si="182"/>
        <v>1684.09</v>
      </c>
      <c r="BL82" s="1213">
        <f t="shared" si="183"/>
        <v>784.64</v>
      </c>
      <c r="BM82" s="1212">
        <f t="shared" si="184"/>
        <v>1.595537</v>
      </c>
      <c r="BN82" s="1211">
        <f t="shared" si="185"/>
        <v>0.74338199999999999</v>
      </c>
    </row>
    <row r="83" spans="1:66" x14ac:dyDescent="0.25">
      <c r="A83" s="49" t="str">
        <f t="shared" si="61"/>
        <v>353550</v>
      </c>
      <c r="B83" s="1307" t="str">
        <f>'HVAC Deemed Table'!C731</f>
        <v>353550_2024_12_</v>
      </c>
      <c r="C83" s="830" t="str">
        <f>'HVAC Deemed Table'!G731</f>
        <v>Cooling Res</v>
      </c>
      <c r="D83" s="830" t="str">
        <f>'HVAC Deemed Table'!G732</f>
        <v>Heating Res</v>
      </c>
      <c r="E83" s="830" t="str">
        <f>'HVAC Deemed Table'!G733</f>
        <v>Cooling Res ER2</v>
      </c>
      <c r="F83" s="830" t="str">
        <f>'HVAC Deemed Table'!G734</f>
        <v>Heating Res ER2</v>
      </c>
      <c r="G83" s="1249" t="str">
        <f>'HVAC Deemed Table'!E731</f>
        <v>ASHP-SEER21-Replace_CAC_ElectricHeat_ER1_SF</v>
      </c>
      <c r="H83" s="18" t="str">
        <f>'HVAC Deemed Table'!D731</f>
        <v>PAYS / IE</v>
      </c>
      <c r="I83" s="737">
        <f t="shared" si="178"/>
        <v>13411.14</v>
      </c>
      <c r="J83" s="737">
        <f t="shared" si="179"/>
        <v>11875.72</v>
      </c>
      <c r="K83" s="185">
        <f>'HVAC Deemed Table'!F731</f>
        <v>2498.89</v>
      </c>
      <c r="L83" s="185">
        <f>'HVAC Deemed Table'!F732</f>
        <v>10912.25</v>
      </c>
      <c r="M83" s="185">
        <f>'HVAC Deemed Table'!F733</f>
        <v>963.47</v>
      </c>
      <c r="N83" s="185">
        <f>'HVAC Deemed Table'!F734</f>
        <v>10912.25</v>
      </c>
      <c r="O83" s="738">
        <f t="shared" si="180"/>
        <v>2.3674940000000002</v>
      </c>
      <c r="P83" s="738">
        <f t="shared" si="181"/>
        <v>0.91280899999999998</v>
      </c>
      <c r="Q83" s="739">
        <f>'HVAC Deemed Table'!I731</f>
        <v>2.3674940000000002</v>
      </c>
      <c r="R83" s="739">
        <f>'HVAC Deemed Table'!I732</f>
        <v>0</v>
      </c>
      <c r="S83" s="739">
        <f>'HVAC Deemed Table'!I733</f>
        <v>0.91280899999999998</v>
      </c>
      <c r="T83" s="739">
        <f>'HVAC Deemed Table'!I734</f>
        <v>0</v>
      </c>
      <c r="U83" s="740">
        <f t="shared" si="174"/>
        <v>0</v>
      </c>
      <c r="V83" s="740">
        <f t="shared" si="175"/>
        <v>0</v>
      </c>
      <c r="W83" s="740">
        <f t="shared" si="176"/>
        <v>2.3674940000000002</v>
      </c>
      <c r="X83" s="22">
        <f>'HVAC Deemed Table'!J731</f>
        <v>6</v>
      </c>
      <c r="Y83" s="22">
        <f>'HVAC Deemed Table'!J733</f>
        <v>12</v>
      </c>
      <c r="Z83" s="22">
        <f t="shared" si="62"/>
        <v>18</v>
      </c>
      <c r="AA83" s="17">
        <f>'HVAC Deemed Table'!DG731</f>
        <v>2.2278666400454461</v>
      </c>
      <c r="AB83" s="241">
        <f>'HVAC Deemed Table'!K731</f>
        <v>4645.1653206811143</v>
      </c>
      <c r="AC83" s="846">
        <f t="shared" si="63"/>
        <v>5414.9490783079073</v>
      </c>
      <c r="AD83" s="846">
        <f t="shared" si="177"/>
        <v>4933.8597771335535</v>
      </c>
      <c r="AE83" s="191">
        <f>'HVAC Deemed Table'!DI731</f>
        <v>2488.5148519221975</v>
      </c>
      <c r="AF83" s="191">
        <f>'HVAC Deemed Table'!DI732</f>
        <v>2926.4342263857097</v>
      </c>
      <c r="AG83" s="191">
        <f>'HVAC Deemed Table'!DI733</f>
        <v>1246.6538754080711</v>
      </c>
      <c r="AH83" s="191">
        <f>'HVAC Deemed Table'!DI734</f>
        <v>3687.2059017254819</v>
      </c>
      <c r="AI83" s="850" t="str">
        <f t="shared" si="42"/>
        <v>per measure</v>
      </c>
      <c r="AJ83" s="45">
        <f>'HVAC Deemed Table'!L731</f>
        <v>3.3440561485431846</v>
      </c>
      <c r="AK83" s="609"/>
      <c r="AL83" s="609"/>
      <c r="AX83" s="1226" t="str">
        <f t="shared" ref="AX83:AX117" si="221">G83</f>
        <v>ASHP-SEER21-Replace_CAC_ElectricHeat_ER1_SF</v>
      </c>
      <c r="AY83" s="1249"/>
      <c r="AZ83" s="1312" t="str">
        <f t="shared" ref="AZ83:AZ117" si="222">A83</f>
        <v>353550</v>
      </c>
      <c r="BA83" s="1197">
        <f>ROUND((K83*$BC$3)+(K86*$BC$4),2)</f>
        <v>1891.78</v>
      </c>
      <c r="BB83" s="1197">
        <f>ROUND((L83*$BC$3)+(L86*$BC$4),2)</f>
        <v>11076.57</v>
      </c>
      <c r="BC83" s="1197">
        <f>ROUND((M83*$BC$3)+(K86*$BC$4),2)</f>
        <v>970.53</v>
      </c>
      <c r="BD83" s="1197">
        <f>ROUND((N83*$BC$3)+(L86*$BC$4),2)</f>
        <v>11076.57</v>
      </c>
      <c r="BE83" s="1176"/>
      <c r="BF83" s="1192">
        <f>ROUND(BA83*'CP FACTORS'!$B$9,6)</f>
        <v>1.7923070000000001</v>
      </c>
      <c r="BG83" s="1193">
        <f>ROUND(BB83*'CP FACTORS'!$B$14,6)</f>
        <v>0</v>
      </c>
      <c r="BH83" s="1192">
        <f>ROUND(BC83*'CP FACTORS'!$B$9,6)</f>
        <v>0.91949800000000004</v>
      </c>
      <c r="BI83" s="1194">
        <f>ROUND(BD83*'CP FACTORS'!$B$14,6)</f>
        <v>0</v>
      </c>
      <c r="BJ83" s="1176"/>
      <c r="BK83" s="685">
        <f t="shared" si="182"/>
        <v>12968.35</v>
      </c>
      <c r="BL83" s="1213">
        <f t="shared" si="183"/>
        <v>12047.1</v>
      </c>
      <c r="BM83" s="1212">
        <f t="shared" si="184"/>
        <v>1.7923070000000001</v>
      </c>
      <c r="BN83" s="1211">
        <f t="shared" si="185"/>
        <v>0.91949800000000004</v>
      </c>
    </row>
    <row r="84" spans="1:66" x14ac:dyDescent="0.25">
      <c r="A84" s="49" t="str">
        <f t="shared" si="61"/>
        <v>353560</v>
      </c>
      <c r="B84" s="1307" t="str">
        <f>'HVAC Deemed Table'!C735</f>
        <v>353560_2024_12_</v>
      </c>
      <c r="C84" s="830" t="str">
        <f>'HVAC Deemed Table'!G735</f>
        <v>Cooling Res</v>
      </c>
      <c r="D84" s="830" t="str">
        <f>'HVAC Deemed Table'!G736</f>
        <v>Heating Res</v>
      </c>
      <c r="E84" s="830" t="str">
        <f>'HVAC Deemed Table'!G737</f>
        <v>Cooling Res ER2</v>
      </c>
      <c r="F84" s="830" t="str">
        <f>'HVAC Deemed Table'!G738</f>
        <v>Heating Res ER2</v>
      </c>
      <c r="G84" s="1249" t="str">
        <f>'HVAC Deemed Table'!E735</f>
        <v>ASHP-SEER21-Replace_CAC_NonElectricHeat_ER1_SF</v>
      </c>
      <c r="H84" s="18" t="str">
        <f>'HVAC Deemed Table'!D735</f>
        <v>PAYS / IE</v>
      </c>
      <c r="I84" s="737">
        <f t="shared" si="178"/>
        <v>2498.89</v>
      </c>
      <c r="J84" s="737">
        <f t="shared" si="179"/>
        <v>963.47</v>
      </c>
      <c r="K84" s="185">
        <f>'HVAC Deemed Table'!F735</f>
        <v>2498.89</v>
      </c>
      <c r="L84" s="185">
        <f>'HVAC Deemed Table'!F736</f>
        <v>0</v>
      </c>
      <c r="M84" s="185">
        <f>'HVAC Deemed Table'!F737</f>
        <v>963.47</v>
      </c>
      <c r="N84" s="185">
        <f>'HVAC Deemed Table'!F738</f>
        <v>0</v>
      </c>
      <c r="O84" s="738">
        <f t="shared" si="180"/>
        <v>2.3674940000000002</v>
      </c>
      <c r="P84" s="738">
        <f t="shared" si="181"/>
        <v>0.91280899999999998</v>
      </c>
      <c r="Q84" s="739">
        <f>'HVAC Deemed Table'!I735</f>
        <v>2.3674940000000002</v>
      </c>
      <c r="R84" s="739">
        <f>'HVAC Deemed Table'!I736</f>
        <v>0</v>
      </c>
      <c r="S84" s="739">
        <f>'HVAC Deemed Table'!I737</f>
        <v>0.91280899999999998</v>
      </c>
      <c r="T84" s="739">
        <f>'HVAC Deemed Table'!I738</f>
        <v>0</v>
      </c>
      <c r="U84" s="740">
        <f t="shared" si="174"/>
        <v>0</v>
      </c>
      <c r="V84" s="740">
        <f t="shared" si="175"/>
        <v>0</v>
      </c>
      <c r="W84" s="740">
        <f t="shared" si="176"/>
        <v>2.3674940000000002</v>
      </c>
      <c r="X84" s="22">
        <f>'HVAC Deemed Table'!J735</f>
        <v>6</v>
      </c>
      <c r="Y84" s="22">
        <f>'HVAC Deemed Table'!J737</f>
        <v>12</v>
      </c>
      <c r="Z84" s="22">
        <f t="shared" si="62"/>
        <v>18</v>
      </c>
      <c r="AA84" s="17">
        <f>'HVAC Deemed Table'!DG735</f>
        <v>5.8726177311410614</v>
      </c>
      <c r="AB84" s="241">
        <f>'HVAC Deemed Table'!K735</f>
        <v>636.0313063667636</v>
      </c>
      <c r="AC84" s="846">
        <f t="shared" si="63"/>
        <v>2488.5148519221975</v>
      </c>
      <c r="AD84" s="846">
        <f t="shared" si="177"/>
        <v>1246.6538754080711</v>
      </c>
      <c r="AE84" s="191">
        <f>'HVAC Deemed Table'!DI735</f>
        <v>2488.5148519221975</v>
      </c>
      <c r="AF84" s="191">
        <f>'HVAC Deemed Table'!DI736</f>
        <v>0</v>
      </c>
      <c r="AG84" s="191">
        <f>'HVAC Deemed Table'!DI737</f>
        <v>1246.6538754080711</v>
      </c>
      <c r="AH84" s="191">
        <f>'HVAC Deemed Table'!DI738</f>
        <v>0</v>
      </c>
      <c r="AI84" s="850" t="str">
        <f t="shared" si="42"/>
        <v>per measure</v>
      </c>
      <c r="AJ84" s="45">
        <f>'HVAC Deemed Table'!L735</f>
        <v>3.3440561485431846</v>
      </c>
      <c r="AK84" s="861"/>
      <c r="AL84" s="861"/>
      <c r="AX84" s="1226" t="str">
        <f t="shared" si="221"/>
        <v>ASHP-SEER21-Replace_CAC_NonElectricHeat_ER1_SF</v>
      </c>
      <c r="AY84" s="1249"/>
      <c r="AZ84" s="1312" t="str">
        <f t="shared" si="222"/>
        <v>353560</v>
      </c>
      <c r="BA84" s="1197">
        <f>ROUND((K84*$BC$3)+(K87*$BC$4),2)</f>
        <v>1891.78</v>
      </c>
      <c r="BB84" s="1197">
        <f>ROUND((L84*$BC$3)+(L87*$BC$4),2)</f>
        <v>0</v>
      </c>
      <c r="BC84" s="1197">
        <f>ROUND((M84*$BC$3)+(K87*$BC$4),2)</f>
        <v>970.53</v>
      </c>
      <c r="BD84" s="1197">
        <f>ROUND((N84*$BC$3)+(L87*$BC$4),2)</f>
        <v>0</v>
      </c>
      <c r="BE84" s="1176"/>
      <c r="BF84" s="1192">
        <f>ROUND(BA84*'CP FACTORS'!$B$9,6)</f>
        <v>1.7923070000000001</v>
      </c>
      <c r="BG84" s="1193">
        <f>ROUND(BB84*'CP FACTORS'!$B$14,6)</f>
        <v>0</v>
      </c>
      <c r="BH84" s="1192">
        <f>ROUND(BC84*'CP FACTORS'!$B$9,6)</f>
        <v>0.91949800000000004</v>
      </c>
      <c r="BI84" s="1194">
        <f>ROUND(BD84*'CP FACTORS'!$B$14,6)</f>
        <v>0</v>
      </c>
      <c r="BJ84" s="1176"/>
      <c r="BK84" s="685">
        <f t="shared" si="182"/>
        <v>1891.78</v>
      </c>
      <c r="BL84" s="1213">
        <f t="shared" si="183"/>
        <v>970.53</v>
      </c>
      <c r="BM84" s="1212">
        <f t="shared" si="184"/>
        <v>1.7923070000000001</v>
      </c>
      <c r="BN84" s="1211">
        <f t="shared" si="185"/>
        <v>0.91949800000000004</v>
      </c>
    </row>
    <row r="85" spans="1:66" s="39" customFormat="1" x14ac:dyDescent="0.25">
      <c r="A85" s="49" t="str">
        <f t="shared" si="61"/>
        <v>353600</v>
      </c>
      <c r="B85" s="1307" t="str">
        <f>'HVAC Deemed Table'!C739</f>
        <v>353600_2024_12_</v>
      </c>
      <c r="C85" s="830" t="str">
        <f>'HVAC Deemed Table'!G739</f>
        <v>Cooling Res</v>
      </c>
      <c r="D85" s="830" t="str">
        <f>'HVAC Deemed Table'!G740</f>
        <v>Heating Res</v>
      </c>
      <c r="E85" s="830" t="str">
        <f>'HVAC Deemed Table'!G741</f>
        <v>Cooling Res ER2</v>
      </c>
      <c r="F85" s="830" t="str">
        <f>'HVAC Deemed Table'!G742</f>
        <v>Heating Res ER2</v>
      </c>
      <c r="G85" s="1249" t="str">
        <f>'HVAC Deemed Table'!E739</f>
        <v>ASHP-SEER21-Replace_CAC_ElectricHeat_ER1_MF</v>
      </c>
      <c r="H85" s="18" t="str">
        <f>'HVAC Deemed Table'!D739</f>
        <v>IE</v>
      </c>
      <c r="I85" s="737">
        <f t="shared" si="178"/>
        <v>8097.21</v>
      </c>
      <c r="J85" s="737">
        <f t="shared" si="179"/>
        <v>7142.8</v>
      </c>
      <c r="K85" s="185">
        <f>'HVAC Deemed Table'!F739</f>
        <v>1521.91</v>
      </c>
      <c r="L85" s="185">
        <f>'HVAC Deemed Table'!F740</f>
        <v>6575.3</v>
      </c>
      <c r="M85" s="185">
        <f>'HVAC Deemed Table'!F741</f>
        <v>567.5</v>
      </c>
      <c r="N85" s="185">
        <f>'HVAC Deemed Table'!F742</f>
        <v>6575.3</v>
      </c>
      <c r="O85" s="738">
        <f t="shared" si="180"/>
        <v>1.4418850000000001</v>
      </c>
      <c r="P85" s="738">
        <f t="shared" si="181"/>
        <v>0.53766000000000003</v>
      </c>
      <c r="Q85" s="739">
        <f>'HVAC Deemed Table'!I739</f>
        <v>1.4418850000000001</v>
      </c>
      <c r="R85" s="739">
        <f>'HVAC Deemed Table'!I740</f>
        <v>0</v>
      </c>
      <c r="S85" s="739">
        <f>'HVAC Deemed Table'!I741</f>
        <v>0.53766000000000003</v>
      </c>
      <c r="T85" s="739">
        <f>'HVAC Deemed Table'!I742</f>
        <v>0</v>
      </c>
      <c r="U85" s="740">
        <f t="shared" si="174"/>
        <v>0</v>
      </c>
      <c r="V85" s="740">
        <f t="shared" si="175"/>
        <v>0</v>
      </c>
      <c r="W85" s="740">
        <f t="shared" si="176"/>
        <v>1.4418850000000001</v>
      </c>
      <c r="X85" s="22">
        <f>'HVAC Deemed Table'!J739</f>
        <v>6</v>
      </c>
      <c r="Y85" s="22">
        <f>'HVAC Deemed Table'!J741</f>
        <v>12</v>
      </c>
      <c r="Z85" s="22">
        <f t="shared" si="62"/>
        <v>18</v>
      </c>
      <c r="AA85" s="17">
        <f>'HVAC Deemed Table'!DG739</f>
        <v>1.6204391830527427</v>
      </c>
      <c r="AB85" s="241">
        <f>'HVAC Deemed Table'!K739</f>
        <v>3847.7316315552043</v>
      </c>
      <c r="AC85" s="846">
        <f t="shared" si="63"/>
        <v>3278.9473113872682</v>
      </c>
      <c r="AD85" s="846">
        <f t="shared" si="177"/>
        <v>2956.0677902562438</v>
      </c>
      <c r="AE85" s="191">
        <f>'HVAC Deemed Table'!DI739</f>
        <v>1515.5911777985073</v>
      </c>
      <c r="AF85" s="191">
        <f>'HVAC Deemed Table'!DI740</f>
        <v>1763.3561335887612</v>
      </c>
      <c r="AG85" s="191">
        <f>'HVAC Deemed Table'!DI741</f>
        <v>734.30005531472739</v>
      </c>
      <c r="AH85" s="191">
        <f>'HVAC Deemed Table'!DI742</f>
        <v>2221.7677349415162</v>
      </c>
      <c r="AI85" s="850" t="str">
        <f t="shared" si="42"/>
        <v>per measure</v>
      </c>
      <c r="AJ85" s="45">
        <f>'HVAC Deemed Table'!L739</f>
        <v>3.1</v>
      </c>
      <c r="AK85" s="609"/>
      <c r="AL85" s="609"/>
      <c r="AM85"/>
      <c r="AN85"/>
      <c r="AO85"/>
      <c r="AP85"/>
      <c r="AQ85"/>
      <c r="AR85"/>
      <c r="AS85"/>
      <c r="AT85"/>
      <c r="AU85"/>
      <c r="AV85"/>
      <c r="AW85"/>
      <c r="AX85" s="1226" t="str">
        <f t="shared" si="221"/>
        <v>ASHP-SEER21-Replace_CAC_ElectricHeat_ER1_MF</v>
      </c>
      <c r="AY85" s="1249"/>
      <c r="AZ85" s="1312" t="str">
        <f t="shared" si="222"/>
        <v>353600</v>
      </c>
      <c r="BA85" s="1206">
        <f>ROUND((K85*$BC$3)+(K113*$BC$4),2)</f>
        <v>1118.18</v>
      </c>
      <c r="BB85" s="1206">
        <f>ROUND((L85*$BC$3)+(L113*$BC$4),2)</f>
        <v>6320.77</v>
      </c>
      <c r="BC85" s="1206">
        <f>ROUND((M85*$BC$3)+(K113*$BC$4),2)</f>
        <v>545.53</v>
      </c>
      <c r="BD85" s="1206">
        <f>ROUND((N85*$BC$3)+(L113*$BC$4),2)</f>
        <v>6320.77</v>
      </c>
      <c r="BE85" s="1177"/>
      <c r="BF85" s="1192">
        <f>ROUND(BA85*'CP FACTORS'!$B$9,6)</f>
        <v>1.0593840000000001</v>
      </c>
      <c r="BG85" s="1193">
        <f>ROUND(BB85*'CP FACTORS'!$B$14,6)</f>
        <v>0</v>
      </c>
      <c r="BH85" s="1192">
        <f>ROUND(BC85*'CP FACTORS'!$B$9,6)</f>
        <v>0.516845</v>
      </c>
      <c r="BI85" s="1194">
        <f>ROUND(BD85*'CP FACTORS'!$B$14,6)</f>
        <v>0</v>
      </c>
      <c r="BJ85" s="1176"/>
      <c r="BK85" s="685">
        <f t="shared" si="182"/>
        <v>7438.9500000000007</v>
      </c>
      <c r="BL85" s="1213">
        <f t="shared" si="183"/>
        <v>6866.3</v>
      </c>
      <c r="BM85" s="1212">
        <f t="shared" si="184"/>
        <v>1.0593840000000001</v>
      </c>
      <c r="BN85" s="1211">
        <f t="shared" si="185"/>
        <v>0.516845</v>
      </c>
    </row>
    <row r="86" spans="1:66" x14ac:dyDescent="0.25">
      <c r="A86" s="49" t="str">
        <f t="shared" ref="A86:A119" si="223">LEFT(B86,6)</f>
        <v>353650</v>
      </c>
      <c r="B86" s="1307" t="str">
        <f>'HVAC Deemed Table'!C743</f>
        <v>353650_2024_12_</v>
      </c>
      <c r="C86" s="830" t="str">
        <f>'HVAC Deemed Table'!G743</f>
        <v>Cooling Res</v>
      </c>
      <c r="D86" s="830" t="str">
        <f>'HVAC Deemed Table'!G744</f>
        <v>Heating Res</v>
      </c>
      <c r="E86" s="1249"/>
      <c r="F86" s="1249"/>
      <c r="G86" s="1249" t="str">
        <f>'HVAC Deemed Table'!E743</f>
        <v>ASHP-SEER21-Replace_CAC_ElectricHeat_ROF_SF</v>
      </c>
      <c r="H86" s="18" t="str">
        <f>'HVAC Deemed Table'!D743</f>
        <v>PAYS / IE</v>
      </c>
      <c r="I86" s="737">
        <f t="shared" si="178"/>
        <v>12304.18</v>
      </c>
      <c r="J86" s="737">
        <f t="shared" si="179"/>
        <v>0</v>
      </c>
      <c r="K86" s="185">
        <f>'HVAC Deemed Table'!F743</f>
        <v>981.12</v>
      </c>
      <c r="L86" s="185">
        <f>'HVAC Deemed Table'!F744</f>
        <v>11323.06</v>
      </c>
      <c r="M86" s="185"/>
      <c r="N86" s="185"/>
      <c r="O86" s="738">
        <f t="shared" si="180"/>
        <v>0.929531</v>
      </c>
      <c r="P86" s="738">
        <f t="shared" si="181"/>
        <v>0</v>
      </c>
      <c r="Q86" s="739">
        <f>'HVAC Deemed Table'!I743</f>
        <v>0.929531</v>
      </c>
      <c r="R86" s="739">
        <f>'HVAC Deemed Table'!I744</f>
        <v>0</v>
      </c>
      <c r="S86" s="739"/>
      <c r="T86" s="739"/>
      <c r="U86" s="740">
        <f t="shared" si="174"/>
        <v>0</v>
      </c>
      <c r="V86" s="740">
        <f t="shared" si="175"/>
        <v>0</v>
      </c>
      <c r="W86" s="740">
        <f t="shared" si="176"/>
        <v>0.929531</v>
      </c>
      <c r="X86" s="22">
        <f>'HVAC Deemed Table'!J743</f>
        <v>18</v>
      </c>
      <c r="Y86" s="22"/>
      <c r="Z86" s="22">
        <f t="shared" ref="Z86:Z119" si="224">Y86+X86</f>
        <v>18</v>
      </c>
      <c r="AA86" s="17">
        <f>'HVAC Deemed Table'!DG743</f>
        <v>1.9468302605261167</v>
      </c>
      <c r="AB86" s="241">
        <f>'HVAC Deemed Table'!K743</f>
        <v>4678.9696970312507</v>
      </c>
      <c r="AC86" s="846">
        <f t="shared" ref="AC86:AC119" si="225">AE86+AF86</f>
        <v>9109.1597942651551</v>
      </c>
      <c r="AD86" s="846">
        <f t="shared" si="177"/>
        <v>0</v>
      </c>
      <c r="AE86" s="191">
        <f>'HVAC Deemed Table'!DI743</f>
        <v>2246.5380628155731</v>
      </c>
      <c r="AF86" s="191">
        <f>'HVAC Deemed Table'!DI744</f>
        <v>6862.6217314495825</v>
      </c>
      <c r="AG86" s="191"/>
      <c r="AH86" s="191"/>
      <c r="AI86" s="850" t="str">
        <f t="shared" si="42"/>
        <v>per measure</v>
      </c>
      <c r="AJ86" s="45">
        <f>'HVAC Deemed Table'!L743</f>
        <v>3.4699494950520831</v>
      </c>
      <c r="AK86" s="609"/>
      <c r="AL86" s="609"/>
      <c r="AX86" s="1226" t="str">
        <f t="shared" si="221"/>
        <v>ASHP-SEER21-Replace_CAC_ElectricHeat_ROF_SF</v>
      </c>
      <c r="AY86" s="1249"/>
      <c r="AZ86" s="1312" t="str">
        <f t="shared" si="222"/>
        <v>353650</v>
      </c>
      <c r="BA86" s="1204">
        <f t="shared" ref="BA86:BD87" si="226">BA83</f>
        <v>1891.78</v>
      </c>
      <c r="BB86" s="1204">
        <f t="shared" si="226"/>
        <v>11076.57</v>
      </c>
      <c r="BC86" s="1204">
        <f t="shared" si="226"/>
        <v>970.53</v>
      </c>
      <c r="BD86" s="1204">
        <f t="shared" si="226"/>
        <v>11076.57</v>
      </c>
      <c r="BE86" s="1176"/>
      <c r="BF86" s="1192">
        <f>ROUND(BA86*'CP FACTORS'!$B$9,6)</f>
        <v>1.7923070000000001</v>
      </c>
      <c r="BG86" s="1193">
        <f>ROUND(BB86*'CP FACTORS'!$B$14,6)</f>
        <v>0</v>
      </c>
      <c r="BH86" s="1192">
        <f>ROUND(BC86*'CP FACTORS'!$B$9,6)</f>
        <v>0.91949800000000004</v>
      </c>
      <c r="BI86" s="1194">
        <f>ROUND(BD86*'CP FACTORS'!$B$14,6)</f>
        <v>0</v>
      </c>
      <c r="BJ86" s="1176"/>
      <c r="BK86" s="685">
        <f t="shared" si="182"/>
        <v>12968.35</v>
      </c>
      <c r="BL86" s="1213">
        <f t="shared" si="183"/>
        <v>12047.1</v>
      </c>
      <c r="BM86" s="1212">
        <f t="shared" si="184"/>
        <v>1.7923070000000001</v>
      </c>
      <c r="BN86" s="1211">
        <f t="shared" si="185"/>
        <v>0.91949800000000004</v>
      </c>
    </row>
    <row r="87" spans="1:66" s="39" customFormat="1" x14ac:dyDescent="0.25">
      <c r="A87" s="49" t="str">
        <f>LEFT(B87,6)</f>
        <v>353660</v>
      </c>
      <c r="B87" s="1307" t="str">
        <f>'HVAC Deemed Table'!C745</f>
        <v>353660_2024_12_</v>
      </c>
      <c r="C87" s="830" t="str">
        <f>'HVAC Deemed Table'!G745</f>
        <v>Cooling Res</v>
      </c>
      <c r="D87" s="830" t="str">
        <f>'HVAC Deemed Table'!G746</f>
        <v>Heating Res</v>
      </c>
      <c r="E87" s="1249"/>
      <c r="F87" s="1249"/>
      <c r="G87" s="1249" t="str">
        <f>'HVAC Deemed Table'!E745</f>
        <v>ASHP-SEER21-Replace_CAC_NonElectricHeat_ROF_SF</v>
      </c>
      <c r="H87" s="18" t="str">
        <f>'HVAC Deemed Table'!D745</f>
        <v>PAYS / IE</v>
      </c>
      <c r="I87" s="737">
        <f>K87+L87</f>
        <v>981.12</v>
      </c>
      <c r="J87" s="737">
        <f>M87+N87</f>
        <v>0</v>
      </c>
      <c r="K87" s="185">
        <f>'HVAC Deemed Table'!F745</f>
        <v>981.12</v>
      </c>
      <c r="L87" s="185">
        <f>'HVAC Deemed Table'!F746</f>
        <v>0</v>
      </c>
      <c r="M87" s="185"/>
      <c r="N87" s="185"/>
      <c r="O87" s="738">
        <f>Q87+R87</f>
        <v>0.929531</v>
      </c>
      <c r="P87" s="738">
        <f>S87+T87</f>
        <v>0</v>
      </c>
      <c r="Q87" s="739">
        <f>'HVAC Deemed Table'!I745</f>
        <v>0.929531</v>
      </c>
      <c r="R87" s="739">
        <f>'HVAC Deemed Table'!I746</f>
        <v>0</v>
      </c>
      <c r="S87" s="739"/>
      <c r="T87" s="739"/>
      <c r="U87" s="740">
        <f t="shared" si="174"/>
        <v>0</v>
      </c>
      <c r="V87" s="740">
        <f t="shared" si="175"/>
        <v>0</v>
      </c>
      <c r="W87" s="740">
        <f t="shared" si="176"/>
        <v>0.929531</v>
      </c>
      <c r="X87" s="22">
        <f>'HVAC Deemed Table'!J745</f>
        <v>18</v>
      </c>
      <c r="Y87" s="22"/>
      <c r="Z87" s="22">
        <f>Y87+X87</f>
        <v>18</v>
      </c>
      <c r="AA87" s="17">
        <f>'HVAC Deemed Table'!DG745</f>
        <v>6.0213531020425544</v>
      </c>
      <c r="AB87" s="757">
        <f>'HVAC Deemed Table'!K745</f>
        <v>373.0952204170697</v>
      </c>
      <c r="AC87" s="846">
        <f>AE87+AF87</f>
        <v>2246.5380628155731</v>
      </c>
      <c r="AD87" s="846">
        <f>AG87+AH87</f>
        <v>0</v>
      </c>
      <c r="AE87" s="191">
        <f>'HVAC Deemed Table'!DI745</f>
        <v>2246.5380628155731</v>
      </c>
      <c r="AF87" s="191">
        <f>'HVAC Deemed Table'!DI746</f>
        <v>0</v>
      </c>
      <c r="AG87" s="191"/>
      <c r="AH87" s="191"/>
      <c r="AI87" s="850" t="str">
        <f t="shared" si="42"/>
        <v>per measure</v>
      </c>
      <c r="AJ87" s="46">
        <f>'HVAC Deemed Table'!L745</f>
        <v>3.4699494950520831</v>
      </c>
      <c r="AK87" s="861"/>
      <c r="AL87" s="861"/>
      <c r="AM87"/>
      <c r="AN87"/>
      <c r="AO87"/>
      <c r="AP87"/>
      <c r="AQ87"/>
      <c r="AR87"/>
      <c r="AS87"/>
      <c r="AT87"/>
      <c r="AU87"/>
      <c r="AV87"/>
      <c r="AW87"/>
      <c r="AX87" s="1226" t="str">
        <f t="shared" si="221"/>
        <v>ASHP-SEER21-Replace_CAC_NonElectricHeat_ROF_SF</v>
      </c>
      <c r="AY87" s="1249"/>
      <c r="AZ87" s="1312" t="str">
        <f t="shared" si="222"/>
        <v>353660</v>
      </c>
      <c r="BA87" s="1204">
        <f t="shared" si="226"/>
        <v>1891.78</v>
      </c>
      <c r="BB87" s="1204">
        <f t="shared" si="226"/>
        <v>0</v>
      </c>
      <c r="BC87" s="1204">
        <f t="shared" si="226"/>
        <v>970.53</v>
      </c>
      <c r="BD87" s="1204">
        <f t="shared" si="226"/>
        <v>0</v>
      </c>
      <c r="BE87" s="1177"/>
      <c r="BF87" s="1192">
        <f>ROUND(BA87*'CP FACTORS'!$B$9,6)</f>
        <v>1.7923070000000001</v>
      </c>
      <c r="BG87" s="1193">
        <f>ROUND(BB87*'CP FACTORS'!$B$14,6)</f>
        <v>0</v>
      </c>
      <c r="BH87" s="1192">
        <f>ROUND(BC87*'CP FACTORS'!$B$9,6)</f>
        <v>0.91949800000000004</v>
      </c>
      <c r="BI87" s="1194">
        <f>ROUND(BD87*'CP FACTORS'!$B$14,6)</f>
        <v>0</v>
      </c>
      <c r="BJ87" s="1176"/>
      <c r="BK87" s="685">
        <f t="shared" si="182"/>
        <v>1891.78</v>
      </c>
      <c r="BL87" s="1213">
        <f t="shared" si="183"/>
        <v>970.53</v>
      </c>
      <c r="BM87" s="1212">
        <f t="shared" si="184"/>
        <v>1.7923070000000001</v>
      </c>
      <c r="BN87" s="1211">
        <f t="shared" si="185"/>
        <v>0.91949800000000004</v>
      </c>
    </row>
    <row r="88" spans="1:66" x14ac:dyDescent="0.25">
      <c r="A88" s="49" t="str">
        <f t="shared" si="223"/>
        <v>353750</v>
      </c>
      <c r="B88" s="1307" t="str">
        <f>'HVAC Deemed Table'!C747</f>
        <v>353750_2024_12_</v>
      </c>
      <c r="C88" s="830" t="str">
        <f>'HVAC Deemed Table'!G747</f>
        <v>Cooling Res</v>
      </c>
      <c r="D88" s="830" t="str">
        <f>'HVAC Deemed Table'!G748</f>
        <v>Heating Res</v>
      </c>
      <c r="E88" s="830" t="str">
        <f>'HVAC Deemed Table'!G749</f>
        <v>Cooling Res ER2</v>
      </c>
      <c r="F88" s="830" t="str">
        <f>'HVAC Deemed Table'!G750</f>
        <v>Heating Res ER2</v>
      </c>
      <c r="G88" s="1249" t="str">
        <f>'HVAC Deemed Table'!E747</f>
        <v>ASHP-SEER17_ER1_SF</v>
      </c>
      <c r="H88" s="18" t="str">
        <f>'HVAC Deemed Table'!D747</f>
        <v>PAYS / IE</v>
      </c>
      <c r="I88" s="737">
        <f t="shared" si="178"/>
        <v>3832.52</v>
      </c>
      <c r="J88" s="737">
        <f t="shared" si="179"/>
        <v>1083.07</v>
      </c>
      <c r="K88" s="185">
        <f>'HVAC Deemed Table'!F747</f>
        <v>2226.27</v>
      </c>
      <c r="L88" s="185">
        <f>'HVAC Deemed Table'!F748</f>
        <v>1606.25</v>
      </c>
      <c r="M88" s="185">
        <f>'HVAC Deemed Table'!F749</f>
        <v>367.16</v>
      </c>
      <c r="N88" s="185">
        <f>'HVAC Deemed Table'!F750</f>
        <v>715.91</v>
      </c>
      <c r="O88" s="738">
        <f t="shared" si="180"/>
        <v>2.1092080000000002</v>
      </c>
      <c r="P88" s="738">
        <f t="shared" si="181"/>
        <v>0.347854</v>
      </c>
      <c r="Q88" s="739">
        <f>'HVAC Deemed Table'!I747</f>
        <v>2.1092080000000002</v>
      </c>
      <c r="R88" s="739">
        <f>'HVAC Deemed Table'!I748</f>
        <v>0</v>
      </c>
      <c r="S88" s="739">
        <f>'HVAC Deemed Table'!I749</f>
        <v>0.347854</v>
      </c>
      <c r="T88" s="739">
        <f>'HVAC Deemed Table'!I750</f>
        <v>0</v>
      </c>
      <c r="U88" s="740">
        <f t="shared" si="174"/>
        <v>0</v>
      </c>
      <c r="V88" s="740">
        <f t="shared" si="175"/>
        <v>0</v>
      </c>
      <c r="W88" s="740">
        <f t="shared" si="176"/>
        <v>2.1092080000000002</v>
      </c>
      <c r="X88" s="22">
        <f>'HVAC Deemed Table'!J747</f>
        <v>6</v>
      </c>
      <c r="Y88" s="22">
        <f>'HVAC Deemed Table'!J749</f>
        <v>12</v>
      </c>
      <c r="Z88" s="22">
        <f t="shared" si="224"/>
        <v>18</v>
      </c>
      <c r="AA88" s="17">
        <f>'HVAC Deemed Table'!DG747</f>
        <v>5.3687302727035178</v>
      </c>
      <c r="AB88" s="241">
        <f>'HVAC Deemed Table'!K747</f>
        <v>626.73442183390762</v>
      </c>
      <c r="AC88" s="846">
        <f t="shared" si="225"/>
        <v>2647.7889582171674</v>
      </c>
      <c r="AD88" s="846">
        <f t="shared" si="177"/>
        <v>716.97910522786901</v>
      </c>
      <c r="AE88" s="191">
        <f>'HVAC Deemed Table'!DI747</f>
        <v>2217.026743629704</v>
      </c>
      <c r="AF88" s="191">
        <f>'HVAC Deemed Table'!DI748</f>
        <v>430.76221458746329</v>
      </c>
      <c r="AG88" s="191">
        <f>'HVAC Deemed Table'!DI749</f>
        <v>475.07596177859966</v>
      </c>
      <c r="AH88" s="191">
        <f>'HVAC Deemed Table'!DI750</f>
        <v>241.90314344926935</v>
      </c>
      <c r="AI88" s="850" t="str">
        <f t="shared" si="42"/>
        <v>per measure</v>
      </c>
      <c r="AJ88" s="45">
        <f>'HVAC Deemed Table'!L747</f>
        <v>2.6603692243864097</v>
      </c>
      <c r="AK88" s="609"/>
      <c r="AL88" s="609"/>
      <c r="AX88" s="1226" t="str">
        <f t="shared" si="221"/>
        <v>ASHP-SEER17_ER1_SF</v>
      </c>
      <c r="AY88" s="1249"/>
      <c r="AZ88" s="1312" t="str">
        <f t="shared" si="222"/>
        <v>353750</v>
      </c>
      <c r="BA88" s="1202">
        <f>ROUND((K88*$BC$3)+(K89*$BC$4),2)</f>
        <v>1481.17</v>
      </c>
      <c r="BB88" s="1202">
        <f>ROUND((L88*$BC$3)+(L89*$BC$4),2)</f>
        <v>1309.49</v>
      </c>
      <c r="BC88" s="1202">
        <f>ROUND((M88*$BC$3)+(K89*$BC$4),2)</f>
        <v>365.7</v>
      </c>
      <c r="BD88" s="1202">
        <f>ROUND((N88*$BC$3)+(L89*$BC$4),2)</f>
        <v>775.29</v>
      </c>
      <c r="BE88" s="1176"/>
      <c r="BF88" s="1192">
        <f>ROUND(BA88*'CP FACTORS'!$B$9,6)</f>
        <v>1.403287</v>
      </c>
      <c r="BG88" s="1193">
        <f>ROUND(BB88*'CP FACTORS'!$B$14,6)</f>
        <v>0</v>
      </c>
      <c r="BH88" s="1192">
        <f>ROUND(BC88*'CP FACTORS'!$B$9,6)</f>
        <v>0.34647099999999997</v>
      </c>
      <c r="BI88" s="1194">
        <f>ROUND(BD88*'CP FACTORS'!$B$14,6)</f>
        <v>0</v>
      </c>
      <c r="BJ88" s="1176"/>
      <c r="BK88" s="685">
        <f t="shared" si="182"/>
        <v>2790.66</v>
      </c>
      <c r="BL88" s="1213">
        <f t="shared" si="183"/>
        <v>1140.99</v>
      </c>
      <c r="BM88" s="1212">
        <f t="shared" si="184"/>
        <v>1.403287</v>
      </c>
      <c r="BN88" s="1211">
        <f t="shared" si="185"/>
        <v>0.34647099999999997</v>
      </c>
    </row>
    <row r="89" spans="1:66" x14ac:dyDescent="0.25">
      <c r="A89" s="49" t="str">
        <f t="shared" si="223"/>
        <v>353800</v>
      </c>
      <c r="B89" s="1307" t="str">
        <f>'HVAC Deemed Table'!C751</f>
        <v>353800_2024_12_</v>
      </c>
      <c r="C89" s="830" t="str">
        <f>'HVAC Deemed Table'!G751</f>
        <v>Cooling Res</v>
      </c>
      <c r="D89" s="830" t="str">
        <f>'HVAC Deemed Table'!G752</f>
        <v>Heating Res</v>
      </c>
      <c r="E89" s="1249"/>
      <c r="F89" s="1249"/>
      <c r="G89" s="1249" t="str">
        <f>'HVAC Deemed Table'!E751</f>
        <v>ASHP-SEER17_ROF_SF</v>
      </c>
      <c r="H89" s="18" t="str">
        <f>'HVAC Deemed Table'!D751</f>
        <v>PAYS / IE</v>
      </c>
      <c r="I89" s="737">
        <f t="shared" si="178"/>
        <v>1227.8800000000001</v>
      </c>
      <c r="J89" s="737">
        <f t="shared" si="179"/>
        <v>0</v>
      </c>
      <c r="K89" s="185">
        <f>'HVAC Deemed Table'!F751</f>
        <v>363.52</v>
      </c>
      <c r="L89" s="185">
        <f>'HVAC Deemed Table'!F752</f>
        <v>864.36</v>
      </c>
      <c r="M89" s="185"/>
      <c r="N89" s="185"/>
      <c r="O89" s="738">
        <f t="shared" si="180"/>
        <v>0.34440500000000002</v>
      </c>
      <c r="P89" s="738">
        <f t="shared" si="181"/>
        <v>0</v>
      </c>
      <c r="Q89" s="739">
        <f>'HVAC Deemed Table'!I751</f>
        <v>0.34440500000000002</v>
      </c>
      <c r="R89" s="739">
        <f>'HVAC Deemed Table'!I752</f>
        <v>0</v>
      </c>
      <c r="S89" s="739"/>
      <c r="T89" s="739"/>
      <c r="U89" s="740">
        <f t="shared" si="174"/>
        <v>0</v>
      </c>
      <c r="V89" s="740">
        <f t="shared" si="175"/>
        <v>0</v>
      </c>
      <c r="W89" s="740">
        <f t="shared" si="176"/>
        <v>0.34440500000000002</v>
      </c>
      <c r="X89" s="22">
        <f>'HVAC Deemed Table'!J751</f>
        <v>18</v>
      </c>
      <c r="Y89" s="22"/>
      <c r="Z89" s="22">
        <f t="shared" si="224"/>
        <v>18</v>
      </c>
      <c r="AA89" s="17">
        <f>'HVAC Deemed Table'!DG751</f>
        <v>2.1527676754933478</v>
      </c>
      <c r="AB89" s="241">
        <f>'HVAC Deemed Table'!K751</f>
        <v>630</v>
      </c>
      <c r="AC89" s="846">
        <f t="shared" si="225"/>
        <v>1356.2436355608093</v>
      </c>
      <c r="AD89" s="846">
        <f t="shared" si="177"/>
        <v>0</v>
      </c>
      <c r="AE89" s="191">
        <f>'HVAC Deemed Table'!DI751</f>
        <v>832.37679039742034</v>
      </c>
      <c r="AF89" s="191">
        <f>'HVAC Deemed Table'!DI752</f>
        <v>523.86684516338892</v>
      </c>
      <c r="AG89" s="191"/>
      <c r="AH89" s="191"/>
      <c r="AI89" s="850" t="str">
        <f t="shared" si="42"/>
        <v>per measure</v>
      </c>
      <c r="AJ89" s="45">
        <f>'HVAC Deemed Table'!L751</f>
        <v>3.2119969039215692</v>
      </c>
      <c r="AK89" s="609"/>
      <c r="AL89" s="609"/>
      <c r="AX89" s="1226" t="str">
        <f t="shared" si="221"/>
        <v>ASHP-SEER17_ROF_SF</v>
      </c>
      <c r="AY89" s="1249"/>
      <c r="AZ89" s="1312" t="str">
        <f t="shared" si="222"/>
        <v>353800</v>
      </c>
      <c r="BA89" s="1200">
        <f>BA88</f>
        <v>1481.17</v>
      </c>
      <c r="BB89" s="1200">
        <f>BB88</f>
        <v>1309.49</v>
      </c>
      <c r="BC89" s="1200">
        <f>BC88</f>
        <v>365.7</v>
      </c>
      <c r="BD89" s="1200">
        <f>BD88</f>
        <v>775.29</v>
      </c>
      <c r="BE89" s="1176"/>
      <c r="BF89" s="1192">
        <f>ROUND(BA89*'CP FACTORS'!$B$9,6)</f>
        <v>1.403287</v>
      </c>
      <c r="BG89" s="1193">
        <f>ROUND(BB89*'CP FACTORS'!$B$14,6)</f>
        <v>0</v>
      </c>
      <c r="BH89" s="1192">
        <f>ROUND(BC89*'CP FACTORS'!$B$9,6)</f>
        <v>0.34647099999999997</v>
      </c>
      <c r="BI89" s="1194">
        <f>ROUND(BD89*'CP FACTORS'!$B$14,6)</f>
        <v>0</v>
      </c>
      <c r="BJ89" s="1176"/>
      <c r="BK89" s="685">
        <f t="shared" si="182"/>
        <v>2790.66</v>
      </c>
      <c r="BL89" s="1213">
        <f t="shared" si="183"/>
        <v>1140.99</v>
      </c>
      <c r="BM89" s="1212">
        <f t="shared" si="184"/>
        <v>1.403287</v>
      </c>
      <c r="BN89" s="1211">
        <f t="shared" si="185"/>
        <v>0.34647099999999997</v>
      </c>
    </row>
    <row r="90" spans="1:66" x14ac:dyDescent="0.25">
      <c r="A90" s="49" t="str">
        <f t="shared" si="223"/>
        <v>353850</v>
      </c>
      <c r="B90" s="1307" t="str">
        <f>'HVAC Deemed Table'!C753</f>
        <v>353850_2024_12_</v>
      </c>
      <c r="C90" s="830" t="str">
        <f>'HVAC Deemed Table'!G753</f>
        <v>Cooling Res</v>
      </c>
      <c r="D90" s="830" t="str">
        <f>'HVAC Deemed Table'!G754</f>
        <v>Heating Res</v>
      </c>
      <c r="E90" s="830" t="str">
        <f>'HVAC Deemed Table'!G755</f>
        <v>Cooling Res ER2</v>
      </c>
      <c r="F90" s="830" t="str">
        <f>'HVAC Deemed Table'!G756</f>
        <v>Heating Res ER2</v>
      </c>
      <c r="G90" s="1249" t="str">
        <f>'HVAC Deemed Table'!E753</f>
        <v>ASHP-SEER18_ER1_SF</v>
      </c>
      <c r="H90" s="18" t="str">
        <f>'HVAC Deemed Table'!D753</f>
        <v>PAYS / IE</v>
      </c>
      <c r="I90" s="737">
        <f t="shared" si="178"/>
        <v>4375.25</v>
      </c>
      <c r="J90" s="737">
        <f t="shared" si="179"/>
        <v>1317.9299999999998</v>
      </c>
      <c r="K90" s="185">
        <f>'HVAC Deemed Table'!F753</f>
        <v>2592.9299999999998</v>
      </c>
      <c r="L90" s="185">
        <f>'HVAC Deemed Table'!F754</f>
        <v>1782.32</v>
      </c>
      <c r="M90" s="185">
        <f>'HVAC Deemed Table'!F755</f>
        <v>503.51</v>
      </c>
      <c r="N90" s="185">
        <f>'HVAC Deemed Table'!F756</f>
        <v>814.42</v>
      </c>
      <c r="O90" s="738">
        <f t="shared" si="180"/>
        <v>2.4565890000000001</v>
      </c>
      <c r="P90" s="738">
        <f t="shared" si="181"/>
        <v>0.47703400000000001</v>
      </c>
      <c r="Q90" s="739">
        <f>'HVAC Deemed Table'!I753</f>
        <v>2.4565890000000001</v>
      </c>
      <c r="R90" s="739">
        <f>'HVAC Deemed Table'!I754</f>
        <v>0</v>
      </c>
      <c r="S90" s="739">
        <f>'HVAC Deemed Table'!I755</f>
        <v>0.47703400000000001</v>
      </c>
      <c r="T90" s="739">
        <f>'HVAC Deemed Table'!I756</f>
        <v>0</v>
      </c>
      <c r="U90" s="740">
        <f t="shared" si="174"/>
        <v>0</v>
      </c>
      <c r="V90" s="740">
        <f t="shared" si="175"/>
        <v>0</v>
      </c>
      <c r="W90" s="740">
        <f t="shared" si="176"/>
        <v>2.4565890000000001</v>
      </c>
      <c r="X90" s="22">
        <f>'HVAC Deemed Table'!J753</f>
        <v>6</v>
      </c>
      <c r="Y90" s="22">
        <f>'HVAC Deemed Table'!J755</f>
        <v>12</v>
      </c>
      <c r="Z90" s="22">
        <f t="shared" si="224"/>
        <v>18</v>
      </c>
      <c r="AA90" s="17">
        <f>'HVAC Deemed Table'!DG753</f>
        <v>4.680310402354908</v>
      </c>
      <c r="AB90" s="241">
        <f>'HVAC Deemed Table'!K753</f>
        <v>851.83158083659146</v>
      </c>
      <c r="AC90" s="846">
        <f t="shared" si="225"/>
        <v>3060.1448647710704</v>
      </c>
      <c r="AD90" s="846">
        <f t="shared" si="177"/>
        <v>926.69134407285424</v>
      </c>
      <c r="AE90" s="191">
        <f>'HVAC Deemed Table'!DI753</f>
        <v>2582.1644069945551</v>
      </c>
      <c r="AF90" s="191">
        <f>'HVAC Deemed Table'!DI754</f>
        <v>477.98045777651521</v>
      </c>
      <c r="AG90" s="191">
        <f>'HVAC Deemed Table'!DI755</f>
        <v>651.50206317448169</v>
      </c>
      <c r="AH90" s="191">
        <f>'HVAC Deemed Table'!DI756</f>
        <v>275.1892808983726</v>
      </c>
      <c r="AI90" s="850" t="str">
        <f t="shared" si="42"/>
        <v>per measure</v>
      </c>
      <c r="AJ90" s="45">
        <f>'HVAC Deemed Table'!L753</f>
        <v>2.8921256722608026</v>
      </c>
      <c r="AK90" s="609"/>
      <c r="AL90" s="609"/>
      <c r="AX90" s="1226" t="str">
        <f t="shared" si="221"/>
        <v>ASHP-SEER18_ER1_SF</v>
      </c>
      <c r="AY90" s="1249"/>
      <c r="AZ90" s="1312" t="str">
        <f t="shared" si="222"/>
        <v>353850</v>
      </c>
      <c r="BA90" s="1202">
        <f>ROUND((K90*$BC$3)+(K91*$BC$4),2)</f>
        <v>1767.26</v>
      </c>
      <c r="BB90" s="1202">
        <f>ROUND((L90*$BC$3)+(L91*$BC$4),2)</f>
        <v>1407.54</v>
      </c>
      <c r="BC90" s="1202">
        <f>ROUND((M90*$BC$3)+(K91*$BC$4),2)</f>
        <v>513.61</v>
      </c>
      <c r="BD90" s="1202">
        <f>ROUND((N90*$BC$3)+(L91*$BC$4),2)</f>
        <v>826.8</v>
      </c>
      <c r="BE90" s="1176"/>
      <c r="BF90" s="1192">
        <f>ROUND(BA90*'CP FACTORS'!$B$9,6)</f>
        <v>1.674334</v>
      </c>
      <c r="BG90" s="1193">
        <f>ROUND(BB90*'CP FACTORS'!$B$14,6)</f>
        <v>0</v>
      </c>
      <c r="BH90" s="1192">
        <f>ROUND(BC90*'CP FACTORS'!$B$9,6)</f>
        <v>0.48660300000000001</v>
      </c>
      <c r="BI90" s="1194">
        <f>ROUND(BD90*'CP FACTORS'!$B$14,6)</f>
        <v>0</v>
      </c>
      <c r="BJ90" s="1176"/>
      <c r="BK90" s="685">
        <f t="shared" si="182"/>
        <v>3174.8</v>
      </c>
      <c r="BL90" s="1213">
        <f t="shared" si="183"/>
        <v>1340.4099999999999</v>
      </c>
      <c r="BM90" s="1212">
        <f t="shared" si="184"/>
        <v>1.674334</v>
      </c>
      <c r="BN90" s="1211">
        <f t="shared" si="185"/>
        <v>0.48660300000000001</v>
      </c>
    </row>
    <row r="91" spans="1:66" x14ac:dyDescent="0.25">
      <c r="A91" s="49" t="str">
        <f t="shared" si="223"/>
        <v>353950</v>
      </c>
      <c r="B91" s="1307" t="str">
        <f>'HVAC Deemed Table'!C757</f>
        <v>353950_2024_12_</v>
      </c>
      <c r="C91" s="830" t="str">
        <f>'HVAC Deemed Table'!G757</f>
        <v>Cooling Res</v>
      </c>
      <c r="D91" s="830" t="str">
        <f>'HVAC Deemed Table'!G758</f>
        <v>Heating Res</v>
      </c>
      <c r="E91" s="1249"/>
      <c r="F91" s="1249"/>
      <c r="G91" s="1249" t="str">
        <f>'HVAC Deemed Table'!E757</f>
        <v>ASHP-SEER18_ROF_SF</v>
      </c>
      <c r="H91" s="18" t="str">
        <f>'HVAC Deemed Table'!D757</f>
        <v>PAYS / IE</v>
      </c>
      <c r="I91" s="737">
        <f t="shared" si="178"/>
        <v>1374.12</v>
      </c>
      <c r="J91" s="737">
        <f t="shared" si="179"/>
        <v>0</v>
      </c>
      <c r="K91" s="185">
        <f>'HVAC Deemed Table'!F757</f>
        <v>528.75</v>
      </c>
      <c r="L91" s="185">
        <f>'HVAC Deemed Table'!F758</f>
        <v>845.37</v>
      </c>
      <c r="M91" s="185"/>
      <c r="N91" s="185"/>
      <c r="O91" s="738">
        <f t="shared" si="180"/>
        <v>0.50094700000000003</v>
      </c>
      <c r="P91" s="738">
        <f t="shared" si="181"/>
        <v>0</v>
      </c>
      <c r="Q91" s="739">
        <f>'HVAC Deemed Table'!I757</f>
        <v>0.50094700000000003</v>
      </c>
      <c r="R91" s="739">
        <f>'HVAC Deemed Table'!I758</f>
        <v>0</v>
      </c>
      <c r="S91" s="739"/>
      <c r="T91" s="739"/>
      <c r="U91" s="740">
        <f t="shared" si="174"/>
        <v>0</v>
      </c>
      <c r="V91" s="740">
        <f t="shared" si="175"/>
        <v>0</v>
      </c>
      <c r="W91" s="740">
        <f t="shared" si="176"/>
        <v>0.50094700000000003</v>
      </c>
      <c r="X91" s="22">
        <f>'HVAC Deemed Table'!J757</f>
        <v>18</v>
      </c>
      <c r="Y91" s="22"/>
      <c r="Z91" s="22">
        <f t="shared" si="224"/>
        <v>18</v>
      </c>
      <c r="AA91" s="17">
        <f>'HVAC Deemed Table'!DG757</f>
        <v>2.0152898125317069</v>
      </c>
      <c r="AB91" s="241">
        <f>'HVAC Deemed Table'!K757</f>
        <v>855</v>
      </c>
      <c r="AC91" s="846">
        <f t="shared" si="225"/>
        <v>1723.0727897146094</v>
      </c>
      <c r="AD91" s="846">
        <f t="shared" si="177"/>
        <v>0</v>
      </c>
      <c r="AE91" s="191">
        <f>'HVAC Deemed Table'!DI757</f>
        <v>1210.7153056850684</v>
      </c>
      <c r="AF91" s="191">
        <f>'HVAC Deemed Table'!DI758</f>
        <v>512.35748402954096</v>
      </c>
      <c r="AG91" s="191"/>
      <c r="AH91" s="191"/>
      <c r="AI91" s="850" t="str">
        <f t="shared" si="42"/>
        <v>per measure</v>
      </c>
      <c r="AJ91" s="45">
        <f>'HVAC Deemed Table'!L757</f>
        <v>3.0020370366666667</v>
      </c>
      <c r="AK91" s="609"/>
      <c r="AL91" s="609"/>
      <c r="AX91" s="1226" t="str">
        <f t="shared" si="221"/>
        <v>ASHP-SEER18_ROF_SF</v>
      </c>
      <c r="AY91" s="1249"/>
      <c r="AZ91" s="1312" t="str">
        <f t="shared" si="222"/>
        <v>353950</v>
      </c>
      <c r="BA91" s="1200">
        <f>BA90</f>
        <v>1767.26</v>
      </c>
      <c r="BB91" s="1200">
        <f>BB90</f>
        <v>1407.54</v>
      </c>
      <c r="BC91" s="1200">
        <f>BC90</f>
        <v>513.61</v>
      </c>
      <c r="BD91" s="1200">
        <f>BD90</f>
        <v>826.8</v>
      </c>
      <c r="BE91" s="1176"/>
      <c r="BF91" s="1192">
        <f>ROUND(BA91*'CP FACTORS'!$B$9,6)</f>
        <v>1.674334</v>
      </c>
      <c r="BG91" s="1193">
        <f>ROUND(BB91*'CP FACTORS'!$B$14,6)</f>
        <v>0</v>
      </c>
      <c r="BH91" s="1192">
        <f>ROUND(BC91*'CP FACTORS'!$B$9,6)</f>
        <v>0.48660300000000001</v>
      </c>
      <c r="BI91" s="1194">
        <f>ROUND(BD91*'CP FACTORS'!$B$14,6)</f>
        <v>0</v>
      </c>
      <c r="BJ91" s="1176"/>
      <c r="BK91" s="685">
        <f t="shared" si="182"/>
        <v>3174.8</v>
      </c>
      <c r="BL91" s="1213">
        <f t="shared" si="183"/>
        <v>1340.4099999999999</v>
      </c>
      <c r="BM91" s="1212">
        <f t="shared" si="184"/>
        <v>1.674334</v>
      </c>
      <c r="BN91" s="1211">
        <f t="shared" si="185"/>
        <v>0.48660300000000001</v>
      </c>
    </row>
    <row r="92" spans="1:66" x14ac:dyDescent="0.25">
      <c r="A92" s="49" t="str">
        <f t="shared" si="223"/>
        <v>354000</v>
      </c>
      <c r="B92" s="1307" t="str">
        <f>'HVAC Deemed Table'!C759</f>
        <v>354000_2024_12_</v>
      </c>
      <c r="C92" s="830" t="str">
        <f>'HVAC Deemed Table'!G759</f>
        <v>Cooling Res</v>
      </c>
      <c r="D92" s="830" t="str">
        <f>'HVAC Deemed Table'!G760</f>
        <v>Heating Res</v>
      </c>
      <c r="E92" s="830" t="str">
        <f>'HVAC Deemed Table'!G761</f>
        <v>Cooling Res ER2</v>
      </c>
      <c r="F92" s="830" t="str">
        <f>'HVAC Deemed Table'!G762</f>
        <v>Heating Res ER2</v>
      </c>
      <c r="G92" s="1249" t="str">
        <f>'HVAC Deemed Table'!E759</f>
        <v>ASHP-SEER19_ER1_SF</v>
      </c>
      <c r="H92" s="18" t="str">
        <f>'HVAC Deemed Table'!D759</f>
        <v>PAYS / IE</v>
      </c>
      <c r="I92" s="737">
        <f t="shared" si="178"/>
        <v>5008.46</v>
      </c>
      <c r="J92" s="737">
        <f t="shared" si="179"/>
        <v>1849.73</v>
      </c>
      <c r="K92" s="185">
        <f>'HVAC Deemed Table'!F759</f>
        <v>2563.17</v>
      </c>
      <c r="L92" s="185">
        <f>'HVAC Deemed Table'!F760</f>
        <v>2445.29</v>
      </c>
      <c r="M92" s="185">
        <f>'HVAC Deemed Table'!F761</f>
        <v>667.18</v>
      </c>
      <c r="N92" s="185">
        <f>'HVAC Deemed Table'!F762</f>
        <v>1182.55</v>
      </c>
      <c r="O92" s="738">
        <f t="shared" si="180"/>
        <v>2.4283939999999999</v>
      </c>
      <c r="P92" s="738">
        <f t="shared" si="181"/>
        <v>0.63209800000000005</v>
      </c>
      <c r="Q92" s="739">
        <f>'HVAC Deemed Table'!I759</f>
        <v>2.4283939999999999</v>
      </c>
      <c r="R92" s="739">
        <f>'HVAC Deemed Table'!I760</f>
        <v>0</v>
      </c>
      <c r="S92" s="739">
        <f>'HVAC Deemed Table'!I761</f>
        <v>0.63209800000000005</v>
      </c>
      <c r="T92" s="739">
        <f>'HVAC Deemed Table'!I762</f>
        <v>0</v>
      </c>
      <c r="U92" s="740">
        <f t="shared" si="174"/>
        <v>0</v>
      </c>
      <c r="V92" s="740">
        <f t="shared" si="175"/>
        <v>0</v>
      </c>
      <c r="W92" s="740">
        <f t="shared" si="176"/>
        <v>2.4283939999999999</v>
      </c>
      <c r="X92" s="22">
        <f>'HVAC Deemed Table'!J759</f>
        <v>6</v>
      </c>
      <c r="Y92" s="22">
        <f>'HVAC Deemed Table'!J761</f>
        <v>12</v>
      </c>
      <c r="Z92" s="22">
        <f t="shared" si="224"/>
        <v>18</v>
      </c>
      <c r="AA92" s="17">
        <f>'HVAC Deemed Table'!DG759</f>
        <v>4.1468708439635922</v>
      </c>
      <c r="AB92" s="241">
        <f>'HVAC Deemed Table'!K759</f>
        <v>1078.2009195105929</v>
      </c>
      <c r="AC92" s="846">
        <f t="shared" si="225"/>
        <v>3208.302931483453</v>
      </c>
      <c r="AD92" s="846">
        <f t="shared" si="177"/>
        <v>1262.8570255697603</v>
      </c>
      <c r="AE92" s="191">
        <f>'HVAC Deemed Table'!DI759</f>
        <v>2552.5279676181904</v>
      </c>
      <c r="AF92" s="191">
        <f>'HVAC Deemed Table'!DI760</f>
        <v>655.77496386526263</v>
      </c>
      <c r="AG92" s="191">
        <f>'HVAC Deemed Table'!DI761</f>
        <v>863.27808088965594</v>
      </c>
      <c r="AH92" s="191">
        <f>'HVAC Deemed Table'!DI762</f>
        <v>399.57894468010431</v>
      </c>
      <c r="AI92" s="850" t="str">
        <f t="shared" ref="AI92:AI135" si="227">AI91</f>
        <v>per measure</v>
      </c>
      <c r="AJ92" s="45">
        <f>'HVAC Deemed Table'!L759</f>
        <v>3.7731209149509803</v>
      </c>
      <c r="AK92" s="609"/>
      <c r="AL92" s="609"/>
      <c r="AX92" s="1226" t="str">
        <f t="shared" si="221"/>
        <v>ASHP-SEER19_ER1_SF</v>
      </c>
      <c r="AY92" s="1249"/>
      <c r="AZ92" s="1312" t="str">
        <f t="shared" si="222"/>
        <v>354000</v>
      </c>
      <c r="BA92" s="1202">
        <f>ROUND((K92*$BC$3)+(K93*$BC$4),2)</f>
        <v>1804.03</v>
      </c>
      <c r="BB92" s="1202">
        <f>ROUND((L92*$BC$3)+(L93*$BC$4),2)</f>
        <v>1842.27</v>
      </c>
      <c r="BC92" s="1202">
        <f>ROUND((M92*$BC$3)+(K93*$BC$4),2)</f>
        <v>666.44</v>
      </c>
      <c r="BD92" s="1202">
        <f>ROUND((N92*$BC$3)+(L93*$BC$4),2)</f>
        <v>1084.6300000000001</v>
      </c>
      <c r="BE92" s="1176"/>
      <c r="BF92" s="1192">
        <f>ROUND(BA92*'CP FACTORS'!$B$9,6)</f>
        <v>1.709171</v>
      </c>
      <c r="BG92" s="1193">
        <f>ROUND(BB92*'CP FACTORS'!$B$14,6)</f>
        <v>0</v>
      </c>
      <c r="BH92" s="1192">
        <f>ROUND(BC92*'CP FACTORS'!$B$9,6)</f>
        <v>0.63139699999999999</v>
      </c>
      <c r="BI92" s="1194">
        <f>ROUND(BD92*'CP FACTORS'!$B$14,6)</f>
        <v>0</v>
      </c>
      <c r="BJ92" s="1176"/>
      <c r="BK92" s="685">
        <f t="shared" si="182"/>
        <v>3646.3</v>
      </c>
      <c r="BL92" s="1213">
        <f t="shared" si="183"/>
        <v>1751.0700000000002</v>
      </c>
      <c r="BM92" s="1212">
        <f t="shared" si="184"/>
        <v>1.709171</v>
      </c>
      <c r="BN92" s="1211">
        <f t="shared" si="185"/>
        <v>0.63139699999999999</v>
      </c>
    </row>
    <row r="93" spans="1:66" s="39" customFormat="1" x14ac:dyDescent="0.25">
      <c r="A93" s="49" t="str">
        <f t="shared" si="223"/>
        <v>354050</v>
      </c>
      <c r="B93" s="1307" t="str">
        <f>'HVAC Deemed Table'!C763</f>
        <v>354050_2024_12_</v>
      </c>
      <c r="C93" s="830" t="str">
        <f>'HVAC Deemed Table'!G763</f>
        <v>Cooling Res</v>
      </c>
      <c r="D93" s="830" t="str">
        <f>'HVAC Deemed Table'!G764</f>
        <v>Heating Res</v>
      </c>
      <c r="E93" s="1249"/>
      <c r="F93" s="1249"/>
      <c r="G93" s="1249" t="str">
        <f>'HVAC Deemed Table'!E763</f>
        <v>ASHP-SEER19_ROF_SF</v>
      </c>
      <c r="H93" s="18" t="str">
        <f>'HVAC Deemed Table'!D763</f>
        <v>PAYS / IE</v>
      </c>
      <c r="I93" s="737">
        <f t="shared" si="178"/>
        <v>1603.08</v>
      </c>
      <c r="J93" s="737">
        <f t="shared" si="179"/>
        <v>0</v>
      </c>
      <c r="K93" s="185">
        <f>'HVAC Deemed Table'!F763</f>
        <v>665.33</v>
      </c>
      <c r="L93" s="185">
        <f>'HVAC Deemed Table'!F764</f>
        <v>937.75</v>
      </c>
      <c r="M93" s="185"/>
      <c r="N93" s="185"/>
      <c r="O93" s="738">
        <f t="shared" si="180"/>
        <v>0.63034599999999996</v>
      </c>
      <c r="P93" s="738">
        <f t="shared" si="181"/>
        <v>0</v>
      </c>
      <c r="Q93" s="739">
        <f>'HVAC Deemed Table'!I763</f>
        <v>0.63034599999999996</v>
      </c>
      <c r="R93" s="739">
        <f>'HVAC Deemed Table'!I764</f>
        <v>0</v>
      </c>
      <c r="S93" s="739"/>
      <c r="T93" s="739"/>
      <c r="U93" s="740">
        <f t="shared" si="174"/>
        <v>0</v>
      </c>
      <c r="V93" s="740">
        <f t="shared" si="175"/>
        <v>0</v>
      </c>
      <c r="W93" s="740">
        <f t="shared" si="176"/>
        <v>0.63034599999999996</v>
      </c>
      <c r="X93" s="22">
        <f>'HVAC Deemed Table'!J763</f>
        <v>18</v>
      </c>
      <c r="Y93" s="22"/>
      <c r="Z93" s="22">
        <f t="shared" si="224"/>
        <v>18</v>
      </c>
      <c r="AA93" s="17">
        <f>'HVAC Deemed Table'!DG763</f>
        <v>1.9350588523297969</v>
      </c>
      <c r="AB93" s="241">
        <f>'HVAC Deemed Table'!K763</f>
        <v>1081</v>
      </c>
      <c r="AC93" s="846">
        <f t="shared" si="225"/>
        <v>2091.7986193685106</v>
      </c>
      <c r="AD93" s="846">
        <f t="shared" si="177"/>
        <v>0</v>
      </c>
      <c r="AE93" s="191">
        <f>'HVAC Deemed Table'!DI763</f>
        <v>1523.4519419980077</v>
      </c>
      <c r="AF93" s="191">
        <f>'HVAC Deemed Table'!DI764</f>
        <v>568.3466773705029</v>
      </c>
      <c r="AG93" s="191"/>
      <c r="AH93" s="191"/>
      <c r="AI93" s="850" t="str">
        <f t="shared" si="227"/>
        <v>per measure</v>
      </c>
      <c r="AJ93" s="45">
        <f>'HVAC Deemed Table'!L763</f>
        <v>2.9920329673076922</v>
      </c>
      <c r="AK93" s="609"/>
      <c r="AL93" s="609"/>
      <c r="AM93"/>
      <c r="AN93"/>
      <c r="AO93"/>
      <c r="AP93"/>
      <c r="AQ93"/>
      <c r="AR93"/>
      <c r="AS93"/>
      <c r="AT93"/>
      <c r="AU93"/>
      <c r="AV93"/>
      <c r="AW93"/>
      <c r="AX93" s="1226" t="str">
        <f t="shared" si="221"/>
        <v>ASHP-SEER19_ROF_SF</v>
      </c>
      <c r="AY93" s="1249"/>
      <c r="AZ93" s="1312" t="str">
        <f t="shared" si="222"/>
        <v>354050</v>
      </c>
      <c r="BA93" s="1200">
        <f>BA92</f>
        <v>1804.03</v>
      </c>
      <c r="BB93" s="1200">
        <f>BB92</f>
        <v>1842.27</v>
      </c>
      <c r="BC93" s="1200">
        <f>BC92</f>
        <v>666.44</v>
      </c>
      <c r="BD93" s="1200">
        <f>BD92</f>
        <v>1084.6300000000001</v>
      </c>
      <c r="BE93" s="1177"/>
      <c r="BF93" s="1192">
        <f>ROUND(BA93*'CP FACTORS'!$B$9,6)</f>
        <v>1.709171</v>
      </c>
      <c r="BG93" s="1193">
        <f>ROUND(BB93*'CP FACTORS'!$B$14,6)</f>
        <v>0</v>
      </c>
      <c r="BH93" s="1192">
        <f>ROUND(BC93*'CP FACTORS'!$B$9,6)</f>
        <v>0.63139699999999999</v>
      </c>
      <c r="BI93" s="1194">
        <f>ROUND(BD93*'CP FACTORS'!$B$14,6)</f>
        <v>0</v>
      </c>
      <c r="BJ93" s="1176"/>
      <c r="BK93" s="685">
        <f t="shared" si="182"/>
        <v>3646.3</v>
      </c>
      <c r="BL93" s="1213">
        <f t="shared" si="183"/>
        <v>1751.0700000000002</v>
      </c>
      <c r="BM93" s="1212">
        <f t="shared" si="184"/>
        <v>1.709171</v>
      </c>
      <c r="BN93" s="1211">
        <f t="shared" si="185"/>
        <v>0.63139699999999999</v>
      </c>
    </row>
    <row r="94" spans="1:66" x14ac:dyDescent="0.25">
      <c r="A94" s="49" t="str">
        <f t="shared" si="223"/>
        <v>354100</v>
      </c>
      <c r="B94" s="1307" t="str">
        <f>'HVAC Deemed Table'!C765</f>
        <v>354100_2024_12_</v>
      </c>
      <c r="C94" s="830" t="str">
        <f>'HVAC Deemed Table'!G765</f>
        <v>Cooling Res</v>
      </c>
      <c r="D94" s="830" t="str">
        <f>'HVAC Deemed Table'!G766</f>
        <v>Heating Res</v>
      </c>
      <c r="E94" s="830" t="str">
        <f>'HVAC Deemed Table'!G767</f>
        <v>Cooling Res ER2</v>
      </c>
      <c r="F94" s="830" t="str">
        <f>'HVAC Deemed Table'!G768</f>
        <v>Heating Res ER2</v>
      </c>
      <c r="G94" s="1249" t="str">
        <f>'HVAC Deemed Table'!E765</f>
        <v>ASHP-SEER17-Replace_CAC_ElectricHeat_ER1_SF</v>
      </c>
      <c r="H94" s="18" t="str">
        <f>'HVAC Deemed Table'!D765</f>
        <v>PAYS / IE</v>
      </c>
      <c r="I94" s="737">
        <f t="shared" si="178"/>
        <v>10579.880000000001</v>
      </c>
      <c r="J94" s="737">
        <f t="shared" si="179"/>
        <v>8864.7300000000014</v>
      </c>
      <c r="K94" s="185">
        <f>'HVAC Deemed Table'!F765</f>
        <v>2226.27</v>
      </c>
      <c r="L94" s="185">
        <f>'HVAC Deemed Table'!F766</f>
        <v>8353.61</v>
      </c>
      <c r="M94" s="185">
        <f>'HVAC Deemed Table'!F767</f>
        <v>511.12</v>
      </c>
      <c r="N94" s="185">
        <f>'HVAC Deemed Table'!F768</f>
        <v>8353.61</v>
      </c>
      <c r="O94" s="738">
        <f t="shared" si="180"/>
        <v>2.1092080000000002</v>
      </c>
      <c r="P94" s="738">
        <f t="shared" si="181"/>
        <v>0.48424400000000001</v>
      </c>
      <c r="Q94" s="739">
        <f>'HVAC Deemed Table'!I765</f>
        <v>2.1092080000000002</v>
      </c>
      <c r="R94" s="739">
        <f>'HVAC Deemed Table'!I766</f>
        <v>0</v>
      </c>
      <c r="S94" s="739">
        <f>'HVAC Deemed Table'!I767</f>
        <v>0.48424400000000001</v>
      </c>
      <c r="T94" s="739">
        <f>'HVAC Deemed Table'!I768</f>
        <v>0</v>
      </c>
      <c r="U94" s="740">
        <f t="shared" si="174"/>
        <v>0</v>
      </c>
      <c r="V94" s="740">
        <f t="shared" si="175"/>
        <v>0</v>
      </c>
      <c r="W94" s="740">
        <f t="shared" si="176"/>
        <v>2.1092080000000002</v>
      </c>
      <c r="X94" s="22">
        <f>'HVAC Deemed Table'!J765</f>
        <v>6</v>
      </c>
      <c r="Y94" s="22">
        <f>'HVAC Deemed Table'!J767</f>
        <v>12</v>
      </c>
      <c r="Z94" s="22">
        <f t="shared" si="224"/>
        <v>18</v>
      </c>
      <c r="AA94" s="17">
        <f>'HVAC Deemed Table'!DG765</f>
        <v>2.0986751170817408</v>
      </c>
      <c r="AB94" s="241">
        <f>'HVAC Deemed Table'!K765</f>
        <v>3783.9531661870506</v>
      </c>
      <c r="AC94" s="846">
        <f t="shared" si="225"/>
        <v>4457.2879379643218</v>
      </c>
      <c r="AD94" s="846">
        <f t="shared" si="177"/>
        <v>3484.0004161151091</v>
      </c>
      <c r="AE94" s="191">
        <f>'HVAC Deemed Table'!DI765</f>
        <v>2217.026743629704</v>
      </c>
      <c r="AF94" s="191">
        <f>'HVAC Deemed Table'!DI766</f>
        <v>2240.2611943346178</v>
      </c>
      <c r="AG94" s="191">
        <f>'HVAC Deemed Table'!DI767</f>
        <v>661.34880048011178</v>
      </c>
      <c r="AH94" s="191">
        <f>'HVAC Deemed Table'!DI768</f>
        <v>2822.6516156349976</v>
      </c>
      <c r="AI94" s="850" t="str">
        <f t="shared" si="227"/>
        <v>per measure</v>
      </c>
      <c r="AJ94" s="45">
        <f>'HVAC Deemed Table'!L765</f>
        <v>2.6603692243864097</v>
      </c>
      <c r="AK94" s="609"/>
      <c r="AL94" s="609"/>
      <c r="AX94" s="1226" t="str">
        <f t="shared" si="221"/>
        <v>ASHP-SEER17-Replace_CAC_ElectricHeat_ER1_SF</v>
      </c>
      <c r="AY94" s="1249"/>
      <c r="AZ94" s="1312" t="str">
        <f t="shared" si="222"/>
        <v>354100</v>
      </c>
      <c r="BA94" s="1205">
        <f>BA70</f>
        <v>1539.94</v>
      </c>
      <c r="BB94" s="1205">
        <f>BB70</f>
        <v>9046.4599999999991</v>
      </c>
      <c r="BC94" s="1205">
        <f>BC70</f>
        <v>510.85</v>
      </c>
      <c r="BD94" s="1205">
        <f>BD70</f>
        <v>8628.61</v>
      </c>
      <c r="BE94" s="1176"/>
      <c r="BF94" s="1192">
        <f>ROUND(BA94*'CP FACTORS'!$B$9,6)</f>
        <v>1.4589669999999999</v>
      </c>
      <c r="BG94" s="1193">
        <f>ROUND(BB94*'CP FACTORS'!$B$14,6)</f>
        <v>0</v>
      </c>
      <c r="BH94" s="1192">
        <f>ROUND(BC94*'CP FACTORS'!$B$9,6)</f>
        <v>0.483989</v>
      </c>
      <c r="BI94" s="1194">
        <f>ROUND(BD94*'CP FACTORS'!$B$14,6)</f>
        <v>0</v>
      </c>
      <c r="BJ94" s="1176"/>
      <c r="BK94" s="685">
        <f t="shared" si="182"/>
        <v>10586.4</v>
      </c>
      <c r="BL94" s="1213">
        <f t="shared" si="183"/>
        <v>9139.4600000000009</v>
      </c>
      <c r="BM94" s="1212">
        <f t="shared" si="184"/>
        <v>1.4589669999999999</v>
      </c>
      <c r="BN94" s="1211">
        <f t="shared" si="185"/>
        <v>0.483989</v>
      </c>
    </row>
    <row r="95" spans="1:66" x14ac:dyDescent="0.25">
      <c r="A95" s="49" t="str">
        <f t="shared" si="223"/>
        <v>354110</v>
      </c>
      <c r="B95" s="1307" t="str">
        <f>'HVAC Deemed Table'!C769</f>
        <v>354110_2024_12_</v>
      </c>
      <c r="C95" s="830" t="str">
        <f>'HVAC Deemed Table'!G769</f>
        <v>Cooling Res</v>
      </c>
      <c r="D95" s="830" t="str">
        <f>'HVAC Deemed Table'!G770</f>
        <v>Heating Res</v>
      </c>
      <c r="E95" s="830" t="str">
        <f>'HVAC Deemed Table'!G771</f>
        <v>Cooling Res ER2</v>
      </c>
      <c r="F95" s="830" t="str">
        <f>'HVAC Deemed Table'!G776</f>
        <v>Heating Res ER2</v>
      </c>
      <c r="G95" s="1249" t="str">
        <f>'HVAC Deemed Table'!E769</f>
        <v>ASHP-SEER17-Replace_CAC_NonElectricHeat_ER1_SF</v>
      </c>
      <c r="H95" s="18" t="str">
        <f>'HVAC Deemed Table'!D769</f>
        <v>PAYS / IE</v>
      </c>
      <c r="I95" s="737">
        <f t="shared" si="178"/>
        <v>2226.27</v>
      </c>
      <c r="J95" s="737">
        <f t="shared" si="179"/>
        <v>511.12</v>
      </c>
      <c r="K95" s="185">
        <f>'HVAC Deemed Table'!F769</f>
        <v>2226.27</v>
      </c>
      <c r="L95" s="185">
        <f>'HVAC Deemed Table'!F770</f>
        <v>0</v>
      </c>
      <c r="M95" s="185">
        <f>'HVAC Deemed Table'!F771</f>
        <v>511.12</v>
      </c>
      <c r="N95" s="185">
        <f>'HVAC Deemed Table'!F776</f>
        <v>0</v>
      </c>
      <c r="O95" s="738">
        <f t="shared" si="180"/>
        <v>2.1092080000000002</v>
      </c>
      <c r="P95" s="738">
        <f t="shared" si="181"/>
        <v>0.48424400000000001</v>
      </c>
      <c r="Q95" s="739">
        <f>'HVAC Deemed Table'!I769</f>
        <v>2.1092080000000002</v>
      </c>
      <c r="R95" s="739">
        <f>'HVAC Deemed Table'!I770</f>
        <v>0</v>
      </c>
      <c r="S95" s="739">
        <f>'HVAC Deemed Table'!I771</f>
        <v>0.48424400000000001</v>
      </c>
      <c r="T95" s="739">
        <f>'HVAC Deemed Table'!I776</f>
        <v>0</v>
      </c>
      <c r="U95" s="740">
        <f t="shared" si="174"/>
        <v>0</v>
      </c>
      <c r="V95" s="740">
        <f t="shared" si="175"/>
        <v>0</v>
      </c>
      <c r="W95" s="740">
        <f t="shared" si="176"/>
        <v>2.1092080000000002</v>
      </c>
      <c r="X95" s="22">
        <f>'HVAC Deemed Table'!J769</f>
        <v>6</v>
      </c>
      <c r="Y95" s="22">
        <f>'HVAC Deemed Table'!J771</f>
        <v>12</v>
      </c>
      <c r="Z95" s="22">
        <f t="shared" si="224"/>
        <v>18</v>
      </c>
      <c r="AA95" s="17">
        <f>'HVAC Deemed Table'!DG769</f>
        <v>5.4033644868123529</v>
      </c>
      <c r="AB95" s="241">
        <f>'HVAC Deemed Table'!K769</f>
        <v>532.70060739653661</v>
      </c>
      <c r="AC95" s="846">
        <f t="shared" si="225"/>
        <v>2217.026743629704</v>
      </c>
      <c r="AD95" s="846">
        <f t="shared" si="177"/>
        <v>661.34880048011178</v>
      </c>
      <c r="AE95" s="191">
        <f>'HVAC Deemed Table'!DI769</f>
        <v>2217.026743629704</v>
      </c>
      <c r="AF95" s="191">
        <f>'HVAC Deemed Table'!DI770</f>
        <v>0</v>
      </c>
      <c r="AG95" s="191">
        <f>'HVAC Deemed Table'!DI771</f>
        <v>661.34880048011178</v>
      </c>
      <c r="AH95" s="191">
        <f>'HVAC Deemed Table'!DI776</f>
        <v>0</v>
      </c>
      <c r="AI95" s="850" t="str">
        <f t="shared" si="227"/>
        <v>per measure</v>
      </c>
      <c r="AJ95" s="45">
        <f>'HVAC Deemed Table'!L769</f>
        <v>2.6603692243864097</v>
      </c>
      <c r="AK95" s="861"/>
      <c r="AL95" s="861"/>
      <c r="AX95" s="1226" t="str">
        <f t="shared" si="221"/>
        <v>ASHP-SEER17-Replace_CAC_NonElectricHeat_ER1_SF</v>
      </c>
      <c r="AY95" s="1249"/>
      <c r="AZ95" s="1312" t="str">
        <f t="shared" si="222"/>
        <v>354110</v>
      </c>
      <c r="BA95" s="1205">
        <f t="shared" ref="BA95:BD95" si="228">BA72</f>
        <v>1539.94</v>
      </c>
      <c r="BB95" s="1205">
        <f t="shared" si="228"/>
        <v>0</v>
      </c>
      <c r="BC95" s="1205">
        <f t="shared" si="228"/>
        <v>510.85</v>
      </c>
      <c r="BD95" s="1205">
        <f t="shared" si="228"/>
        <v>0</v>
      </c>
      <c r="BE95" s="1176"/>
      <c r="BF95" s="1192">
        <f>ROUND(BA95*'CP FACTORS'!$B$9,6)</f>
        <v>1.4589669999999999</v>
      </c>
      <c r="BG95" s="1193">
        <f>ROUND(BB95*'CP FACTORS'!$B$14,6)</f>
        <v>0</v>
      </c>
      <c r="BH95" s="1192">
        <f>ROUND(BC95*'CP FACTORS'!$B$9,6)</f>
        <v>0.483989</v>
      </c>
      <c r="BI95" s="1194">
        <f>ROUND(BD95*'CP FACTORS'!$B$14,6)</f>
        <v>0</v>
      </c>
      <c r="BJ95" s="1176"/>
      <c r="BK95" s="685">
        <f t="shared" si="182"/>
        <v>1539.94</v>
      </c>
      <c r="BL95" s="1213">
        <f t="shared" si="183"/>
        <v>510.85</v>
      </c>
      <c r="BM95" s="1212">
        <f t="shared" si="184"/>
        <v>1.4589669999999999</v>
      </c>
      <c r="BN95" s="1211">
        <f t="shared" si="185"/>
        <v>0.483989</v>
      </c>
    </row>
    <row r="96" spans="1:66" s="39" customFormat="1" x14ac:dyDescent="0.25">
      <c r="A96" s="659" t="str">
        <f t="shared" ref="A96" si="229">LEFT(B96,6)</f>
        <v>354120</v>
      </c>
      <c r="B96" s="645" t="str">
        <f>'HVAC Deemed Table'!C772</f>
        <v>354120_2025_12_</v>
      </c>
      <c r="C96" s="2116" t="str">
        <f>'HVAC Deemed Table'!G772</f>
        <v>Cooling Res</v>
      </c>
      <c r="D96" s="2116" t="str">
        <f>'HVAC Deemed Table'!G773</f>
        <v>Heating Res</v>
      </c>
      <c r="E96" s="2116" t="str">
        <f>'HVAC Deemed Table'!G774</f>
        <v>Cooling Res ER2</v>
      </c>
      <c r="F96" s="2116" t="str">
        <f>'HVAC Deemed Table'!G775</f>
        <v>Heating Res ER2</v>
      </c>
      <c r="G96" s="644" t="str">
        <f>'HVAC Deemed Table'!E772</f>
        <v>ASHP-SEER17-Replace_CAC_NonElectricHeat_ER1_MF</v>
      </c>
      <c r="H96" s="650" t="str">
        <f>'HVAC Deemed Table'!D772</f>
        <v>IE</v>
      </c>
      <c r="I96" s="648">
        <f t="shared" ref="I96" si="230">K96+L96</f>
        <v>1885.09</v>
      </c>
      <c r="J96" s="648">
        <f t="shared" ref="J96" si="231">M96+N96</f>
        <v>221.99</v>
      </c>
      <c r="K96" s="646">
        <f>'HVAC Deemed Table'!F772</f>
        <v>1885.09</v>
      </c>
      <c r="L96" s="646">
        <f>'HVAC Deemed Table'!F773</f>
        <v>0</v>
      </c>
      <c r="M96" s="646">
        <f>'HVAC Deemed Table'!F774</f>
        <v>221.99</v>
      </c>
      <c r="N96" s="646">
        <f>'HVAC Deemed Table'!F775</f>
        <v>0</v>
      </c>
      <c r="O96" s="649">
        <f t="shared" ref="O96" si="232">Q96+R96</f>
        <v>1.785968</v>
      </c>
      <c r="P96" s="649">
        <f t="shared" ref="P96" si="233">S96+T96</f>
        <v>0.210317</v>
      </c>
      <c r="Q96" s="651">
        <f>'HVAC Deemed Table'!I772</f>
        <v>1.785968</v>
      </c>
      <c r="R96" s="651">
        <f>'HVAC Deemed Table'!I773</f>
        <v>0</v>
      </c>
      <c r="S96" s="651">
        <f>'HVAC Deemed Table'!I774</f>
        <v>0.210317</v>
      </c>
      <c r="T96" s="651">
        <f>'HVAC Deemed Table'!I775</f>
        <v>0</v>
      </c>
      <c r="U96" s="2117">
        <f t="shared" ref="U96" si="234">IFERROR(IF(V96+W96&gt;0,0,IF(Z96&gt;0,O96,0)),0)</f>
        <v>0</v>
      </c>
      <c r="V96" s="2117">
        <f t="shared" ref="V96" si="235">IF(W96&gt;0,0,IF(Z96&gt;9,O96,0))</f>
        <v>0</v>
      </c>
      <c r="W96" s="2117">
        <f t="shared" ref="W96" si="236">IF(Z96&gt;14,O96,0)</f>
        <v>1.785968</v>
      </c>
      <c r="X96" s="642">
        <f>'HVAC Deemed Table'!J772</f>
        <v>6</v>
      </c>
      <c r="Y96" s="642">
        <f>'HVAC Deemed Table'!J774</f>
        <v>12</v>
      </c>
      <c r="Z96" s="642">
        <f t="shared" ref="Z96" si="237">Y96+X96</f>
        <v>18</v>
      </c>
      <c r="AA96" s="112">
        <f>'HVAC Deemed Table'!DG772</f>
        <v>4.4113638083340039</v>
      </c>
      <c r="AB96" s="733">
        <f>'HVAC Deemed Table'!K772</f>
        <v>490.66476099789202</v>
      </c>
      <c r="AC96" s="736">
        <f t="shared" ref="AC96" si="238">AE96+AF96</f>
        <v>1877.2632897846706</v>
      </c>
      <c r="AD96" s="736">
        <f t="shared" ref="AD96" si="239">AG96+AH96</f>
        <v>287.23747890628425</v>
      </c>
      <c r="AE96" s="652">
        <f>'HVAC Deemed Table'!DI772</f>
        <v>1877.2632897846706</v>
      </c>
      <c r="AF96" s="652">
        <f>'HVAC Deemed Table'!DI773</f>
        <v>0</v>
      </c>
      <c r="AG96" s="652">
        <f>'HVAC Deemed Table'!DI774</f>
        <v>287.23747890628425</v>
      </c>
      <c r="AH96" s="652">
        <f>'HVAC Deemed Table'!DI775</f>
        <v>0</v>
      </c>
      <c r="AI96" s="2118" t="str">
        <f t="shared" si="227"/>
        <v>per measure</v>
      </c>
      <c r="AJ96" s="46">
        <f>'HVAC Deemed Table'!L772</f>
        <v>1.9627289377289376</v>
      </c>
      <c r="AK96" s="861"/>
      <c r="AL96" s="861"/>
      <c r="AO96" s="2133"/>
      <c r="AP96" s="2133"/>
      <c r="AQ96" s="2133"/>
      <c r="AR96" s="2133"/>
      <c r="AS96" s="2133"/>
      <c r="AT96" s="2133"/>
      <c r="AU96" s="2133"/>
      <c r="AV96" s="2133"/>
      <c r="AW96" s="2133"/>
      <c r="AX96" s="2134" t="str">
        <f t="shared" ref="AX96" si="240">G96</f>
        <v>ASHP-SEER17-Replace_CAC_NonElectricHeat_ER1_MF</v>
      </c>
      <c r="AY96" s="2135"/>
      <c r="AZ96" s="2119" t="str">
        <f t="shared" ref="AZ96" si="241">A96</f>
        <v>354120</v>
      </c>
      <c r="BA96" s="2120">
        <f>ROUND((K96*$BC$3)+(M96*$BC$4),2)</f>
        <v>1219.8499999999999</v>
      </c>
      <c r="BB96" s="2120">
        <f>ROUND((L96*$BC$3)+(N96*$BC$4),2)</f>
        <v>0</v>
      </c>
      <c r="BC96" s="2120">
        <f>ROUND((M96*$BC$3)+(M96*$BC$4),2)</f>
        <v>221.99</v>
      </c>
      <c r="BD96" s="2120">
        <f>ROUND((N96*$BC$3)+(N96*$BC$4),2)</f>
        <v>0</v>
      </c>
      <c r="BE96" s="1177"/>
      <c r="BF96" s="1193">
        <f>ROUND(BA96*'CP FACTORS'!$B$9,6)</f>
        <v>1.155708</v>
      </c>
      <c r="BG96" s="1193">
        <f>ROUND(BB96*'CP FACTORS'!$B$14,6)</f>
        <v>0</v>
      </c>
      <c r="BH96" s="1193">
        <f>ROUND(BC96*'CP FACTORS'!$B$9,6)</f>
        <v>0.210317</v>
      </c>
      <c r="BI96" s="1194">
        <f>ROUND(BD96*'CP FACTORS'!$B$14,6)</f>
        <v>0</v>
      </c>
      <c r="BJ96" s="1177"/>
      <c r="BK96" s="204">
        <f t="shared" ref="BK96" si="242">BA96+BB96</f>
        <v>1219.8499999999999</v>
      </c>
      <c r="BL96" s="2121">
        <f t="shared" ref="BL96" si="243">BC96+BD96</f>
        <v>221.99</v>
      </c>
      <c r="BM96" s="2122">
        <f t="shared" ref="BM96" si="244">BF96+BG96</f>
        <v>1.155708</v>
      </c>
      <c r="BN96" s="1194">
        <f t="shared" ref="BN96" si="245">BH96+BI96</f>
        <v>0.210317</v>
      </c>
    </row>
    <row r="97" spans="1:66" s="39" customFormat="1" x14ac:dyDescent="0.25">
      <c r="A97" s="49" t="str">
        <f t="shared" si="223"/>
        <v>354150</v>
      </c>
      <c r="B97" s="1307" t="str">
        <f>'HVAC Deemed Table'!C777</f>
        <v>354150_2024_12_</v>
      </c>
      <c r="C97" s="830" t="str">
        <f>'HVAC Deemed Table'!G777</f>
        <v>Cooling Res</v>
      </c>
      <c r="D97" s="830" t="str">
        <f>'HVAC Deemed Table'!G778</f>
        <v>Heating Res</v>
      </c>
      <c r="E97" s="830" t="str">
        <f>'HVAC Deemed Table'!G779</f>
        <v>Cooling Res ER2</v>
      </c>
      <c r="F97" s="830" t="str">
        <f>'HVAC Deemed Table'!G780</f>
        <v>Heating Res ER2</v>
      </c>
      <c r="G97" s="1249" t="str">
        <f>'HVAC Deemed Table'!E777</f>
        <v>ASHP-SEER17-Replace_CAC_ElectricHeat_ER1_MF</v>
      </c>
      <c r="H97" s="18" t="str">
        <f>'HVAC Deemed Table'!D777</f>
        <v>IE</v>
      </c>
      <c r="I97" s="737">
        <f t="shared" si="178"/>
        <v>7613.6100000000006</v>
      </c>
      <c r="J97" s="737">
        <f t="shared" si="179"/>
        <v>6659.21</v>
      </c>
      <c r="K97" s="185">
        <f>'HVAC Deemed Table'!F777</f>
        <v>1286.47</v>
      </c>
      <c r="L97" s="185">
        <f>'HVAC Deemed Table'!F778</f>
        <v>6327.14</v>
      </c>
      <c r="M97" s="185">
        <f>'HVAC Deemed Table'!F779</f>
        <v>332.07</v>
      </c>
      <c r="N97" s="185">
        <f>'HVAC Deemed Table'!F780</f>
        <v>6327.14</v>
      </c>
      <c r="O97" s="738">
        <f t="shared" si="180"/>
        <v>1.218825</v>
      </c>
      <c r="P97" s="738">
        <f t="shared" si="181"/>
        <v>0.31460900000000003</v>
      </c>
      <c r="Q97" s="739">
        <f>'HVAC Deemed Table'!I777</f>
        <v>1.218825</v>
      </c>
      <c r="R97" s="739">
        <f>'HVAC Deemed Table'!I778</f>
        <v>0</v>
      </c>
      <c r="S97" s="739">
        <f>'HVAC Deemed Table'!I779</f>
        <v>0.31460900000000003</v>
      </c>
      <c r="T97" s="739">
        <f>'HVAC Deemed Table'!I780</f>
        <v>0</v>
      </c>
      <c r="U97" s="740">
        <f t="shared" si="174"/>
        <v>0</v>
      </c>
      <c r="V97" s="740">
        <f t="shared" si="175"/>
        <v>0</v>
      </c>
      <c r="W97" s="740">
        <f t="shared" si="176"/>
        <v>1.218825</v>
      </c>
      <c r="X97" s="22">
        <f>'HVAC Deemed Table'!J777</f>
        <v>6</v>
      </c>
      <c r="Y97" s="22">
        <f>'HVAC Deemed Table'!J779</f>
        <v>12</v>
      </c>
      <c r="Z97" s="22">
        <f t="shared" si="224"/>
        <v>18</v>
      </c>
      <c r="AA97" s="17">
        <f>'HVAC Deemed Table'!DG777</f>
        <v>1.6326050808149164</v>
      </c>
      <c r="AB97" s="241">
        <f>'HVAC Deemed Table'!K777</f>
        <v>3396.7316315552043</v>
      </c>
      <c r="AC97" s="846">
        <f t="shared" si="225"/>
        <v>2977.9335817053316</v>
      </c>
      <c r="AD97" s="846">
        <f t="shared" si="177"/>
        <v>2567.5877381364353</v>
      </c>
      <c r="AE97" s="191">
        <f>'HVAC Deemed Table'!DI777</f>
        <v>1281.1287017645234</v>
      </c>
      <c r="AF97" s="191">
        <f>'HVAC Deemed Table'!DI778</f>
        <v>1696.804879940808</v>
      </c>
      <c r="AG97" s="191">
        <f>'HVAC Deemed Table'!DI779</f>
        <v>429.67228082530659</v>
      </c>
      <c r="AH97" s="191">
        <f>'HVAC Deemed Table'!DI780</f>
        <v>2137.9154573111286</v>
      </c>
      <c r="AI97" s="850" t="str">
        <f>AI95</f>
        <v>per measure</v>
      </c>
      <c r="AJ97" s="45">
        <f>'HVAC Deemed Table'!L777</f>
        <v>3.1</v>
      </c>
      <c r="AK97" s="609"/>
      <c r="AL97" s="609"/>
      <c r="AM97"/>
      <c r="AN97"/>
      <c r="AO97"/>
      <c r="AP97"/>
      <c r="AQ97"/>
      <c r="AR97"/>
      <c r="AS97"/>
      <c r="AT97"/>
      <c r="AU97"/>
      <c r="AV97"/>
      <c r="AW97"/>
      <c r="AX97" s="1226" t="str">
        <f t="shared" si="221"/>
        <v>ASHP-SEER17-Replace_CAC_ElectricHeat_ER1_MF</v>
      </c>
      <c r="AY97" s="1249"/>
      <c r="AZ97" s="1312" t="str">
        <f t="shared" si="222"/>
        <v>354150</v>
      </c>
      <c r="BA97" s="2120">
        <f>ROUND((K97*$BC$3)+(M97*$BC$4),2)</f>
        <v>904.71</v>
      </c>
      <c r="BB97" s="2120">
        <f>ROUND((L97*$BC$3)+(N97*$BC$4),2)</f>
        <v>6327.14</v>
      </c>
      <c r="BC97" s="2120">
        <f>ROUND((M97*$BC$3)+(M97*$BC$4),2)</f>
        <v>332.07</v>
      </c>
      <c r="BD97" s="2120">
        <f>ROUND((N97*$BC$3)+(N97*$BC$4),2)</f>
        <v>6327.14</v>
      </c>
      <c r="BE97" s="1177"/>
      <c r="BF97" s="1192">
        <f>ROUND(BA97*'CP FACTORS'!$B$9,6)</f>
        <v>0.85713899999999998</v>
      </c>
      <c r="BG97" s="1193">
        <f>ROUND(BB97*'CP FACTORS'!$B$14,6)</f>
        <v>0</v>
      </c>
      <c r="BH97" s="1192">
        <f>ROUND(BC97*'CP FACTORS'!$B$9,6)</f>
        <v>0.31460900000000003</v>
      </c>
      <c r="BI97" s="1194">
        <f>ROUND(BD97*'CP FACTORS'!$B$14,6)</f>
        <v>0</v>
      </c>
      <c r="BJ97" s="1176"/>
      <c r="BK97" s="685">
        <f t="shared" si="182"/>
        <v>7231.85</v>
      </c>
      <c r="BL97" s="1213">
        <f t="shared" si="183"/>
        <v>6659.21</v>
      </c>
      <c r="BM97" s="1212">
        <f t="shared" si="184"/>
        <v>0.85713899999999998</v>
      </c>
      <c r="BN97" s="1211">
        <f t="shared" si="185"/>
        <v>0.31460900000000003</v>
      </c>
    </row>
    <row r="98" spans="1:66" x14ac:dyDescent="0.25">
      <c r="A98" s="49" t="str">
        <f t="shared" si="223"/>
        <v>354200</v>
      </c>
      <c r="B98" s="1307" t="str">
        <f>'HVAC Deemed Table'!C781</f>
        <v>354200_2024_12_</v>
      </c>
      <c r="C98" s="830" t="str">
        <f>'HVAC Deemed Table'!G781</f>
        <v>Cooling Res</v>
      </c>
      <c r="D98" s="830" t="str">
        <f>'HVAC Deemed Table'!G782</f>
        <v>Heating Res</v>
      </c>
      <c r="E98" s="830" t="str">
        <f>'HVAC Deemed Table'!G783</f>
        <v>Cooling Res ER2</v>
      </c>
      <c r="F98" s="830" t="str">
        <f>'HVAC Deemed Table'!G784</f>
        <v>Heating Res ER2</v>
      </c>
      <c r="G98" s="1249" t="str">
        <f>'HVAC Deemed Table'!E781</f>
        <v>ASHP-SEER17_ER1_MF</v>
      </c>
      <c r="H98" s="18" t="str">
        <f>'HVAC Deemed Table'!D781</f>
        <v>IE</v>
      </c>
      <c r="I98" s="737">
        <f t="shared" si="178"/>
        <v>2664.56</v>
      </c>
      <c r="J98" s="737">
        <f t="shared" si="179"/>
        <v>825.66000000000008</v>
      </c>
      <c r="K98" s="185">
        <f>'HVAC Deemed Table'!F781</f>
        <v>1369.47</v>
      </c>
      <c r="L98" s="185">
        <f>'HVAC Deemed Table'!F782</f>
        <v>1295.0899999999999</v>
      </c>
      <c r="M98" s="185">
        <f>'HVAC Deemed Table'!F783</f>
        <v>248.43</v>
      </c>
      <c r="N98" s="185">
        <f>'HVAC Deemed Table'!F784</f>
        <v>577.23</v>
      </c>
      <c r="O98" s="738">
        <f t="shared" si="180"/>
        <v>1.297461</v>
      </c>
      <c r="P98" s="738">
        <f t="shared" si="181"/>
        <v>0.23536699999999999</v>
      </c>
      <c r="Q98" s="739">
        <f>'HVAC Deemed Table'!I781</f>
        <v>1.297461</v>
      </c>
      <c r="R98" s="739">
        <f>'HVAC Deemed Table'!I782</f>
        <v>0</v>
      </c>
      <c r="S98" s="739">
        <f>'HVAC Deemed Table'!I783</f>
        <v>0.23536699999999999</v>
      </c>
      <c r="T98" s="739">
        <f>'HVAC Deemed Table'!I784</f>
        <v>0</v>
      </c>
      <c r="U98" s="740">
        <f t="shared" si="174"/>
        <v>0</v>
      </c>
      <c r="V98" s="740">
        <f t="shared" si="175"/>
        <v>0</v>
      </c>
      <c r="W98" s="740">
        <f t="shared" si="176"/>
        <v>1.297461</v>
      </c>
      <c r="X98" s="22">
        <f>'HVAC Deemed Table'!J781</f>
        <v>6</v>
      </c>
      <c r="Y98" s="22">
        <f>'HVAC Deemed Table'!J783</f>
        <v>12</v>
      </c>
      <c r="Z98" s="22">
        <f t="shared" si="224"/>
        <v>18</v>
      </c>
      <c r="AA98" s="17">
        <f>'HVAC Deemed Table'!DG781</f>
        <v>3.5555099175673179</v>
      </c>
      <c r="AB98" s="241">
        <f>'HVAC Deemed Table'!K781</f>
        <v>626.51836415648631</v>
      </c>
      <c r="AC98" s="846">
        <f t="shared" si="225"/>
        <v>1711.099789711732</v>
      </c>
      <c r="AD98" s="846">
        <f t="shared" si="177"/>
        <v>516.4924675847077</v>
      </c>
      <c r="AE98" s="191">
        <f>'HVAC Deemed Table'!DI781</f>
        <v>1363.7840938424229</v>
      </c>
      <c r="AF98" s="191">
        <f>'HVAC Deemed Table'!DI782</f>
        <v>347.31569586930914</v>
      </c>
      <c r="AG98" s="191">
        <f>'HVAC Deemed Table'!DI783</f>
        <v>321.44874491953783</v>
      </c>
      <c r="AH98" s="191">
        <f>'HVAC Deemed Table'!DI784</f>
        <v>195.04372266516987</v>
      </c>
      <c r="AI98" s="850" t="str">
        <f t="shared" si="227"/>
        <v>per measure</v>
      </c>
      <c r="AJ98" s="45">
        <f>'HVAC Deemed Table'!L781</f>
        <v>3.3</v>
      </c>
      <c r="AK98" s="609"/>
      <c r="AL98" s="609"/>
      <c r="AX98" s="1226" t="str">
        <f t="shared" si="221"/>
        <v>ASHP-SEER17_ER1_MF</v>
      </c>
      <c r="AY98" s="1249"/>
      <c r="AZ98" s="1312" t="str">
        <f t="shared" si="222"/>
        <v>354200</v>
      </c>
      <c r="BA98" s="1196">
        <f>ROUND((K98*$BC$3)+(K115*$BC$4),2)</f>
        <v>921.05</v>
      </c>
      <c r="BB98" s="1196">
        <f>ROUND((L98*$BC$3)+(L115*$BC$4),2)</f>
        <v>1007.95</v>
      </c>
      <c r="BC98" s="1196">
        <f>ROUND((M98*$BC$3)+(K115*$BC$4),2)</f>
        <v>248.43</v>
      </c>
      <c r="BD98" s="1196">
        <f>ROUND((N98*$BC$3)+(L115*$BC$4),2)</f>
        <v>577.23</v>
      </c>
      <c r="BE98" s="1176"/>
      <c r="BF98" s="1192">
        <f>ROUND(BA98*'CP FACTORS'!$B$9,6)</f>
        <v>0.87261900000000003</v>
      </c>
      <c r="BG98" s="1193">
        <f>ROUND(BB98*'CP FACTORS'!$B$14,6)</f>
        <v>0</v>
      </c>
      <c r="BH98" s="1192">
        <f>ROUND(BC98*'CP FACTORS'!$B$9,6)</f>
        <v>0.23536699999999999</v>
      </c>
      <c r="BI98" s="1194">
        <f>ROUND(BD98*'CP FACTORS'!$B$14,6)</f>
        <v>0</v>
      </c>
      <c r="BJ98" s="1176"/>
      <c r="BK98" s="685">
        <f t="shared" si="182"/>
        <v>1929</v>
      </c>
      <c r="BL98" s="1213">
        <f t="shared" si="183"/>
        <v>825.66000000000008</v>
      </c>
      <c r="BM98" s="1212">
        <f t="shared" si="184"/>
        <v>0.87261900000000003</v>
      </c>
      <c r="BN98" s="1211">
        <f t="shared" si="185"/>
        <v>0.23536699999999999</v>
      </c>
    </row>
    <row r="99" spans="1:66" x14ac:dyDescent="0.25">
      <c r="A99" s="49" t="str">
        <f t="shared" si="223"/>
        <v>354250</v>
      </c>
      <c r="B99" s="1307" t="str">
        <f>'HVAC Deemed Table'!C785</f>
        <v>354250_2024_12_</v>
      </c>
      <c r="C99" s="830" t="str">
        <f>'HVAC Deemed Table'!G785</f>
        <v>Cooling Res</v>
      </c>
      <c r="D99" s="830" t="str">
        <f>'HVAC Deemed Table'!G786</f>
        <v>Heating Res</v>
      </c>
      <c r="E99" s="830" t="str">
        <f>'HVAC Deemed Table'!G787</f>
        <v>Cooling Res ER2</v>
      </c>
      <c r="F99" s="830" t="str">
        <f>'HVAC Deemed Table'!G788</f>
        <v>Heating Res ER2</v>
      </c>
      <c r="G99" s="1249" t="str">
        <f>'HVAC Deemed Table'!E785</f>
        <v>ASHP-SEER18-Replace_CAC_ElectricHeat_ER1_SF</v>
      </c>
      <c r="H99" s="18" t="str">
        <f>'HVAC Deemed Table'!D785</f>
        <v>PAYS / IE</v>
      </c>
      <c r="I99" s="737">
        <f t="shared" si="178"/>
        <v>11710.4</v>
      </c>
      <c r="J99" s="737">
        <f t="shared" si="179"/>
        <v>9783.92</v>
      </c>
      <c r="K99" s="185">
        <f>'HVAC Deemed Table'!F785</f>
        <v>2592.9299999999998</v>
      </c>
      <c r="L99" s="185">
        <f>'HVAC Deemed Table'!F786</f>
        <v>9117.4699999999993</v>
      </c>
      <c r="M99" s="185">
        <f>'HVAC Deemed Table'!F787</f>
        <v>666.45</v>
      </c>
      <c r="N99" s="185">
        <f>'HVAC Deemed Table'!F788</f>
        <v>9117.4699999999993</v>
      </c>
      <c r="O99" s="738">
        <f t="shared" si="180"/>
        <v>2.4565890000000001</v>
      </c>
      <c r="P99" s="738">
        <f t="shared" si="181"/>
        <v>0.63140700000000005</v>
      </c>
      <c r="Q99" s="739">
        <f>'HVAC Deemed Table'!I785</f>
        <v>2.4565890000000001</v>
      </c>
      <c r="R99" s="739">
        <f>'HVAC Deemed Table'!I786</f>
        <v>0</v>
      </c>
      <c r="S99" s="739">
        <f>'HVAC Deemed Table'!I787</f>
        <v>0.63140700000000005</v>
      </c>
      <c r="T99" s="739">
        <f>'HVAC Deemed Table'!I788</f>
        <v>0</v>
      </c>
      <c r="U99" s="740">
        <f t="shared" si="174"/>
        <v>0</v>
      </c>
      <c r="V99" s="740">
        <f t="shared" si="175"/>
        <v>0</v>
      </c>
      <c r="W99" s="740">
        <f t="shared" si="176"/>
        <v>2.4565890000000001</v>
      </c>
      <c r="X99" s="22">
        <f>'HVAC Deemed Table'!J785</f>
        <v>6</v>
      </c>
      <c r="Y99" s="22">
        <f>'HVAC Deemed Table'!J787</f>
        <v>12</v>
      </c>
      <c r="Z99" s="22">
        <f t="shared" si="224"/>
        <v>18</v>
      </c>
      <c r="AA99" s="17">
        <f>'HVAC Deemed Table'!DG785</f>
        <v>2.1625727691211578</v>
      </c>
      <c r="AB99" s="241">
        <f>'HVAC Deemed Table'!K785</f>
        <v>4148.0070349116859</v>
      </c>
      <c r="AC99" s="846">
        <f t="shared" si="225"/>
        <v>5027.2766676231986</v>
      </c>
      <c r="AD99" s="846">
        <f t="shared" si="177"/>
        <v>3943.0903921998088</v>
      </c>
      <c r="AE99" s="191">
        <f>'HVAC Deemed Table'!DI785</f>
        <v>2582.1644069945551</v>
      </c>
      <c r="AF99" s="191">
        <f>'HVAC Deemed Table'!DI786</f>
        <v>2445.1122606286435</v>
      </c>
      <c r="AG99" s="191">
        <f>'HVAC Deemed Table'!DI787</f>
        <v>862.33351870396484</v>
      </c>
      <c r="AH99" s="191">
        <f>'HVAC Deemed Table'!DI788</f>
        <v>3080.756873495844</v>
      </c>
      <c r="AI99" s="850" t="str">
        <f t="shared" si="227"/>
        <v>per measure</v>
      </c>
      <c r="AJ99" s="45">
        <f>'HVAC Deemed Table'!L785</f>
        <v>2.8921256722608026</v>
      </c>
      <c r="AK99" s="609"/>
      <c r="AL99" s="609"/>
      <c r="AX99" s="1226" t="str">
        <f t="shared" si="221"/>
        <v>ASHP-SEER18-Replace_CAC_ElectricHeat_ER1_SF</v>
      </c>
      <c r="AY99" s="1249"/>
      <c r="AZ99" s="1312" t="str">
        <f t="shared" si="222"/>
        <v>354250</v>
      </c>
      <c r="BA99" s="1205">
        <f t="shared" ref="BA99:BD100" si="246">BA73</f>
        <v>1835.95</v>
      </c>
      <c r="BB99" s="1205">
        <f t="shared" si="246"/>
        <v>9256.07</v>
      </c>
      <c r="BC99" s="1205">
        <f t="shared" si="246"/>
        <v>680.07</v>
      </c>
      <c r="BD99" s="1205">
        <f t="shared" si="246"/>
        <v>9256.07</v>
      </c>
      <c r="BE99" s="1176"/>
      <c r="BF99" s="1192">
        <f>ROUND(BA99*'CP FACTORS'!$B$9,6)</f>
        <v>1.739412</v>
      </c>
      <c r="BG99" s="1193">
        <f>ROUND(BB99*'CP FACTORS'!$B$14,6)</f>
        <v>0</v>
      </c>
      <c r="BH99" s="1192">
        <f>ROUND(BC99*'CP FACTORS'!$B$9,6)</f>
        <v>0.64431099999999997</v>
      </c>
      <c r="BI99" s="1194">
        <f>ROUND(BD99*'CP FACTORS'!$B$14,6)</f>
        <v>0</v>
      </c>
      <c r="BJ99" s="1176"/>
      <c r="BK99" s="685">
        <f t="shared" si="182"/>
        <v>11092.02</v>
      </c>
      <c r="BL99" s="1213">
        <f t="shared" si="183"/>
        <v>9936.14</v>
      </c>
      <c r="BM99" s="1212">
        <f t="shared" si="184"/>
        <v>1.739412</v>
      </c>
      <c r="BN99" s="1211">
        <f t="shared" si="185"/>
        <v>0.64431099999999997</v>
      </c>
    </row>
    <row r="100" spans="1:66" x14ac:dyDescent="0.25">
      <c r="A100" s="49" t="str">
        <f t="shared" si="223"/>
        <v>354260</v>
      </c>
      <c r="B100" s="1307" t="str">
        <f>'HVAC Deemed Table'!C789</f>
        <v>354260_2024_12_</v>
      </c>
      <c r="C100" s="830" t="str">
        <f>'HVAC Deemed Table'!G789</f>
        <v>Cooling Res</v>
      </c>
      <c r="D100" s="830" t="str">
        <f>'HVAC Deemed Table'!G790</f>
        <v>Heating Res</v>
      </c>
      <c r="E100" s="830" t="str">
        <f>'HVAC Deemed Table'!G791</f>
        <v>Cooling Res ER2</v>
      </c>
      <c r="F100" s="830" t="str">
        <f>'HVAC Deemed Table'!G792</f>
        <v>Heating Res ER2</v>
      </c>
      <c r="G100" s="1249" t="str">
        <f>'HVAC Deemed Table'!E789</f>
        <v>ASHP-SEER18-Replace_CAC_NonElectricHeat_ER1_SF</v>
      </c>
      <c r="H100" s="18" t="str">
        <f>'HVAC Deemed Table'!D789</f>
        <v>PAYS / IE</v>
      </c>
      <c r="I100" s="737">
        <f t="shared" si="178"/>
        <v>2592.9299999999998</v>
      </c>
      <c r="J100" s="737">
        <f t="shared" si="179"/>
        <v>666.45</v>
      </c>
      <c r="K100" s="185">
        <f>'HVAC Deemed Table'!F789</f>
        <v>2592.9299999999998</v>
      </c>
      <c r="L100" s="185">
        <f>'HVAC Deemed Table'!F790</f>
        <v>0</v>
      </c>
      <c r="M100" s="185">
        <f>'HVAC Deemed Table'!F791</f>
        <v>666.45</v>
      </c>
      <c r="N100" s="185">
        <f>'HVAC Deemed Table'!F792</f>
        <v>0</v>
      </c>
      <c r="O100" s="738">
        <f t="shared" si="180"/>
        <v>2.4565890000000001</v>
      </c>
      <c r="P100" s="738">
        <f t="shared" si="181"/>
        <v>0.63140700000000005</v>
      </c>
      <c r="Q100" s="739">
        <f>'HVAC Deemed Table'!I789</f>
        <v>2.4565890000000001</v>
      </c>
      <c r="R100" s="739">
        <f>'HVAC Deemed Table'!I790</f>
        <v>0</v>
      </c>
      <c r="S100" s="739">
        <f>'HVAC Deemed Table'!I791</f>
        <v>0.63140700000000005</v>
      </c>
      <c r="T100" s="739">
        <f>'HVAC Deemed Table'!I792</f>
        <v>0</v>
      </c>
      <c r="U100" s="740">
        <f t="shared" si="174"/>
        <v>0</v>
      </c>
      <c r="V100" s="740">
        <f t="shared" si="175"/>
        <v>0</v>
      </c>
      <c r="W100" s="740">
        <f t="shared" si="176"/>
        <v>2.4565890000000001</v>
      </c>
      <c r="X100" s="22">
        <f>'HVAC Deemed Table'!J789</f>
        <v>6</v>
      </c>
      <c r="Y100" s="22">
        <f>'HVAC Deemed Table'!J791</f>
        <v>12</v>
      </c>
      <c r="Z100" s="22">
        <f t="shared" si="224"/>
        <v>18</v>
      </c>
      <c r="AA100" s="17">
        <f>'HVAC Deemed Table'!DG789</f>
        <v>5.4761477500413642</v>
      </c>
      <c r="AB100" s="241">
        <f>'HVAC Deemed Table'!K789</f>
        <v>629.00018095247731</v>
      </c>
      <c r="AC100" s="846">
        <f t="shared" si="225"/>
        <v>2582.1644069945551</v>
      </c>
      <c r="AD100" s="846">
        <f t="shared" si="177"/>
        <v>862.33351870396484</v>
      </c>
      <c r="AE100" s="191">
        <f>'HVAC Deemed Table'!DI789</f>
        <v>2582.1644069945551</v>
      </c>
      <c r="AF100" s="191">
        <f>'HVAC Deemed Table'!DI790</f>
        <v>0</v>
      </c>
      <c r="AG100" s="191">
        <f>'HVAC Deemed Table'!DI791</f>
        <v>862.33351870396484</v>
      </c>
      <c r="AH100" s="191">
        <f>'HVAC Deemed Table'!DI792</f>
        <v>0</v>
      </c>
      <c r="AI100" s="850" t="str">
        <f t="shared" si="227"/>
        <v>per measure</v>
      </c>
      <c r="AJ100" s="45">
        <f>'HVAC Deemed Table'!L789</f>
        <v>2.8921256722608026</v>
      </c>
      <c r="AK100" s="861"/>
      <c r="AL100" s="861"/>
      <c r="AX100" s="1226" t="str">
        <f t="shared" si="221"/>
        <v>ASHP-SEER18-Replace_CAC_NonElectricHeat_ER1_SF</v>
      </c>
      <c r="AY100" s="1249"/>
      <c r="AZ100" s="1312" t="str">
        <f t="shared" si="222"/>
        <v>354260</v>
      </c>
      <c r="BA100" s="1205">
        <f t="shared" si="246"/>
        <v>1835.95</v>
      </c>
      <c r="BB100" s="1205">
        <f t="shared" si="246"/>
        <v>0</v>
      </c>
      <c r="BC100" s="1205">
        <f t="shared" si="246"/>
        <v>680.07</v>
      </c>
      <c r="BD100" s="1205">
        <f t="shared" si="246"/>
        <v>0</v>
      </c>
      <c r="BE100" s="1176"/>
      <c r="BF100" s="1192">
        <f>ROUND(BA100*'CP FACTORS'!$B$9,6)</f>
        <v>1.739412</v>
      </c>
      <c r="BG100" s="1193">
        <f>ROUND(BB100*'CP FACTORS'!$B$14,6)</f>
        <v>0</v>
      </c>
      <c r="BH100" s="1192">
        <f>ROUND(BC100*'CP FACTORS'!$B$9,6)</f>
        <v>0.64431099999999997</v>
      </c>
      <c r="BI100" s="1194">
        <f>ROUND(BD100*'CP FACTORS'!$B$14,6)</f>
        <v>0</v>
      </c>
      <c r="BJ100" s="1176"/>
      <c r="BK100" s="685">
        <f t="shared" si="182"/>
        <v>1835.95</v>
      </c>
      <c r="BL100" s="1213">
        <f t="shared" si="183"/>
        <v>680.07</v>
      </c>
      <c r="BM100" s="1212">
        <f t="shared" si="184"/>
        <v>1.739412</v>
      </c>
      <c r="BN100" s="1211">
        <f t="shared" si="185"/>
        <v>0.64431099999999997</v>
      </c>
    </row>
    <row r="101" spans="1:66" s="39" customFormat="1" x14ac:dyDescent="0.25">
      <c r="A101" s="49" t="str">
        <f t="shared" si="223"/>
        <v>354300</v>
      </c>
      <c r="B101" s="1307" t="str">
        <f>'HVAC Deemed Table'!C793</f>
        <v>354300_2024_12_</v>
      </c>
      <c r="C101" s="830" t="str">
        <f>'HVAC Deemed Table'!G793</f>
        <v>Cooling Res</v>
      </c>
      <c r="D101" s="830" t="str">
        <f>'HVAC Deemed Table'!G794</f>
        <v>Heating Res</v>
      </c>
      <c r="E101" s="830" t="str">
        <f>'HVAC Deemed Table'!G795</f>
        <v>Cooling Res ER2</v>
      </c>
      <c r="F101" s="830" t="str">
        <f>'HVAC Deemed Table'!G796</f>
        <v>Heating Res ER2</v>
      </c>
      <c r="G101" s="1249" t="str">
        <f>'HVAC Deemed Table'!E793</f>
        <v>ASHP-SEER18-Replace_CAC_ElectricHeat_ER1_MF</v>
      </c>
      <c r="H101" s="18" t="str">
        <f>'HVAC Deemed Table'!D793</f>
        <v>IE</v>
      </c>
      <c r="I101" s="737">
        <f t="shared" si="178"/>
        <v>6747.2900000000009</v>
      </c>
      <c r="J101" s="737">
        <f t="shared" si="179"/>
        <v>5027.0800000000008</v>
      </c>
      <c r="K101" s="185">
        <f>'HVAC Deemed Table'!F793</f>
        <v>2018.52</v>
      </c>
      <c r="L101" s="185">
        <f>'HVAC Deemed Table'!F794</f>
        <v>4728.7700000000004</v>
      </c>
      <c r="M101" s="185">
        <f>'HVAC Deemed Table'!F795</f>
        <v>298.31</v>
      </c>
      <c r="N101" s="185">
        <f>'HVAC Deemed Table'!F796</f>
        <v>4728.7700000000004</v>
      </c>
      <c r="O101" s="738">
        <f t="shared" si="180"/>
        <v>1.912382</v>
      </c>
      <c r="P101" s="738">
        <f t="shared" si="181"/>
        <v>0.28262399999999999</v>
      </c>
      <c r="Q101" s="739">
        <f>'HVAC Deemed Table'!I793</f>
        <v>1.912382</v>
      </c>
      <c r="R101" s="739">
        <f>'HVAC Deemed Table'!I794</f>
        <v>0</v>
      </c>
      <c r="S101" s="739">
        <f>'HVAC Deemed Table'!I795</f>
        <v>0.28262399999999999</v>
      </c>
      <c r="T101" s="739">
        <f>'HVAC Deemed Table'!I796</f>
        <v>0</v>
      </c>
      <c r="U101" s="740">
        <f t="shared" si="174"/>
        <v>0</v>
      </c>
      <c r="V101" s="740">
        <f t="shared" si="175"/>
        <v>0</v>
      </c>
      <c r="W101" s="740">
        <f t="shared" si="176"/>
        <v>1.912382</v>
      </c>
      <c r="X101" s="22">
        <f>'HVAC Deemed Table'!J793</f>
        <v>6</v>
      </c>
      <c r="Y101" s="22">
        <f>'HVAC Deemed Table'!J795</f>
        <v>12</v>
      </c>
      <c r="Z101" s="22">
        <f t="shared" si="224"/>
        <v>18</v>
      </c>
      <c r="AA101" s="17">
        <f>'HVAC Deemed Table'!DG793</f>
        <v>1.588452643616292</v>
      </c>
      <c r="AB101" s="241">
        <f>'HVAC Deemed Table'!K793</f>
        <v>3312.7316315552043</v>
      </c>
      <c r="AC101" s="846">
        <f t="shared" si="225"/>
        <v>3278.2952157917971</v>
      </c>
      <c r="AD101" s="846">
        <f t="shared" si="177"/>
        <v>1983.8221019433797</v>
      </c>
      <c r="AE101" s="191">
        <f>'HVAC Deemed Table'!DI793</f>
        <v>2010.1393014106241</v>
      </c>
      <c r="AF101" s="191">
        <f>'HVAC Deemed Table'!DI794</f>
        <v>1268.1559143811728</v>
      </c>
      <c r="AG101" s="191">
        <f>'HVAC Deemed Table'!DI795</f>
        <v>385.98951453909484</v>
      </c>
      <c r="AH101" s="191">
        <f>'HVAC Deemed Table'!DI796</f>
        <v>1597.8325874042848</v>
      </c>
      <c r="AI101" s="850" t="str">
        <f t="shared" si="227"/>
        <v>per measure</v>
      </c>
      <c r="AJ101" s="45">
        <f>'HVAC Deemed Table'!L793</f>
        <v>1.5</v>
      </c>
      <c r="AK101" s="609"/>
      <c r="AL101" s="609"/>
      <c r="AM101"/>
      <c r="AN101"/>
      <c r="AO101"/>
      <c r="AP101"/>
      <c r="AQ101"/>
      <c r="AR101"/>
      <c r="AS101"/>
      <c r="AT101"/>
      <c r="AU101"/>
      <c r="AV101"/>
      <c r="AW101"/>
      <c r="AX101" s="1226" t="str">
        <f t="shared" si="221"/>
        <v>ASHP-SEER18-Replace_CAC_ElectricHeat_ER1_MF</v>
      </c>
      <c r="AY101" s="1249"/>
      <c r="AZ101" s="1312" t="str">
        <f t="shared" si="222"/>
        <v>354300</v>
      </c>
      <c r="BA101" s="2120">
        <f>ROUND((K101*$BC$3)+(M101*$BC$4),2)</f>
        <v>1330.44</v>
      </c>
      <c r="BB101" s="2120">
        <f>ROUND((L101*$BC$3)+(N101*$BC$4),2)</f>
        <v>4728.7700000000004</v>
      </c>
      <c r="BC101" s="2120">
        <f>ROUND((M101*$BC$3)+(M101*$BC$4),2)</f>
        <v>298.31</v>
      </c>
      <c r="BD101" s="2120">
        <f>ROUND((N101*$BC$3)+(N101*$BC$4),2)</f>
        <v>4728.7700000000004</v>
      </c>
      <c r="BE101" s="1177"/>
      <c r="BF101" s="1192">
        <f>ROUND(BA101*'CP FACTORS'!$B$9,6)</f>
        <v>1.260483</v>
      </c>
      <c r="BG101" s="1193">
        <f>ROUND(BB101*'CP FACTORS'!$B$14,6)</f>
        <v>0</v>
      </c>
      <c r="BH101" s="1192">
        <f>ROUND(BC101*'CP FACTORS'!$B$9,6)</f>
        <v>0.28262399999999999</v>
      </c>
      <c r="BI101" s="1194">
        <f>ROUND(BD101*'CP FACTORS'!$B$14,6)</f>
        <v>0</v>
      </c>
      <c r="BJ101" s="1176"/>
      <c r="BK101" s="685">
        <f t="shared" si="182"/>
        <v>6059.2100000000009</v>
      </c>
      <c r="BL101" s="1213">
        <f t="shared" si="183"/>
        <v>5027.0800000000008</v>
      </c>
      <c r="BM101" s="1212">
        <f t="shared" si="184"/>
        <v>1.260483</v>
      </c>
      <c r="BN101" s="1211">
        <f t="shared" si="185"/>
        <v>0.28262399999999999</v>
      </c>
    </row>
    <row r="102" spans="1:66" x14ac:dyDescent="0.25">
      <c r="A102" s="49" t="str">
        <f t="shared" si="223"/>
        <v>354350</v>
      </c>
      <c r="B102" s="1307" t="str">
        <f>'HVAC Deemed Table'!C797</f>
        <v>354350_2024_12_</v>
      </c>
      <c r="C102" s="830" t="str">
        <f>'HVAC Deemed Table'!G797</f>
        <v>Cooling Res</v>
      </c>
      <c r="D102" s="830" t="str">
        <f>'HVAC Deemed Table'!G798</f>
        <v>Heating Res</v>
      </c>
      <c r="E102" s="830" t="str">
        <f>'HVAC Deemed Table'!G799</f>
        <v>Cooling Res ER2</v>
      </c>
      <c r="F102" s="830" t="str">
        <f>'HVAC Deemed Table'!G800</f>
        <v>Heating Res ER2</v>
      </c>
      <c r="G102" s="1249" t="str">
        <f>'HVAC Deemed Table'!E797</f>
        <v>ASHP-SEER18_ER1_MF</v>
      </c>
      <c r="H102" s="18" t="str">
        <f>'HVAC Deemed Table'!D797</f>
        <v>IE</v>
      </c>
      <c r="I102" s="737">
        <f t="shared" si="178"/>
        <v>4005.44</v>
      </c>
      <c r="J102" s="737">
        <f t="shared" si="179"/>
        <v>1078.74</v>
      </c>
      <c r="K102" s="185">
        <f>'HVAC Deemed Table'!F797</f>
        <v>2464.77</v>
      </c>
      <c r="L102" s="185">
        <f>'HVAC Deemed Table'!F798</f>
        <v>1540.67</v>
      </c>
      <c r="M102" s="185">
        <f>'HVAC Deemed Table'!F799</f>
        <v>374.74</v>
      </c>
      <c r="N102" s="185">
        <f>'HVAC Deemed Table'!F800</f>
        <v>704</v>
      </c>
      <c r="O102" s="738">
        <f t="shared" si="180"/>
        <v>2.3351679999999999</v>
      </c>
      <c r="P102" s="738">
        <f t="shared" si="181"/>
        <v>0.35503499999999999</v>
      </c>
      <c r="Q102" s="739">
        <f>'HVAC Deemed Table'!I797</f>
        <v>2.3351679999999999</v>
      </c>
      <c r="R102" s="739">
        <f>'HVAC Deemed Table'!I798</f>
        <v>0</v>
      </c>
      <c r="S102" s="739">
        <f>'HVAC Deemed Table'!I799</f>
        <v>0.35503499999999999</v>
      </c>
      <c r="T102" s="739">
        <f>'HVAC Deemed Table'!I800</f>
        <v>0</v>
      </c>
      <c r="U102" s="740">
        <f t="shared" si="174"/>
        <v>0</v>
      </c>
      <c r="V102" s="740">
        <f t="shared" si="175"/>
        <v>0</v>
      </c>
      <c r="W102" s="740">
        <f t="shared" si="176"/>
        <v>2.3351679999999999</v>
      </c>
      <c r="X102" s="22">
        <f>'HVAC Deemed Table'!J797</f>
        <v>6</v>
      </c>
      <c r="Y102" s="22">
        <f>'HVAC Deemed Table'!J799</f>
        <v>12</v>
      </c>
      <c r="Z102" s="22">
        <f t="shared" si="224"/>
        <v>18</v>
      </c>
      <c r="AA102" s="17">
        <f>'HVAC Deemed Table'!DG797</f>
        <v>4.215818440192991</v>
      </c>
      <c r="AB102" s="241">
        <f>'HVAC Deemed Table'!K797</f>
        <v>851.66719041900797</v>
      </c>
      <c r="AC102" s="846">
        <f t="shared" si="225"/>
        <v>2867.7115630273161</v>
      </c>
      <c r="AD102" s="846">
        <f t="shared" si="177"/>
        <v>722.76268324849343</v>
      </c>
      <c r="AE102" s="191">
        <f>'HVAC Deemed Table'!DI797</f>
        <v>2454.5365148414999</v>
      </c>
      <c r="AF102" s="191">
        <f>'HVAC Deemed Table'!DI798</f>
        <v>413.17504818581608</v>
      </c>
      <c r="AG102" s="191">
        <f>'HVAC Deemed Table'!DI799</f>
        <v>484.88388146016024</v>
      </c>
      <c r="AH102" s="191">
        <f>'HVAC Deemed Table'!DI800</f>
        <v>237.87880178833322</v>
      </c>
      <c r="AI102" s="850" t="str">
        <f t="shared" si="227"/>
        <v>per measure</v>
      </c>
      <c r="AJ102" s="45">
        <f>'HVAC Deemed Table'!L797</f>
        <v>2.5</v>
      </c>
      <c r="AK102" s="609"/>
      <c r="AL102" s="609"/>
      <c r="AX102" s="1226" t="str">
        <f t="shared" si="221"/>
        <v>ASHP-SEER18_ER1_MF</v>
      </c>
      <c r="AY102" s="1249"/>
      <c r="AZ102" s="1312" t="str">
        <f t="shared" si="222"/>
        <v>354350</v>
      </c>
      <c r="BA102" s="1208">
        <f>ROUND((K102*$BC$3)+(K116*$BC$4),2)</f>
        <v>1607.47</v>
      </c>
      <c r="BB102" s="1208">
        <f>ROUND((L102*$BC$3)+(L116*$BC$4),2)</f>
        <v>1166.01</v>
      </c>
      <c r="BC102" s="1208">
        <f>ROUND((M102*$BC$3)+(K116*$BC$4),2)</f>
        <v>353.46</v>
      </c>
      <c r="BD102" s="1208">
        <f>ROUND((N102*$BC$3)+(L116*$BC$4),2)</f>
        <v>664.01</v>
      </c>
      <c r="BE102" s="1176"/>
      <c r="BF102" s="1192">
        <f>ROUND(BA102*'CP FACTORS'!$B$9,6)</f>
        <v>1.5229459999999999</v>
      </c>
      <c r="BG102" s="1193">
        <f>ROUND(BB102*'CP FACTORS'!$B$14,6)</f>
        <v>0</v>
      </c>
      <c r="BH102" s="1192">
        <f>ROUND(BC102*'CP FACTORS'!$B$9,6)</f>
        <v>0.334874</v>
      </c>
      <c r="BI102" s="1194">
        <f>ROUND(BD102*'CP FACTORS'!$B$14,6)</f>
        <v>0</v>
      </c>
      <c r="BJ102" s="1176"/>
      <c r="BK102" s="685">
        <f t="shared" si="182"/>
        <v>2773.48</v>
      </c>
      <c r="BL102" s="1213">
        <f t="shared" si="183"/>
        <v>1017.47</v>
      </c>
      <c r="BM102" s="1212">
        <f t="shared" si="184"/>
        <v>1.5229459999999999</v>
      </c>
      <c r="BN102" s="1211">
        <f t="shared" si="185"/>
        <v>0.334874</v>
      </c>
    </row>
    <row r="103" spans="1:66" x14ac:dyDescent="0.25">
      <c r="A103" s="49" t="str">
        <f t="shared" si="223"/>
        <v>354400</v>
      </c>
      <c r="B103" s="1307" t="str">
        <f>'HVAC Deemed Table'!C801</f>
        <v>354400_2024_12_</v>
      </c>
      <c r="C103" s="830" t="str">
        <f>'HVAC Deemed Table'!G801</f>
        <v>Cooling Res</v>
      </c>
      <c r="D103" s="830" t="str">
        <f>'HVAC Deemed Table'!G802</f>
        <v>Heating Res</v>
      </c>
      <c r="E103" s="830" t="str">
        <f>'HVAC Deemed Table'!G803</f>
        <v>Cooling Res ER2</v>
      </c>
      <c r="F103" s="830" t="str">
        <f>'HVAC Deemed Table'!G804</f>
        <v>Heating Res ER2</v>
      </c>
      <c r="G103" s="1249" t="str">
        <f>'HVAC Deemed Table'!E801</f>
        <v>ASHP-SEER19-Replace_CAC_ElectricHeat_ER1_SF</v>
      </c>
      <c r="H103" s="18" t="str">
        <f>'HVAC Deemed Table'!D801</f>
        <v>PAYS / IE</v>
      </c>
      <c r="I103" s="737">
        <f t="shared" si="178"/>
        <v>14578.03</v>
      </c>
      <c r="J103" s="737">
        <f t="shared" si="179"/>
        <v>12857.74</v>
      </c>
      <c r="K103" s="185">
        <f>'HVAC Deemed Table'!F801</f>
        <v>2563.17</v>
      </c>
      <c r="L103" s="185">
        <f>'HVAC Deemed Table'!F802</f>
        <v>12014.86</v>
      </c>
      <c r="M103" s="185">
        <f>'HVAC Deemed Table'!F803</f>
        <v>842.88</v>
      </c>
      <c r="N103" s="185">
        <f>'HVAC Deemed Table'!F804</f>
        <v>12014.86</v>
      </c>
      <c r="O103" s="738">
        <f t="shared" si="180"/>
        <v>2.4283939999999999</v>
      </c>
      <c r="P103" s="738">
        <f t="shared" si="181"/>
        <v>0.79856000000000005</v>
      </c>
      <c r="Q103" s="739">
        <f>'HVAC Deemed Table'!I801</f>
        <v>2.4283939999999999</v>
      </c>
      <c r="R103" s="739">
        <f>'HVAC Deemed Table'!I802</f>
        <v>0</v>
      </c>
      <c r="S103" s="739">
        <f>'HVAC Deemed Table'!I803</f>
        <v>0.79856000000000005</v>
      </c>
      <c r="T103" s="739">
        <f>'HVAC Deemed Table'!I804</f>
        <v>0</v>
      </c>
      <c r="U103" s="740">
        <f t="shared" si="174"/>
        <v>0</v>
      </c>
      <c r="V103" s="740">
        <f t="shared" si="175"/>
        <v>0</v>
      </c>
      <c r="W103" s="740">
        <f t="shared" si="176"/>
        <v>2.4283939999999999</v>
      </c>
      <c r="X103" s="22">
        <f>'HVAC Deemed Table'!J801</f>
        <v>6</v>
      </c>
      <c r="Y103" s="22">
        <f>'HVAC Deemed Table'!J803</f>
        <v>12</v>
      </c>
      <c r="Z103" s="22">
        <f t="shared" si="224"/>
        <v>18</v>
      </c>
      <c r="AA103" s="17">
        <f>'HVAC Deemed Table'!DG801</f>
        <v>2.2284181700412744</v>
      </c>
      <c r="AB103" s="241">
        <f>'HVAC Deemed Table'!K801</f>
        <v>4902.6041805257928</v>
      </c>
      <c r="AC103" s="846">
        <f t="shared" si="225"/>
        <v>5774.6588324015866</v>
      </c>
      <c r="AD103" s="846">
        <f t="shared" si="177"/>
        <v>5150.3934040024014</v>
      </c>
      <c r="AE103" s="191">
        <f>'HVAC Deemed Table'!DI801</f>
        <v>2552.5279676181904</v>
      </c>
      <c r="AF103" s="191">
        <f>'HVAC Deemed Table'!DI802</f>
        <v>3222.1308647833957</v>
      </c>
      <c r="AG103" s="191">
        <f>'HVAC Deemed Table'!DI803</f>
        <v>1090.6199658567002</v>
      </c>
      <c r="AH103" s="191">
        <f>'HVAC Deemed Table'!DI804</f>
        <v>4059.7734381457008</v>
      </c>
      <c r="AI103" s="850" t="str">
        <f t="shared" si="227"/>
        <v>per measure</v>
      </c>
      <c r="AJ103" s="45">
        <f>'HVAC Deemed Table'!L801</f>
        <v>3.7731209149509803</v>
      </c>
      <c r="AK103" s="609"/>
      <c r="AL103" s="609"/>
      <c r="AX103" s="1226" t="str">
        <f t="shared" si="221"/>
        <v>ASHP-SEER19-Replace_CAC_ElectricHeat_ER1_SF</v>
      </c>
      <c r="AY103" s="1249"/>
      <c r="AZ103" s="1312" t="str">
        <f t="shared" si="222"/>
        <v>354400</v>
      </c>
      <c r="BA103" s="1209">
        <f t="shared" ref="BA103:BD104" si="247">BA75</f>
        <v>1873.15</v>
      </c>
      <c r="BB103" s="1209">
        <f t="shared" si="247"/>
        <v>11019.96</v>
      </c>
      <c r="BC103" s="1209">
        <f t="shared" si="247"/>
        <v>840.97</v>
      </c>
      <c r="BD103" s="1209">
        <f t="shared" si="247"/>
        <v>11019.96</v>
      </c>
      <c r="BE103" s="1176"/>
      <c r="BF103" s="1192">
        <f>ROUND(BA103*'CP FACTORS'!$B$9,6)</f>
        <v>1.774656</v>
      </c>
      <c r="BG103" s="1193">
        <f>ROUND(BB103*'CP FACTORS'!$B$14,6)</f>
        <v>0</v>
      </c>
      <c r="BH103" s="1192">
        <f>ROUND(BC103*'CP FACTORS'!$B$9,6)</f>
        <v>0.79674999999999996</v>
      </c>
      <c r="BI103" s="1194">
        <f>ROUND(BD103*'CP FACTORS'!$B$14,6)</f>
        <v>0</v>
      </c>
      <c r="BJ103" s="1176"/>
      <c r="BK103" s="685">
        <f t="shared" si="182"/>
        <v>12893.109999999999</v>
      </c>
      <c r="BL103" s="1213">
        <f t="shared" si="183"/>
        <v>11860.929999999998</v>
      </c>
      <c r="BM103" s="1212">
        <f t="shared" si="184"/>
        <v>1.774656</v>
      </c>
      <c r="BN103" s="1211">
        <f t="shared" si="185"/>
        <v>0.79674999999999996</v>
      </c>
    </row>
    <row r="104" spans="1:66" x14ac:dyDescent="0.25">
      <c r="A104" s="49" t="str">
        <f t="shared" si="223"/>
        <v>354410</v>
      </c>
      <c r="B104" s="1307" t="str">
        <f>'HVAC Deemed Table'!C805</f>
        <v>354410_2024_12_</v>
      </c>
      <c r="C104" s="830" t="str">
        <f>'HVAC Deemed Table'!G805</f>
        <v>Cooling Res</v>
      </c>
      <c r="D104" s="830" t="str">
        <f>'HVAC Deemed Table'!G806</f>
        <v>Heating Res</v>
      </c>
      <c r="E104" s="830" t="str">
        <f>'HVAC Deemed Table'!G807</f>
        <v>Cooling Res ER2</v>
      </c>
      <c r="F104" s="830" t="str">
        <f>'HVAC Deemed Table'!G808</f>
        <v>Heating Res ER2</v>
      </c>
      <c r="G104" s="1249" t="str">
        <f>'HVAC Deemed Table'!E805</f>
        <v>ASHP-SEER19-Replace_CAC_NonElectricHeat_ER1_SF</v>
      </c>
      <c r="H104" s="18" t="str">
        <f>'HVAC Deemed Table'!D805</f>
        <v>PAYS / IE</v>
      </c>
      <c r="I104" s="737">
        <f t="shared" si="178"/>
        <v>2563.17</v>
      </c>
      <c r="J104" s="737">
        <f t="shared" si="179"/>
        <v>842.88</v>
      </c>
      <c r="K104" s="185">
        <f>'HVAC Deemed Table'!F805</f>
        <v>2563.17</v>
      </c>
      <c r="L104" s="185">
        <f>'HVAC Deemed Table'!F806</f>
        <v>0</v>
      </c>
      <c r="M104" s="185">
        <f>'HVAC Deemed Table'!F807</f>
        <v>842.88</v>
      </c>
      <c r="N104" s="185">
        <f>'HVAC Deemed Table'!F808</f>
        <v>0</v>
      </c>
      <c r="O104" s="738">
        <f t="shared" si="180"/>
        <v>2.4283939999999999</v>
      </c>
      <c r="P104" s="738">
        <f t="shared" si="181"/>
        <v>0.79856000000000005</v>
      </c>
      <c r="Q104" s="739">
        <f>'HVAC Deemed Table'!I805</f>
        <v>2.4283939999999999</v>
      </c>
      <c r="R104" s="739">
        <f>'HVAC Deemed Table'!I806</f>
        <v>0</v>
      </c>
      <c r="S104" s="739">
        <f>'HVAC Deemed Table'!I807</f>
        <v>0.79856000000000005</v>
      </c>
      <c r="T104" s="739">
        <f>'HVAC Deemed Table'!I808</f>
        <v>0</v>
      </c>
      <c r="U104" s="740">
        <f t="shared" si="174"/>
        <v>0</v>
      </c>
      <c r="V104" s="740">
        <f t="shared" si="175"/>
        <v>0</v>
      </c>
      <c r="W104" s="740">
        <f t="shared" si="176"/>
        <v>2.4283939999999999</v>
      </c>
      <c r="X104" s="22">
        <f>'HVAC Deemed Table'!J805</f>
        <v>6</v>
      </c>
      <c r="Y104" s="22">
        <f>'HVAC Deemed Table'!J807</f>
        <v>12</v>
      </c>
      <c r="Z104" s="22">
        <f t="shared" si="224"/>
        <v>18</v>
      </c>
      <c r="AA104" s="17">
        <f>'HVAC Deemed Table'!DG805</f>
        <v>6.1152818495150507</v>
      </c>
      <c r="AB104" s="241">
        <f>'HVAC Deemed Table'!K805</f>
        <v>595.74489338766887</v>
      </c>
      <c r="AC104" s="846">
        <f t="shared" si="225"/>
        <v>2552.5279676181904</v>
      </c>
      <c r="AD104" s="846">
        <f t="shared" si="177"/>
        <v>1090.6199658567002</v>
      </c>
      <c r="AE104" s="191">
        <f>'HVAC Deemed Table'!DI805</f>
        <v>2552.5279676181904</v>
      </c>
      <c r="AF104" s="191">
        <f>'HVAC Deemed Table'!DI806</f>
        <v>0</v>
      </c>
      <c r="AG104" s="191">
        <f>'HVAC Deemed Table'!DI807</f>
        <v>1090.6199658567002</v>
      </c>
      <c r="AH104" s="191">
        <f>'HVAC Deemed Table'!DI808</f>
        <v>0</v>
      </c>
      <c r="AI104" s="850" t="str">
        <f t="shared" si="227"/>
        <v>per measure</v>
      </c>
      <c r="AJ104" s="45">
        <f>'HVAC Deemed Table'!L805</f>
        <v>3.6</v>
      </c>
      <c r="AK104" s="861"/>
      <c r="AL104" s="861"/>
      <c r="AX104" s="1226" t="str">
        <f t="shared" si="221"/>
        <v>ASHP-SEER19-Replace_CAC_NonElectricHeat_ER1_SF</v>
      </c>
      <c r="AY104" s="1249"/>
      <c r="AZ104" s="1312" t="str">
        <f t="shared" si="222"/>
        <v>354410</v>
      </c>
      <c r="BA104" s="1209">
        <f t="shared" si="247"/>
        <v>1873.15</v>
      </c>
      <c r="BB104" s="1209">
        <f t="shared" si="247"/>
        <v>0</v>
      </c>
      <c r="BC104" s="1209">
        <f t="shared" si="247"/>
        <v>840.97</v>
      </c>
      <c r="BD104" s="1209">
        <f t="shared" si="247"/>
        <v>0</v>
      </c>
      <c r="BE104" s="1176"/>
      <c r="BF104" s="1192">
        <f>ROUND(BA104*'CP FACTORS'!$B$9,6)</f>
        <v>1.774656</v>
      </c>
      <c r="BG104" s="1193">
        <f>ROUND(BB104*'CP FACTORS'!$B$14,6)</f>
        <v>0</v>
      </c>
      <c r="BH104" s="1192">
        <f>ROUND(BC104*'CP FACTORS'!$B$9,6)</f>
        <v>0.79674999999999996</v>
      </c>
      <c r="BI104" s="1194">
        <f>ROUND(BD104*'CP FACTORS'!$B$14,6)</f>
        <v>0</v>
      </c>
      <c r="BJ104" s="1176"/>
      <c r="BK104" s="685">
        <f t="shared" si="182"/>
        <v>1873.15</v>
      </c>
      <c r="BL104" s="1213">
        <f t="shared" si="183"/>
        <v>840.97</v>
      </c>
      <c r="BM104" s="1212">
        <f t="shared" si="184"/>
        <v>1.774656</v>
      </c>
      <c r="BN104" s="1211">
        <f t="shared" si="185"/>
        <v>0.79674999999999996</v>
      </c>
    </row>
    <row r="105" spans="1:66" s="39" customFormat="1" x14ac:dyDescent="0.25">
      <c r="A105" s="49" t="str">
        <f t="shared" si="223"/>
        <v>354450</v>
      </c>
      <c r="B105" s="1307" t="str">
        <f>'HVAC Deemed Table'!C809</f>
        <v>354450_2024_12_</v>
      </c>
      <c r="C105" s="830" t="str">
        <f>'HVAC Deemed Table'!G809</f>
        <v>Cooling Res</v>
      </c>
      <c r="D105" s="830" t="str">
        <f>'HVAC Deemed Table'!G810</f>
        <v>Heating Res</v>
      </c>
      <c r="E105" s="830" t="str">
        <f>'HVAC Deemed Table'!G811</f>
        <v>Cooling Res ER2</v>
      </c>
      <c r="F105" s="830" t="str">
        <f>'HVAC Deemed Table'!G812</f>
        <v>Heating Res ER2</v>
      </c>
      <c r="G105" s="1249" t="str">
        <f>'HVAC Deemed Table'!E809</f>
        <v>ASHP-SEER19-Replace_CAC_ElectricHeat_ER1_MF</v>
      </c>
      <c r="H105" s="18" t="str">
        <f>'HVAC Deemed Table'!D809</f>
        <v>IE</v>
      </c>
      <c r="I105" s="737">
        <f t="shared" si="178"/>
        <v>7833.01</v>
      </c>
      <c r="J105" s="737">
        <f t="shared" si="179"/>
        <v>6878.6</v>
      </c>
      <c r="K105" s="185">
        <f>'HVAC Deemed Table'!F809</f>
        <v>1416.58</v>
      </c>
      <c r="L105" s="185">
        <f>'HVAC Deemed Table'!F810</f>
        <v>6416.43</v>
      </c>
      <c r="M105" s="185">
        <f>'HVAC Deemed Table'!F811</f>
        <v>462.17</v>
      </c>
      <c r="N105" s="185">
        <f>'HVAC Deemed Table'!F812</f>
        <v>6416.43</v>
      </c>
      <c r="O105" s="738">
        <f t="shared" si="180"/>
        <v>1.3420939999999999</v>
      </c>
      <c r="P105" s="738">
        <f t="shared" si="181"/>
        <v>0.43786799999999998</v>
      </c>
      <c r="Q105" s="739">
        <f>'HVAC Deemed Table'!I809</f>
        <v>1.3420939999999999</v>
      </c>
      <c r="R105" s="739">
        <f>'HVAC Deemed Table'!I810</f>
        <v>0</v>
      </c>
      <c r="S105" s="739">
        <f>'HVAC Deemed Table'!I811</f>
        <v>0.43786799999999998</v>
      </c>
      <c r="T105" s="739">
        <f>'HVAC Deemed Table'!I812</f>
        <v>0</v>
      </c>
      <c r="U105" s="740">
        <f t="shared" si="174"/>
        <v>0</v>
      </c>
      <c r="V105" s="740">
        <f t="shared" si="175"/>
        <v>0</v>
      </c>
      <c r="W105" s="740">
        <f t="shared" si="176"/>
        <v>1.3420939999999999</v>
      </c>
      <c r="X105" s="22">
        <f>'HVAC Deemed Table'!J809</f>
        <v>6</v>
      </c>
      <c r="Y105" s="22">
        <f>'HVAC Deemed Table'!J811</f>
        <v>12</v>
      </c>
      <c r="Z105" s="22">
        <f t="shared" si="224"/>
        <v>18</v>
      </c>
      <c r="AA105" s="17">
        <f>'HVAC Deemed Table'!DG809</f>
        <v>1.5327333605853137</v>
      </c>
      <c r="AB105" s="241">
        <f>'HVAC Deemed Table'!K809</f>
        <v>3847.7316315552043</v>
      </c>
      <c r="AC105" s="846">
        <f t="shared" si="225"/>
        <v>3131.4490636500454</v>
      </c>
      <c r="AD105" s="846">
        <f t="shared" si="177"/>
        <v>2766.0975706139748</v>
      </c>
      <c r="AE105" s="191">
        <f>'HVAC Deemed Table'!DI809</f>
        <v>1410.6984977073607</v>
      </c>
      <c r="AF105" s="191">
        <f>'HVAC Deemed Table'!DI810</f>
        <v>1720.7505659426847</v>
      </c>
      <c r="AG105" s="191">
        <f>'HVAC Deemed Table'!DI811</f>
        <v>598.01137720670931</v>
      </c>
      <c r="AH105" s="191">
        <f>'HVAC Deemed Table'!DI812</f>
        <v>2168.0861934072655</v>
      </c>
      <c r="AI105" s="850" t="str">
        <f t="shared" si="227"/>
        <v>per measure</v>
      </c>
      <c r="AJ105" s="45">
        <f>'HVAC Deemed Table'!L809</f>
        <v>3.1</v>
      </c>
      <c r="AK105" s="609"/>
      <c r="AL105" s="609"/>
      <c r="AM105"/>
      <c r="AN105"/>
      <c r="AO105"/>
      <c r="AP105"/>
      <c r="AQ105"/>
      <c r="AR105"/>
      <c r="AS105"/>
      <c r="AT105"/>
      <c r="AU105"/>
      <c r="AV105"/>
      <c r="AW105"/>
      <c r="AX105" s="1226" t="str">
        <f t="shared" si="221"/>
        <v>ASHP-SEER19-Replace_CAC_ElectricHeat_ER1_MF</v>
      </c>
      <c r="AY105" s="1249"/>
      <c r="AZ105" s="1312" t="str">
        <f t="shared" si="222"/>
        <v>354450</v>
      </c>
      <c r="BA105" s="2120">
        <f>ROUND((K105*$BC$3)+(M105*$BC$4),2)</f>
        <v>1034.82</v>
      </c>
      <c r="BB105" s="2120">
        <f>ROUND((L105*$BC$3)+(N105*$BC$4),2)</f>
        <v>6416.43</v>
      </c>
      <c r="BC105" s="2120">
        <f>ROUND((M105*$BC$3)+(M105*$BC$4),2)</f>
        <v>462.17</v>
      </c>
      <c r="BD105" s="2120">
        <f>ROUND((N105*$BC$3)+(N105*$BC$4),2)</f>
        <v>6416.43</v>
      </c>
      <c r="BE105" s="1177"/>
      <c r="BF105" s="1192">
        <f>ROUND(BA105*'CP FACTORS'!$B$9,6)</f>
        <v>0.98040700000000003</v>
      </c>
      <c r="BG105" s="1193">
        <f>ROUND(BB105*'CP FACTORS'!$B$14,6)</f>
        <v>0</v>
      </c>
      <c r="BH105" s="1192">
        <f>ROUND(BC105*'CP FACTORS'!$B$9,6)</f>
        <v>0.43786799999999998</v>
      </c>
      <c r="BI105" s="1194">
        <f>ROUND(BD105*'CP FACTORS'!$B$14,6)</f>
        <v>0</v>
      </c>
      <c r="BJ105" s="1176"/>
      <c r="BK105" s="685">
        <f t="shared" si="182"/>
        <v>7451.25</v>
      </c>
      <c r="BL105" s="1213">
        <f t="shared" si="183"/>
        <v>6878.6</v>
      </c>
      <c r="BM105" s="1212">
        <f t="shared" si="184"/>
        <v>0.98040700000000003</v>
      </c>
      <c r="BN105" s="1211">
        <f t="shared" si="185"/>
        <v>0.43786799999999998</v>
      </c>
    </row>
    <row r="106" spans="1:66" x14ac:dyDescent="0.25">
      <c r="A106" s="49" t="str">
        <f t="shared" si="223"/>
        <v>354500</v>
      </c>
      <c r="B106" s="1307" t="str">
        <f>'HVAC Deemed Table'!C813</f>
        <v>354500_2024_12_</v>
      </c>
      <c r="C106" s="830" t="str">
        <f>'HVAC Deemed Table'!G813</f>
        <v>Cooling Res</v>
      </c>
      <c r="D106" s="830" t="str">
        <f>'HVAC Deemed Table'!G814</f>
        <v>Heating Res</v>
      </c>
      <c r="E106" s="830" t="str">
        <f>'HVAC Deemed Table'!G815</f>
        <v>Cooling Res ER2</v>
      </c>
      <c r="F106" s="830" t="str">
        <f>'HVAC Deemed Table'!G816</f>
        <v>Heating Res ER2</v>
      </c>
      <c r="G106" s="1249" t="str">
        <f>'HVAC Deemed Table'!E813</f>
        <v>ASHP-SEER19_ER1_MF</v>
      </c>
      <c r="H106" s="18" t="str">
        <f>'HVAC Deemed Table'!D813</f>
        <v>IE</v>
      </c>
      <c r="I106" s="737">
        <f t="shared" si="178"/>
        <v>2898.11</v>
      </c>
      <c r="J106" s="737">
        <f t="shared" si="179"/>
        <v>1059.2</v>
      </c>
      <c r="K106" s="185">
        <f>'HVAC Deemed Table'!F813</f>
        <v>1507.97</v>
      </c>
      <c r="L106" s="185">
        <f>'HVAC Deemed Table'!F814</f>
        <v>1390.14</v>
      </c>
      <c r="M106" s="185">
        <f>'HVAC Deemed Table'!F815</f>
        <v>386.93</v>
      </c>
      <c r="N106" s="185">
        <f>'HVAC Deemed Table'!F816</f>
        <v>672.27</v>
      </c>
      <c r="O106" s="738">
        <f t="shared" si="180"/>
        <v>1.4286779999999999</v>
      </c>
      <c r="P106" s="738">
        <f t="shared" si="181"/>
        <v>0.36658400000000002</v>
      </c>
      <c r="Q106" s="739">
        <f>'HVAC Deemed Table'!I813</f>
        <v>1.4286779999999999</v>
      </c>
      <c r="R106" s="739">
        <f>'HVAC Deemed Table'!I814</f>
        <v>0</v>
      </c>
      <c r="S106" s="739">
        <f>'HVAC Deemed Table'!I815</f>
        <v>0.36658400000000002</v>
      </c>
      <c r="T106" s="739">
        <f>'HVAC Deemed Table'!I816</f>
        <v>0</v>
      </c>
      <c r="U106" s="740">
        <f t="shared" si="174"/>
        <v>0</v>
      </c>
      <c r="V106" s="740">
        <f t="shared" si="175"/>
        <v>0</v>
      </c>
      <c r="W106" s="740">
        <f t="shared" si="176"/>
        <v>1.4286779999999999</v>
      </c>
      <c r="X106" s="22">
        <f>'HVAC Deemed Table'!J813</f>
        <v>6</v>
      </c>
      <c r="Y106" s="22">
        <f>'HVAC Deemed Table'!J815</f>
        <v>12</v>
      </c>
      <c r="Z106" s="22">
        <f t="shared" si="224"/>
        <v>18</v>
      </c>
      <c r="AA106" s="17">
        <f>'HVAC Deemed Table'!DG813</f>
        <v>2.41511362651016</v>
      </c>
      <c r="AB106" s="241">
        <f>'HVAC Deemed Table'!K813</f>
        <v>1077.5183641564863</v>
      </c>
      <c r="AC106" s="846">
        <f t="shared" si="225"/>
        <v>1874.515147142271</v>
      </c>
      <c r="AD106" s="846">
        <f t="shared" si="177"/>
        <v>727.81413694699563</v>
      </c>
      <c r="AE106" s="191">
        <f>'HVAC Deemed Table'!DI813</f>
        <v>1501.7090553218095</v>
      </c>
      <c r="AF106" s="191">
        <f>'HVAC Deemed Table'!DI814</f>
        <v>372.80609182046146</v>
      </c>
      <c r="AG106" s="191">
        <f>'HVAC Deemed Table'!DI815</f>
        <v>500.65677604040081</v>
      </c>
      <c r="AH106" s="191">
        <f>'HVAC Deemed Table'!DI816</f>
        <v>227.15736090659485</v>
      </c>
      <c r="AI106" s="850" t="str">
        <f t="shared" si="227"/>
        <v>per measure</v>
      </c>
      <c r="AJ106" s="45">
        <f>'HVAC Deemed Table'!L813</f>
        <v>3.3</v>
      </c>
      <c r="AK106" s="609"/>
      <c r="AL106" s="609"/>
      <c r="AX106" s="1226" t="str">
        <f t="shared" si="221"/>
        <v>ASHP-SEER19_ER1_MF</v>
      </c>
      <c r="AY106" s="1249"/>
      <c r="AZ106" s="1312" t="str">
        <f t="shared" si="222"/>
        <v>354500</v>
      </c>
      <c r="BA106" s="1206">
        <f>ROUND((K106*$BC$3)+(K117*$BC$4),2)</f>
        <v>1059.55</v>
      </c>
      <c r="BB106" s="1206">
        <f>ROUND((L106*$BC$3)+(L117*$BC$4),2)</f>
        <v>1102.99</v>
      </c>
      <c r="BC106" s="1206">
        <f>ROUND((M106*$BC$3)+(K117*$BC$4),2)</f>
        <v>386.93</v>
      </c>
      <c r="BD106" s="1206">
        <f>ROUND((N106*$BC$3)+(L117*$BC$4),2)</f>
        <v>672.27</v>
      </c>
      <c r="BE106" s="1176"/>
      <c r="BF106" s="1192">
        <f>ROUND(BA106*'CP FACTORS'!$B$9,6)</f>
        <v>1.0038370000000001</v>
      </c>
      <c r="BG106" s="1193">
        <f>ROUND(BB106*'CP FACTORS'!$B$14,6)</f>
        <v>0</v>
      </c>
      <c r="BH106" s="1192">
        <f>ROUND(BC106*'CP FACTORS'!$B$9,6)</f>
        <v>0.36658400000000002</v>
      </c>
      <c r="BI106" s="1194">
        <f>ROUND(BD106*'CP FACTORS'!$B$14,6)</f>
        <v>0</v>
      </c>
      <c r="BJ106" s="1176"/>
      <c r="BK106" s="685">
        <f t="shared" si="182"/>
        <v>2162.54</v>
      </c>
      <c r="BL106" s="1213">
        <f t="shared" si="183"/>
        <v>1059.2</v>
      </c>
      <c r="BM106" s="1212">
        <f t="shared" si="184"/>
        <v>1.0038370000000001</v>
      </c>
      <c r="BN106" s="1211">
        <f t="shared" si="185"/>
        <v>0.36658400000000002</v>
      </c>
    </row>
    <row r="107" spans="1:66" x14ac:dyDescent="0.25">
      <c r="A107" s="49" t="str">
        <f t="shared" si="223"/>
        <v>354550</v>
      </c>
      <c r="B107" s="1307" t="str">
        <f>'HVAC Deemed Table'!C817</f>
        <v>354550_2024_12_</v>
      </c>
      <c r="C107" s="830" t="str">
        <f>'HVAC Deemed Table'!G817</f>
        <v>Cooling Res</v>
      </c>
      <c r="D107" s="830" t="str">
        <f>'HVAC Deemed Table'!G818</f>
        <v>Heating Res</v>
      </c>
      <c r="E107" s="830" t="str">
        <f>'HVAC Deemed Table'!G819</f>
        <v>Cooling Res ER2</v>
      </c>
      <c r="F107" s="830" t="str">
        <f>'HVAC Deemed Table'!G820</f>
        <v>Heating Res ER2</v>
      </c>
      <c r="G107" s="1249" t="str">
        <f>'HVAC Deemed Table'!E817</f>
        <v>ASHP-SEER20_ER1_SF</v>
      </c>
      <c r="H107" s="18" t="str">
        <f>'HVAC Deemed Table'!D817</f>
        <v>PAYS / IE</v>
      </c>
      <c r="I107" s="737">
        <f t="shared" si="178"/>
        <v>4077.3500000000004</v>
      </c>
      <c r="J107" s="737">
        <f t="shared" si="179"/>
        <v>1569.73</v>
      </c>
      <c r="K107" s="185">
        <f>'HVAC Deemed Table'!F817</f>
        <v>2257.71</v>
      </c>
      <c r="L107" s="185">
        <f>'HVAC Deemed Table'!F818</f>
        <v>1819.64</v>
      </c>
      <c r="M107" s="185">
        <f>'HVAC Deemed Table'!F819</f>
        <v>614.66</v>
      </c>
      <c r="N107" s="185">
        <f>'HVAC Deemed Table'!F820</f>
        <v>955.07</v>
      </c>
      <c r="O107" s="738">
        <f t="shared" si="180"/>
        <v>2.138995</v>
      </c>
      <c r="P107" s="738">
        <f t="shared" si="181"/>
        <v>0.58233999999999997</v>
      </c>
      <c r="Q107" s="739">
        <f>'HVAC Deemed Table'!I817</f>
        <v>2.138995</v>
      </c>
      <c r="R107" s="739">
        <f>'HVAC Deemed Table'!I818</f>
        <v>0</v>
      </c>
      <c r="S107" s="739">
        <f>'HVAC Deemed Table'!I819</f>
        <v>0.58233999999999997</v>
      </c>
      <c r="T107" s="739">
        <f>'HVAC Deemed Table'!I820</f>
        <v>0</v>
      </c>
      <c r="U107" s="740">
        <f t="shared" si="174"/>
        <v>0</v>
      </c>
      <c r="V107" s="740">
        <f t="shared" si="175"/>
        <v>0</v>
      </c>
      <c r="W107" s="740">
        <f t="shared" si="176"/>
        <v>2.138995</v>
      </c>
      <c r="X107" s="22">
        <f>'HVAC Deemed Table'!J817</f>
        <v>6</v>
      </c>
      <c r="Y107" s="22">
        <f>'HVAC Deemed Table'!J819</f>
        <v>12</v>
      </c>
      <c r="Z107" s="22">
        <f t="shared" si="224"/>
        <v>18</v>
      </c>
      <c r="AA107" s="17">
        <f>'HVAC Deemed Table'!DG817</f>
        <v>3.5764620612528106</v>
      </c>
      <c r="AB107" s="241">
        <f>'HVAC Deemed Table'!K817</f>
        <v>1077.7021397098724</v>
      </c>
      <c r="AC107" s="846">
        <f t="shared" si="225"/>
        <v>2736.3250987991028</v>
      </c>
      <c r="AD107" s="846">
        <f t="shared" si="177"/>
        <v>1118.035717204232</v>
      </c>
      <c r="AE107" s="191">
        <f>'HVAC Deemed Table'!DI817</f>
        <v>2248.3362078095734</v>
      </c>
      <c r="AF107" s="191">
        <f>'HVAC Deemed Table'!DI818</f>
        <v>487.98889098952952</v>
      </c>
      <c r="AG107" s="191">
        <f>'HVAC Deemed Table'!DI819</f>
        <v>795.32136035198289</v>
      </c>
      <c r="AH107" s="191">
        <f>'HVAC Deemed Table'!DI820</f>
        <v>322.71435685224918</v>
      </c>
      <c r="AI107" s="850" t="str">
        <f t="shared" si="227"/>
        <v>per measure</v>
      </c>
      <c r="AJ107" s="45">
        <f>'HVAC Deemed Table'!L817</f>
        <v>2.5833656509695291</v>
      </c>
      <c r="AK107" s="609"/>
      <c r="AL107" s="609"/>
      <c r="AX107" s="1226" t="str">
        <f t="shared" si="221"/>
        <v>ASHP-SEER20_ER1_SF</v>
      </c>
      <c r="AY107" s="1249"/>
      <c r="AZ107" s="1312" t="str">
        <f t="shared" si="222"/>
        <v>354550</v>
      </c>
      <c r="BA107" s="1202">
        <f>ROUND((K107*$BC$3)+(K108*$BC$4),2)</f>
        <v>1621.81</v>
      </c>
      <c r="BB107" s="1202">
        <f>ROUND((L107*$BC$3)+(L108*$BC$4),2)</f>
        <v>1518.72</v>
      </c>
      <c r="BC107" s="1202">
        <f>ROUND((M107*$BC$3)+(K108*$BC$4),2)</f>
        <v>635.98</v>
      </c>
      <c r="BD107" s="1202">
        <f>(N107*$BC$3)+(L108*$BC$4)</f>
        <v>999.98199999999997</v>
      </c>
      <c r="BE107" s="1176"/>
      <c r="BF107" s="1192">
        <f>ROUND(BA107*'CP FACTORS'!$B$9,6)</f>
        <v>1.536532</v>
      </c>
      <c r="BG107" s="1193">
        <f>ROUND(BB107*'CP FACTORS'!$B$14,6)</f>
        <v>0</v>
      </c>
      <c r="BH107" s="1192">
        <f>ROUND(BC107*'CP FACTORS'!$B$9,6)</f>
        <v>0.60253900000000005</v>
      </c>
      <c r="BI107" s="1194">
        <f>ROUND(BD107*'CP FACTORS'!$B$14,6)</f>
        <v>0</v>
      </c>
      <c r="BJ107" s="1176"/>
      <c r="BK107" s="685">
        <f t="shared" si="182"/>
        <v>3140.5299999999997</v>
      </c>
      <c r="BL107" s="1213">
        <f t="shared" si="183"/>
        <v>1635.962</v>
      </c>
      <c r="BM107" s="1212">
        <f t="shared" si="184"/>
        <v>1.536532</v>
      </c>
      <c r="BN107" s="1211">
        <f t="shared" si="185"/>
        <v>0.60253900000000005</v>
      </c>
    </row>
    <row r="108" spans="1:66" x14ac:dyDescent="0.25">
      <c r="A108" s="49" t="str">
        <f t="shared" si="223"/>
        <v>354600</v>
      </c>
      <c r="B108" s="1307" t="str">
        <f>'HVAC Deemed Table'!C821</f>
        <v>354600_2024_12_</v>
      </c>
      <c r="C108" s="830" t="str">
        <f>'HVAC Deemed Table'!G821</f>
        <v>Cooling Res</v>
      </c>
      <c r="D108" s="830" t="str">
        <f>'HVAC Deemed Table'!G822</f>
        <v>Heating Res</v>
      </c>
      <c r="E108" s="1249"/>
      <c r="F108" s="1249"/>
      <c r="G108" s="1249" t="str">
        <f>'HVAC Deemed Table'!E821</f>
        <v>ASHP-SEER20_ROF_SF</v>
      </c>
      <c r="H108" s="18" t="str">
        <f>'HVAC Deemed Table'!D821</f>
        <v>PAYS / IE</v>
      </c>
      <c r="I108" s="737">
        <f t="shared" si="178"/>
        <v>1735.32</v>
      </c>
      <c r="J108" s="737">
        <f t="shared" si="179"/>
        <v>0</v>
      </c>
      <c r="K108" s="185">
        <f>'HVAC Deemed Table'!F821</f>
        <v>667.97</v>
      </c>
      <c r="L108" s="185">
        <f>'HVAC Deemed Table'!F822</f>
        <v>1067.3499999999999</v>
      </c>
      <c r="M108" s="185"/>
      <c r="N108" s="185"/>
      <c r="O108" s="738">
        <f t="shared" si="180"/>
        <v>0.63284700000000005</v>
      </c>
      <c r="P108" s="738">
        <f t="shared" si="181"/>
        <v>0</v>
      </c>
      <c r="Q108" s="739">
        <f>'HVAC Deemed Table'!I821</f>
        <v>0.63284700000000005</v>
      </c>
      <c r="R108" s="739">
        <f>'HVAC Deemed Table'!I822</f>
        <v>0</v>
      </c>
      <c r="S108" s="739"/>
      <c r="T108" s="739"/>
      <c r="U108" s="740">
        <f t="shared" si="174"/>
        <v>0</v>
      </c>
      <c r="V108" s="740">
        <f t="shared" si="175"/>
        <v>0</v>
      </c>
      <c r="W108" s="740">
        <f t="shared" si="176"/>
        <v>0.63284700000000005</v>
      </c>
      <c r="X108" s="22">
        <f>'HVAC Deemed Table'!J821</f>
        <v>18</v>
      </c>
      <c r="Y108" s="22"/>
      <c r="Z108" s="22">
        <f t="shared" si="224"/>
        <v>18</v>
      </c>
      <c r="AA108" s="17">
        <f>'HVAC Deemed Table'!DG821</f>
        <v>2.0133125883412872</v>
      </c>
      <c r="AB108" s="241">
        <f>'HVAC Deemed Table'!K821</f>
        <v>1081</v>
      </c>
      <c r="AC108" s="846">
        <f t="shared" si="225"/>
        <v>2176.3909079969317</v>
      </c>
      <c r="AD108" s="846">
        <f t="shared" si="177"/>
        <v>0</v>
      </c>
      <c r="AE108" s="191">
        <f>'HVAC Deemed Table'!DI821</f>
        <v>1529.4969318930594</v>
      </c>
      <c r="AF108" s="191">
        <f>'HVAC Deemed Table'!DI822</f>
        <v>646.89397610387232</v>
      </c>
      <c r="AG108" s="191"/>
      <c r="AH108" s="191"/>
      <c r="AI108" s="850" t="str">
        <f t="shared" si="227"/>
        <v>per measure</v>
      </c>
      <c r="AJ108" s="45">
        <f>'HVAC Deemed Table'!L821</f>
        <v>2.8870833333333334</v>
      </c>
      <c r="AK108" s="609"/>
      <c r="AL108" s="609"/>
      <c r="AX108" s="1226" t="str">
        <f t="shared" si="221"/>
        <v>ASHP-SEER20_ROF_SF</v>
      </c>
      <c r="AY108" s="1249"/>
      <c r="AZ108" s="1312" t="str">
        <f t="shared" si="222"/>
        <v>354600</v>
      </c>
      <c r="BA108" s="1202">
        <f>BA107</f>
        <v>1621.81</v>
      </c>
      <c r="BB108" s="1202">
        <f>BB107</f>
        <v>1518.72</v>
      </c>
      <c r="BC108" s="1202">
        <f>BC107</f>
        <v>635.98</v>
      </c>
      <c r="BD108" s="1202">
        <f>BD107</f>
        <v>999.98199999999997</v>
      </c>
      <c r="BE108" s="1176"/>
      <c r="BF108" s="1192">
        <f>ROUND(BA108*'CP FACTORS'!$B$9,6)</f>
        <v>1.536532</v>
      </c>
      <c r="BG108" s="1193">
        <f>ROUND(BB108*'CP FACTORS'!$B$14,6)</f>
        <v>0</v>
      </c>
      <c r="BH108" s="1192">
        <f>ROUND(BC108*'CP FACTORS'!$B$9,6)</f>
        <v>0.60253900000000005</v>
      </c>
      <c r="BI108" s="1194">
        <f>ROUND(BD108*'CP FACTORS'!$B$14,6)</f>
        <v>0</v>
      </c>
      <c r="BJ108" s="1176"/>
      <c r="BK108" s="685">
        <f t="shared" si="182"/>
        <v>3140.5299999999997</v>
      </c>
      <c r="BL108" s="1213">
        <f t="shared" si="183"/>
        <v>1635.962</v>
      </c>
      <c r="BM108" s="1212">
        <f t="shared" si="184"/>
        <v>1.536532</v>
      </c>
      <c r="BN108" s="1211">
        <f t="shared" si="185"/>
        <v>0.60253900000000005</v>
      </c>
    </row>
    <row r="109" spans="1:66" s="39" customFormat="1" x14ac:dyDescent="0.25">
      <c r="A109" s="49" t="str">
        <f t="shared" si="223"/>
        <v>354650</v>
      </c>
      <c r="B109" s="1307" t="str">
        <f>'HVAC Deemed Table'!C823</f>
        <v>354650_2024_12_</v>
      </c>
      <c r="C109" s="830" t="str">
        <f>'HVAC Deemed Table'!G823</f>
        <v>Cooling Res</v>
      </c>
      <c r="D109" s="830" t="str">
        <f>'HVAC Deemed Table'!G824</f>
        <v>Heating Res</v>
      </c>
      <c r="E109" s="830" t="str">
        <f>'HVAC Deemed Table'!G825</f>
        <v>Cooling Res ER2</v>
      </c>
      <c r="F109" s="830" t="str">
        <f>'HVAC Deemed Table'!G826</f>
        <v>Heating Res ER2</v>
      </c>
      <c r="G109" s="1249" t="str">
        <f>'HVAC Deemed Table'!E823</f>
        <v>ASHP-SEER20-Replace_CAC_ElectricHeat_ER1_MF</v>
      </c>
      <c r="H109" s="18" t="str">
        <f>'HVAC Deemed Table'!D823</f>
        <v>IE</v>
      </c>
      <c r="I109" s="737">
        <f t="shared" si="178"/>
        <v>8001.72</v>
      </c>
      <c r="J109" s="737">
        <f t="shared" si="179"/>
        <v>2028.34</v>
      </c>
      <c r="K109" s="185">
        <f>'HVAC Deemed Table'!F823</f>
        <v>1471.88</v>
      </c>
      <c r="L109" s="185">
        <f>'HVAC Deemed Table'!F824</f>
        <v>6529.84</v>
      </c>
      <c r="M109" s="185">
        <f>'HVAC Deemed Table'!F825</f>
        <v>517.47</v>
      </c>
      <c r="N109" s="185">
        <f>'HVAC Deemed Table'!F826</f>
        <v>1510.87</v>
      </c>
      <c r="O109" s="738">
        <f t="shared" si="180"/>
        <v>1.3944859999999999</v>
      </c>
      <c r="P109" s="738">
        <f t="shared" si="181"/>
        <v>0.49025999999999997</v>
      </c>
      <c r="Q109" s="739">
        <f>'HVAC Deemed Table'!I823</f>
        <v>1.3944859999999999</v>
      </c>
      <c r="R109" s="739">
        <f>'HVAC Deemed Table'!I824</f>
        <v>0</v>
      </c>
      <c r="S109" s="739">
        <f>'HVAC Deemed Table'!I825</f>
        <v>0.49025999999999997</v>
      </c>
      <c r="T109" s="739">
        <f>'HVAC Deemed Table'!I826</f>
        <v>0</v>
      </c>
      <c r="U109" s="740">
        <f t="shared" ref="U109:U135" si="248">IFERROR(IF(V109+W109&gt;0,0,IF(Z109&gt;0,O109,0)),0)</f>
        <v>0</v>
      </c>
      <c r="V109" s="740">
        <f t="shared" ref="V109:V135" si="249">IF(W109&gt;0,0,IF(Z109&gt;9,O109,0))</f>
        <v>0</v>
      </c>
      <c r="W109" s="740">
        <f t="shared" ref="W109:W135" si="250">IF(Z109&gt;14,O109,0)</f>
        <v>1.3944859999999999</v>
      </c>
      <c r="X109" s="22">
        <f>'HVAC Deemed Table'!J823</f>
        <v>6</v>
      </c>
      <c r="Y109" s="22">
        <f>'HVAC Deemed Table'!J825</f>
        <v>12</v>
      </c>
      <c r="Z109" s="22">
        <f t="shared" si="224"/>
        <v>18</v>
      </c>
      <c r="AA109" s="17">
        <f>'HVAC Deemed Table'!DG823</f>
        <v>1.1427553188890349</v>
      </c>
      <c r="AB109" s="241">
        <f>'HVAC Deemed Table'!K823</f>
        <v>3847.7316315552043</v>
      </c>
      <c r="AC109" s="846">
        <f t="shared" si="225"/>
        <v>3216.9336223465357</v>
      </c>
      <c r="AD109" s="846">
        <f t="shared" si="177"/>
        <v>1180.0821652707589</v>
      </c>
      <c r="AE109" s="191">
        <f>'HVAC Deemed Table'!DI823</f>
        <v>1465.7688974893831</v>
      </c>
      <c r="AF109" s="191">
        <f>'HVAC Deemed Table'!DI824</f>
        <v>1751.1647248571526</v>
      </c>
      <c r="AG109" s="191">
        <f>'HVAC Deemed Table'!DI825</f>
        <v>669.56519757482283</v>
      </c>
      <c r="AH109" s="191">
        <f>'HVAC Deemed Table'!DI826</f>
        <v>510.51696769593605</v>
      </c>
      <c r="AI109" s="850" t="str">
        <f t="shared" si="227"/>
        <v>per measure</v>
      </c>
      <c r="AJ109" s="45">
        <f>'HVAC Deemed Table'!L823</f>
        <v>3.1</v>
      </c>
      <c r="AK109" s="609"/>
      <c r="AL109" s="609"/>
      <c r="AM109"/>
      <c r="AN109"/>
      <c r="AO109"/>
      <c r="AP109"/>
      <c r="AQ109"/>
      <c r="AR109"/>
      <c r="AS109"/>
      <c r="AT109"/>
      <c r="AU109"/>
      <c r="AV109"/>
      <c r="AW109"/>
      <c r="AX109" s="1226" t="str">
        <f t="shared" si="221"/>
        <v>ASHP-SEER20-Replace_CAC_ElectricHeat_ER1_MF</v>
      </c>
      <c r="AY109" s="1249"/>
      <c r="AZ109" s="1312" t="str">
        <f t="shared" si="222"/>
        <v>354650</v>
      </c>
      <c r="BA109" s="2120">
        <f>ROUND((K109*$BC$3)+(K81*$BC$4),2)</f>
        <v>1099.08</v>
      </c>
      <c r="BB109" s="2120">
        <f>ROUND((L109*$BC$3)+(L81*$BC$4),2)</f>
        <v>6445.58</v>
      </c>
      <c r="BC109" s="2120">
        <f>ROUND((M109*$BC$3)+(K81*$BC$4),2)</f>
        <v>526.42999999999995</v>
      </c>
      <c r="BD109" s="2120">
        <f>ROUND((N109*$BC$3)+(L81*$BC$4),2)</f>
        <v>3434.2</v>
      </c>
      <c r="BE109" s="1177"/>
      <c r="BF109" s="1192">
        <f>ROUND(BA109*'CP FACTORS'!$B$9,6)</f>
        <v>1.041288</v>
      </c>
      <c r="BG109" s="1193">
        <f>ROUND(BB109*'CP FACTORS'!$B$14,6)</f>
        <v>0</v>
      </c>
      <c r="BH109" s="1192">
        <f>ROUND(BC109*'CP FACTORS'!$B$9,6)</f>
        <v>0.498749</v>
      </c>
      <c r="BI109" s="1194">
        <f>ROUND(BD109*'CP FACTORS'!$B$14,6)</f>
        <v>0</v>
      </c>
      <c r="BJ109" s="1176"/>
      <c r="BK109" s="685">
        <f t="shared" si="182"/>
        <v>7544.66</v>
      </c>
      <c r="BL109" s="1213">
        <f t="shared" si="183"/>
        <v>3960.6299999999997</v>
      </c>
      <c r="BM109" s="1212">
        <f t="shared" si="184"/>
        <v>1.041288</v>
      </c>
      <c r="BN109" s="1211">
        <f t="shared" si="185"/>
        <v>0.498749</v>
      </c>
    </row>
    <row r="110" spans="1:66" x14ac:dyDescent="0.25">
      <c r="A110" s="49" t="str">
        <f t="shared" si="223"/>
        <v>354700</v>
      </c>
      <c r="B110" s="1307" t="str">
        <f>'HVAC Deemed Table'!C827</f>
        <v>354700_2024_12_</v>
      </c>
      <c r="C110" s="830" t="str">
        <f>'HVAC Deemed Table'!G827</f>
        <v>Cooling Res</v>
      </c>
      <c r="D110" s="830" t="str">
        <f>'HVAC Deemed Table'!G828</f>
        <v>Heating Res</v>
      </c>
      <c r="E110" s="830" t="str">
        <f>'HVAC Deemed Table'!G829</f>
        <v>Cooling Res ER2</v>
      </c>
      <c r="F110" s="830" t="str">
        <f>'HVAC Deemed Table'!G830</f>
        <v>Heating Res ER2</v>
      </c>
      <c r="G110" s="1249" t="str">
        <f>'HVAC Deemed Table'!E827</f>
        <v>ASHP-SEER20_ER1_MF</v>
      </c>
      <c r="H110" s="18" t="str">
        <f>'HVAC Deemed Table'!D827</f>
        <v>IE</v>
      </c>
      <c r="I110" s="737">
        <f t="shared" si="178"/>
        <v>3077.71</v>
      </c>
      <c r="J110" s="737">
        <f t="shared" si="179"/>
        <v>1238.8</v>
      </c>
      <c r="K110" s="185">
        <f>'HVAC Deemed Table'!F827</f>
        <v>1566.84</v>
      </c>
      <c r="L110" s="185">
        <f>'HVAC Deemed Table'!F828</f>
        <v>1510.87</v>
      </c>
      <c r="M110" s="185">
        <f>'HVAC Deemed Table'!F829</f>
        <v>445.8</v>
      </c>
      <c r="N110" s="185">
        <f>'HVAC Deemed Table'!F830</f>
        <v>793</v>
      </c>
      <c r="O110" s="738">
        <f t="shared" si="180"/>
        <v>1.484453</v>
      </c>
      <c r="P110" s="738">
        <f t="shared" si="181"/>
        <v>0.42235899999999998</v>
      </c>
      <c r="Q110" s="739">
        <f>'HVAC Deemed Table'!I827</f>
        <v>1.484453</v>
      </c>
      <c r="R110" s="739">
        <f>'HVAC Deemed Table'!I828</f>
        <v>0</v>
      </c>
      <c r="S110" s="739">
        <f>'HVAC Deemed Table'!I829</f>
        <v>0.42235899999999998</v>
      </c>
      <c r="T110" s="739">
        <f>'HVAC Deemed Table'!I830</f>
        <v>0</v>
      </c>
      <c r="U110" s="740">
        <f t="shared" si="248"/>
        <v>0</v>
      </c>
      <c r="V110" s="740">
        <f t="shared" si="249"/>
        <v>0</v>
      </c>
      <c r="W110" s="740">
        <f t="shared" si="250"/>
        <v>1.484453</v>
      </c>
      <c r="X110" s="22">
        <f>'HVAC Deemed Table'!J827</f>
        <v>6</v>
      </c>
      <c r="Y110" s="22">
        <f>'HVAC Deemed Table'!J829</f>
        <v>12</v>
      </c>
      <c r="Z110" s="22">
        <f t="shared" si="224"/>
        <v>18</v>
      </c>
      <c r="AA110" s="17">
        <f>'HVAC Deemed Table'!DG827</f>
        <v>2.6081220400823453</v>
      </c>
      <c r="AB110" s="241">
        <f>'HVAC Deemed Table'!K827</f>
        <v>1077.5183641564863</v>
      </c>
      <c r="AC110" s="846">
        <f t="shared" si="225"/>
        <v>1965.5179524400792</v>
      </c>
      <c r="AD110" s="846">
        <f t="shared" ref="AD110:AD135" si="251">AG110+AH110</f>
        <v>844.78144170992732</v>
      </c>
      <c r="AE110" s="191">
        <f>'HVAC Deemed Table'!DI827</f>
        <v>1560.3346328112787</v>
      </c>
      <c r="AF110" s="191">
        <f>'HVAC Deemed Table'!DI828</f>
        <v>405.1833196288004</v>
      </c>
      <c r="AG110" s="191">
        <f>'HVAC Deemed Table'!DI829</f>
        <v>576.82989367278492</v>
      </c>
      <c r="AH110" s="191">
        <f>'HVAC Deemed Table'!DI830</f>
        <v>267.9515480371424</v>
      </c>
      <c r="AI110" s="850" t="str">
        <f t="shared" si="227"/>
        <v>per measure</v>
      </c>
      <c r="AJ110" s="45">
        <f>'HVAC Deemed Table'!L827</f>
        <v>3.3</v>
      </c>
      <c r="AK110" s="609"/>
      <c r="AL110" s="609"/>
      <c r="AX110" s="1226" t="str">
        <f t="shared" si="221"/>
        <v>ASHP-SEER20_ER1_MF</v>
      </c>
      <c r="AY110" s="1249"/>
      <c r="AZ110" s="1312" t="str">
        <f t="shared" si="222"/>
        <v>354700</v>
      </c>
      <c r="BA110" s="1196">
        <f>ROUND((K110*$BC$3)+(K118*$BC$4),2)</f>
        <v>1118.42</v>
      </c>
      <c r="BB110" s="1196">
        <f>ROUND((L110*$BC$3)+(L118*$BC$4),2)</f>
        <v>1223.72</v>
      </c>
      <c r="BC110" s="1196">
        <f>ROUND((M110*$BC$3)+(K118*$BC$4),2)</f>
        <v>445.8</v>
      </c>
      <c r="BD110" s="1196">
        <f>ROUND((N110*$BC$3)+(L118*$BC$4),2)</f>
        <v>793</v>
      </c>
      <c r="BE110" s="1176"/>
      <c r="BF110" s="1192">
        <f>ROUND(BA110*'CP FACTORS'!$B$9,6)</f>
        <v>1.0596110000000001</v>
      </c>
      <c r="BG110" s="1193">
        <f>ROUND(BB110*'CP FACTORS'!$B$14,6)</f>
        <v>0</v>
      </c>
      <c r="BH110" s="1192">
        <f>ROUND(BC110*'CP FACTORS'!$B$9,6)</f>
        <v>0.42235899999999998</v>
      </c>
      <c r="BI110" s="1194">
        <f>ROUND(BD110*'CP FACTORS'!$B$14,6)</f>
        <v>0</v>
      </c>
      <c r="BJ110" s="1176"/>
      <c r="BK110" s="685">
        <f t="shared" ref="BK110:BK135" si="252">BA110+BB110</f>
        <v>2342.1400000000003</v>
      </c>
      <c r="BL110" s="1213">
        <f t="shared" ref="BL110:BL135" si="253">BC110+BD110</f>
        <v>1238.8</v>
      </c>
      <c r="BM110" s="1212">
        <f t="shared" ref="BM110:BM135" si="254">BF110+BG110</f>
        <v>1.0596110000000001</v>
      </c>
      <c r="BN110" s="1211">
        <f t="shared" ref="BN110:BN135" si="255">BH110+BI110</f>
        <v>0.42235899999999998</v>
      </c>
    </row>
    <row r="111" spans="1:66" x14ac:dyDescent="0.25">
      <c r="A111" s="49" t="str">
        <f t="shared" si="223"/>
        <v>354750</v>
      </c>
      <c r="B111" s="1307" t="str">
        <f>'HVAC Deemed Table'!C831</f>
        <v>354750_2024_12_</v>
      </c>
      <c r="C111" s="830" t="str">
        <f>'HVAC Deemed Table'!G831</f>
        <v>Cooling Res</v>
      </c>
      <c r="D111" s="830" t="str">
        <f>'HVAC Deemed Table'!G832</f>
        <v>Heating Res</v>
      </c>
      <c r="E111" s="830" t="str">
        <f>'HVAC Deemed Table'!G833</f>
        <v>Cooling Res ER2</v>
      </c>
      <c r="F111" s="830" t="str">
        <f>'HVAC Deemed Table'!G834</f>
        <v>Heating Res ER2</v>
      </c>
      <c r="G111" s="1249" t="str">
        <f>'HVAC Deemed Table'!E831</f>
        <v>ASHP-SEER21_ER1_SF</v>
      </c>
      <c r="H111" s="18" t="str">
        <f>'HVAC Deemed Table'!D831</f>
        <v>PAYS / IE</v>
      </c>
      <c r="I111" s="737">
        <f t="shared" si="178"/>
        <v>4929.78</v>
      </c>
      <c r="J111" s="737">
        <f t="shared" si="179"/>
        <v>2115.6999999999998</v>
      </c>
      <c r="K111" s="185">
        <f>'HVAC Deemed Table'!F831</f>
        <v>2498.89</v>
      </c>
      <c r="L111" s="185">
        <f>'HVAC Deemed Table'!F832</f>
        <v>2430.89</v>
      </c>
      <c r="M111" s="185">
        <f>'HVAC Deemed Table'!F833</f>
        <v>803.95</v>
      </c>
      <c r="N111" s="185">
        <f>'HVAC Deemed Table'!F834</f>
        <v>1311.75</v>
      </c>
      <c r="O111" s="738">
        <f t="shared" si="180"/>
        <v>2.3674940000000002</v>
      </c>
      <c r="P111" s="738">
        <f t="shared" si="181"/>
        <v>0.76167700000000005</v>
      </c>
      <c r="Q111" s="739">
        <f>'HVAC Deemed Table'!I831</f>
        <v>2.3674940000000002</v>
      </c>
      <c r="R111" s="739">
        <f>'HVAC Deemed Table'!I832</f>
        <v>0</v>
      </c>
      <c r="S111" s="739">
        <f>'HVAC Deemed Table'!I833</f>
        <v>0.76167700000000005</v>
      </c>
      <c r="T111" s="739">
        <f>'HVAC Deemed Table'!I834</f>
        <v>0</v>
      </c>
      <c r="U111" s="740">
        <f t="shared" si="248"/>
        <v>0</v>
      </c>
      <c r="V111" s="740">
        <f t="shared" si="249"/>
        <v>0</v>
      </c>
      <c r="W111" s="740">
        <f t="shared" si="250"/>
        <v>2.3674940000000002</v>
      </c>
      <c r="X111" s="22">
        <f>'HVAC Deemed Table'!J831</f>
        <v>6</v>
      </c>
      <c r="Y111" s="22">
        <f>'HVAC Deemed Table'!J833</f>
        <v>12</v>
      </c>
      <c r="Z111" s="22">
        <f t="shared" si="224"/>
        <v>18</v>
      </c>
      <c r="AA111" s="17">
        <f>'HVAC Deemed Table'!DG831</f>
        <v>4.2892583687798336</v>
      </c>
      <c r="AB111" s="241">
        <f>'HVAC Deemed Table'!K831</f>
        <v>1078.0210431568885</v>
      </c>
      <c r="AC111" s="846">
        <f t="shared" si="225"/>
        <v>3140.4280409142712</v>
      </c>
      <c r="AD111" s="846">
        <f t="shared" si="251"/>
        <v>1483.4827401671789</v>
      </c>
      <c r="AE111" s="191">
        <f>'HVAC Deemed Table'!DI831</f>
        <v>2488.5148519221975</v>
      </c>
      <c r="AF111" s="191">
        <f>'HVAC Deemed Table'!DI832</f>
        <v>651.91318899207386</v>
      </c>
      <c r="AG111" s="191">
        <f>'HVAC Deemed Table'!DI833</f>
        <v>1040.2476290225111</v>
      </c>
      <c r="AH111" s="191">
        <f>'HVAC Deemed Table'!DI834</f>
        <v>443.23511114466777</v>
      </c>
      <c r="AI111" s="850" t="str">
        <f t="shared" si="227"/>
        <v>per measure</v>
      </c>
      <c r="AJ111" s="45">
        <f>'HVAC Deemed Table'!L831</f>
        <v>3.3440561485431846</v>
      </c>
      <c r="AK111" s="609"/>
      <c r="AL111" s="609"/>
      <c r="AX111" s="1226" t="str">
        <f t="shared" si="221"/>
        <v>ASHP-SEER21_ER1_SF</v>
      </c>
      <c r="AY111" s="1249"/>
      <c r="AZ111" s="1312" t="str">
        <f t="shared" si="222"/>
        <v>354750</v>
      </c>
      <c r="BA111" s="1202">
        <f>ROUND((K111*$BC$3)+(K112*$BC$4),2)</f>
        <v>1827.33</v>
      </c>
      <c r="BB111" s="1202">
        <f>ROUND((L111*$BC$3)+(L112*$BC$4),2)</f>
        <v>2002.99</v>
      </c>
      <c r="BC111" s="1202">
        <f>ROUND((M111*$BC$3)+(K112*$BC$4),2)</f>
        <v>810.37</v>
      </c>
      <c r="BD111" s="1202">
        <f>(N111*$BC$3)+(L112*$BC$4)</f>
        <v>1331.502</v>
      </c>
      <c r="BE111" s="1176"/>
      <c r="BF111" s="1192">
        <f>ROUND(BA111*'CP FACTORS'!$B$9,6)</f>
        <v>1.7312460000000001</v>
      </c>
      <c r="BG111" s="1193">
        <f>ROUND(BB111*'CP FACTORS'!$B$14,6)</f>
        <v>0</v>
      </c>
      <c r="BH111" s="1192">
        <f>ROUND(BC111*'CP FACTORS'!$B$9,6)</f>
        <v>0.76775899999999997</v>
      </c>
      <c r="BI111" s="1194">
        <f>ROUND(BD111*'CP FACTORS'!$B$14,6)</f>
        <v>0</v>
      </c>
      <c r="BJ111" s="1176"/>
      <c r="BK111" s="685">
        <f t="shared" si="252"/>
        <v>3830.3199999999997</v>
      </c>
      <c r="BL111" s="1213">
        <f t="shared" si="253"/>
        <v>2141.8719999999998</v>
      </c>
      <c r="BM111" s="1212">
        <f t="shared" si="254"/>
        <v>1.7312460000000001</v>
      </c>
      <c r="BN111" s="1211">
        <f t="shared" si="255"/>
        <v>0.76775899999999997</v>
      </c>
    </row>
    <row r="112" spans="1:66" x14ac:dyDescent="0.25">
      <c r="A112" s="49" t="str">
        <f t="shared" si="223"/>
        <v>354800</v>
      </c>
      <c r="B112" s="1307" t="str">
        <f>'HVAC Deemed Table'!C835</f>
        <v>354800_2024_12_</v>
      </c>
      <c r="C112" s="830" t="str">
        <f>'HVAC Deemed Table'!G835</f>
        <v>Cooling Res</v>
      </c>
      <c r="D112" s="830" t="str">
        <f>'HVAC Deemed Table'!G836</f>
        <v>Heating Res</v>
      </c>
      <c r="E112" s="1249"/>
      <c r="F112" s="1249"/>
      <c r="G112" s="1249" t="str">
        <f>'HVAC Deemed Table'!E835</f>
        <v>ASHP-SEER21_ROF_SF</v>
      </c>
      <c r="H112" s="18" t="str">
        <f>'HVAC Deemed Table'!D835</f>
        <v>PAYS / IE</v>
      </c>
      <c r="I112" s="737">
        <f t="shared" ref="I112:I135" si="256">K112+L112</f>
        <v>2181.13</v>
      </c>
      <c r="J112" s="737">
        <f t="shared" ref="J112:J135" si="257">M112+N112</f>
        <v>0</v>
      </c>
      <c r="K112" s="185">
        <f>'HVAC Deemed Table'!F835</f>
        <v>820</v>
      </c>
      <c r="L112" s="185">
        <f>'HVAC Deemed Table'!F836</f>
        <v>1361.13</v>
      </c>
      <c r="M112" s="185"/>
      <c r="N112" s="185"/>
      <c r="O112" s="738">
        <f t="shared" ref="O112:O135" si="258">Q112+R112</f>
        <v>0.77688299999999999</v>
      </c>
      <c r="P112" s="738">
        <f t="shared" ref="P112:P135" si="259">S112+T112</f>
        <v>0</v>
      </c>
      <c r="Q112" s="739">
        <f>'HVAC Deemed Table'!I835</f>
        <v>0.77688299999999999</v>
      </c>
      <c r="R112" s="739">
        <f>'HVAC Deemed Table'!I836</f>
        <v>0</v>
      </c>
      <c r="S112" s="739"/>
      <c r="T112" s="739"/>
      <c r="U112" s="740">
        <f t="shared" si="248"/>
        <v>0</v>
      </c>
      <c r="V112" s="740">
        <f t="shared" si="249"/>
        <v>0</v>
      </c>
      <c r="W112" s="740">
        <f t="shared" si="250"/>
        <v>0.77688299999999999</v>
      </c>
      <c r="X112" s="22">
        <f>'HVAC Deemed Table'!J835</f>
        <v>18</v>
      </c>
      <c r="Y112" s="22"/>
      <c r="Z112" s="22">
        <f t="shared" si="224"/>
        <v>18</v>
      </c>
      <c r="AA112" s="17">
        <f>'HVAC Deemed Table'!DG835</f>
        <v>2.5000528576333734</v>
      </c>
      <c r="AB112" s="241">
        <f>'HVAC Deemed Table'!K835</f>
        <v>1081</v>
      </c>
      <c r="AC112" s="846">
        <f t="shared" si="225"/>
        <v>2702.5571391016765</v>
      </c>
      <c r="AD112" s="846">
        <f t="shared" si="251"/>
        <v>0</v>
      </c>
      <c r="AE112" s="191">
        <f>'HVAC Deemed Table'!DI835</f>
        <v>1877.6104977054488</v>
      </c>
      <c r="AF112" s="191">
        <f>'HVAC Deemed Table'!DI836</f>
        <v>824.94664139622785</v>
      </c>
      <c r="AG112" s="191"/>
      <c r="AH112" s="191"/>
      <c r="AI112" s="850" t="str">
        <f t="shared" si="227"/>
        <v>per measure</v>
      </c>
      <c r="AJ112" s="45">
        <f>'HVAC Deemed Table'!L835</f>
        <v>3.4699494950520831</v>
      </c>
      <c r="AK112" s="609"/>
      <c r="AL112" s="609"/>
      <c r="AX112" s="1226" t="str">
        <f t="shared" si="221"/>
        <v>ASHP-SEER21_ROF_SF</v>
      </c>
      <c r="AY112" s="1249"/>
      <c r="AZ112" s="1312" t="str">
        <f t="shared" si="222"/>
        <v>354800</v>
      </c>
      <c r="BA112" s="1202">
        <f>BA111</f>
        <v>1827.33</v>
      </c>
      <c r="BB112" s="1202">
        <f>BB111</f>
        <v>2002.99</v>
      </c>
      <c r="BC112" s="1202">
        <f>BC111</f>
        <v>810.37</v>
      </c>
      <c r="BD112" s="1202">
        <f>BD111</f>
        <v>1331.502</v>
      </c>
      <c r="BE112" s="1176"/>
      <c r="BF112" s="1192">
        <f>ROUND(BA112*'CP FACTORS'!$B$9,6)</f>
        <v>1.7312460000000001</v>
      </c>
      <c r="BG112" s="1193">
        <f>ROUND(BB112*'CP FACTORS'!$B$14,6)</f>
        <v>0</v>
      </c>
      <c r="BH112" s="1192">
        <f>ROUND(BC112*'CP FACTORS'!$B$9,6)</f>
        <v>0.76775899999999997</v>
      </c>
      <c r="BI112" s="1194">
        <f>ROUND(BD112*'CP FACTORS'!$B$14,6)</f>
        <v>0</v>
      </c>
      <c r="BJ112" s="1176"/>
      <c r="BK112" s="685">
        <f t="shared" si="252"/>
        <v>3830.3199999999997</v>
      </c>
      <c r="BL112" s="1213">
        <f t="shared" si="253"/>
        <v>2141.8719999999998</v>
      </c>
      <c r="BM112" s="1212">
        <f t="shared" si="254"/>
        <v>1.7312460000000001</v>
      </c>
      <c r="BN112" s="1211">
        <f t="shared" si="255"/>
        <v>0.76775899999999997</v>
      </c>
    </row>
    <row r="113" spans="1:66" s="39" customFormat="1" x14ac:dyDescent="0.25">
      <c r="A113" s="49" t="str">
        <f t="shared" si="223"/>
        <v>354850</v>
      </c>
      <c r="B113" s="1307" t="str">
        <f>'HVAC Deemed Table'!C837</f>
        <v>354850_2024_12_</v>
      </c>
      <c r="C113" s="830" t="str">
        <f>'HVAC Deemed Table'!G837</f>
        <v>Cooling Res</v>
      </c>
      <c r="D113" s="830" t="str">
        <f>'HVAC Deemed Table'!G838</f>
        <v>Heating Res</v>
      </c>
      <c r="E113" s="1249"/>
      <c r="F113" s="1249"/>
      <c r="G113" s="1249" t="str">
        <f>'HVAC Deemed Table'!E837</f>
        <v>ASHP-SEER21-Replace_CAC_ElectricHeat_ROF_MF</v>
      </c>
      <c r="H113" s="18" t="str">
        <f>'HVAC Deemed Table'!D837</f>
        <v>IE</v>
      </c>
      <c r="I113" s="737">
        <f t="shared" si="256"/>
        <v>6451.5599999999995</v>
      </c>
      <c r="J113" s="737">
        <f t="shared" si="257"/>
        <v>0</v>
      </c>
      <c r="K113" s="185">
        <f>'HVAC Deemed Table'!F837</f>
        <v>512.58000000000004</v>
      </c>
      <c r="L113" s="185">
        <f>'HVAC Deemed Table'!F838</f>
        <v>5938.98</v>
      </c>
      <c r="M113" s="185"/>
      <c r="N113" s="185"/>
      <c r="O113" s="738">
        <f t="shared" si="258"/>
        <v>0.485628</v>
      </c>
      <c r="P113" s="738">
        <f t="shared" si="259"/>
        <v>0</v>
      </c>
      <c r="Q113" s="739">
        <f>'HVAC Deemed Table'!I837</f>
        <v>0.485628</v>
      </c>
      <c r="R113" s="739">
        <f>'HVAC Deemed Table'!I838</f>
        <v>0</v>
      </c>
      <c r="S113" s="739"/>
      <c r="T113" s="739"/>
      <c r="U113" s="740">
        <f t="shared" si="248"/>
        <v>0</v>
      </c>
      <c r="V113" s="740">
        <f t="shared" si="249"/>
        <v>0</v>
      </c>
      <c r="W113" s="740">
        <f t="shared" si="250"/>
        <v>0.485628</v>
      </c>
      <c r="X113" s="22">
        <f>'HVAC Deemed Table'!J837</f>
        <v>18</v>
      </c>
      <c r="Y113" s="22"/>
      <c r="Z113" s="22">
        <f t="shared" si="224"/>
        <v>18</v>
      </c>
      <c r="AA113" s="17">
        <f>'HVAC Deemed Table'!DG837</f>
        <v>1.2938888781579521</v>
      </c>
      <c r="AB113" s="241">
        <f>'HVAC Deemed Table'!K837</f>
        <v>3689</v>
      </c>
      <c r="AC113" s="846">
        <f t="shared" si="225"/>
        <v>4773.1560715246851</v>
      </c>
      <c r="AD113" s="846">
        <f t="shared" si="251"/>
        <v>0</v>
      </c>
      <c r="AE113" s="191">
        <f>'HVAC Deemed Table'!DI837</f>
        <v>1173.6897425778768</v>
      </c>
      <c r="AF113" s="191">
        <f>'HVAC Deemed Table'!DI838</f>
        <v>3599.4663289468081</v>
      </c>
      <c r="AG113" s="191"/>
      <c r="AH113" s="191"/>
      <c r="AI113" s="850" t="str">
        <f t="shared" si="227"/>
        <v>per measure</v>
      </c>
      <c r="AJ113" s="45">
        <f>'HVAC Deemed Table'!L837</f>
        <v>2.8</v>
      </c>
      <c r="AK113" s="609"/>
      <c r="AL113" s="609"/>
      <c r="AM113"/>
      <c r="AN113"/>
      <c r="AO113"/>
      <c r="AP113"/>
      <c r="AQ113"/>
      <c r="AR113"/>
      <c r="AS113"/>
      <c r="AT113"/>
      <c r="AU113"/>
      <c r="AV113"/>
      <c r="AW113"/>
      <c r="AX113" s="1226" t="str">
        <f t="shared" si="221"/>
        <v>ASHP-SEER21-Replace_CAC_ElectricHeat_ROF_MF</v>
      </c>
      <c r="AY113" s="1249"/>
      <c r="AZ113" s="1312" t="str">
        <f t="shared" si="222"/>
        <v>354850</v>
      </c>
      <c r="BA113" s="1209">
        <f>BA85</f>
        <v>1118.18</v>
      </c>
      <c r="BB113" s="1209">
        <f>BB85</f>
        <v>6320.77</v>
      </c>
      <c r="BC113" s="1209">
        <f>BC85</f>
        <v>545.53</v>
      </c>
      <c r="BD113" s="1209">
        <f>BD85</f>
        <v>6320.77</v>
      </c>
      <c r="BE113" s="1177"/>
      <c r="BF113" s="1192">
        <f>ROUND(BA113*'CP FACTORS'!$B$9,6)</f>
        <v>1.0593840000000001</v>
      </c>
      <c r="BG113" s="1193">
        <f>ROUND(BB113*'CP FACTORS'!$B$14,6)</f>
        <v>0</v>
      </c>
      <c r="BH113" s="1192">
        <f>ROUND(BC113*'CP FACTORS'!$B$9,6)</f>
        <v>0.516845</v>
      </c>
      <c r="BI113" s="1194">
        <f>ROUND(BD113*'CP FACTORS'!$B$14,6)</f>
        <v>0</v>
      </c>
      <c r="BJ113" s="1176"/>
      <c r="BK113" s="685">
        <f t="shared" si="252"/>
        <v>7438.9500000000007</v>
      </c>
      <c r="BL113" s="1213">
        <f t="shared" si="253"/>
        <v>6866.3</v>
      </c>
      <c r="BM113" s="1212">
        <f t="shared" si="254"/>
        <v>1.0593840000000001</v>
      </c>
      <c r="BN113" s="1211">
        <f t="shared" si="255"/>
        <v>0.516845</v>
      </c>
    </row>
    <row r="114" spans="1:66" x14ac:dyDescent="0.25">
      <c r="A114" s="49" t="str">
        <f t="shared" si="223"/>
        <v>354900</v>
      </c>
      <c r="B114" s="1307" t="str">
        <f>'HVAC Deemed Table'!C839</f>
        <v>354900_2024_12_</v>
      </c>
      <c r="C114" s="830" t="str">
        <f>'HVAC Deemed Table'!G839</f>
        <v>Cooling Res</v>
      </c>
      <c r="D114" s="830" t="str">
        <f>'HVAC Deemed Table'!G840</f>
        <v>Heating Res</v>
      </c>
      <c r="E114" s="830" t="str">
        <f>'HVAC Deemed Table'!G841</f>
        <v>Cooling Res ER2</v>
      </c>
      <c r="F114" s="830" t="str">
        <f>'HVAC Deemed Table'!G842</f>
        <v>Heating Res ER2</v>
      </c>
      <c r="G114" s="1249" t="str">
        <f>'HVAC Deemed Table'!E839</f>
        <v>ASHP-SEER21_ER1_MF</v>
      </c>
      <c r="H114" s="18" t="str">
        <f>'HVAC Deemed Table'!D839</f>
        <v>IE</v>
      </c>
      <c r="I114" s="737">
        <f t="shared" si="256"/>
        <v>3179.3599999999997</v>
      </c>
      <c r="J114" s="737">
        <f t="shared" si="257"/>
        <v>1340.45</v>
      </c>
      <c r="K114" s="185">
        <f>'HVAC Deemed Table'!F839</f>
        <v>1620.1</v>
      </c>
      <c r="L114" s="185">
        <f>'HVAC Deemed Table'!F840</f>
        <v>1559.26</v>
      </c>
      <c r="M114" s="185">
        <f>'HVAC Deemed Table'!F841</f>
        <v>499.05</v>
      </c>
      <c r="N114" s="185">
        <f>'HVAC Deemed Table'!F842</f>
        <v>841.4</v>
      </c>
      <c r="O114" s="738">
        <f t="shared" si="258"/>
        <v>1.5349120000000001</v>
      </c>
      <c r="P114" s="738">
        <f t="shared" si="259"/>
        <v>0.47280899999999998</v>
      </c>
      <c r="Q114" s="739">
        <f>'HVAC Deemed Table'!I839</f>
        <v>1.5349120000000001</v>
      </c>
      <c r="R114" s="739">
        <f>'HVAC Deemed Table'!I840</f>
        <v>0</v>
      </c>
      <c r="S114" s="739">
        <f>'HVAC Deemed Table'!I841</f>
        <v>0.47280899999999998</v>
      </c>
      <c r="T114" s="739">
        <f>'HVAC Deemed Table'!I842</f>
        <v>0</v>
      </c>
      <c r="U114" s="740">
        <f t="shared" si="248"/>
        <v>0</v>
      </c>
      <c r="V114" s="740">
        <f t="shared" si="249"/>
        <v>0</v>
      </c>
      <c r="W114" s="740">
        <f t="shared" si="250"/>
        <v>1.5349120000000001</v>
      </c>
      <c r="X114" s="22">
        <f>'HVAC Deemed Table'!J839</f>
        <v>6</v>
      </c>
      <c r="Y114" s="22">
        <f>'HVAC Deemed Table'!J841</f>
        <v>12</v>
      </c>
      <c r="Z114" s="22">
        <f t="shared" si="224"/>
        <v>18</v>
      </c>
      <c r="AA114" s="17">
        <f>'HVAC Deemed Table'!DG839</f>
        <v>2.7485108238735068</v>
      </c>
      <c r="AB114" s="241">
        <f>'HVAC Deemed Table'!K839</f>
        <v>1077.5183641564863</v>
      </c>
      <c r="AC114" s="846">
        <f t="shared" si="225"/>
        <v>2031.5339947503383</v>
      </c>
      <c r="AD114" s="846">
        <f t="shared" si="251"/>
        <v>930.03689205623948</v>
      </c>
      <c r="AE114" s="191">
        <f>'HVAC Deemed Table'!DI839</f>
        <v>1613.3735024747598</v>
      </c>
      <c r="AF114" s="191">
        <f>'HVAC Deemed Table'!DI840</f>
        <v>418.16049227557852</v>
      </c>
      <c r="AG114" s="191">
        <f>'HVAC Deemed Table'!DI841</f>
        <v>645.73117639614918</v>
      </c>
      <c r="AH114" s="191">
        <f>'HVAC Deemed Table'!DI842</f>
        <v>284.3057156600903</v>
      </c>
      <c r="AI114" s="850" t="str">
        <f t="shared" si="227"/>
        <v>per measure</v>
      </c>
      <c r="AJ114" s="45">
        <f>'HVAC Deemed Table'!L839</f>
        <v>3.3</v>
      </c>
      <c r="AK114" s="609"/>
      <c r="AL114" s="609"/>
      <c r="AX114" s="1226" t="str">
        <f t="shared" si="221"/>
        <v>ASHP-SEER21_ER1_MF</v>
      </c>
      <c r="AY114" s="1249"/>
      <c r="AZ114" s="1312" t="str">
        <f t="shared" si="222"/>
        <v>354900</v>
      </c>
      <c r="BA114" s="1202">
        <f>ROUND((K114*$BC$3)+(K119*$BC$4),2)</f>
        <v>1171.68</v>
      </c>
      <c r="BB114" s="1202">
        <f>ROUND((L114*$BC$3)+(L119*$BC$4),2)</f>
        <v>1272.1199999999999</v>
      </c>
      <c r="BC114" s="1202">
        <f>ROUND((M114*$BC$3)+(K119*$BC$4),2)</f>
        <v>499.05</v>
      </c>
      <c r="BD114" s="1202">
        <f>ROUND((N114*$BC$3)+(L119*$BC$4),2)</f>
        <v>841.4</v>
      </c>
      <c r="BE114" s="1176"/>
      <c r="BF114" s="1192">
        <f>ROUND(BA114*'CP FACTORS'!$B$9,6)</f>
        <v>1.110071</v>
      </c>
      <c r="BG114" s="1193">
        <f>ROUND(BB114*'CP FACTORS'!$B$14,6)</f>
        <v>0</v>
      </c>
      <c r="BH114" s="1192">
        <f>ROUND(BC114*'CP FACTORS'!$B$9,6)</f>
        <v>0.47280899999999998</v>
      </c>
      <c r="BI114" s="1194">
        <f>ROUND(BD114*'CP FACTORS'!$B$14,6)</f>
        <v>0</v>
      </c>
      <c r="BJ114" s="1176"/>
      <c r="BK114" s="685">
        <f t="shared" si="252"/>
        <v>2443.8000000000002</v>
      </c>
      <c r="BL114" s="1213">
        <f t="shared" si="253"/>
        <v>1340.45</v>
      </c>
      <c r="BM114" s="1212">
        <f t="shared" si="254"/>
        <v>1.110071</v>
      </c>
      <c r="BN114" s="1211">
        <f t="shared" si="255"/>
        <v>0.47280899999999998</v>
      </c>
    </row>
    <row r="115" spans="1:66" x14ac:dyDescent="0.25">
      <c r="A115" s="49" t="str">
        <f t="shared" si="223"/>
        <v>354950</v>
      </c>
      <c r="B115" s="1307" t="str">
        <f>'HVAC Deemed Table'!C843</f>
        <v>354950_2024_12_</v>
      </c>
      <c r="C115" s="830" t="str">
        <f>'HVAC Deemed Table'!G843</f>
        <v>Cooling Res</v>
      </c>
      <c r="D115" s="830" t="str">
        <f>'HVAC Deemed Table'!G844</f>
        <v>Heating Res</v>
      </c>
      <c r="E115" s="1249"/>
      <c r="F115" s="1249"/>
      <c r="G115" s="1249" t="str">
        <f>'HVAC Deemed Table'!E843</f>
        <v>ASHP-SEER17_ROF_MF</v>
      </c>
      <c r="H115" s="18" t="str">
        <f>'HVAC Deemed Table'!D843</f>
        <v>IE</v>
      </c>
      <c r="I115" s="737">
        <f t="shared" si="256"/>
        <v>825.66000000000008</v>
      </c>
      <c r="J115" s="737">
        <f t="shared" si="257"/>
        <v>0</v>
      </c>
      <c r="K115" s="185">
        <f>'HVAC Deemed Table'!F843</f>
        <v>248.43</v>
      </c>
      <c r="L115" s="185">
        <f>'HVAC Deemed Table'!F844</f>
        <v>577.23</v>
      </c>
      <c r="M115" s="185"/>
      <c r="N115" s="185"/>
      <c r="O115" s="738">
        <f t="shared" si="258"/>
        <v>0.23536699999999999</v>
      </c>
      <c r="P115" s="738">
        <f t="shared" si="259"/>
        <v>0</v>
      </c>
      <c r="Q115" s="739">
        <f>'HVAC Deemed Table'!I843</f>
        <v>0.23536699999999999</v>
      </c>
      <c r="R115" s="739">
        <f>'HVAC Deemed Table'!I844</f>
        <v>0</v>
      </c>
      <c r="S115" s="739"/>
      <c r="T115" s="739"/>
      <c r="U115" s="740">
        <f t="shared" si="248"/>
        <v>0</v>
      </c>
      <c r="V115" s="740">
        <f t="shared" si="249"/>
        <v>0</v>
      </c>
      <c r="W115" s="740">
        <f t="shared" si="250"/>
        <v>0.23536699999999999</v>
      </c>
      <c r="X115" s="22">
        <f>'HVAC Deemed Table'!J843</f>
        <v>18</v>
      </c>
      <c r="Y115" s="22"/>
      <c r="Z115" s="22">
        <f t="shared" si="224"/>
        <v>18</v>
      </c>
      <c r="AA115" s="17">
        <f>'HVAC Deemed Table'!DG843</f>
        <v>1.4582410559802661</v>
      </c>
      <c r="AB115" s="241">
        <f>'HVAC Deemed Table'!K843</f>
        <v>630</v>
      </c>
      <c r="AC115" s="846">
        <f t="shared" si="225"/>
        <v>918.69186526756766</v>
      </c>
      <c r="AD115" s="846">
        <f t="shared" si="251"/>
        <v>0</v>
      </c>
      <c r="AE115" s="191">
        <f>'HVAC Deemed Table'!DI843</f>
        <v>568.8472877377618</v>
      </c>
      <c r="AF115" s="191">
        <f>'HVAC Deemed Table'!DI844</f>
        <v>349.8445775298058</v>
      </c>
      <c r="AG115" s="191"/>
      <c r="AH115" s="191"/>
      <c r="AI115" s="850" t="str">
        <f t="shared" si="227"/>
        <v>per measure</v>
      </c>
      <c r="AJ115" s="45">
        <f>'HVAC Deemed Table'!L843</f>
        <v>3.3</v>
      </c>
      <c r="AK115" s="609"/>
      <c r="AL115" s="609"/>
      <c r="AX115" s="1226" t="str">
        <f t="shared" si="221"/>
        <v>ASHP-SEER17_ROF_MF</v>
      </c>
      <c r="AY115" s="1249"/>
      <c r="AZ115" s="1312" t="str">
        <f t="shared" si="222"/>
        <v>354950</v>
      </c>
      <c r="BA115" s="1210">
        <f>BA98</f>
        <v>921.05</v>
      </c>
      <c r="BB115" s="1210">
        <f>BB98</f>
        <v>1007.95</v>
      </c>
      <c r="BC115" s="1210">
        <f>BC98</f>
        <v>248.43</v>
      </c>
      <c r="BD115" s="1210">
        <f>BD98</f>
        <v>577.23</v>
      </c>
      <c r="BE115" s="1176"/>
      <c r="BF115" s="1192">
        <f>ROUND(BA115*'CP FACTORS'!$B$9,6)</f>
        <v>0.87261900000000003</v>
      </c>
      <c r="BG115" s="1193">
        <f>ROUND(BB115*'CP FACTORS'!$B$14,6)</f>
        <v>0</v>
      </c>
      <c r="BH115" s="1192">
        <f>ROUND(BC115*'CP FACTORS'!$B$9,6)</f>
        <v>0.23536699999999999</v>
      </c>
      <c r="BI115" s="1194">
        <f>ROUND(BD115*'CP FACTORS'!$B$14,6)</f>
        <v>0</v>
      </c>
      <c r="BJ115" s="1176"/>
      <c r="BK115" s="685">
        <f t="shared" si="252"/>
        <v>1929</v>
      </c>
      <c r="BL115" s="1213">
        <f t="shared" si="253"/>
        <v>825.66000000000008</v>
      </c>
      <c r="BM115" s="1212">
        <f t="shared" si="254"/>
        <v>0.87261900000000003</v>
      </c>
      <c r="BN115" s="1211">
        <f t="shared" si="255"/>
        <v>0.23536699999999999</v>
      </c>
    </row>
    <row r="116" spans="1:66" x14ac:dyDescent="0.25">
      <c r="A116" s="49" t="str">
        <f t="shared" si="223"/>
        <v>355000</v>
      </c>
      <c r="B116" s="1307" t="str">
        <f>'HVAC Deemed Table'!C845</f>
        <v>355000_2024_12_</v>
      </c>
      <c r="C116" s="830" t="str">
        <f>'HVAC Deemed Table'!G845</f>
        <v>Cooling Res</v>
      </c>
      <c r="D116" s="830" t="str">
        <f>'HVAC Deemed Table'!G846</f>
        <v>Heating Res</v>
      </c>
      <c r="E116" s="1249"/>
      <c r="F116" s="1249"/>
      <c r="G116" s="1249" t="str">
        <f>'HVAC Deemed Table'!E845</f>
        <v>ASHP-SEER18_ROF_MF</v>
      </c>
      <c r="H116" s="18" t="str">
        <f>'HVAC Deemed Table'!D845</f>
        <v>IE</v>
      </c>
      <c r="I116" s="737">
        <f t="shared" si="256"/>
        <v>925.56</v>
      </c>
      <c r="J116" s="737">
        <f t="shared" si="257"/>
        <v>0</v>
      </c>
      <c r="K116" s="185">
        <f>'HVAC Deemed Table'!F845</f>
        <v>321.52999999999997</v>
      </c>
      <c r="L116" s="185">
        <f>'HVAC Deemed Table'!F846</f>
        <v>604.03</v>
      </c>
      <c r="M116" s="185"/>
      <c r="N116" s="185"/>
      <c r="O116" s="738">
        <f t="shared" si="258"/>
        <v>0.30462299999999998</v>
      </c>
      <c r="P116" s="738">
        <f t="shared" si="259"/>
        <v>0</v>
      </c>
      <c r="Q116" s="739">
        <f>'HVAC Deemed Table'!I845</f>
        <v>0.30462299999999998</v>
      </c>
      <c r="R116" s="739">
        <f>'HVAC Deemed Table'!I846</f>
        <v>0</v>
      </c>
      <c r="S116" s="739"/>
      <c r="T116" s="739"/>
      <c r="U116" s="740">
        <f t="shared" si="248"/>
        <v>0</v>
      </c>
      <c r="V116" s="740">
        <f t="shared" si="249"/>
        <v>0</v>
      </c>
      <c r="W116" s="740">
        <f t="shared" si="250"/>
        <v>0.30462299999999998</v>
      </c>
      <c r="X116" s="22">
        <f>'HVAC Deemed Table'!J845</f>
        <v>18</v>
      </c>
      <c r="Y116" s="22"/>
      <c r="Z116" s="22">
        <f t="shared" si="224"/>
        <v>18</v>
      </c>
      <c r="AA116" s="17">
        <f>'HVAC Deemed Table'!DG845</f>
        <v>1.2892593888112049</v>
      </c>
      <c r="AB116" s="241">
        <f>'HVAC Deemed Table'!K845</f>
        <v>855</v>
      </c>
      <c r="AC116" s="846">
        <f t="shared" si="225"/>
        <v>1102.3167774335802</v>
      </c>
      <c r="AD116" s="846">
        <f t="shared" si="251"/>
        <v>0</v>
      </c>
      <c r="AE116" s="191">
        <f>'HVAC Deemed Table'!DI845</f>
        <v>736.22939430150359</v>
      </c>
      <c r="AF116" s="191">
        <f>'HVAC Deemed Table'!DI846</f>
        <v>366.08738313207664</v>
      </c>
      <c r="AG116" s="191"/>
      <c r="AH116" s="191"/>
      <c r="AI116" s="850" t="str">
        <f t="shared" si="227"/>
        <v>per measure</v>
      </c>
      <c r="AJ116" s="45">
        <f>'HVAC Deemed Table'!L845</f>
        <v>3.3</v>
      </c>
      <c r="AK116" s="609"/>
      <c r="AL116" s="609"/>
      <c r="AX116" s="1226" t="str">
        <f t="shared" si="221"/>
        <v>ASHP-SEER18_ROF_MF</v>
      </c>
      <c r="AY116" s="1249"/>
      <c r="AZ116" s="1312" t="str">
        <f t="shared" si="222"/>
        <v>355000</v>
      </c>
      <c r="BA116" s="1204">
        <f>BA102</f>
        <v>1607.47</v>
      </c>
      <c r="BB116" s="1204">
        <f>BB102</f>
        <v>1166.01</v>
      </c>
      <c r="BC116" s="1204">
        <f>BC102</f>
        <v>353.46</v>
      </c>
      <c r="BD116" s="1204">
        <f>BD102</f>
        <v>664.01</v>
      </c>
      <c r="BE116" s="1176"/>
      <c r="BF116" s="1192">
        <f>ROUND(BA116*'CP FACTORS'!$B$9,6)</f>
        <v>1.5229459999999999</v>
      </c>
      <c r="BG116" s="1193">
        <f>ROUND(BB116*'CP FACTORS'!$B$14,6)</f>
        <v>0</v>
      </c>
      <c r="BH116" s="1192">
        <f>ROUND(BC116*'CP FACTORS'!$B$9,6)</f>
        <v>0.334874</v>
      </c>
      <c r="BI116" s="1194">
        <f>ROUND(BD116*'CP FACTORS'!$B$14,6)</f>
        <v>0</v>
      </c>
      <c r="BJ116" s="1176"/>
      <c r="BK116" s="685">
        <f t="shared" si="252"/>
        <v>2773.48</v>
      </c>
      <c r="BL116" s="1213">
        <f t="shared" si="253"/>
        <v>1017.47</v>
      </c>
      <c r="BM116" s="1212">
        <f t="shared" si="254"/>
        <v>1.5229459999999999</v>
      </c>
      <c r="BN116" s="1211">
        <f t="shared" si="255"/>
        <v>0.334874</v>
      </c>
    </row>
    <row r="117" spans="1:66" x14ac:dyDescent="0.25">
      <c r="A117" s="49" t="str">
        <f t="shared" si="223"/>
        <v>355050</v>
      </c>
      <c r="B117" s="1307" t="str">
        <f>'HVAC Deemed Table'!C847</f>
        <v>355050_2024_12_</v>
      </c>
      <c r="C117" s="830" t="str">
        <f>'HVAC Deemed Table'!G847</f>
        <v>Cooling Res</v>
      </c>
      <c r="D117" s="830" t="str">
        <f>'HVAC Deemed Table'!G848</f>
        <v>Heating Res</v>
      </c>
      <c r="E117" s="1249"/>
      <c r="F117" s="1249"/>
      <c r="G117" s="1249" t="str">
        <f>'HVAC Deemed Table'!E847</f>
        <v>ASHP-SEER19_ROF_MF</v>
      </c>
      <c r="H117" s="18" t="str">
        <f>'HVAC Deemed Table'!D847</f>
        <v>IE</v>
      </c>
      <c r="I117" s="737">
        <f t="shared" si="256"/>
        <v>1059.2</v>
      </c>
      <c r="J117" s="737">
        <f t="shared" si="257"/>
        <v>0</v>
      </c>
      <c r="K117" s="185">
        <f>'HVAC Deemed Table'!F847</f>
        <v>386.93</v>
      </c>
      <c r="L117" s="185">
        <f>'HVAC Deemed Table'!F848</f>
        <v>672.27</v>
      </c>
      <c r="M117" s="185"/>
      <c r="N117" s="185"/>
      <c r="O117" s="738">
        <f t="shared" si="258"/>
        <v>0.36658400000000002</v>
      </c>
      <c r="P117" s="738">
        <f t="shared" si="259"/>
        <v>0</v>
      </c>
      <c r="Q117" s="739">
        <f>'HVAC Deemed Table'!I847</f>
        <v>0.36658400000000002</v>
      </c>
      <c r="R117" s="739">
        <f>'HVAC Deemed Table'!I848</f>
        <v>0</v>
      </c>
      <c r="S117" s="739"/>
      <c r="T117" s="739"/>
      <c r="U117" s="740">
        <f t="shared" si="248"/>
        <v>0</v>
      </c>
      <c r="V117" s="740">
        <f t="shared" si="249"/>
        <v>0</v>
      </c>
      <c r="W117" s="740">
        <f t="shared" si="250"/>
        <v>0.36658400000000002</v>
      </c>
      <c r="X117" s="22">
        <f>'HVAC Deemed Table'!J847</f>
        <v>18</v>
      </c>
      <c r="Y117" s="22"/>
      <c r="Z117" s="22">
        <f t="shared" si="224"/>
        <v>18</v>
      </c>
      <c r="AA117" s="17">
        <f>'HVAC Deemed Table'!DG847</f>
        <v>1.196508982675567</v>
      </c>
      <c r="AB117" s="241">
        <f>'HVAC Deemed Table'!K847</f>
        <v>1081</v>
      </c>
      <c r="AC117" s="846">
        <f t="shared" si="225"/>
        <v>1293.426210272288</v>
      </c>
      <c r="AD117" s="846">
        <f t="shared" si="251"/>
        <v>0</v>
      </c>
      <c r="AE117" s="191">
        <f>'HVAC Deemed Table'!DI847</f>
        <v>885.98028033801131</v>
      </c>
      <c r="AF117" s="191">
        <f>'HVAC Deemed Table'!DI848</f>
        <v>407.44592993427671</v>
      </c>
      <c r="AG117" s="191"/>
      <c r="AH117" s="191"/>
      <c r="AI117" s="850" t="str">
        <f t="shared" si="227"/>
        <v>per measure</v>
      </c>
      <c r="AJ117" s="45">
        <f>'HVAC Deemed Table'!L847</f>
        <v>3.3</v>
      </c>
      <c r="AK117" s="609"/>
      <c r="AL117" s="609"/>
      <c r="AX117" s="1226" t="str">
        <f t="shared" si="221"/>
        <v>ASHP-SEER19_ROF_MF</v>
      </c>
      <c r="AY117" s="1249"/>
      <c r="AZ117" s="1312" t="str">
        <f t="shared" si="222"/>
        <v>355050</v>
      </c>
      <c r="BA117" s="1210">
        <f>BA106</f>
        <v>1059.55</v>
      </c>
      <c r="BB117" s="1210">
        <f>BB106</f>
        <v>1102.99</v>
      </c>
      <c r="BC117" s="1210">
        <f>BC106</f>
        <v>386.93</v>
      </c>
      <c r="BD117" s="1210">
        <f>BD106</f>
        <v>672.27</v>
      </c>
      <c r="BE117" s="1176"/>
      <c r="BF117" s="1192">
        <f>ROUND(BA117*'CP FACTORS'!$B$9,6)</f>
        <v>1.0038370000000001</v>
      </c>
      <c r="BG117" s="1193">
        <f>ROUND(BB117*'CP FACTORS'!$B$14,6)</f>
        <v>0</v>
      </c>
      <c r="BH117" s="1192">
        <f>ROUND(BC117*'CP FACTORS'!$B$9,6)</f>
        <v>0.36658400000000002</v>
      </c>
      <c r="BI117" s="1194">
        <f>ROUND(BD117*'CP FACTORS'!$B$14,6)</f>
        <v>0</v>
      </c>
      <c r="BJ117" s="1176"/>
      <c r="BK117" s="685">
        <f t="shared" si="252"/>
        <v>2162.54</v>
      </c>
      <c r="BL117" s="1213">
        <f t="shared" si="253"/>
        <v>1059.2</v>
      </c>
      <c r="BM117" s="1212">
        <f t="shared" si="254"/>
        <v>1.0038370000000001</v>
      </c>
      <c r="BN117" s="1211">
        <f t="shared" si="255"/>
        <v>0.36658400000000002</v>
      </c>
    </row>
    <row r="118" spans="1:66" x14ac:dyDescent="0.25">
      <c r="A118" s="49" t="str">
        <f t="shared" si="223"/>
        <v>355100</v>
      </c>
      <c r="B118" s="1307" t="str">
        <f>'HVAC Deemed Table'!C849</f>
        <v>355100_2024_12_</v>
      </c>
      <c r="C118" s="830" t="str">
        <f>'HVAC Deemed Table'!G849</f>
        <v>Cooling Res</v>
      </c>
      <c r="D118" s="830" t="str">
        <f>'HVAC Deemed Table'!G850</f>
        <v>Heating Res</v>
      </c>
      <c r="E118" s="1249"/>
      <c r="F118" s="1249"/>
      <c r="G118" s="1249" t="str">
        <f>'HVAC Deemed Table'!E849</f>
        <v>ASHP-SEER20_ROF_MF</v>
      </c>
      <c r="H118" s="18" t="str">
        <f>'HVAC Deemed Table'!D849</f>
        <v>IE</v>
      </c>
      <c r="I118" s="737">
        <f t="shared" si="256"/>
        <v>1238.8</v>
      </c>
      <c r="J118" s="737">
        <f t="shared" si="257"/>
        <v>0</v>
      </c>
      <c r="K118" s="185">
        <f>'HVAC Deemed Table'!F849</f>
        <v>445.8</v>
      </c>
      <c r="L118" s="185">
        <f>'HVAC Deemed Table'!F850</f>
        <v>793</v>
      </c>
      <c r="M118" s="185"/>
      <c r="N118" s="185"/>
      <c r="O118" s="738">
        <f t="shared" si="258"/>
        <v>0.42235899999999998</v>
      </c>
      <c r="P118" s="738">
        <f t="shared" si="259"/>
        <v>0</v>
      </c>
      <c r="Q118" s="739">
        <f>'HVAC Deemed Table'!I849</f>
        <v>0.42235899999999998</v>
      </c>
      <c r="R118" s="739">
        <f>'HVAC Deemed Table'!I850</f>
        <v>0</v>
      </c>
      <c r="S118" s="739"/>
      <c r="T118" s="739"/>
      <c r="U118" s="740">
        <f t="shared" si="248"/>
        <v>0</v>
      </c>
      <c r="V118" s="740">
        <f t="shared" si="249"/>
        <v>0</v>
      </c>
      <c r="W118" s="740">
        <f t="shared" si="250"/>
        <v>0.42235899999999998</v>
      </c>
      <c r="X118" s="22">
        <f>'HVAC Deemed Table'!J849</f>
        <v>18</v>
      </c>
      <c r="Y118" s="22"/>
      <c r="Z118" s="22">
        <f t="shared" si="224"/>
        <v>18</v>
      </c>
      <c r="AA118" s="17">
        <f>'HVAC Deemed Table'!DG849</f>
        <v>1.3888957634903127</v>
      </c>
      <c r="AB118" s="241">
        <f>'HVAC Deemed Table'!K849</f>
        <v>1081</v>
      </c>
      <c r="AC118" s="846">
        <f t="shared" si="225"/>
        <v>1501.3963203330281</v>
      </c>
      <c r="AD118" s="846">
        <f t="shared" si="251"/>
        <v>0</v>
      </c>
      <c r="AE118" s="191">
        <f>'HVAC Deemed Table'!DI849</f>
        <v>1020.7789754598648</v>
      </c>
      <c r="AF118" s="191">
        <f>'HVAC Deemed Table'!DI850</f>
        <v>480.61734487316323</v>
      </c>
      <c r="AG118" s="191"/>
      <c r="AH118" s="191"/>
      <c r="AI118" s="850" t="str">
        <f t="shared" si="227"/>
        <v>per measure</v>
      </c>
      <c r="AJ118" s="45">
        <f>'HVAC Deemed Table'!L849</f>
        <v>3.3</v>
      </c>
      <c r="AK118" s="609"/>
      <c r="AL118" s="609"/>
      <c r="AX118" s="1226" t="str">
        <f t="shared" ref="AX118:AX152" si="260">G118</f>
        <v>ASHP-SEER20_ROF_MF</v>
      </c>
      <c r="AY118" s="1249"/>
      <c r="AZ118" s="1312" t="str">
        <f t="shared" ref="AZ118:AZ152" si="261">A118</f>
        <v>355100</v>
      </c>
      <c r="BA118" s="1204">
        <f>BA110</f>
        <v>1118.42</v>
      </c>
      <c r="BB118" s="1204">
        <f>BB110</f>
        <v>1223.72</v>
      </c>
      <c r="BC118" s="1204">
        <f>BC110</f>
        <v>445.8</v>
      </c>
      <c r="BD118" s="1204">
        <f>BD110</f>
        <v>793</v>
      </c>
      <c r="BE118" s="1176"/>
      <c r="BF118" s="1192">
        <f>ROUND(BA118*'CP FACTORS'!$B$9,6)</f>
        <v>1.0596110000000001</v>
      </c>
      <c r="BG118" s="1193">
        <f>ROUND(BB118*'CP FACTORS'!$B$14,6)</f>
        <v>0</v>
      </c>
      <c r="BH118" s="1192">
        <f>ROUND(BC118*'CP FACTORS'!$B$9,6)</f>
        <v>0.42235899999999998</v>
      </c>
      <c r="BI118" s="1194">
        <f>ROUND(BD118*'CP FACTORS'!$B$14,6)</f>
        <v>0</v>
      </c>
      <c r="BJ118" s="1176"/>
      <c r="BK118" s="685">
        <f t="shared" si="252"/>
        <v>2342.1400000000003</v>
      </c>
      <c r="BL118" s="1213">
        <f t="shared" si="253"/>
        <v>1238.8</v>
      </c>
      <c r="BM118" s="1212">
        <f t="shared" si="254"/>
        <v>1.0596110000000001</v>
      </c>
      <c r="BN118" s="1211">
        <f t="shared" si="255"/>
        <v>0.42235899999999998</v>
      </c>
    </row>
    <row r="119" spans="1:66" x14ac:dyDescent="0.25">
      <c r="A119" s="49" t="str">
        <f t="shared" si="223"/>
        <v>355150</v>
      </c>
      <c r="B119" s="1307" t="str">
        <f>'HVAC Deemed Table'!C851</f>
        <v>355150_2024_12_</v>
      </c>
      <c r="C119" s="830" t="str">
        <f>'HVAC Deemed Table'!G851</f>
        <v>Cooling Res</v>
      </c>
      <c r="D119" s="830" t="str">
        <f>'HVAC Deemed Table'!G852</f>
        <v>Heating Res</v>
      </c>
      <c r="E119" s="1249"/>
      <c r="F119" s="1249"/>
      <c r="G119" s="1249" t="str">
        <f>'HVAC Deemed Table'!E851</f>
        <v>ASHP-SEER21_ROF_MF</v>
      </c>
      <c r="H119" s="18" t="str">
        <f>'HVAC Deemed Table'!D851</f>
        <v>IE</v>
      </c>
      <c r="I119" s="737">
        <f t="shared" si="256"/>
        <v>1340.45</v>
      </c>
      <c r="J119" s="737">
        <f t="shared" si="257"/>
        <v>0</v>
      </c>
      <c r="K119" s="185">
        <f>'HVAC Deemed Table'!F851</f>
        <v>499.05</v>
      </c>
      <c r="L119" s="185">
        <f>'HVAC Deemed Table'!F852</f>
        <v>841.4</v>
      </c>
      <c r="M119" s="185"/>
      <c r="N119" s="185"/>
      <c r="O119" s="738">
        <f t="shared" si="258"/>
        <v>0.47280899999999998</v>
      </c>
      <c r="P119" s="738">
        <f t="shared" si="259"/>
        <v>0</v>
      </c>
      <c r="Q119" s="739">
        <f>'HVAC Deemed Table'!I851</f>
        <v>0.47280899999999998</v>
      </c>
      <c r="R119" s="739">
        <f>'HVAC Deemed Table'!I852</f>
        <v>0</v>
      </c>
      <c r="S119" s="739"/>
      <c r="T119" s="739"/>
      <c r="U119" s="740">
        <f t="shared" si="248"/>
        <v>0</v>
      </c>
      <c r="V119" s="740">
        <f t="shared" si="249"/>
        <v>0</v>
      </c>
      <c r="W119" s="740">
        <f t="shared" si="250"/>
        <v>0.47280899999999998</v>
      </c>
      <c r="X119" s="22">
        <f>'HVAC Deemed Table'!J851</f>
        <v>18</v>
      </c>
      <c r="Y119" s="22"/>
      <c r="Z119" s="22">
        <f t="shared" si="224"/>
        <v>18</v>
      </c>
      <c r="AA119" s="17">
        <f>'HVAC Deemed Table'!DG851</f>
        <v>1.5288256579988275</v>
      </c>
      <c r="AB119" s="241">
        <f>'HVAC Deemed Table'!K851</f>
        <v>1081</v>
      </c>
      <c r="AC119" s="846">
        <f t="shared" si="225"/>
        <v>1652.6605362967325</v>
      </c>
      <c r="AD119" s="846">
        <f t="shared" si="251"/>
        <v>0</v>
      </c>
      <c r="AE119" s="191">
        <f>'HVAC Deemed Table'!DI851</f>
        <v>1142.7091693657369</v>
      </c>
      <c r="AF119" s="191">
        <f>'HVAC Deemed Table'!DI852</f>
        <v>509.95136693099562</v>
      </c>
      <c r="AG119" s="191"/>
      <c r="AH119" s="191"/>
      <c r="AI119" s="850" t="str">
        <f t="shared" si="227"/>
        <v>per measure</v>
      </c>
      <c r="AJ119" s="45">
        <f>'HVAC Deemed Table'!L851</f>
        <v>3.3</v>
      </c>
      <c r="AK119" s="609"/>
      <c r="AL119" s="609"/>
      <c r="AX119" s="1226" t="str">
        <f t="shared" si="260"/>
        <v>ASHP-SEER21_ROF_MF</v>
      </c>
      <c r="AY119" s="1249"/>
      <c r="AZ119" s="1312" t="str">
        <f t="shared" si="261"/>
        <v>355150</v>
      </c>
      <c r="BA119" s="1210">
        <f>BA114</f>
        <v>1171.68</v>
      </c>
      <c r="BB119" s="1210">
        <f>BB114</f>
        <v>1272.1199999999999</v>
      </c>
      <c r="BC119" s="1210">
        <f>BC114</f>
        <v>499.05</v>
      </c>
      <c r="BD119" s="1210">
        <f>BD114</f>
        <v>841.4</v>
      </c>
      <c r="BE119" s="1176"/>
      <c r="BF119" s="1192">
        <f>ROUND(BA119*'CP FACTORS'!$B$9,6)</f>
        <v>1.110071</v>
      </c>
      <c r="BG119" s="1193">
        <f>ROUND(BB119*'CP FACTORS'!$B$14,6)</f>
        <v>0</v>
      </c>
      <c r="BH119" s="1192">
        <f>ROUND(BC119*'CP FACTORS'!$B$9,6)</f>
        <v>0.47280899999999998</v>
      </c>
      <c r="BI119" s="1194">
        <f>ROUND(BD119*'CP FACTORS'!$B$14,6)</f>
        <v>0</v>
      </c>
      <c r="BJ119" s="1176"/>
      <c r="BK119" s="685">
        <f t="shared" si="252"/>
        <v>2443.8000000000002</v>
      </c>
      <c r="BL119" s="1213">
        <f t="shared" si="253"/>
        <v>1340.45</v>
      </c>
      <c r="BM119" s="1212">
        <f t="shared" si="254"/>
        <v>1.110071</v>
      </c>
      <c r="BN119" s="1211">
        <f t="shared" si="255"/>
        <v>0.47280899999999998</v>
      </c>
    </row>
    <row r="120" spans="1:66" s="39" customFormat="1" x14ac:dyDescent="0.25">
      <c r="A120" s="49" t="str">
        <f t="shared" ref="A120:A136" si="262">LEFT(B120,6)</f>
        <v>356200</v>
      </c>
      <c r="B120" s="1307" t="str">
        <f>'HVAC Deemed Table'!C2224</f>
        <v>356200_2024_12_</v>
      </c>
      <c r="C120" s="830" t="str">
        <f>'HVAC Deemed Table'!G2224</f>
        <v>Cooling Res</v>
      </c>
      <c r="D120" s="830" t="str">
        <f>'HVAC Deemed Table'!G2225</f>
        <v>Heating Res</v>
      </c>
      <c r="E120" s="1249" t="str">
        <f>'HVAC Deemed Table'!G2226</f>
        <v>Cooling Res ER2</v>
      </c>
      <c r="F120" s="1249" t="str">
        <f>'HVAC Deemed Table'!G2227</f>
        <v>Heating Res ER2</v>
      </c>
      <c r="G120" s="1307" t="str">
        <f>'HVAC Deemed Table'!E2224</f>
        <v>PTHP-SEER12-ER1_MF</v>
      </c>
      <c r="H120" s="18" t="str">
        <f>'HVAC Deemed Table'!D2224</f>
        <v>IE</v>
      </c>
      <c r="I120" s="1120">
        <f t="shared" si="256"/>
        <v>1689.45</v>
      </c>
      <c r="J120" s="1120">
        <f t="shared" si="257"/>
        <v>128.07999999999998</v>
      </c>
      <c r="K120" s="1121">
        <f>'HVAC Deemed Table'!F2224</f>
        <v>459.54</v>
      </c>
      <c r="L120" s="1121">
        <f>'HVAC Deemed Table'!F2225</f>
        <v>1229.9100000000001</v>
      </c>
      <c r="M120" s="1121">
        <f>'HVAC Deemed Table'!F2226</f>
        <v>16</v>
      </c>
      <c r="N120" s="1121">
        <f>'HVAC Deemed Table'!F2227</f>
        <v>112.08</v>
      </c>
      <c r="O120" s="1122">
        <f t="shared" si="258"/>
        <v>0.43537700000000001</v>
      </c>
      <c r="P120" s="1122">
        <f t="shared" si="259"/>
        <v>1.5159000000000001E-2</v>
      </c>
      <c r="Q120" s="739">
        <f>'HVAC Deemed Table'!I2224</f>
        <v>0.43537700000000001</v>
      </c>
      <c r="R120" s="739">
        <f>'HVAC Deemed Table'!I2225</f>
        <v>0</v>
      </c>
      <c r="S120" s="739">
        <f>'HVAC Deemed Table'!I2226</f>
        <v>1.5159000000000001E-2</v>
      </c>
      <c r="T120" s="739">
        <f>'HVAC Deemed Table'!I2227</f>
        <v>0</v>
      </c>
      <c r="U120" s="740">
        <f t="shared" si="248"/>
        <v>0</v>
      </c>
      <c r="V120" s="740">
        <f t="shared" si="249"/>
        <v>0</v>
      </c>
      <c r="W120" s="740">
        <f t="shared" si="250"/>
        <v>0.43537700000000001</v>
      </c>
      <c r="X120" s="22">
        <f>'HVAC Deemed Table'!J2224</f>
        <v>5</v>
      </c>
      <c r="Y120" s="22">
        <f>'HVAC Deemed Table'!J2226</f>
        <v>10</v>
      </c>
      <c r="Z120" s="22">
        <f t="shared" ref="Z120:Z136" si="263">Y120+X120</f>
        <v>15</v>
      </c>
      <c r="AA120" s="17">
        <f>'HVAC Deemed Table'!DG2224</f>
        <v>3.2268773695351931</v>
      </c>
      <c r="AB120" s="241">
        <f>'HVAC Deemed Table'!K2224</f>
        <v>224.93182686576984</v>
      </c>
      <c r="AC120" s="846">
        <f t="shared" ref="AC120:AC136" si="264">AE120+AF120</f>
        <v>672.05409374659007</v>
      </c>
      <c r="AD120" s="846">
        <f t="shared" si="251"/>
        <v>53.773328054770715</v>
      </c>
      <c r="AE120" s="191">
        <f>'HVAC Deemed Table'!DI2224</f>
        <v>390.45761855945153</v>
      </c>
      <c r="AF120" s="191">
        <f>'HVAC Deemed Table'!DI2225</f>
        <v>281.59647518713859</v>
      </c>
      <c r="AG120" s="191">
        <f>'HVAC Deemed Table'!DI2226</f>
        <v>18.922991283545176</v>
      </c>
      <c r="AH120" s="191">
        <f>'HVAC Deemed Table'!DI2227</f>
        <v>34.850336771225535</v>
      </c>
      <c r="AI120" s="850" t="str">
        <f t="shared" si="227"/>
        <v>per measure</v>
      </c>
      <c r="AJ120" s="46">
        <f>'HVAC Deemed Table'!L2224</f>
        <v>1.0111111111111111</v>
      </c>
      <c r="AK120" s="861"/>
      <c r="AL120" s="861"/>
      <c r="AM120"/>
      <c r="AN120"/>
      <c r="AO120"/>
      <c r="AP120"/>
      <c r="AQ120"/>
      <c r="AR120"/>
      <c r="AS120"/>
      <c r="AT120"/>
      <c r="AU120"/>
      <c r="AV120"/>
      <c r="AW120"/>
      <c r="AX120" s="1226" t="str">
        <f t="shared" si="260"/>
        <v>PTHP-SEER12-ER1_MF</v>
      </c>
      <c r="AY120" s="1249"/>
      <c r="AZ120" s="1312" t="str">
        <f t="shared" si="261"/>
        <v>356200</v>
      </c>
      <c r="BA120" s="1202">
        <f>ROUND((K120*$BC$3)+(K122*$BC$4),2)</f>
        <v>282.12</v>
      </c>
      <c r="BB120" s="1202">
        <f>ROUND((L120*$BC$3)+(L122*$BC$4),2)</f>
        <v>782.78</v>
      </c>
      <c r="BC120" s="1202">
        <f>ROUND((M120*$BC$3)+(K122*$BC$4),2)</f>
        <v>16</v>
      </c>
      <c r="BD120" s="1202">
        <f>ROUND((N120*$BC$3)+(L122*$BC$4),2)</f>
        <v>112.08</v>
      </c>
      <c r="BE120" s="1177"/>
      <c r="BF120" s="1192">
        <f>ROUND(BA120*'CP FACTORS'!$B$9,6)</f>
        <v>0.26728600000000002</v>
      </c>
      <c r="BG120" s="1193">
        <f>ROUND(BB120*'CP FACTORS'!$B$14,6)</f>
        <v>0</v>
      </c>
      <c r="BH120" s="1192">
        <f>ROUND(BC120*'CP FACTORS'!$B$9,6)</f>
        <v>1.5159000000000001E-2</v>
      </c>
      <c r="BI120" s="1194">
        <f>ROUND(BD120*'CP FACTORS'!$B$14,6)</f>
        <v>0</v>
      </c>
      <c r="BJ120" s="1176"/>
      <c r="BK120" s="685">
        <f t="shared" si="252"/>
        <v>1064.9000000000001</v>
      </c>
      <c r="BL120" s="1213">
        <f t="shared" si="253"/>
        <v>128.07999999999998</v>
      </c>
      <c r="BM120" s="1212">
        <f t="shared" si="254"/>
        <v>0.26728600000000002</v>
      </c>
      <c r="BN120" s="1211">
        <f t="shared" si="255"/>
        <v>1.5159000000000001E-2</v>
      </c>
    </row>
    <row r="121" spans="1:66" s="39" customFormat="1" x14ac:dyDescent="0.25">
      <c r="A121" s="49" t="str">
        <f t="shared" si="262"/>
        <v>356250</v>
      </c>
      <c r="B121" s="1307" t="str">
        <f>'HVAC Deemed Table'!C2228</f>
        <v>356250_2024_12_</v>
      </c>
      <c r="C121" s="830" t="str">
        <f>'HVAC Deemed Table'!G2228</f>
        <v>Cooling Res</v>
      </c>
      <c r="D121" s="830" t="str">
        <f>'HVAC Deemed Table'!G2229</f>
        <v>Heating Res</v>
      </c>
      <c r="E121" s="1249" t="str">
        <f>'HVAC Deemed Table'!G2230</f>
        <v>Cooling Res ER2</v>
      </c>
      <c r="F121" s="1249" t="str">
        <f>'HVAC Deemed Table'!G2231</f>
        <v>Heating Res ER2</v>
      </c>
      <c r="G121" s="1307" t="str">
        <f>'HVAC Deemed Table'!E2228</f>
        <v>PTHP-SEER12-Replace_PTAC_ElectricHeat_ER1_MF</v>
      </c>
      <c r="H121" s="18" t="str">
        <f>'HVAC Deemed Table'!D2228</f>
        <v>IE</v>
      </c>
      <c r="I121" s="1120">
        <f t="shared" si="256"/>
        <v>3133.38</v>
      </c>
      <c r="J121" s="1120">
        <f t="shared" si="257"/>
        <v>2626.79</v>
      </c>
      <c r="K121" s="1121">
        <f>'HVAC Deemed Table'!F2228</f>
        <v>522.59</v>
      </c>
      <c r="L121" s="1121">
        <f>'HVAC Deemed Table'!F2229</f>
        <v>2610.79</v>
      </c>
      <c r="M121" s="1121">
        <f>'HVAC Deemed Table'!F2230</f>
        <v>16</v>
      </c>
      <c r="N121" s="1121">
        <f>'HVAC Deemed Table'!F2231</f>
        <v>2610.79</v>
      </c>
      <c r="O121" s="1122">
        <f t="shared" si="258"/>
        <v>0.49511100000000002</v>
      </c>
      <c r="P121" s="1122">
        <f t="shared" si="259"/>
        <v>1.5159000000000001E-2</v>
      </c>
      <c r="Q121" s="739">
        <f>'HVAC Deemed Table'!I2228</f>
        <v>0.49511100000000002</v>
      </c>
      <c r="R121" s="739">
        <f>'HVAC Deemed Table'!I2229</f>
        <v>0</v>
      </c>
      <c r="S121" s="739">
        <f>'HVAC Deemed Table'!I2230</f>
        <v>1.5159000000000001E-2</v>
      </c>
      <c r="T121" s="739">
        <f>'HVAC Deemed Table'!I2231</f>
        <v>0</v>
      </c>
      <c r="U121" s="740">
        <f t="shared" si="248"/>
        <v>0</v>
      </c>
      <c r="V121" s="740">
        <f t="shared" si="249"/>
        <v>0</v>
      </c>
      <c r="W121" s="740">
        <f t="shared" si="250"/>
        <v>0.49511100000000002</v>
      </c>
      <c r="X121" s="22">
        <f>'HVAC Deemed Table'!J2228</f>
        <v>5</v>
      </c>
      <c r="Y121" s="22">
        <f>'HVAC Deemed Table'!J2230</f>
        <v>10</v>
      </c>
      <c r="Z121" s="22">
        <f t="shared" si="263"/>
        <v>15</v>
      </c>
      <c r="AA121" s="17">
        <f>'HVAC Deemed Table'!DG2228</f>
        <v>8.3248076685992256</v>
      </c>
      <c r="AB121" s="241">
        <f>'HVAC Deemed Table'!K2228</f>
        <v>224.93182686576984</v>
      </c>
      <c r="AC121" s="846">
        <f t="shared" si="264"/>
        <v>1041.7879338029836</v>
      </c>
      <c r="AD121" s="846">
        <f t="shared" si="251"/>
        <v>830.72626340121053</v>
      </c>
      <c r="AE121" s="191">
        <f>'HVAC Deemed Table'!DI2228</f>
        <v>444.02934865949379</v>
      </c>
      <c r="AF121" s="191">
        <f>'HVAC Deemed Table'!DI2229</f>
        <v>597.75858514348977</v>
      </c>
      <c r="AG121" s="191">
        <f>'HVAC Deemed Table'!DI2230</f>
        <v>18.922991283545176</v>
      </c>
      <c r="AH121" s="191">
        <f>'HVAC Deemed Table'!DI2231</f>
        <v>811.8032721176653</v>
      </c>
      <c r="AI121" s="850" t="str">
        <f t="shared" si="227"/>
        <v>per measure</v>
      </c>
      <c r="AJ121" s="46">
        <f>'HVAC Deemed Table'!L2228</f>
        <v>1.0111111111111111</v>
      </c>
      <c r="AK121" s="861"/>
      <c r="AL121" s="861"/>
      <c r="AM121"/>
      <c r="AN121"/>
      <c r="AO121"/>
      <c r="AP121"/>
      <c r="AQ121"/>
      <c r="AR121"/>
      <c r="AS121"/>
      <c r="AT121"/>
      <c r="AU121"/>
      <c r="AV121"/>
      <c r="AW121"/>
      <c r="AX121" s="1226" t="str">
        <f t="shared" si="260"/>
        <v>PTHP-SEER12-Replace_PTAC_ElectricHeat_ER1_MF</v>
      </c>
      <c r="AY121" s="1249"/>
      <c r="AZ121" s="1312" t="str">
        <f t="shared" si="261"/>
        <v>356250</v>
      </c>
      <c r="BA121" s="1201">
        <f>ROUND((K121*$BC$3)+(K123*$BC$4),2)</f>
        <v>319.95</v>
      </c>
      <c r="BB121" s="1201">
        <f>ROUND((L121*$BC$3)+(L123*$BC$4),2)</f>
        <v>2610.79</v>
      </c>
      <c r="BC121" s="1201">
        <f>ROUND((M121*$BC$3)+(K123*$BC$4),2)</f>
        <v>16</v>
      </c>
      <c r="BD121" s="1201">
        <f>ROUND((N121*$BC$3)+(L123*$BC$4),2)</f>
        <v>2610.79</v>
      </c>
      <c r="BE121" s="1177"/>
      <c r="BF121" s="1192">
        <f>ROUND(BA121*'CP FACTORS'!$B$9,6)</f>
        <v>0.30312600000000001</v>
      </c>
      <c r="BG121" s="1193">
        <f>ROUND(BB121*'CP FACTORS'!$B$14,6)</f>
        <v>0</v>
      </c>
      <c r="BH121" s="1192">
        <f>ROUND(BC121*'CP FACTORS'!$B$9,6)</f>
        <v>1.5159000000000001E-2</v>
      </c>
      <c r="BI121" s="1194">
        <f>ROUND(BD121*'CP FACTORS'!$B$14,6)</f>
        <v>0</v>
      </c>
      <c r="BJ121" s="1176"/>
      <c r="BK121" s="685">
        <f t="shared" si="252"/>
        <v>2930.74</v>
      </c>
      <c r="BL121" s="1213">
        <f t="shared" si="253"/>
        <v>2626.79</v>
      </c>
      <c r="BM121" s="1212">
        <f t="shared" si="254"/>
        <v>0.30312600000000001</v>
      </c>
      <c r="BN121" s="1211">
        <f t="shared" si="255"/>
        <v>1.5159000000000001E-2</v>
      </c>
    </row>
    <row r="122" spans="1:66" s="39" customFormat="1" x14ac:dyDescent="0.25">
      <c r="A122" s="49" t="str">
        <f>LEFT(B122,6)</f>
        <v>356300</v>
      </c>
      <c r="B122" s="1307" t="str">
        <f>'HVAC Deemed Table'!C2232</f>
        <v>356300_2024_12_</v>
      </c>
      <c r="C122" s="830" t="str">
        <f>'HVAC Deemed Table'!G2232</f>
        <v>Cooling Res</v>
      </c>
      <c r="D122" s="830" t="str">
        <f>'HVAC Deemed Table'!G2233</f>
        <v>Heating Res</v>
      </c>
      <c r="E122" s="1249"/>
      <c r="F122" s="1249"/>
      <c r="G122" s="1307" t="str">
        <f>'HVAC Deemed Table'!E2232</f>
        <v>PTHP-SEER12-ROF_MF</v>
      </c>
      <c r="H122" s="18" t="str">
        <f>'HVAC Deemed Table'!D2232</f>
        <v>IE</v>
      </c>
      <c r="I122" s="1120">
        <f>K122+L122</f>
        <v>128.07999999999998</v>
      </c>
      <c r="J122" s="1120">
        <f>M122+N122</f>
        <v>0</v>
      </c>
      <c r="K122" s="1121">
        <f>'HVAC Deemed Table'!F2232</f>
        <v>16</v>
      </c>
      <c r="L122" s="1121">
        <f>'HVAC Deemed Table'!F2233</f>
        <v>112.08</v>
      </c>
      <c r="M122" s="1159"/>
      <c r="N122" s="1159"/>
      <c r="O122" s="1122">
        <f>Q122+R122</f>
        <v>1.5159000000000001E-2</v>
      </c>
      <c r="P122" s="1122">
        <f>S122+T122</f>
        <v>1.5159000000000001E-2</v>
      </c>
      <c r="Q122" s="739">
        <f>'HVAC Deemed Table'!I2232</f>
        <v>1.5159000000000001E-2</v>
      </c>
      <c r="R122" s="739">
        <f>'HVAC Deemed Table'!I2233</f>
        <v>0</v>
      </c>
      <c r="S122" s="739">
        <f>'HVAC Deemed Table'!I2234</f>
        <v>1.5159000000000001E-2</v>
      </c>
      <c r="T122" s="739">
        <f>'HVAC Deemed Table'!I2235</f>
        <v>0</v>
      </c>
      <c r="U122" s="740">
        <f t="shared" si="248"/>
        <v>0</v>
      </c>
      <c r="V122" s="740">
        <f t="shared" si="249"/>
        <v>0</v>
      </c>
      <c r="W122" s="740">
        <f t="shared" si="250"/>
        <v>1.5159000000000001E-2</v>
      </c>
      <c r="X122" s="22">
        <f>'HVAC Deemed Table'!J2232</f>
        <v>15</v>
      </c>
      <c r="Y122" s="22"/>
      <c r="Z122" s="22">
        <f>Y122+X122</f>
        <v>15</v>
      </c>
      <c r="AA122" s="17">
        <f>'HVAC Deemed Table'!DG2232</f>
        <v>1.0953674236290907</v>
      </c>
      <c r="AB122" s="241">
        <f>'HVAC Deemed Table'!K2232</f>
        <v>84.93</v>
      </c>
      <c r="AC122" s="846">
        <f>AE122+AF122</f>
        <v>93.029555288818685</v>
      </c>
      <c r="AD122" s="846">
        <f>AG122+AH122</f>
        <v>1442.0795778325783</v>
      </c>
      <c r="AE122" s="191">
        <f>'HVAC Deemed Table'!DI2232</f>
        <v>32.517720571422672</v>
      </c>
      <c r="AF122" s="191">
        <f>'HVAC Deemed Table'!DI2233</f>
        <v>60.511834717396013</v>
      </c>
      <c r="AG122" s="191">
        <f>'HVAC Deemed Table'!DI2234</f>
        <v>32.517720571422672</v>
      </c>
      <c r="AH122" s="191">
        <f>'HVAC Deemed Table'!DI2235</f>
        <v>1409.5618572611556</v>
      </c>
      <c r="AI122" s="850" t="str">
        <f t="shared" si="227"/>
        <v>per measure</v>
      </c>
      <c r="AJ122" s="46">
        <f>'HVAC Deemed Table'!L2232</f>
        <v>1.0111111111111111</v>
      </c>
      <c r="AK122" s="861"/>
      <c r="AL122" s="861"/>
      <c r="AM122"/>
      <c r="AN122"/>
      <c r="AO122"/>
      <c r="AP122"/>
      <c r="AQ122"/>
      <c r="AR122"/>
      <c r="AS122"/>
      <c r="AT122"/>
      <c r="AU122"/>
      <c r="AV122"/>
      <c r="AW122"/>
      <c r="AX122" s="1226" t="str">
        <f t="shared" si="260"/>
        <v>PTHP-SEER12-ROF_MF</v>
      </c>
      <c r="AY122" s="1249"/>
      <c r="AZ122" s="1312" t="str">
        <f t="shared" si="261"/>
        <v>356300</v>
      </c>
      <c r="BA122" s="1210">
        <f t="shared" ref="BA122:BD123" si="265">BA120</f>
        <v>282.12</v>
      </c>
      <c r="BB122" s="1210">
        <f t="shared" si="265"/>
        <v>782.78</v>
      </c>
      <c r="BC122" s="1210">
        <f t="shared" si="265"/>
        <v>16</v>
      </c>
      <c r="BD122" s="1210">
        <f t="shared" si="265"/>
        <v>112.08</v>
      </c>
      <c r="BE122" s="1177"/>
      <c r="BF122" s="1192">
        <f>ROUND(BA122*'CP FACTORS'!$B$9,6)</f>
        <v>0.26728600000000002</v>
      </c>
      <c r="BG122" s="1193">
        <f>ROUND(BB122*'CP FACTORS'!$B$14,6)</f>
        <v>0</v>
      </c>
      <c r="BH122" s="1192">
        <f>ROUND(BC122*'CP FACTORS'!$B$9,6)</f>
        <v>1.5159000000000001E-2</v>
      </c>
      <c r="BI122" s="1194">
        <f>ROUND(BD122*'CP FACTORS'!$B$14,6)</f>
        <v>0</v>
      </c>
      <c r="BJ122" s="1176"/>
      <c r="BK122" s="685">
        <f t="shared" si="252"/>
        <v>1064.9000000000001</v>
      </c>
      <c r="BL122" s="1213">
        <f t="shared" si="253"/>
        <v>128.07999999999998</v>
      </c>
      <c r="BM122" s="1212">
        <f t="shared" si="254"/>
        <v>0.26728600000000002</v>
      </c>
      <c r="BN122" s="1211">
        <f t="shared" si="255"/>
        <v>1.5159000000000001E-2</v>
      </c>
    </row>
    <row r="123" spans="1:66" s="39" customFormat="1" x14ac:dyDescent="0.25">
      <c r="A123" s="49" t="str">
        <f t="shared" si="262"/>
        <v>356350</v>
      </c>
      <c r="B123" s="1307" t="str">
        <f>'HVAC Deemed Table'!C2234</f>
        <v>356350_2024_12_</v>
      </c>
      <c r="C123" s="830" t="str">
        <f>'HVAC Deemed Table'!G2234</f>
        <v>Cooling Res</v>
      </c>
      <c r="D123" s="830" t="str">
        <f>'HVAC Deemed Table'!G2235</f>
        <v>Heating Res</v>
      </c>
      <c r="E123" s="1249"/>
      <c r="F123" s="1249"/>
      <c r="G123" s="1307" t="str">
        <f>'HVAC Deemed Table'!E2234</f>
        <v>PTHP-SEER12-Replace_PTAC_ElectricHeat_ROF_MF</v>
      </c>
      <c r="H123" s="18" t="str">
        <f>'HVAC Deemed Table'!D2234</f>
        <v>IE</v>
      </c>
      <c r="I123" s="1120">
        <f t="shared" si="256"/>
        <v>2626.79</v>
      </c>
      <c r="J123" s="1120">
        <f t="shared" si="257"/>
        <v>0</v>
      </c>
      <c r="K123" s="1121">
        <f>'HVAC Deemed Table'!F2234</f>
        <v>16</v>
      </c>
      <c r="L123" s="1121">
        <f>'HVAC Deemed Table'!F2235</f>
        <v>2610.79</v>
      </c>
      <c r="M123" s="1121"/>
      <c r="N123" s="1121"/>
      <c r="O123" s="1122">
        <f t="shared" si="258"/>
        <v>1.5159000000000001E-2</v>
      </c>
      <c r="P123" s="1122">
        <f t="shared" si="259"/>
        <v>0</v>
      </c>
      <c r="Q123" s="651">
        <f>'HVAC Deemed Table'!I2234</f>
        <v>1.5159000000000001E-2</v>
      </c>
      <c r="R123" s="651">
        <f>'HVAC Deemed Table'!I2235</f>
        <v>0</v>
      </c>
      <c r="S123" s="651"/>
      <c r="T123" s="651"/>
      <c r="U123" s="740">
        <f t="shared" si="248"/>
        <v>0</v>
      </c>
      <c r="V123" s="740">
        <f t="shared" si="249"/>
        <v>0</v>
      </c>
      <c r="W123" s="740">
        <f t="shared" si="250"/>
        <v>1.5159000000000001E-2</v>
      </c>
      <c r="X123" s="22">
        <f>'HVAC Deemed Table'!J2234</f>
        <v>15</v>
      </c>
      <c r="Y123" s="22"/>
      <c r="Z123" s="22">
        <f t="shared" si="263"/>
        <v>15</v>
      </c>
      <c r="AA123" s="17">
        <f>'HVAC Deemed Table'!DG2234</f>
        <v>16.979625312993974</v>
      </c>
      <c r="AB123" s="241">
        <f>'HVAC Deemed Table'!K2234</f>
        <v>84.93</v>
      </c>
      <c r="AC123" s="846">
        <f t="shared" si="264"/>
        <v>1442.0795778325783</v>
      </c>
      <c r="AD123" s="846">
        <f t="shared" si="251"/>
        <v>0</v>
      </c>
      <c r="AE123" s="191">
        <f>'HVAC Deemed Table'!DI2234</f>
        <v>32.517720571422672</v>
      </c>
      <c r="AF123" s="191">
        <f>'HVAC Deemed Table'!DI2235</f>
        <v>1409.5618572611556</v>
      </c>
      <c r="AG123" s="191"/>
      <c r="AH123" s="191"/>
      <c r="AI123" s="850" t="str">
        <f t="shared" si="227"/>
        <v>per measure</v>
      </c>
      <c r="AJ123" s="46">
        <f>'HVAC Deemed Table'!L2234</f>
        <v>1.0111111111111111</v>
      </c>
      <c r="AK123" s="861"/>
      <c r="AL123" s="861"/>
      <c r="AM123"/>
      <c r="AN123"/>
      <c r="AO123"/>
      <c r="AP123"/>
      <c r="AQ123"/>
      <c r="AR123"/>
      <c r="AS123"/>
      <c r="AT123"/>
      <c r="AU123"/>
      <c r="AV123"/>
      <c r="AW123"/>
      <c r="AX123" s="1226" t="str">
        <f t="shared" si="260"/>
        <v>PTHP-SEER12-Replace_PTAC_ElectricHeat_ROF_MF</v>
      </c>
      <c r="AY123" s="1249"/>
      <c r="AZ123" s="1312" t="str">
        <f t="shared" si="261"/>
        <v>356350</v>
      </c>
      <c r="BA123" s="1204">
        <f t="shared" si="265"/>
        <v>319.95</v>
      </c>
      <c r="BB123" s="1204">
        <f t="shared" si="265"/>
        <v>2610.79</v>
      </c>
      <c r="BC123" s="1204">
        <f t="shared" si="265"/>
        <v>16</v>
      </c>
      <c r="BD123" s="1204">
        <f t="shared" si="265"/>
        <v>2610.79</v>
      </c>
      <c r="BE123" s="1177"/>
      <c r="BF123" s="1192">
        <f>ROUND(BA123*'CP FACTORS'!$B$9,6)</f>
        <v>0.30312600000000001</v>
      </c>
      <c r="BG123" s="1193">
        <f>ROUND(BB123*'CP FACTORS'!$B$14,6)</f>
        <v>0</v>
      </c>
      <c r="BH123" s="1192">
        <f>ROUND(BC123*'CP FACTORS'!$B$9,6)</f>
        <v>1.5159000000000001E-2</v>
      </c>
      <c r="BI123" s="1194">
        <f>ROUND(BD123*'CP FACTORS'!$B$14,6)</f>
        <v>0</v>
      </c>
      <c r="BJ123" s="1176"/>
      <c r="BK123" s="685">
        <f t="shared" si="252"/>
        <v>2930.74</v>
      </c>
      <c r="BL123" s="1213">
        <f t="shared" si="253"/>
        <v>2626.79</v>
      </c>
      <c r="BM123" s="1212">
        <f t="shared" si="254"/>
        <v>0.30312600000000001</v>
      </c>
      <c r="BN123" s="1211">
        <f t="shared" si="255"/>
        <v>1.5159000000000001E-2</v>
      </c>
    </row>
    <row r="124" spans="1:66" s="39" customFormat="1" x14ac:dyDescent="0.25">
      <c r="A124" s="49" t="str">
        <f t="shared" si="262"/>
        <v>356400</v>
      </c>
      <c r="B124" s="1307" t="str">
        <f>'HVAC Deemed Table'!C2236</f>
        <v>356400_2024_12_</v>
      </c>
      <c r="C124" s="830" t="str">
        <f>'HVAC Deemed Table'!G2236</f>
        <v>Cooling Res</v>
      </c>
      <c r="D124" s="830" t="str">
        <f>'HVAC Deemed Table'!G2237</f>
        <v>Heating Res</v>
      </c>
      <c r="E124" s="1249" t="str">
        <f>'HVAC Deemed Table'!G2238</f>
        <v>Cooling Res ER2</v>
      </c>
      <c r="F124" s="1249" t="str">
        <f>'HVAC Deemed Table'!G2239</f>
        <v>Heating Res ER2</v>
      </c>
      <c r="G124" s="1307" t="str">
        <f>'HVAC Deemed Table'!E2236</f>
        <v>PTHP-SEER13-ER1_MF</v>
      </c>
      <c r="H124" s="18" t="str">
        <f>'HVAC Deemed Table'!D2236</f>
        <v>IE</v>
      </c>
      <c r="I124" s="1120">
        <f t="shared" si="256"/>
        <v>1755.94</v>
      </c>
      <c r="J124" s="1120">
        <f t="shared" si="257"/>
        <v>194.57000000000002</v>
      </c>
      <c r="K124" s="1121">
        <f>'HVAC Deemed Table'!F2236</f>
        <v>507.53</v>
      </c>
      <c r="L124" s="1121">
        <f>'HVAC Deemed Table'!F2237</f>
        <v>1248.4100000000001</v>
      </c>
      <c r="M124" s="1121">
        <f>'HVAC Deemed Table'!F2238</f>
        <v>63.99</v>
      </c>
      <c r="N124" s="1121">
        <f>'HVAC Deemed Table'!F2239</f>
        <v>130.58000000000001</v>
      </c>
      <c r="O124" s="1122">
        <f t="shared" si="258"/>
        <v>0.48084300000000002</v>
      </c>
      <c r="P124" s="1122">
        <f t="shared" si="259"/>
        <v>6.0624999999999998E-2</v>
      </c>
      <c r="Q124" s="739">
        <f>'HVAC Deemed Table'!I2236</f>
        <v>0.48084300000000002</v>
      </c>
      <c r="R124" s="739">
        <f>'HVAC Deemed Table'!I2237</f>
        <v>0</v>
      </c>
      <c r="S124" s="739">
        <f>'HVAC Deemed Table'!I2238</f>
        <v>6.0624999999999998E-2</v>
      </c>
      <c r="T124" s="739">
        <f>'HVAC Deemed Table'!I2239</f>
        <v>0</v>
      </c>
      <c r="U124" s="740">
        <f t="shared" si="248"/>
        <v>0</v>
      </c>
      <c r="V124" s="740">
        <f t="shared" si="249"/>
        <v>0</v>
      </c>
      <c r="W124" s="740">
        <f t="shared" si="250"/>
        <v>0.48084300000000002</v>
      </c>
      <c r="X124" s="22">
        <f>'HVAC Deemed Table'!J2236</f>
        <v>5</v>
      </c>
      <c r="Y124" s="22">
        <f>'HVAC Deemed Table'!J2238</f>
        <v>10</v>
      </c>
      <c r="Z124" s="22">
        <f t="shared" si="263"/>
        <v>15</v>
      </c>
      <c r="AA124" s="17">
        <f>'HVAC Deemed Table'!DG2236</f>
        <v>3.7048931473641917</v>
      </c>
      <c r="AB124" s="241">
        <f>'HVAC Deemed Table'!K2236</f>
        <v>224.93182686576984</v>
      </c>
      <c r="AC124" s="846">
        <f t="shared" si="264"/>
        <v>717.06548897297716</v>
      </c>
      <c r="AD124" s="846">
        <f t="shared" si="251"/>
        <v>116.28289500612235</v>
      </c>
      <c r="AE124" s="191">
        <f>'HVAC Deemed Table'!DI2236</f>
        <v>431.23330971727904</v>
      </c>
      <c r="AF124" s="191">
        <f>'HVAC Deemed Table'!DI2237</f>
        <v>285.83217925569812</v>
      </c>
      <c r="AG124" s="191">
        <f>'HVAC Deemed Table'!DI2238</f>
        <v>75.680138264628496</v>
      </c>
      <c r="AH124" s="191">
        <f>'HVAC Deemed Table'!DI2239</f>
        <v>40.602756741493856</v>
      </c>
      <c r="AI124" s="850" t="str">
        <f t="shared" si="227"/>
        <v>per measure</v>
      </c>
      <c r="AJ124" s="46">
        <f>'HVAC Deemed Table'!L2236</f>
        <v>1.0111111111111111</v>
      </c>
      <c r="AK124" s="861"/>
      <c r="AL124" s="861"/>
      <c r="AM124"/>
      <c r="AN124"/>
      <c r="AO124"/>
      <c r="AP124"/>
      <c r="AQ124"/>
      <c r="AR124"/>
      <c r="AS124"/>
      <c r="AT124"/>
      <c r="AU124"/>
      <c r="AV124"/>
      <c r="AW124"/>
      <c r="AX124" s="1226" t="str">
        <f t="shared" si="260"/>
        <v>PTHP-SEER13-ER1_MF</v>
      </c>
      <c r="AY124" s="1249"/>
      <c r="AZ124" s="1312" t="str">
        <f t="shared" si="261"/>
        <v>356400</v>
      </c>
      <c r="BA124" s="1202">
        <f>ROUND((K124*$BC$3)+(K126*$BC$4),2)</f>
        <v>330.11</v>
      </c>
      <c r="BB124" s="1202">
        <f>ROUND((L124*$BC$3)+(L126*$BC$4),2)</f>
        <v>801.28</v>
      </c>
      <c r="BC124" s="1202">
        <f>ROUND((M124*$BC$3)+(K126*$BC$4),2)</f>
        <v>63.99</v>
      </c>
      <c r="BD124" s="1202">
        <f>ROUND((N124*$BC$3)+(L126*$BC$4),2)</f>
        <v>130.58000000000001</v>
      </c>
      <c r="BE124" s="1177"/>
      <c r="BF124" s="1192">
        <f>ROUND(BA124*'CP FACTORS'!$B$9,6)</f>
        <v>0.31275199999999997</v>
      </c>
      <c r="BG124" s="1193">
        <f>ROUND(BB124*'CP FACTORS'!$B$14,6)</f>
        <v>0</v>
      </c>
      <c r="BH124" s="1192">
        <f>ROUND(BC124*'CP FACTORS'!$B$9,6)</f>
        <v>6.0624999999999998E-2</v>
      </c>
      <c r="BI124" s="1194">
        <f>ROUND(BD124*'CP FACTORS'!$B$14,6)</f>
        <v>0</v>
      </c>
      <c r="BJ124" s="1176"/>
      <c r="BK124" s="685">
        <f t="shared" si="252"/>
        <v>1131.3899999999999</v>
      </c>
      <c r="BL124" s="1213">
        <f t="shared" si="253"/>
        <v>194.57000000000002</v>
      </c>
      <c r="BM124" s="1212">
        <f t="shared" si="254"/>
        <v>0.31275199999999997</v>
      </c>
      <c r="BN124" s="1211">
        <f t="shared" si="255"/>
        <v>6.0624999999999998E-2</v>
      </c>
    </row>
    <row r="125" spans="1:66" s="39" customFormat="1" x14ac:dyDescent="0.25">
      <c r="A125" s="49" t="str">
        <f t="shared" si="262"/>
        <v>356450</v>
      </c>
      <c r="B125" s="1307" t="str">
        <f>'HVAC Deemed Table'!C2240</f>
        <v>356450_2024_12_</v>
      </c>
      <c r="C125" s="830" t="str">
        <f>'HVAC Deemed Table'!G2240</f>
        <v>Cooling Res</v>
      </c>
      <c r="D125" s="830" t="str">
        <f>'HVAC Deemed Table'!G2241</f>
        <v>Heating Res</v>
      </c>
      <c r="E125" s="1249" t="str">
        <f>'HVAC Deemed Table'!G2242</f>
        <v>Cooling Res ER2</v>
      </c>
      <c r="F125" s="1249" t="str">
        <f>'HVAC Deemed Table'!G2243</f>
        <v>Heating Res ER2</v>
      </c>
      <c r="G125" s="1307" t="str">
        <f>'HVAC Deemed Table'!E2240</f>
        <v>PTHP-SEER13-Replace_PTAC_ElectricHeat_ER1_MF</v>
      </c>
      <c r="H125" s="18" t="str">
        <f>'HVAC Deemed Table'!D2240</f>
        <v>IE</v>
      </c>
      <c r="I125" s="1120">
        <f t="shared" si="256"/>
        <v>3199.87</v>
      </c>
      <c r="J125" s="1120">
        <f t="shared" si="257"/>
        <v>2693.2799999999997</v>
      </c>
      <c r="K125" s="1121">
        <f>'HVAC Deemed Table'!F2240</f>
        <v>570.58000000000004</v>
      </c>
      <c r="L125" s="1121">
        <f>'HVAC Deemed Table'!F2241</f>
        <v>2629.29</v>
      </c>
      <c r="M125" s="1121">
        <f>'HVAC Deemed Table'!F2242</f>
        <v>63.99</v>
      </c>
      <c r="N125" s="1121">
        <f>'HVAC Deemed Table'!F2243</f>
        <v>2629.29</v>
      </c>
      <c r="O125" s="1122">
        <f t="shared" si="258"/>
        <v>0.540578</v>
      </c>
      <c r="P125" s="1122">
        <f t="shared" si="259"/>
        <v>6.0624999999999998E-2</v>
      </c>
      <c r="Q125" s="739">
        <f>'HVAC Deemed Table'!I2240</f>
        <v>0.540578</v>
      </c>
      <c r="R125" s="739">
        <f>'HVAC Deemed Table'!I2241</f>
        <v>0</v>
      </c>
      <c r="S125" s="739">
        <f>'HVAC Deemed Table'!I2242</f>
        <v>6.0624999999999998E-2</v>
      </c>
      <c r="T125" s="739">
        <f>'HVAC Deemed Table'!I2243</f>
        <v>0</v>
      </c>
      <c r="U125" s="740">
        <f t="shared" si="248"/>
        <v>0</v>
      </c>
      <c r="V125" s="740">
        <f t="shared" si="249"/>
        <v>0</v>
      </c>
      <c r="W125" s="740">
        <f t="shared" si="250"/>
        <v>0.540578</v>
      </c>
      <c r="X125" s="22">
        <f>'HVAC Deemed Table'!J2240</f>
        <v>5</v>
      </c>
      <c r="Y125" s="22">
        <f>'HVAC Deemed Table'!J2242</f>
        <v>10</v>
      </c>
      <c r="Z125" s="22">
        <f t="shared" si="263"/>
        <v>15</v>
      </c>
      <c r="AA125" s="17">
        <f>'HVAC Deemed Table'!DG2240</f>
        <v>8.8028234464282242</v>
      </c>
      <c r="AB125" s="241">
        <f>'HVAC Deemed Table'!K2240</f>
        <v>224.93182686576984</v>
      </c>
      <c r="AC125" s="846">
        <f t="shared" si="264"/>
        <v>1086.7993290293707</v>
      </c>
      <c r="AD125" s="846">
        <f t="shared" si="251"/>
        <v>893.23583035256206</v>
      </c>
      <c r="AE125" s="191">
        <f>'HVAC Deemed Table'!DI2240</f>
        <v>484.80503981732136</v>
      </c>
      <c r="AF125" s="191">
        <f>'HVAC Deemed Table'!DI2241</f>
        <v>601.99428921204924</v>
      </c>
      <c r="AG125" s="191">
        <f>'HVAC Deemed Table'!DI2242</f>
        <v>75.680138264628496</v>
      </c>
      <c r="AH125" s="191">
        <f>'HVAC Deemed Table'!DI2243</f>
        <v>817.55569208793361</v>
      </c>
      <c r="AI125" s="850" t="str">
        <f t="shared" si="227"/>
        <v>per measure</v>
      </c>
      <c r="AJ125" s="46">
        <f>'HVAC Deemed Table'!L2240</f>
        <v>1.0111111111111111</v>
      </c>
      <c r="AK125" s="861"/>
      <c r="AL125" s="861"/>
      <c r="AM125"/>
      <c r="AN125"/>
      <c r="AO125"/>
      <c r="AP125"/>
      <c r="AQ125"/>
      <c r="AR125"/>
      <c r="AS125"/>
      <c r="AT125"/>
      <c r="AU125"/>
      <c r="AV125"/>
      <c r="AW125"/>
      <c r="AX125" s="1226" t="str">
        <f t="shared" si="260"/>
        <v>PTHP-SEER13-Replace_PTAC_ElectricHeat_ER1_MF</v>
      </c>
      <c r="AY125" s="1249"/>
      <c r="AZ125" s="1312" t="str">
        <f t="shared" si="261"/>
        <v>356450</v>
      </c>
      <c r="BA125" s="1201">
        <f>ROUND((K125*$BC$3)+(K127*$BC$4),2)</f>
        <v>367.94</v>
      </c>
      <c r="BB125" s="1201">
        <f>ROUND((L125*$BC$3)+(L127*$BC$4),2)</f>
        <v>2629.29</v>
      </c>
      <c r="BC125" s="1201">
        <f>ROUND((M125*$BC$3)+(K127*$BC$4),2)</f>
        <v>63.99</v>
      </c>
      <c r="BD125" s="1201">
        <f>ROUND((N125*$BC$3)+(L127*$BC$4),2)</f>
        <v>2629.29</v>
      </c>
      <c r="BE125" s="1177"/>
      <c r="BF125" s="1192">
        <f>ROUND(BA125*'CP FACTORS'!$B$9,6)</f>
        <v>0.34859299999999999</v>
      </c>
      <c r="BG125" s="1193">
        <f>ROUND(BB125*'CP FACTORS'!$B$14,6)</f>
        <v>0</v>
      </c>
      <c r="BH125" s="1192">
        <f>ROUND(BC125*'CP FACTORS'!$B$9,6)</f>
        <v>6.0624999999999998E-2</v>
      </c>
      <c r="BI125" s="1194">
        <f>ROUND(BD125*'CP FACTORS'!$B$14,6)</f>
        <v>0</v>
      </c>
      <c r="BJ125" s="1176"/>
      <c r="BK125" s="685">
        <f t="shared" si="252"/>
        <v>2997.23</v>
      </c>
      <c r="BL125" s="1213">
        <f t="shared" si="253"/>
        <v>2693.2799999999997</v>
      </c>
      <c r="BM125" s="1212">
        <f t="shared" si="254"/>
        <v>0.34859299999999999</v>
      </c>
      <c r="BN125" s="1211">
        <f t="shared" si="255"/>
        <v>6.0624999999999998E-2</v>
      </c>
    </row>
    <row r="126" spans="1:66" s="39" customFormat="1" x14ac:dyDescent="0.25">
      <c r="A126" s="49" t="str">
        <f>LEFT(B126,6)</f>
        <v>356500</v>
      </c>
      <c r="B126" s="1307" t="str">
        <f>'HVAC Deemed Table'!C2244</f>
        <v>356500_2024_12_</v>
      </c>
      <c r="C126" s="830" t="str">
        <f>'HVAC Deemed Table'!G2244</f>
        <v>Cooling Res</v>
      </c>
      <c r="D126" s="830" t="str">
        <f>'HVAC Deemed Table'!G2245</f>
        <v>Heating Res</v>
      </c>
      <c r="E126" s="1249"/>
      <c r="F126" s="1249"/>
      <c r="G126" s="1307" t="str">
        <f>'HVAC Deemed Table'!E2244</f>
        <v>PTHP-SEER13-ROF_MF</v>
      </c>
      <c r="H126" s="18" t="str">
        <f>'HVAC Deemed Table'!D2244</f>
        <v>IE</v>
      </c>
      <c r="I126" s="1120">
        <f>K126+L126</f>
        <v>194.57000000000002</v>
      </c>
      <c r="J126" s="1120">
        <f>M126+N126</f>
        <v>0</v>
      </c>
      <c r="K126" s="1121">
        <f>'HVAC Deemed Table'!F2244</f>
        <v>63.99</v>
      </c>
      <c r="L126" s="1121">
        <f>'HVAC Deemed Table'!F2245</f>
        <v>130.58000000000001</v>
      </c>
      <c r="M126" s="1159"/>
      <c r="N126" s="1159"/>
      <c r="O126" s="1122">
        <f>Q126+R126</f>
        <v>6.0624999999999998E-2</v>
      </c>
      <c r="P126" s="1122">
        <f>S126+T126</f>
        <v>6.0624999999999998E-2</v>
      </c>
      <c r="Q126" s="739">
        <f>'HVAC Deemed Table'!I2244</f>
        <v>6.0624999999999998E-2</v>
      </c>
      <c r="R126" s="739">
        <f>'HVAC Deemed Table'!I2245</f>
        <v>0</v>
      </c>
      <c r="S126" s="651">
        <f>'HVAC Deemed Table'!I2246</f>
        <v>6.0624999999999998E-2</v>
      </c>
      <c r="T126" s="651">
        <f>'HVAC Deemed Table'!I2247</f>
        <v>0</v>
      </c>
      <c r="U126" s="740">
        <f t="shared" si="248"/>
        <v>0</v>
      </c>
      <c r="V126" s="740">
        <f t="shared" si="249"/>
        <v>0</v>
      </c>
      <c r="W126" s="740">
        <f t="shared" si="250"/>
        <v>6.0624999999999998E-2</v>
      </c>
      <c r="X126" s="22">
        <f>'HVAC Deemed Table'!J2244</f>
        <v>15</v>
      </c>
      <c r="Y126" s="22"/>
      <c r="Z126" s="22">
        <f>Y126+X126</f>
        <v>15</v>
      </c>
      <c r="AA126" s="17">
        <f>'HVAC Deemed Table'!DG2244</f>
        <v>2.3613625040216344</v>
      </c>
      <c r="AB126" s="241">
        <f>'HVAC Deemed Table'!K2244</f>
        <v>84.93</v>
      </c>
      <c r="AC126" s="846">
        <f>AE126+AF126</f>
        <v>200.55051746655744</v>
      </c>
      <c r="AD126" s="846">
        <f>AG126+AH126</f>
        <v>1549.600540010317</v>
      </c>
      <c r="AE126" s="191">
        <f>'HVAC Deemed Table'!DI2244</f>
        <v>130.05055871033355</v>
      </c>
      <c r="AF126" s="191">
        <f>'HVAC Deemed Table'!DI2245</f>
        <v>70.499958756223876</v>
      </c>
      <c r="AG126" s="652">
        <f>'HVAC Deemed Table'!DI2246</f>
        <v>130.05055871033355</v>
      </c>
      <c r="AH126" s="652">
        <f>'HVAC Deemed Table'!DI2247</f>
        <v>1419.5499812999835</v>
      </c>
      <c r="AI126" s="850" t="str">
        <f t="shared" si="227"/>
        <v>per measure</v>
      </c>
      <c r="AJ126" s="46">
        <f>'HVAC Deemed Table'!L2244</f>
        <v>1.0111111111111111</v>
      </c>
      <c r="AK126" s="861"/>
      <c r="AL126" s="861"/>
      <c r="AM126"/>
      <c r="AN126"/>
      <c r="AO126"/>
      <c r="AP126"/>
      <c r="AQ126"/>
      <c r="AR126"/>
      <c r="AS126"/>
      <c r="AT126"/>
      <c r="AU126"/>
      <c r="AV126"/>
      <c r="AW126"/>
      <c r="AX126" s="1226" t="str">
        <f t="shared" si="260"/>
        <v>PTHP-SEER13-ROF_MF</v>
      </c>
      <c r="AY126" s="1249"/>
      <c r="AZ126" s="1312" t="str">
        <f t="shared" si="261"/>
        <v>356500</v>
      </c>
      <c r="BA126" s="1210">
        <f t="shared" ref="BA126:BD127" si="266">BA124</f>
        <v>330.11</v>
      </c>
      <c r="BB126" s="1210">
        <f t="shared" si="266"/>
        <v>801.28</v>
      </c>
      <c r="BC126" s="1210">
        <f t="shared" si="266"/>
        <v>63.99</v>
      </c>
      <c r="BD126" s="1210">
        <f t="shared" si="266"/>
        <v>130.58000000000001</v>
      </c>
      <c r="BE126" s="1177"/>
      <c r="BF126" s="1192">
        <f>ROUND(BA126*'CP FACTORS'!$B$9,6)</f>
        <v>0.31275199999999997</v>
      </c>
      <c r="BG126" s="1193">
        <f>ROUND(BB126*'CP FACTORS'!$B$14,6)</f>
        <v>0</v>
      </c>
      <c r="BH126" s="1192">
        <f>ROUND(BC126*'CP FACTORS'!$B$9,6)</f>
        <v>6.0624999999999998E-2</v>
      </c>
      <c r="BI126" s="1194">
        <f>ROUND(BD126*'CP FACTORS'!$B$14,6)</f>
        <v>0</v>
      </c>
      <c r="BJ126" s="1176"/>
      <c r="BK126" s="685">
        <f t="shared" si="252"/>
        <v>1131.3899999999999</v>
      </c>
      <c r="BL126" s="1213">
        <f t="shared" si="253"/>
        <v>194.57000000000002</v>
      </c>
      <c r="BM126" s="1212">
        <f t="shared" si="254"/>
        <v>0.31275199999999997</v>
      </c>
      <c r="BN126" s="1211">
        <f t="shared" si="255"/>
        <v>6.0624999999999998E-2</v>
      </c>
    </row>
    <row r="127" spans="1:66" s="39" customFormat="1" x14ac:dyDescent="0.25">
      <c r="A127" s="49" t="str">
        <f t="shared" si="262"/>
        <v>356550</v>
      </c>
      <c r="B127" s="1307" t="str">
        <f>'HVAC Deemed Table'!C2246</f>
        <v>356550_2024_12_</v>
      </c>
      <c r="C127" s="830" t="str">
        <f>'HVAC Deemed Table'!G2246</f>
        <v>Cooling Res</v>
      </c>
      <c r="D127" s="830" t="str">
        <f>'HVAC Deemed Table'!G2247</f>
        <v>Heating Res</v>
      </c>
      <c r="E127" s="1249"/>
      <c r="F127" s="1249"/>
      <c r="G127" s="1307" t="str">
        <f>'HVAC Deemed Table'!E2246</f>
        <v>PTHP-SEER13-Replace_PTAC_ElectricHeat_ROF_MF</v>
      </c>
      <c r="H127" s="18" t="str">
        <f>'HVAC Deemed Table'!D2246</f>
        <v>IE</v>
      </c>
      <c r="I127" s="1120">
        <f t="shared" si="256"/>
        <v>2693.2799999999997</v>
      </c>
      <c r="J127" s="1120">
        <f t="shared" si="257"/>
        <v>0</v>
      </c>
      <c r="K127" s="1121">
        <f>'HVAC Deemed Table'!F2246</f>
        <v>63.99</v>
      </c>
      <c r="L127" s="1121">
        <f>'HVAC Deemed Table'!F2247</f>
        <v>2629.29</v>
      </c>
      <c r="M127" s="1121"/>
      <c r="N127" s="1121"/>
      <c r="O127" s="1122">
        <f t="shared" si="258"/>
        <v>6.0624999999999998E-2</v>
      </c>
      <c r="P127" s="1122">
        <f t="shared" si="259"/>
        <v>0</v>
      </c>
      <c r="Q127" s="739">
        <f>'HVAC Deemed Table'!I2246</f>
        <v>6.0624999999999998E-2</v>
      </c>
      <c r="R127" s="739">
        <f>'HVAC Deemed Table'!I2247</f>
        <v>0</v>
      </c>
      <c r="S127" s="739"/>
      <c r="T127" s="739"/>
      <c r="U127" s="740">
        <f t="shared" si="248"/>
        <v>0</v>
      </c>
      <c r="V127" s="740">
        <f t="shared" si="249"/>
        <v>0</v>
      </c>
      <c r="W127" s="740">
        <f t="shared" si="250"/>
        <v>6.0624999999999998E-2</v>
      </c>
      <c r="X127" s="22">
        <f>'HVAC Deemed Table'!J2246</f>
        <v>15</v>
      </c>
      <c r="Y127" s="22"/>
      <c r="Z127" s="22">
        <f t="shared" si="263"/>
        <v>15</v>
      </c>
      <c r="AA127" s="17">
        <f>'HVAC Deemed Table'!DG2246</f>
        <v>18.245620393386517</v>
      </c>
      <c r="AB127" s="241">
        <f>'HVAC Deemed Table'!K2246</f>
        <v>84.93</v>
      </c>
      <c r="AC127" s="846">
        <f t="shared" si="264"/>
        <v>1549.600540010317</v>
      </c>
      <c r="AD127" s="846">
        <f t="shared" si="251"/>
        <v>0</v>
      </c>
      <c r="AE127" s="191">
        <f>'HVAC Deemed Table'!DI2246</f>
        <v>130.05055871033355</v>
      </c>
      <c r="AF127" s="191">
        <f>'HVAC Deemed Table'!DI2247</f>
        <v>1419.5499812999835</v>
      </c>
      <c r="AG127" s="191"/>
      <c r="AH127" s="191"/>
      <c r="AI127" s="850" t="str">
        <f t="shared" si="227"/>
        <v>per measure</v>
      </c>
      <c r="AJ127" s="46">
        <f>'HVAC Deemed Table'!L2246</f>
        <v>1.0111111111111111</v>
      </c>
      <c r="AK127" s="861"/>
      <c r="AL127" s="861"/>
      <c r="AM127"/>
      <c r="AN127"/>
      <c r="AO127"/>
      <c r="AP127"/>
      <c r="AQ127"/>
      <c r="AR127"/>
      <c r="AS127"/>
      <c r="AT127"/>
      <c r="AU127"/>
      <c r="AV127"/>
      <c r="AW127"/>
      <c r="AX127" s="1226" t="str">
        <f t="shared" si="260"/>
        <v>PTHP-SEER13-Replace_PTAC_ElectricHeat_ROF_MF</v>
      </c>
      <c r="AY127" s="1249"/>
      <c r="AZ127" s="1312" t="str">
        <f t="shared" si="261"/>
        <v>356550</v>
      </c>
      <c r="BA127" s="1204">
        <f t="shared" si="266"/>
        <v>367.94</v>
      </c>
      <c r="BB127" s="1204">
        <f t="shared" si="266"/>
        <v>2629.29</v>
      </c>
      <c r="BC127" s="1204">
        <f t="shared" si="266"/>
        <v>63.99</v>
      </c>
      <c r="BD127" s="1204">
        <f t="shared" si="266"/>
        <v>2629.29</v>
      </c>
      <c r="BE127" s="1177"/>
      <c r="BF127" s="1192">
        <f>ROUND(BA127*'CP FACTORS'!$B$9,6)</f>
        <v>0.34859299999999999</v>
      </c>
      <c r="BG127" s="1193">
        <f>ROUND(BB127*'CP FACTORS'!$B$14,6)</f>
        <v>0</v>
      </c>
      <c r="BH127" s="1192">
        <f>ROUND(BC127*'CP FACTORS'!$B$9,6)</f>
        <v>6.0624999999999998E-2</v>
      </c>
      <c r="BI127" s="1194">
        <f>ROUND(BD127*'CP FACTORS'!$B$14,6)</f>
        <v>0</v>
      </c>
      <c r="BJ127" s="1176"/>
      <c r="BK127" s="685">
        <f t="shared" si="252"/>
        <v>2997.23</v>
      </c>
      <c r="BL127" s="1213">
        <f t="shared" si="253"/>
        <v>2693.2799999999997</v>
      </c>
      <c r="BM127" s="1212">
        <f t="shared" si="254"/>
        <v>0.34859299999999999</v>
      </c>
      <c r="BN127" s="1211">
        <f t="shared" si="255"/>
        <v>6.0624999999999998E-2</v>
      </c>
    </row>
    <row r="128" spans="1:66" s="39" customFormat="1" x14ac:dyDescent="0.25">
      <c r="A128" s="49" t="str">
        <f t="shared" si="262"/>
        <v>356600</v>
      </c>
      <c r="B128" s="1307" t="str">
        <f>'HVAC Deemed Table'!C2248</f>
        <v>356600_2024_12_</v>
      </c>
      <c r="C128" s="830" t="str">
        <f>'HVAC Deemed Table'!G2248</f>
        <v>Cooling Res</v>
      </c>
      <c r="D128" s="830" t="str">
        <f>'HVAC Deemed Table'!G2249</f>
        <v>Heating Res</v>
      </c>
      <c r="E128" s="1249" t="str">
        <f>'HVAC Deemed Table'!G2250</f>
        <v>Cooling Res ER2</v>
      </c>
      <c r="F128" s="1249" t="str">
        <f>'HVAC Deemed Table'!G2251</f>
        <v>Heating Res ER2</v>
      </c>
      <c r="G128" s="1307" t="str">
        <f>'HVAC Deemed Table'!E2248</f>
        <v>PTHP-SEER14-ER1_MF</v>
      </c>
      <c r="H128" s="18" t="str">
        <f>'HVAC Deemed Table'!D2248</f>
        <v>IE</v>
      </c>
      <c r="I128" s="1120">
        <f t="shared" si="256"/>
        <v>1837.33</v>
      </c>
      <c r="J128" s="1120">
        <f t="shared" si="257"/>
        <v>275.96000000000004</v>
      </c>
      <c r="K128" s="1121">
        <f>'HVAC Deemed Table'!F2248</f>
        <v>548.66</v>
      </c>
      <c r="L128" s="1121">
        <f>'HVAC Deemed Table'!F2249</f>
        <v>1288.67</v>
      </c>
      <c r="M128" s="1121">
        <f>'HVAC Deemed Table'!F2250</f>
        <v>105.12</v>
      </c>
      <c r="N128" s="1121">
        <f>'HVAC Deemed Table'!F2251</f>
        <v>170.84</v>
      </c>
      <c r="O128" s="1122">
        <f t="shared" si="258"/>
        <v>0.51980999999999999</v>
      </c>
      <c r="P128" s="1122">
        <f t="shared" si="259"/>
        <v>9.9593000000000001E-2</v>
      </c>
      <c r="Q128" s="739">
        <f>'HVAC Deemed Table'!I2248</f>
        <v>0.51980999999999999</v>
      </c>
      <c r="R128" s="739">
        <f>'HVAC Deemed Table'!I2249</f>
        <v>0</v>
      </c>
      <c r="S128" s="739">
        <f>'HVAC Deemed Table'!I2250</f>
        <v>9.9593000000000001E-2</v>
      </c>
      <c r="T128" s="739">
        <f>'HVAC Deemed Table'!I2251</f>
        <v>0</v>
      </c>
      <c r="U128" s="740">
        <f t="shared" si="248"/>
        <v>0</v>
      </c>
      <c r="V128" s="740">
        <f t="shared" si="249"/>
        <v>0</v>
      </c>
      <c r="W128" s="740">
        <f t="shared" si="250"/>
        <v>0.51980999999999999</v>
      </c>
      <c r="X128" s="22">
        <f>'HVAC Deemed Table'!J2248</f>
        <v>5</v>
      </c>
      <c r="Y128" s="22">
        <f>'HVAC Deemed Table'!J2250</f>
        <v>10</v>
      </c>
      <c r="Z128" s="22">
        <f t="shared" si="263"/>
        <v>15</v>
      </c>
      <c r="AA128" s="17">
        <f>'HVAC Deemed Table'!DG2248</f>
        <v>4.1731558401739761</v>
      </c>
      <c r="AB128" s="241">
        <f>'HVAC Deemed Table'!K2248</f>
        <v>224.93182686576984</v>
      </c>
      <c r="AC128" s="846">
        <f t="shared" si="264"/>
        <v>761.23024782971947</v>
      </c>
      <c r="AD128" s="846">
        <f t="shared" si="251"/>
        <v>177.44531909616956</v>
      </c>
      <c r="AE128" s="191">
        <f>'HVAC Deemed Table'!DI2248</f>
        <v>466.18026069292915</v>
      </c>
      <c r="AF128" s="191">
        <f>'HVAC Deemed Table'!DI2249</f>
        <v>295.04998713679038</v>
      </c>
      <c r="AG128" s="191">
        <f>'HVAC Deemed Table'!DI2250</f>
        <v>124.32405273289181</v>
      </c>
      <c r="AH128" s="191">
        <f>'HVAC Deemed Table'!DI2251</f>
        <v>53.121266363277755</v>
      </c>
      <c r="AI128" s="850" t="str">
        <f t="shared" si="227"/>
        <v>per measure</v>
      </c>
      <c r="AJ128" s="46">
        <f>'HVAC Deemed Table'!L2248</f>
        <v>1.0111111111111111</v>
      </c>
      <c r="AK128" s="861"/>
      <c r="AL128" s="861"/>
      <c r="AM128"/>
      <c r="AN128"/>
      <c r="AO128"/>
      <c r="AP128"/>
      <c r="AQ128"/>
      <c r="AR128"/>
      <c r="AS128"/>
      <c r="AT128"/>
      <c r="AU128"/>
      <c r="AV128"/>
      <c r="AW128"/>
      <c r="AX128" s="1226" t="str">
        <f t="shared" si="260"/>
        <v>PTHP-SEER14-ER1_MF</v>
      </c>
      <c r="AY128" s="1249"/>
      <c r="AZ128" s="1312" t="str">
        <f t="shared" si="261"/>
        <v>356600</v>
      </c>
      <c r="BA128" s="1202">
        <f>ROUND((K128*$BC$3)+(K130*$BC$4),2)</f>
        <v>371.24</v>
      </c>
      <c r="BB128" s="1202">
        <f>ROUND((L128*$BC$3)+(L130*$BC$4),2)</f>
        <v>841.54</v>
      </c>
      <c r="BC128" s="1202">
        <f>ROUND((M128*$BC$3)+(K130*$BC$4),2)</f>
        <v>105.12</v>
      </c>
      <c r="BD128" s="1202">
        <f>ROUND((N128*$BC$3)+(L130*$BC$4),2)</f>
        <v>170.84</v>
      </c>
      <c r="BE128" s="1177"/>
      <c r="BF128" s="1192">
        <f>ROUND(BA128*'CP FACTORS'!$B$9,6)</f>
        <v>0.351719</v>
      </c>
      <c r="BG128" s="1193">
        <f>ROUND(BB128*'CP FACTORS'!$B$14,6)</f>
        <v>0</v>
      </c>
      <c r="BH128" s="1192">
        <f>ROUND(BC128*'CP FACTORS'!$B$9,6)</f>
        <v>9.9593000000000001E-2</v>
      </c>
      <c r="BI128" s="1194">
        <f>ROUND(BD128*'CP FACTORS'!$B$14,6)</f>
        <v>0</v>
      </c>
      <c r="BJ128" s="1176"/>
      <c r="BK128" s="685">
        <f t="shared" si="252"/>
        <v>1212.78</v>
      </c>
      <c r="BL128" s="1213">
        <f t="shared" si="253"/>
        <v>275.96000000000004</v>
      </c>
      <c r="BM128" s="1212">
        <f t="shared" si="254"/>
        <v>0.351719</v>
      </c>
      <c r="BN128" s="1211">
        <f t="shared" si="255"/>
        <v>9.9593000000000001E-2</v>
      </c>
    </row>
    <row r="129" spans="1:66" s="39" customFormat="1" x14ac:dyDescent="0.25">
      <c r="A129" s="49" t="str">
        <f t="shared" si="262"/>
        <v>356650</v>
      </c>
      <c r="B129" s="1307" t="str">
        <f>'HVAC Deemed Table'!C2252</f>
        <v>356650_2024_12_</v>
      </c>
      <c r="C129" s="830" t="str">
        <f>'HVAC Deemed Table'!G2252</f>
        <v>Cooling Res</v>
      </c>
      <c r="D129" s="830" t="str">
        <f>'HVAC Deemed Table'!G2253</f>
        <v>Heating Res</v>
      </c>
      <c r="E129" s="1249" t="str">
        <f>'HVAC Deemed Table'!G2254</f>
        <v>Cooling Res ER2</v>
      </c>
      <c r="F129" s="1249" t="str">
        <f>'HVAC Deemed Table'!G2255</f>
        <v>Heating Res ER2</v>
      </c>
      <c r="G129" s="1307" t="str">
        <f>'HVAC Deemed Table'!E2252</f>
        <v>PTHP-SEER14-Replace_PTAC_ElectricHeat_ER1_MF</v>
      </c>
      <c r="H129" s="18" t="str">
        <f>'HVAC Deemed Table'!D2252</f>
        <v>IE</v>
      </c>
      <c r="I129" s="1120">
        <f t="shared" si="256"/>
        <v>3281.26</v>
      </c>
      <c r="J129" s="1120">
        <f t="shared" si="257"/>
        <v>2774.67</v>
      </c>
      <c r="K129" s="1121">
        <f>'HVAC Deemed Table'!F2252</f>
        <v>611.71</v>
      </c>
      <c r="L129" s="1121">
        <f>'HVAC Deemed Table'!F2253</f>
        <v>2669.55</v>
      </c>
      <c r="M129" s="1121">
        <f>'HVAC Deemed Table'!F2254</f>
        <v>105.12</v>
      </c>
      <c r="N129" s="1121">
        <f>'HVAC Deemed Table'!F2255</f>
        <v>2669.55</v>
      </c>
      <c r="O129" s="1122">
        <f t="shared" si="258"/>
        <v>0.57954499999999998</v>
      </c>
      <c r="P129" s="1122">
        <f t="shared" si="259"/>
        <v>9.9593000000000001E-2</v>
      </c>
      <c r="Q129" s="739">
        <f>'HVAC Deemed Table'!I2252</f>
        <v>0.57954499999999998</v>
      </c>
      <c r="R129" s="739">
        <f>'HVAC Deemed Table'!I2253</f>
        <v>0</v>
      </c>
      <c r="S129" s="739">
        <f>'HVAC Deemed Table'!I2254</f>
        <v>9.9593000000000001E-2</v>
      </c>
      <c r="T129" s="739">
        <f>'HVAC Deemed Table'!I2255</f>
        <v>0</v>
      </c>
      <c r="U129" s="740">
        <f t="shared" si="248"/>
        <v>0</v>
      </c>
      <c r="V129" s="740">
        <f t="shared" si="249"/>
        <v>0</v>
      </c>
      <c r="W129" s="740">
        <f t="shared" si="250"/>
        <v>0.57954499999999998</v>
      </c>
      <c r="X129" s="22">
        <f>'HVAC Deemed Table'!J2252</f>
        <v>5</v>
      </c>
      <c r="Y129" s="22">
        <f>'HVAC Deemed Table'!J2254</f>
        <v>10</v>
      </c>
      <c r="Z129" s="22">
        <f t="shared" si="263"/>
        <v>15</v>
      </c>
      <c r="AA129" s="17">
        <f>'HVAC Deemed Table'!DG2252</f>
        <v>9.2710861392380099</v>
      </c>
      <c r="AB129" s="241">
        <f>'HVAC Deemed Table'!K2252</f>
        <v>224.93182686576984</v>
      </c>
      <c r="AC129" s="846">
        <f t="shared" si="264"/>
        <v>1130.964087886113</v>
      </c>
      <c r="AD129" s="846">
        <f t="shared" si="251"/>
        <v>954.3982544426093</v>
      </c>
      <c r="AE129" s="191">
        <f>'HVAC Deemed Table'!DI2252</f>
        <v>519.75199079297147</v>
      </c>
      <c r="AF129" s="191">
        <f>'HVAC Deemed Table'!DI2253</f>
        <v>611.21209709314155</v>
      </c>
      <c r="AG129" s="191">
        <f>'HVAC Deemed Table'!DI2254</f>
        <v>124.32405273289181</v>
      </c>
      <c r="AH129" s="191">
        <f>'HVAC Deemed Table'!DI2255</f>
        <v>830.0742017097175</v>
      </c>
      <c r="AI129" s="850" t="str">
        <f t="shared" si="227"/>
        <v>per measure</v>
      </c>
      <c r="AJ129" s="46">
        <f>'HVAC Deemed Table'!L2252</f>
        <v>1.0111111111111111</v>
      </c>
      <c r="AK129" s="861"/>
      <c r="AL129" s="861"/>
      <c r="AM129"/>
      <c r="AN129"/>
      <c r="AO129"/>
      <c r="AP129"/>
      <c r="AQ129"/>
      <c r="AR129"/>
      <c r="AS129"/>
      <c r="AT129"/>
      <c r="AU129"/>
      <c r="AV129"/>
      <c r="AW129"/>
      <c r="AX129" s="1226" t="str">
        <f t="shared" si="260"/>
        <v>PTHP-SEER14-Replace_PTAC_ElectricHeat_ER1_MF</v>
      </c>
      <c r="AY129" s="1249"/>
      <c r="AZ129" s="1312" t="str">
        <f t="shared" si="261"/>
        <v>356650</v>
      </c>
      <c r="BA129" s="1201">
        <f>ROUND((K129*$BC$3)+(K131*$BC$4),2)</f>
        <v>409.07</v>
      </c>
      <c r="BB129" s="1201">
        <f>ROUND((L129*$BC$3)+(L131*$BC$4),2)</f>
        <v>2669.55</v>
      </c>
      <c r="BC129" s="1201">
        <f>ROUND((M129*$BC$3)+(K131*$BC$4),2)</f>
        <v>105.12</v>
      </c>
      <c r="BD129" s="1201">
        <f>ROUND((N129*$BC$3)+(L131*$BC$4),2)</f>
        <v>2669.55</v>
      </c>
      <c r="BE129" s="1177"/>
      <c r="BF129" s="1192">
        <f>ROUND(BA129*'CP FACTORS'!$B$9,6)</f>
        <v>0.38756000000000002</v>
      </c>
      <c r="BG129" s="1193">
        <f>ROUND(BB129*'CP FACTORS'!$B$14,6)</f>
        <v>0</v>
      </c>
      <c r="BH129" s="1192">
        <f>ROUND(BC129*'CP FACTORS'!$B$9,6)</f>
        <v>9.9593000000000001E-2</v>
      </c>
      <c r="BI129" s="1194">
        <f>ROUND(BD129*'CP FACTORS'!$B$14,6)</f>
        <v>0</v>
      </c>
      <c r="BJ129" s="1176"/>
      <c r="BK129" s="685">
        <f t="shared" si="252"/>
        <v>3078.6200000000003</v>
      </c>
      <c r="BL129" s="1213">
        <f t="shared" si="253"/>
        <v>2774.67</v>
      </c>
      <c r="BM129" s="1212">
        <f t="shared" si="254"/>
        <v>0.38756000000000002</v>
      </c>
      <c r="BN129" s="1211">
        <f t="shared" si="255"/>
        <v>9.9593000000000001E-2</v>
      </c>
    </row>
    <row r="130" spans="1:66" s="39" customFormat="1" x14ac:dyDescent="0.25">
      <c r="A130" s="49" t="str">
        <f>LEFT(B130,6)</f>
        <v>356700</v>
      </c>
      <c r="B130" s="1307" t="str">
        <f>'HVAC Deemed Table'!C2256</f>
        <v>356700_2024_12_</v>
      </c>
      <c r="C130" s="830" t="str">
        <f>'HVAC Deemed Table'!G2256</f>
        <v>Cooling Res</v>
      </c>
      <c r="D130" s="830" t="str">
        <f>'HVAC Deemed Table'!G2257</f>
        <v>Heating Res</v>
      </c>
      <c r="E130" s="1249"/>
      <c r="F130" s="1249"/>
      <c r="G130" s="1307" t="str">
        <f>'HVAC Deemed Table'!E2256</f>
        <v>PTHP-SEER14-ROF_MF</v>
      </c>
      <c r="H130" s="18" t="str">
        <f>'HVAC Deemed Table'!D2256</f>
        <v>IE</v>
      </c>
      <c r="I130" s="1120">
        <f>K130+L130</f>
        <v>275.96000000000004</v>
      </c>
      <c r="J130" s="1120">
        <f>M130+N130</f>
        <v>0</v>
      </c>
      <c r="K130" s="1121">
        <f>'HVAC Deemed Table'!F2256</f>
        <v>105.12</v>
      </c>
      <c r="L130" s="1121">
        <f>'HVAC Deemed Table'!F2257</f>
        <v>170.84</v>
      </c>
      <c r="M130" s="1159"/>
      <c r="N130" s="1159"/>
      <c r="O130" s="1122">
        <f>Q130+R130</f>
        <v>9.9593000000000001E-2</v>
      </c>
      <c r="P130" s="1122">
        <f>S130+T130</f>
        <v>9.9593000000000001E-2</v>
      </c>
      <c r="Q130" s="739">
        <f>'HVAC Deemed Table'!I2256</f>
        <v>9.9593000000000001E-2</v>
      </c>
      <c r="R130" s="739">
        <f>'HVAC Deemed Table'!I2257</f>
        <v>0</v>
      </c>
      <c r="S130" s="651">
        <f>'HVAC Deemed Table'!I2258</f>
        <v>9.9593000000000001E-2</v>
      </c>
      <c r="T130" s="651">
        <f>'HVAC Deemed Table'!I2259</f>
        <v>0</v>
      </c>
      <c r="U130" s="740">
        <f t="shared" si="248"/>
        <v>0</v>
      </c>
      <c r="V130" s="740">
        <f t="shared" si="249"/>
        <v>0</v>
      </c>
      <c r="W130" s="740">
        <f t="shared" si="250"/>
        <v>9.9593000000000001E-2</v>
      </c>
      <c r="X130" s="22">
        <f>'HVAC Deemed Table'!J2256</f>
        <v>15</v>
      </c>
      <c r="Y130" s="22"/>
      <c r="Z130" s="22">
        <f>Y130+X130</f>
        <v>15</v>
      </c>
      <c r="AA130" s="17">
        <f>'HVAC Deemed Table'!DG2256</f>
        <v>3.6015271448645594</v>
      </c>
      <c r="AB130" s="241">
        <f>'HVAC Deemed Table'!K2256</f>
        <v>84.93</v>
      </c>
      <c r="AC130" s="846">
        <f>AE130+AF130</f>
        <v>305.87770041334704</v>
      </c>
      <c r="AD130" s="846">
        <f>AG130+AH130</f>
        <v>1654.9277229571069</v>
      </c>
      <c r="AE130" s="191">
        <f>'HVAC Deemed Table'!DI2256</f>
        <v>213.64142415424695</v>
      </c>
      <c r="AF130" s="191">
        <f>'HVAC Deemed Table'!DI2257</f>
        <v>92.236276259100066</v>
      </c>
      <c r="AG130" s="652">
        <f>'HVAC Deemed Table'!DI2258</f>
        <v>213.64142415424695</v>
      </c>
      <c r="AH130" s="652">
        <f>'HVAC Deemed Table'!DI2259</f>
        <v>1441.2862988028598</v>
      </c>
      <c r="AI130" s="850" t="str">
        <f t="shared" si="227"/>
        <v>per measure</v>
      </c>
      <c r="AJ130" s="46">
        <f>'HVAC Deemed Table'!L2256</f>
        <v>1.0111111111111111</v>
      </c>
      <c r="AK130" s="861"/>
      <c r="AL130" s="861"/>
      <c r="AM130"/>
      <c r="AN130"/>
      <c r="AO130"/>
      <c r="AP130"/>
      <c r="AQ130"/>
      <c r="AR130"/>
      <c r="AS130"/>
      <c r="AT130"/>
      <c r="AU130"/>
      <c r="AV130"/>
      <c r="AW130"/>
      <c r="AX130" s="1226" t="str">
        <f t="shared" si="260"/>
        <v>PTHP-SEER14-ROF_MF</v>
      </c>
      <c r="AY130" s="1249"/>
      <c r="AZ130" s="1312" t="str">
        <f t="shared" si="261"/>
        <v>356700</v>
      </c>
      <c r="BA130" s="1210">
        <f t="shared" ref="BA130:BD131" si="267">BA128</f>
        <v>371.24</v>
      </c>
      <c r="BB130" s="1210">
        <f t="shared" si="267"/>
        <v>841.54</v>
      </c>
      <c r="BC130" s="1210">
        <f t="shared" si="267"/>
        <v>105.12</v>
      </c>
      <c r="BD130" s="1210">
        <f t="shared" si="267"/>
        <v>170.84</v>
      </c>
      <c r="BE130" s="1177"/>
      <c r="BF130" s="1192">
        <f>ROUND(BA130*'CP FACTORS'!$B$9,6)</f>
        <v>0.351719</v>
      </c>
      <c r="BG130" s="1193">
        <f>ROUND(BB130*'CP FACTORS'!$B$14,6)</f>
        <v>0</v>
      </c>
      <c r="BH130" s="1192">
        <f>ROUND(BC130*'CP FACTORS'!$B$9,6)</f>
        <v>9.9593000000000001E-2</v>
      </c>
      <c r="BI130" s="1194">
        <f>ROUND(BD130*'CP FACTORS'!$B$14,6)</f>
        <v>0</v>
      </c>
      <c r="BJ130" s="1176"/>
      <c r="BK130" s="685">
        <f t="shared" si="252"/>
        <v>1212.78</v>
      </c>
      <c r="BL130" s="1213">
        <f t="shared" si="253"/>
        <v>275.96000000000004</v>
      </c>
      <c r="BM130" s="1212">
        <f t="shared" si="254"/>
        <v>0.351719</v>
      </c>
      <c r="BN130" s="1211">
        <f t="shared" si="255"/>
        <v>9.9593000000000001E-2</v>
      </c>
    </row>
    <row r="131" spans="1:66" s="39" customFormat="1" x14ac:dyDescent="0.25">
      <c r="A131" s="49" t="str">
        <f t="shared" si="262"/>
        <v>356750</v>
      </c>
      <c r="B131" s="1307" t="str">
        <f>'HVAC Deemed Table'!C2258</f>
        <v>356750_2024_12_</v>
      </c>
      <c r="C131" s="830" t="str">
        <f>'HVAC Deemed Table'!G2258</f>
        <v>Cooling Res</v>
      </c>
      <c r="D131" s="830" t="str">
        <f>'HVAC Deemed Table'!G2259</f>
        <v>Heating Res</v>
      </c>
      <c r="E131" s="1249"/>
      <c r="F131" s="1249"/>
      <c r="G131" s="1307" t="str">
        <f>'HVAC Deemed Table'!E2258</f>
        <v>PTHP-SEER14-Replace_PTAC_ElectricHeat_ROF_MF</v>
      </c>
      <c r="H131" s="18" t="str">
        <f>'HVAC Deemed Table'!D2258</f>
        <v>IE</v>
      </c>
      <c r="I131" s="1120">
        <f t="shared" si="256"/>
        <v>2774.67</v>
      </c>
      <c r="J131" s="1120">
        <f t="shared" si="257"/>
        <v>0</v>
      </c>
      <c r="K131" s="1121">
        <f>'HVAC Deemed Table'!F2258</f>
        <v>105.12</v>
      </c>
      <c r="L131" s="1121">
        <f>'HVAC Deemed Table'!F2259</f>
        <v>2669.55</v>
      </c>
      <c r="M131" s="1121"/>
      <c r="N131" s="1121"/>
      <c r="O131" s="1122">
        <f t="shared" si="258"/>
        <v>9.9593000000000001E-2</v>
      </c>
      <c r="P131" s="1122">
        <f t="shared" si="259"/>
        <v>0</v>
      </c>
      <c r="Q131" s="739">
        <f>'HVAC Deemed Table'!I2258</f>
        <v>9.9593000000000001E-2</v>
      </c>
      <c r="R131" s="739">
        <f>'HVAC Deemed Table'!I2259</f>
        <v>0</v>
      </c>
      <c r="S131" s="739"/>
      <c r="T131" s="739"/>
      <c r="U131" s="740">
        <f t="shared" si="248"/>
        <v>0</v>
      </c>
      <c r="V131" s="740">
        <f t="shared" si="249"/>
        <v>0</v>
      </c>
      <c r="W131" s="740">
        <f t="shared" si="250"/>
        <v>9.9593000000000001E-2</v>
      </c>
      <c r="X131" s="22">
        <f>'HVAC Deemed Table'!J2258</f>
        <v>15</v>
      </c>
      <c r="Y131" s="22"/>
      <c r="Z131" s="22">
        <f t="shared" si="263"/>
        <v>15</v>
      </c>
      <c r="AA131" s="17">
        <f>'HVAC Deemed Table'!DG2258</f>
        <v>19.485785034229444</v>
      </c>
      <c r="AB131" s="241">
        <f>'HVAC Deemed Table'!K2258</f>
        <v>84.93</v>
      </c>
      <c r="AC131" s="846">
        <f t="shared" si="264"/>
        <v>1654.9277229571069</v>
      </c>
      <c r="AD131" s="846">
        <f t="shared" si="251"/>
        <v>0</v>
      </c>
      <c r="AE131" s="191">
        <f>'HVAC Deemed Table'!DI2258</f>
        <v>213.64142415424695</v>
      </c>
      <c r="AF131" s="191">
        <f>'HVAC Deemed Table'!DI2259</f>
        <v>1441.2862988028598</v>
      </c>
      <c r="AG131" s="191"/>
      <c r="AH131" s="191"/>
      <c r="AI131" s="850" t="str">
        <f t="shared" si="227"/>
        <v>per measure</v>
      </c>
      <c r="AJ131" s="46">
        <f>'HVAC Deemed Table'!L2258</f>
        <v>1.0111111111111111</v>
      </c>
      <c r="AK131" s="861"/>
      <c r="AL131" s="861"/>
      <c r="AM131"/>
      <c r="AN131"/>
      <c r="AO131"/>
      <c r="AP131"/>
      <c r="AQ131"/>
      <c r="AR131"/>
      <c r="AS131"/>
      <c r="AT131"/>
      <c r="AU131"/>
      <c r="AV131"/>
      <c r="AW131"/>
      <c r="AX131" s="1226" t="str">
        <f t="shared" si="260"/>
        <v>PTHP-SEER14-Replace_PTAC_ElectricHeat_ROF_MF</v>
      </c>
      <c r="AY131" s="1249"/>
      <c r="AZ131" s="1312" t="str">
        <f t="shared" si="261"/>
        <v>356750</v>
      </c>
      <c r="BA131" s="1204">
        <f t="shared" si="267"/>
        <v>409.07</v>
      </c>
      <c r="BB131" s="1204">
        <f t="shared" si="267"/>
        <v>2669.55</v>
      </c>
      <c r="BC131" s="1204">
        <f t="shared" si="267"/>
        <v>105.12</v>
      </c>
      <c r="BD131" s="1204">
        <f t="shared" si="267"/>
        <v>2669.55</v>
      </c>
      <c r="BE131" s="1177"/>
      <c r="BF131" s="1192">
        <f>ROUND(BA131*'CP FACTORS'!$B$9,6)</f>
        <v>0.38756000000000002</v>
      </c>
      <c r="BG131" s="1193">
        <f>ROUND(BB131*'CP FACTORS'!$B$14,6)</f>
        <v>0</v>
      </c>
      <c r="BH131" s="1192">
        <f>ROUND(BC131*'CP FACTORS'!$B$9,6)</f>
        <v>9.9593000000000001E-2</v>
      </c>
      <c r="BI131" s="1194">
        <f>ROUND(BD131*'CP FACTORS'!$B$14,6)</f>
        <v>0</v>
      </c>
      <c r="BJ131" s="1176"/>
      <c r="BK131" s="685">
        <f t="shared" si="252"/>
        <v>3078.6200000000003</v>
      </c>
      <c r="BL131" s="1213">
        <f t="shared" si="253"/>
        <v>2774.67</v>
      </c>
      <c r="BM131" s="1212">
        <f t="shared" si="254"/>
        <v>0.38756000000000002</v>
      </c>
      <c r="BN131" s="1211">
        <f t="shared" si="255"/>
        <v>9.9593000000000001E-2</v>
      </c>
    </row>
    <row r="132" spans="1:66" s="39" customFormat="1" x14ac:dyDescent="0.25">
      <c r="A132" s="49" t="str">
        <f t="shared" si="262"/>
        <v>356800</v>
      </c>
      <c r="B132" s="1307" t="str">
        <f>'HVAC Deemed Table'!C2260</f>
        <v>356800_2024_12_</v>
      </c>
      <c r="C132" s="830" t="str">
        <f>'HVAC Deemed Table'!G2260</f>
        <v>Cooling Res</v>
      </c>
      <c r="D132" s="830" t="str">
        <f>'HVAC Deemed Table'!G2261</f>
        <v>Heating Res</v>
      </c>
      <c r="E132" s="1249" t="str">
        <f>'HVAC Deemed Table'!G2262</f>
        <v>Cooling Res ER2</v>
      </c>
      <c r="F132" s="1249" t="str">
        <f>'HVAC Deemed Table'!G2263</f>
        <v>Heating Res ER2</v>
      </c>
      <c r="G132" s="1307" t="str">
        <f>'HVAC Deemed Table'!E2260</f>
        <v>PTHP-SEER15-ER1_MF</v>
      </c>
      <c r="H132" s="18" t="str">
        <f>'HVAC Deemed Table'!D2260</f>
        <v>IE</v>
      </c>
      <c r="I132" s="1120">
        <f t="shared" si="256"/>
        <v>1912.6599999999999</v>
      </c>
      <c r="J132" s="1120">
        <f t="shared" si="257"/>
        <v>351.29</v>
      </c>
      <c r="K132" s="1121">
        <f>'HVAC Deemed Table'!F2260</f>
        <v>584.30999999999995</v>
      </c>
      <c r="L132" s="1121">
        <f>'HVAC Deemed Table'!F2261</f>
        <v>1328.35</v>
      </c>
      <c r="M132" s="1121">
        <f>'HVAC Deemed Table'!F2262</f>
        <v>140.77000000000001</v>
      </c>
      <c r="N132" s="1121">
        <f>'HVAC Deemed Table'!F2263</f>
        <v>210.52</v>
      </c>
      <c r="O132" s="1122">
        <f t="shared" si="258"/>
        <v>0.55358600000000002</v>
      </c>
      <c r="P132" s="1122">
        <f t="shared" si="259"/>
        <v>0.13336799999999999</v>
      </c>
      <c r="Q132" s="739">
        <f>'HVAC Deemed Table'!I2260</f>
        <v>0.55358600000000002</v>
      </c>
      <c r="R132" s="739">
        <f>'HVAC Deemed Table'!I2261</f>
        <v>0</v>
      </c>
      <c r="S132" s="739">
        <f>'HVAC Deemed Table'!I2262</f>
        <v>0.13336799999999999</v>
      </c>
      <c r="T132" s="739">
        <f>'HVAC Deemed Table'!I2263</f>
        <v>0</v>
      </c>
      <c r="U132" s="740">
        <f t="shared" si="248"/>
        <v>0</v>
      </c>
      <c r="V132" s="740">
        <f t="shared" si="249"/>
        <v>0</v>
      </c>
      <c r="W132" s="740">
        <f t="shared" si="250"/>
        <v>0.55358600000000002</v>
      </c>
      <c r="X132" s="22">
        <f>'HVAC Deemed Table'!J2260</f>
        <v>5</v>
      </c>
      <c r="Y132" s="22">
        <f>'HVAC Deemed Table'!J2262</f>
        <v>10</v>
      </c>
      <c r="Z132" s="22">
        <f t="shared" si="263"/>
        <v>15</v>
      </c>
      <c r="AA132" s="17">
        <f>'HVAC Deemed Table'!DG2260</f>
        <v>4.5905121733042673</v>
      </c>
      <c r="AB132" s="241">
        <f>'HVAC Deemed Table'!K2260</f>
        <v>224.93182686576984</v>
      </c>
      <c r="AC132" s="846">
        <f t="shared" si="264"/>
        <v>800.60601685889003</v>
      </c>
      <c r="AD132" s="846">
        <f t="shared" si="251"/>
        <v>231.94627253199417</v>
      </c>
      <c r="AE132" s="191">
        <f>'HVAC Deemed Table'!DI2260</f>
        <v>496.47101688748114</v>
      </c>
      <c r="AF132" s="191">
        <f>'HVAC Deemed Table'!DI2261</f>
        <v>304.13499997140889</v>
      </c>
      <c r="AG132" s="191">
        <f>'HVAC Deemed Table'!DI2262</f>
        <v>166.48684268654091</v>
      </c>
      <c r="AH132" s="191">
        <f>'HVAC Deemed Table'!DI2263</f>
        <v>65.459429845453258</v>
      </c>
      <c r="AI132" s="850" t="str">
        <f t="shared" si="227"/>
        <v>per measure</v>
      </c>
      <c r="AJ132" s="46">
        <f>'HVAC Deemed Table'!L2260</f>
        <v>1.0111111111111111</v>
      </c>
      <c r="AK132" s="861"/>
      <c r="AL132" s="861"/>
      <c r="AM132"/>
      <c r="AN132"/>
      <c r="AO132"/>
      <c r="AP132"/>
      <c r="AQ132"/>
      <c r="AR132"/>
      <c r="AS132"/>
      <c r="AT132"/>
      <c r="AU132"/>
      <c r="AV132"/>
      <c r="AW132"/>
      <c r="AX132" s="1226" t="str">
        <f t="shared" si="260"/>
        <v>PTHP-SEER15-ER1_MF</v>
      </c>
      <c r="AY132" s="1249"/>
      <c r="AZ132" s="1312" t="str">
        <f t="shared" si="261"/>
        <v>356800</v>
      </c>
      <c r="BA132" s="1202">
        <f>ROUND((K132*$BC$3)+(K134*$BC$4),2)</f>
        <v>406.89</v>
      </c>
      <c r="BB132" s="1202">
        <f>ROUND((L132*$BC$3)+(L134*$BC$4),2)</f>
        <v>881.22</v>
      </c>
      <c r="BC132" s="1202">
        <f>ROUND((M132*$BC$3)+(K134*$BC$4),2)</f>
        <v>140.77000000000001</v>
      </c>
      <c r="BD132" s="1202">
        <f>ROUND((N132*$BC$3)+(L134*$BC$4),2)</f>
        <v>210.52</v>
      </c>
      <c r="BE132" s="1177"/>
      <c r="BF132" s="1192">
        <f>ROUND(BA132*'CP FACTORS'!$B$9,6)</f>
        <v>0.38549499999999998</v>
      </c>
      <c r="BG132" s="1193">
        <f>ROUND(BB132*'CP FACTORS'!$B$14,6)</f>
        <v>0</v>
      </c>
      <c r="BH132" s="1192">
        <f>ROUND(BC132*'CP FACTORS'!$B$9,6)</f>
        <v>0.13336799999999999</v>
      </c>
      <c r="BI132" s="1194">
        <f>ROUND(BD132*'CP FACTORS'!$B$14,6)</f>
        <v>0</v>
      </c>
      <c r="BJ132" s="1176"/>
      <c r="BK132" s="685">
        <f t="shared" si="252"/>
        <v>1288.1100000000001</v>
      </c>
      <c r="BL132" s="1213">
        <f t="shared" si="253"/>
        <v>351.29</v>
      </c>
      <c r="BM132" s="1212">
        <f t="shared" si="254"/>
        <v>0.38549499999999998</v>
      </c>
      <c r="BN132" s="1211">
        <f t="shared" si="255"/>
        <v>0.13336799999999999</v>
      </c>
    </row>
    <row r="133" spans="1:66" s="39" customFormat="1" x14ac:dyDescent="0.25">
      <c r="A133" s="49" t="str">
        <f t="shared" si="262"/>
        <v>356850</v>
      </c>
      <c r="B133" s="1307" t="str">
        <f>'HVAC Deemed Table'!C2264</f>
        <v>356850_2024_12_</v>
      </c>
      <c r="C133" s="830" t="str">
        <f>'HVAC Deemed Table'!G2264</f>
        <v>Cooling Res</v>
      </c>
      <c r="D133" s="830" t="str">
        <f>'HVAC Deemed Table'!G2265</f>
        <v>Heating Res</v>
      </c>
      <c r="E133" s="1249" t="str">
        <f>'HVAC Deemed Table'!G2266</f>
        <v>Cooling Res ER2</v>
      </c>
      <c r="F133" s="1249" t="str">
        <f>'HVAC Deemed Table'!G2267</f>
        <v>Heating Res ER2</v>
      </c>
      <c r="G133" s="1307" t="str">
        <f>'HVAC Deemed Table'!E2264</f>
        <v>PTHP-SEER15-Replace_PTAC_ElectricHeat_ER1_MF</v>
      </c>
      <c r="H133" s="18" t="str">
        <f>'HVAC Deemed Table'!D2264</f>
        <v>IE</v>
      </c>
      <c r="I133" s="1120">
        <f t="shared" si="256"/>
        <v>3356.59</v>
      </c>
      <c r="J133" s="1120">
        <f t="shared" si="257"/>
        <v>2850</v>
      </c>
      <c r="K133" s="1121">
        <f>'HVAC Deemed Table'!F2264</f>
        <v>647.36</v>
      </c>
      <c r="L133" s="1121">
        <f>'HVAC Deemed Table'!F2265</f>
        <v>2709.23</v>
      </c>
      <c r="M133" s="1121">
        <f>'HVAC Deemed Table'!F2266</f>
        <v>140.77000000000001</v>
      </c>
      <c r="N133" s="1121">
        <f>'HVAC Deemed Table'!F2267</f>
        <v>2709.23</v>
      </c>
      <c r="O133" s="1122">
        <f t="shared" si="258"/>
        <v>0.61332100000000001</v>
      </c>
      <c r="P133" s="1122">
        <f t="shared" si="259"/>
        <v>0.13336799999999999</v>
      </c>
      <c r="Q133" s="739">
        <f>'HVAC Deemed Table'!I2264</f>
        <v>0.61332100000000001</v>
      </c>
      <c r="R133" s="739">
        <f>'HVAC Deemed Table'!I2265</f>
        <v>0</v>
      </c>
      <c r="S133" s="739">
        <f>'HVAC Deemed Table'!I2266</f>
        <v>0.13336799999999999</v>
      </c>
      <c r="T133" s="739">
        <f>'HVAC Deemed Table'!I2267</f>
        <v>0</v>
      </c>
      <c r="U133" s="740">
        <f t="shared" si="248"/>
        <v>0</v>
      </c>
      <c r="V133" s="740">
        <f t="shared" si="249"/>
        <v>0</v>
      </c>
      <c r="W133" s="740">
        <f t="shared" si="250"/>
        <v>0.61332100000000001</v>
      </c>
      <c r="X133" s="22">
        <f>'HVAC Deemed Table'!J2264</f>
        <v>5</v>
      </c>
      <c r="Y133" s="22">
        <f>'HVAC Deemed Table'!J2266</f>
        <v>10</v>
      </c>
      <c r="Z133" s="22">
        <f t="shared" si="263"/>
        <v>15</v>
      </c>
      <c r="AA133" s="17">
        <f>'HVAC Deemed Table'!DG2264</f>
        <v>9.6884424723683011</v>
      </c>
      <c r="AB133" s="241">
        <f>'HVAC Deemed Table'!K2264</f>
        <v>224.93182686576984</v>
      </c>
      <c r="AC133" s="846">
        <f t="shared" si="264"/>
        <v>1170.3398569152837</v>
      </c>
      <c r="AD133" s="846">
        <f t="shared" si="251"/>
        <v>1008.8992078784338</v>
      </c>
      <c r="AE133" s="191">
        <f>'HVAC Deemed Table'!DI2264</f>
        <v>550.04274698752351</v>
      </c>
      <c r="AF133" s="191">
        <f>'HVAC Deemed Table'!DI2265</f>
        <v>620.29710992776006</v>
      </c>
      <c r="AG133" s="191">
        <f>'HVAC Deemed Table'!DI2266</f>
        <v>166.48684268654091</v>
      </c>
      <c r="AH133" s="191">
        <f>'HVAC Deemed Table'!DI2267</f>
        <v>842.41236519189295</v>
      </c>
      <c r="AI133" s="850" t="str">
        <f t="shared" si="227"/>
        <v>per measure</v>
      </c>
      <c r="AJ133" s="46">
        <f>'HVAC Deemed Table'!L2264</f>
        <v>1.0111111111111111</v>
      </c>
      <c r="AK133" s="861"/>
      <c r="AL133" s="861"/>
      <c r="AM133"/>
      <c r="AN133"/>
      <c r="AO133"/>
      <c r="AP133"/>
      <c r="AQ133"/>
      <c r="AR133"/>
      <c r="AS133"/>
      <c r="AT133"/>
      <c r="AU133"/>
      <c r="AV133"/>
      <c r="AW133"/>
      <c r="AX133" s="1226" t="str">
        <f t="shared" si="260"/>
        <v>PTHP-SEER15-Replace_PTAC_ElectricHeat_ER1_MF</v>
      </c>
      <c r="AY133" s="1249"/>
      <c r="AZ133" s="1312" t="str">
        <f t="shared" si="261"/>
        <v>356850</v>
      </c>
      <c r="BA133" s="1201">
        <f>ROUND((K133*$BC$3)+(K135*$BC$4),2)</f>
        <v>444.72</v>
      </c>
      <c r="BB133" s="1201">
        <f>ROUND((L133*$BC$3)+(L135*$BC$4),2)</f>
        <v>2709.23</v>
      </c>
      <c r="BC133" s="1201">
        <f>ROUND((M133*$BC$3)+(K135*$BC$4),2)</f>
        <v>140.77000000000001</v>
      </c>
      <c r="BD133" s="1201">
        <f>ROUND((N133*$BC$3)+(L135*$BC$4),2)</f>
        <v>2709.23</v>
      </c>
      <c r="BE133" s="1177"/>
      <c r="BF133" s="1192">
        <f>ROUND(BA133*'CP FACTORS'!$B$9,6)</f>
        <v>0.42133599999999999</v>
      </c>
      <c r="BG133" s="1193">
        <f>ROUND(BB133*'CP FACTORS'!$B$14,6)</f>
        <v>0</v>
      </c>
      <c r="BH133" s="1192">
        <f>ROUND(BC133*'CP FACTORS'!$B$9,6)</f>
        <v>0.13336799999999999</v>
      </c>
      <c r="BI133" s="1194">
        <f>ROUND(BD133*'CP FACTORS'!$B$14,6)</f>
        <v>0</v>
      </c>
      <c r="BJ133" s="1176"/>
      <c r="BK133" s="685">
        <f t="shared" si="252"/>
        <v>3153.95</v>
      </c>
      <c r="BL133" s="1213">
        <f t="shared" si="253"/>
        <v>2850</v>
      </c>
      <c r="BM133" s="1212">
        <f t="shared" si="254"/>
        <v>0.42133599999999999</v>
      </c>
      <c r="BN133" s="1211">
        <f t="shared" si="255"/>
        <v>0.13336799999999999</v>
      </c>
    </row>
    <row r="134" spans="1:66" s="39" customFormat="1" x14ac:dyDescent="0.25">
      <c r="A134" s="49" t="str">
        <f>LEFT(B134,6)</f>
        <v>356900</v>
      </c>
      <c r="B134" s="1307" t="str">
        <f>'HVAC Deemed Table'!C2268</f>
        <v>356900_2024_12_</v>
      </c>
      <c r="C134" s="830" t="str">
        <f>'HVAC Deemed Table'!G2268</f>
        <v>Cooling Res</v>
      </c>
      <c r="D134" s="830" t="str">
        <f>'HVAC Deemed Table'!G2269</f>
        <v>Heating Res</v>
      </c>
      <c r="E134" s="1249"/>
      <c r="F134" s="1249"/>
      <c r="G134" s="1307" t="str">
        <f>'HVAC Deemed Table'!E2268</f>
        <v>PTHP-SEER15-ROF_MF</v>
      </c>
      <c r="H134" s="18" t="str">
        <f>'HVAC Deemed Table'!D2268</f>
        <v>IE</v>
      </c>
      <c r="I134" s="1120">
        <f>K134+L134</f>
        <v>351.29</v>
      </c>
      <c r="J134" s="1120">
        <f>M134+N134</f>
        <v>0</v>
      </c>
      <c r="K134" s="1121">
        <f>'HVAC Deemed Table'!F2268</f>
        <v>140.77000000000001</v>
      </c>
      <c r="L134" s="1121">
        <f>'HVAC Deemed Table'!F2269</f>
        <v>210.52</v>
      </c>
      <c r="M134" s="1159"/>
      <c r="N134" s="1159"/>
      <c r="O134" s="1122">
        <f>Q134+R134</f>
        <v>0.13336799999999999</v>
      </c>
      <c r="P134" s="1122">
        <f>S134+T134</f>
        <v>0.13336799999999999</v>
      </c>
      <c r="Q134" s="739">
        <f>'HVAC Deemed Table'!I2268</f>
        <v>0.13336799999999999</v>
      </c>
      <c r="R134" s="739">
        <f>'HVAC Deemed Table'!I2269</f>
        <v>0</v>
      </c>
      <c r="S134" s="651">
        <f>'HVAC Deemed Table'!I2270</f>
        <v>0.13336799999999999</v>
      </c>
      <c r="T134" s="651">
        <f>'HVAC Deemed Table'!I2271</f>
        <v>0</v>
      </c>
      <c r="U134" s="740">
        <f t="shared" si="248"/>
        <v>0</v>
      </c>
      <c r="V134" s="740">
        <f t="shared" si="249"/>
        <v>0</v>
      </c>
      <c r="W134" s="740">
        <f t="shared" si="250"/>
        <v>0.13336799999999999</v>
      </c>
      <c r="X134" s="22">
        <f>'HVAC Deemed Table'!J2268</f>
        <v>15</v>
      </c>
      <c r="Y134" s="22"/>
      <c r="Z134" s="22">
        <f>Y134+X134</f>
        <v>15</v>
      </c>
      <c r="AA134" s="17">
        <f>'HVAC Deemed Table'!DG2268</f>
        <v>4.706869455767599</v>
      </c>
      <c r="AB134" s="241">
        <f>'HVAC Deemed Table'!K2268</f>
        <v>84.93</v>
      </c>
      <c r="AC134" s="846">
        <f>AE134+AF134</f>
        <v>399.75442287834221</v>
      </c>
      <c r="AD134" s="846">
        <f>AG134+AH134</f>
        <v>1748.8044454221022</v>
      </c>
      <c r="AE134" s="191">
        <f>'HVAC Deemed Table'!DI2268</f>
        <v>286.09497030244813</v>
      </c>
      <c r="AF134" s="191">
        <f>'HVAC Deemed Table'!DI2269</f>
        <v>113.65945257589408</v>
      </c>
      <c r="AG134" s="652">
        <f>'HVAC Deemed Table'!DI2270</f>
        <v>286.09497030244813</v>
      </c>
      <c r="AH134" s="652">
        <f>'HVAC Deemed Table'!DI2271</f>
        <v>1462.7094751196539</v>
      </c>
      <c r="AI134" s="850" t="str">
        <f t="shared" si="227"/>
        <v>per measure</v>
      </c>
      <c r="AJ134" s="46">
        <f>'HVAC Deemed Table'!L2268</f>
        <v>1.0111111111111111</v>
      </c>
      <c r="AK134" s="861"/>
      <c r="AL134" s="861"/>
      <c r="AM134"/>
      <c r="AN134"/>
      <c r="AO134"/>
      <c r="AP134"/>
      <c r="AQ134"/>
      <c r="AR134"/>
      <c r="AS134"/>
      <c r="AT134"/>
      <c r="AU134"/>
      <c r="AV134"/>
      <c r="AW134"/>
      <c r="AX134" s="1226" t="str">
        <f t="shared" si="260"/>
        <v>PTHP-SEER15-ROF_MF</v>
      </c>
      <c r="AY134" s="1249"/>
      <c r="AZ134" s="1312" t="str">
        <f t="shared" si="261"/>
        <v>356900</v>
      </c>
      <c r="BA134" s="1210">
        <f t="shared" ref="BA134:BD135" si="268">BA132</f>
        <v>406.89</v>
      </c>
      <c r="BB134" s="1210">
        <f t="shared" si="268"/>
        <v>881.22</v>
      </c>
      <c r="BC134" s="1210">
        <f t="shared" si="268"/>
        <v>140.77000000000001</v>
      </c>
      <c r="BD134" s="1210">
        <f t="shared" si="268"/>
        <v>210.52</v>
      </c>
      <c r="BE134" s="1177"/>
      <c r="BF134" s="1192">
        <f>ROUND(BA134*'CP FACTORS'!$B$9,6)</f>
        <v>0.38549499999999998</v>
      </c>
      <c r="BG134" s="1193">
        <f>ROUND(BB134*'CP FACTORS'!$B$14,6)</f>
        <v>0</v>
      </c>
      <c r="BH134" s="1192">
        <f>ROUND(BC134*'CP FACTORS'!$B$9,6)</f>
        <v>0.13336799999999999</v>
      </c>
      <c r="BI134" s="1194">
        <f>ROUND(BD134*'CP FACTORS'!$B$14,6)</f>
        <v>0</v>
      </c>
      <c r="BJ134" s="1176"/>
      <c r="BK134" s="685">
        <f t="shared" si="252"/>
        <v>1288.1100000000001</v>
      </c>
      <c r="BL134" s="1213">
        <f t="shared" si="253"/>
        <v>351.29</v>
      </c>
      <c r="BM134" s="1212">
        <f t="shared" si="254"/>
        <v>0.38549499999999998</v>
      </c>
      <c r="BN134" s="1211">
        <f t="shared" si="255"/>
        <v>0.13336799999999999</v>
      </c>
    </row>
    <row r="135" spans="1:66" s="39" customFormat="1" x14ac:dyDescent="0.25">
      <c r="A135" s="49" t="str">
        <f t="shared" si="262"/>
        <v>356950</v>
      </c>
      <c r="B135" s="1307" t="str">
        <f>'HVAC Deemed Table'!C2270</f>
        <v>356950_2024_12_</v>
      </c>
      <c r="C135" s="830" t="str">
        <f>'HVAC Deemed Table'!G2270</f>
        <v>Cooling Res</v>
      </c>
      <c r="D135" s="830" t="str">
        <f>'HVAC Deemed Table'!G2271</f>
        <v>Heating Res</v>
      </c>
      <c r="E135" s="1249"/>
      <c r="F135" s="1249"/>
      <c r="G135" s="1307" t="str">
        <f>'HVAC Deemed Table'!E2270</f>
        <v>PTHP-SEER15-Replace_PTAC_ElectricHeat_ROF_MF</v>
      </c>
      <c r="H135" s="18" t="str">
        <f>'HVAC Deemed Table'!D2270</f>
        <v>IE</v>
      </c>
      <c r="I135" s="1120">
        <f t="shared" si="256"/>
        <v>2850</v>
      </c>
      <c r="J135" s="1120">
        <f t="shared" si="257"/>
        <v>0</v>
      </c>
      <c r="K135" s="1121">
        <f>'HVAC Deemed Table'!F2270</f>
        <v>140.77000000000001</v>
      </c>
      <c r="L135" s="1121">
        <f>'HVAC Deemed Table'!F2271</f>
        <v>2709.23</v>
      </c>
      <c r="M135" s="1121"/>
      <c r="N135" s="1121"/>
      <c r="O135" s="1122">
        <f t="shared" si="258"/>
        <v>0.13336799999999999</v>
      </c>
      <c r="P135" s="1122">
        <f t="shared" si="259"/>
        <v>0</v>
      </c>
      <c r="Q135" s="739">
        <f>'HVAC Deemed Table'!I2270</f>
        <v>0.13336799999999999</v>
      </c>
      <c r="R135" s="739">
        <f>'HVAC Deemed Table'!I2271</f>
        <v>0</v>
      </c>
      <c r="S135" s="739"/>
      <c r="T135" s="739"/>
      <c r="U135" s="740">
        <f t="shared" si="248"/>
        <v>0</v>
      </c>
      <c r="V135" s="740">
        <f t="shared" si="249"/>
        <v>0</v>
      </c>
      <c r="W135" s="740">
        <f t="shared" si="250"/>
        <v>0.13336799999999999</v>
      </c>
      <c r="X135" s="22">
        <f>'HVAC Deemed Table'!J2270</f>
        <v>15</v>
      </c>
      <c r="Y135" s="22"/>
      <c r="Z135" s="22">
        <f t="shared" si="263"/>
        <v>15</v>
      </c>
      <c r="AA135" s="17">
        <f>'HVAC Deemed Table'!DG2270</f>
        <v>20.591127345132485</v>
      </c>
      <c r="AB135" s="241">
        <f>'HVAC Deemed Table'!K2270</f>
        <v>84.93</v>
      </c>
      <c r="AC135" s="846">
        <f t="shared" si="264"/>
        <v>1748.8044454221022</v>
      </c>
      <c r="AD135" s="846">
        <f t="shared" si="251"/>
        <v>0</v>
      </c>
      <c r="AE135" s="191">
        <f>'HVAC Deemed Table'!DI2270</f>
        <v>286.09497030244813</v>
      </c>
      <c r="AF135" s="191">
        <f>'HVAC Deemed Table'!DI2271</f>
        <v>1462.7094751196539</v>
      </c>
      <c r="AG135" s="191"/>
      <c r="AH135" s="191"/>
      <c r="AI135" s="850" t="str">
        <f t="shared" si="227"/>
        <v>per measure</v>
      </c>
      <c r="AJ135" s="46">
        <f>'HVAC Deemed Table'!L2270</f>
        <v>1.0111111111111111</v>
      </c>
      <c r="AK135" s="861"/>
      <c r="AL135" s="861"/>
      <c r="AM135"/>
      <c r="AN135"/>
      <c r="AO135"/>
      <c r="AP135"/>
      <c r="AQ135"/>
      <c r="AR135"/>
      <c r="AS135"/>
      <c r="AT135"/>
      <c r="AU135"/>
      <c r="AV135"/>
      <c r="AW135"/>
      <c r="AX135" s="1226" t="str">
        <f t="shared" si="260"/>
        <v>PTHP-SEER15-Replace_PTAC_ElectricHeat_ROF_MF</v>
      </c>
      <c r="AY135" s="1249"/>
      <c r="AZ135" s="1312" t="str">
        <f t="shared" si="261"/>
        <v>356950</v>
      </c>
      <c r="BA135" s="1204">
        <f t="shared" si="268"/>
        <v>444.72</v>
      </c>
      <c r="BB135" s="1204">
        <f t="shared" si="268"/>
        <v>2709.23</v>
      </c>
      <c r="BC135" s="1204">
        <f t="shared" si="268"/>
        <v>140.77000000000001</v>
      </c>
      <c r="BD135" s="1204">
        <f t="shared" si="268"/>
        <v>2709.23</v>
      </c>
      <c r="BE135" s="1177"/>
      <c r="BF135" s="1192">
        <f>ROUND(BA135*'CP FACTORS'!$B$9,6)</f>
        <v>0.42133599999999999</v>
      </c>
      <c r="BG135" s="1193">
        <f>ROUND(BB135*'CP FACTORS'!$B$14,6)</f>
        <v>0</v>
      </c>
      <c r="BH135" s="1192">
        <f>ROUND(BC135*'CP FACTORS'!$B$9,6)</f>
        <v>0.13336799999999999</v>
      </c>
      <c r="BI135" s="1194">
        <f>ROUND(BD135*'CP FACTORS'!$B$14,6)</f>
        <v>0</v>
      </c>
      <c r="BJ135" s="1176"/>
      <c r="BK135" s="685">
        <f t="shared" si="252"/>
        <v>3153.95</v>
      </c>
      <c r="BL135" s="1213">
        <f t="shared" si="253"/>
        <v>2850</v>
      </c>
      <c r="BM135" s="1212">
        <f t="shared" si="254"/>
        <v>0.42133599999999999</v>
      </c>
      <c r="BN135" s="1211">
        <f t="shared" si="255"/>
        <v>0.13336799999999999</v>
      </c>
    </row>
    <row r="136" spans="1:66" x14ac:dyDescent="0.25">
      <c r="A136" s="49" t="str">
        <f t="shared" si="262"/>
        <v>400150</v>
      </c>
      <c r="B136" s="1307" t="str">
        <f>'Income Eligible Deemed Table'!C7</f>
        <v>400150_2025_12_</v>
      </c>
      <c r="C136" s="830" t="str">
        <f>'Income Eligible Deemed Table'!G7</f>
        <v>Cooling RES</v>
      </c>
      <c r="D136" s="1249"/>
      <c r="E136" s="1249"/>
      <c r="F136" s="1249"/>
      <c r="G136" s="1249" t="str">
        <f>'Income Eligible Deemed Table'!E7</f>
        <v>AC Tune-up + Refrigerant charge SF</v>
      </c>
      <c r="H136" s="18" t="str">
        <f>'Income Eligible Deemed Table'!D7</f>
        <v>IE</v>
      </c>
      <c r="I136" s="737">
        <f t="shared" ref="I136:I138" si="269">K136+L136</f>
        <v>548.96</v>
      </c>
      <c r="J136" s="737">
        <f t="shared" ref="J136:J180" si="270">M136+N136</f>
        <v>0</v>
      </c>
      <c r="K136" s="185">
        <f>'Income Eligible Deemed Table'!F7</f>
        <v>548.96</v>
      </c>
      <c r="L136" s="185"/>
      <c r="M136" s="185"/>
      <c r="N136" s="185"/>
      <c r="O136" s="738">
        <f t="shared" ref="O136:O138" si="271">Q136+R136</f>
        <v>0.52009499999999997</v>
      </c>
      <c r="P136" s="738">
        <f t="shared" ref="P136:P178" si="272">S136+T136</f>
        <v>0</v>
      </c>
      <c r="Q136" s="739">
        <f>'Income Eligible Deemed Table'!I7</f>
        <v>0.52009499999999997</v>
      </c>
      <c r="R136" s="739"/>
      <c r="S136" s="739"/>
      <c r="T136" s="739"/>
      <c r="U136" s="740">
        <f t="shared" ref="U136:U182" si="273">IFERROR(IF(V136+W136&gt;0,0,IF(Z136&gt;0,O136,0)),0)</f>
        <v>0.52009499999999997</v>
      </c>
      <c r="V136" s="740">
        <f t="shared" ref="V136:V182" si="274">IF(W136&gt;0,0,IF(Z136&gt;9,O136,0))</f>
        <v>0</v>
      </c>
      <c r="W136" s="740">
        <f t="shared" ref="W136:W182" si="275">IF(Z136&gt;14,O136,0)</f>
        <v>0</v>
      </c>
      <c r="X136" s="22">
        <f>'Income Eligible Deemed Table'!J7</f>
        <v>2</v>
      </c>
      <c r="Y136" s="22"/>
      <c r="Z136" s="22">
        <f t="shared" si="263"/>
        <v>2</v>
      </c>
      <c r="AA136" s="17">
        <f>'Income Eligible Deemed Table'!DG7</f>
        <v>1.1095332790980033</v>
      </c>
      <c r="AB136" s="241">
        <f>'Income Eligible Deemed Table'!K7</f>
        <v>185</v>
      </c>
      <c r="AC136" s="845">
        <f t="shared" si="264"/>
        <v>205.26365663313061</v>
      </c>
      <c r="AD136" s="845">
        <f t="shared" ref="AD136:AD174" si="276">AG136+AH136</f>
        <v>0</v>
      </c>
      <c r="AE136" s="580">
        <f>'Income Eligible Deemed Table'!DI7</f>
        <v>205.26365663313061</v>
      </c>
      <c r="AF136" s="191"/>
      <c r="AG136" s="191"/>
      <c r="AH136" s="191"/>
      <c r="AI136" s="1307" t="str">
        <f>'Income Eligible Deemed Table'!L7</f>
        <v>per measure</v>
      </c>
      <c r="AJ136" s="68"/>
      <c r="AX136" s="1226" t="str">
        <f t="shared" si="260"/>
        <v>AC Tune-up + Refrigerant charge SF</v>
      </c>
      <c r="AY136" s="1249"/>
      <c r="AZ136" s="1312" t="str">
        <f t="shared" si="261"/>
        <v>400150</v>
      </c>
      <c r="BA136" s="1171" t="s">
        <v>2174</v>
      </c>
      <c r="BB136" s="1171" t="s">
        <v>2174</v>
      </c>
      <c r="BC136" s="1171" t="s">
        <v>2174</v>
      </c>
      <c r="BD136" s="1171" t="s">
        <v>2174</v>
      </c>
      <c r="BE136" s="1176"/>
      <c r="BF136" s="1171" t="s">
        <v>2174</v>
      </c>
      <c r="BG136" s="1171" t="s">
        <v>2174</v>
      </c>
      <c r="BH136" s="1171" t="s">
        <v>2174</v>
      </c>
      <c r="BI136" s="1172" t="s">
        <v>2174</v>
      </c>
      <c r="BJ136" s="1176"/>
      <c r="BK136" s="1171" t="s">
        <v>2174</v>
      </c>
      <c r="BL136" s="1172" t="s">
        <v>2174</v>
      </c>
      <c r="BM136" s="1171" t="s">
        <v>2174</v>
      </c>
      <c r="BN136" s="1172" t="s">
        <v>2174</v>
      </c>
    </row>
    <row r="137" spans="1:66" s="39" customFormat="1" x14ac:dyDescent="0.25">
      <c r="A137" s="49" t="str">
        <f t="shared" ref="A137:A195" si="277">LEFT(B137,6)</f>
        <v>400410</v>
      </c>
      <c r="B137" s="1307" t="str">
        <f>'Income Eligible Deemed Table'!C8</f>
        <v>400410_2025_12_</v>
      </c>
      <c r="C137" s="830" t="str">
        <f>'Income Eligible Deemed Table'!G8</f>
        <v>Cooling RES</v>
      </c>
      <c r="D137" s="1249"/>
      <c r="E137" s="1249"/>
      <c r="F137" s="1249"/>
      <c r="G137" s="1249" t="str">
        <f>'Income Eligible Deemed Table'!E8</f>
        <v>AC Tune-up + Refrigerant check / Packaged Service SF</v>
      </c>
      <c r="H137" s="18" t="str">
        <f>'Income Eligible Deemed Table'!D8</f>
        <v>IE</v>
      </c>
      <c r="I137" s="737">
        <f t="shared" si="269"/>
        <v>183.84</v>
      </c>
      <c r="J137" s="737">
        <f t="shared" si="270"/>
        <v>0</v>
      </c>
      <c r="K137" s="185">
        <f>'Income Eligible Deemed Table'!F8</f>
        <v>183.84</v>
      </c>
      <c r="L137" s="185"/>
      <c r="M137" s="185"/>
      <c r="N137" s="185"/>
      <c r="O137" s="738">
        <f t="shared" si="271"/>
        <v>0.17417299999999999</v>
      </c>
      <c r="P137" s="738">
        <f t="shared" si="272"/>
        <v>0</v>
      </c>
      <c r="Q137" s="739">
        <f>'Income Eligible Deemed Table'!I8</f>
        <v>0.17417299999999999</v>
      </c>
      <c r="R137" s="739"/>
      <c r="S137" s="739"/>
      <c r="T137" s="739"/>
      <c r="U137" s="740">
        <f t="shared" si="273"/>
        <v>0.17417299999999999</v>
      </c>
      <c r="V137" s="740">
        <f t="shared" si="274"/>
        <v>0</v>
      </c>
      <c r="W137" s="740">
        <f t="shared" si="275"/>
        <v>0</v>
      </c>
      <c r="X137" s="22">
        <f>'Income Eligible Deemed Table'!J8</f>
        <v>2</v>
      </c>
      <c r="Y137" s="22"/>
      <c r="Z137" s="22">
        <f t="shared" ref="Z137:Z195" si="278">Y137+X137</f>
        <v>2</v>
      </c>
      <c r="AA137" s="17">
        <f>'Income Eligible Deemed Table'!DG8</f>
        <v>0.84864557887765169</v>
      </c>
      <c r="AB137" s="241">
        <f>'Income Eligible Deemed Table'!K8</f>
        <v>81</v>
      </c>
      <c r="AC137" s="845">
        <f t="shared" ref="AC137:AC195" si="279">AE137+AF137</f>
        <v>68.740291889089789</v>
      </c>
      <c r="AD137" s="845">
        <f t="shared" si="276"/>
        <v>0</v>
      </c>
      <c r="AE137" s="580">
        <f>'Income Eligible Deemed Table'!DI8</f>
        <v>68.740291889089789</v>
      </c>
      <c r="AF137" s="191"/>
      <c r="AG137" s="191"/>
      <c r="AH137" s="191"/>
      <c r="AI137" s="1307" t="str">
        <f>'Income Eligible Deemed Table'!L8</f>
        <v>per measure</v>
      </c>
      <c r="AJ137" s="644"/>
      <c r="AM137"/>
      <c r="AN137"/>
      <c r="AO137"/>
      <c r="AP137"/>
      <c r="AQ137"/>
      <c r="AR137"/>
      <c r="AS137"/>
      <c r="AT137"/>
      <c r="AU137"/>
      <c r="AV137"/>
      <c r="AW137"/>
      <c r="AX137" s="1226" t="str">
        <f t="shared" si="260"/>
        <v>AC Tune-up + Refrigerant check / Packaged Service SF</v>
      </c>
      <c r="AY137" s="1249"/>
      <c r="AZ137" s="1312" t="str">
        <f t="shared" si="261"/>
        <v>400410</v>
      </c>
      <c r="BA137" s="1171" t="s">
        <v>2174</v>
      </c>
      <c r="BB137" s="1171" t="s">
        <v>2174</v>
      </c>
      <c r="BC137" s="1171" t="s">
        <v>2174</v>
      </c>
      <c r="BD137" s="1171" t="s">
        <v>2174</v>
      </c>
      <c r="BE137" s="1177"/>
      <c r="BF137" s="1171" t="s">
        <v>2174</v>
      </c>
      <c r="BG137" s="1171" t="s">
        <v>2174</v>
      </c>
      <c r="BH137" s="1171" t="s">
        <v>2174</v>
      </c>
      <c r="BI137" s="1172" t="s">
        <v>2174</v>
      </c>
      <c r="BJ137" s="1176"/>
      <c r="BK137" s="1171" t="s">
        <v>2174</v>
      </c>
      <c r="BL137" s="1172" t="s">
        <v>2174</v>
      </c>
      <c r="BM137" s="1171" t="s">
        <v>2174</v>
      </c>
      <c r="BN137" s="1172" t="s">
        <v>2174</v>
      </c>
    </row>
    <row r="138" spans="1:66" x14ac:dyDescent="0.25">
      <c r="A138" s="49" t="str">
        <f t="shared" si="277"/>
        <v>400411</v>
      </c>
      <c r="B138" s="1307" t="str">
        <f>'Income Eligible Deemed Table'!C9</f>
        <v>400411_2025_12_</v>
      </c>
      <c r="C138" s="830" t="str">
        <f>'Income Eligible Deemed Table'!G9</f>
        <v>Cooling RES</v>
      </c>
      <c r="D138" s="1249"/>
      <c r="E138" s="1249"/>
      <c r="F138" s="1249"/>
      <c r="G138" s="1249" t="str">
        <f>'Income Eligible Deemed Table'!E9</f>
        <v>AC Tune-up + Refrigerant charge  / Packaged Service MF</v>
      </c>
      <c r="H138" s="18" t="str">
        <f>'Income Eligible Deemed Table'!D9</f>
        <v>IE</v>
      </c>
      <c r="I138" s="737">
        <f t="shared" si="269"/>
        <v>417.82</v>
      </c>
      <c r="J138" s="737">
        <f t="shared" si="270"/>
        <v>0</v>
      </c>
      <c r="K138" s="185">
        <f>'Income Eligible Deemed Table'!F9</f>
        <v>417.82</v>
      </c>
      <c r="L138" s="185"/>
      <c r="M138" s="185"/>
      <c r="N138" s="185"/>
      <c r="O138" s="738">
        <f t="shared" si="271"/>
        <v>0.39584999999999998</v>
      </c>
      <c r="P138" s="738">
        <f t="shared" si="272"/>
        <v>0</v>
      </c>
      <c r="Q138" s="739">
        <f>'Income Eligible Deemed Table'!I9</f>
        <v>0.39584999999999998</v>
      </c>
      <c r="R138" s="739"/>
      <c r="S138" s="739"/>
      <c r="T138" s="739"/>
      <c r="U138" s="740">
        <f t="shared" si="273"/>
        <v>0.39584999999999998</v>
      </c>
      <c r="V138" s="740">
        <f t="shared" si="274"/>
        <v>0</v>
      </c>
      <c r="W138" s="740">
        <f t="shared" si="275"/>
        <v>0</v>
      </c>
      <c r="X138" s="22">
        <f>'Income Eligible Deemed Table'!J9</f>
        <v>2</v>
      </c>
      <c r="Y138" s="22"/>
      <c r="Z138" s="22">
        <f t="shared" si="278"/>
        <v>2</v>
      </c>
      <c r="AA138" s="17">
        <f>'Income Eligible Deemed Table'!DG9</f>
        <v>0.84447900516017149</v>
      </c>
      <c r="AB138" s="241">
        <f>'Income Eligible Deemed Table'!K9</f>
        <v>185</v>
      </c>
      <c r="AC138" s="845">
        <f t="shared" si="279"/>
        <v>156.22861595463172</v>
      </c>
      <c r="AD138" s="845">
        <f t="shared" si="276"/>
        <v>0</v>
      </c>
      <c r="AE138" s="580">
        <f>'Income Eligible Deemed Table'!DI9</f>
        <v>156.22861595463172</v>
      </c>
      <c r="AF138" s="191"/>
      <c r="AG138" s="191"/>
      <c r="AH138" s="191"/>
      <c r="AI138" s="1307" t="str">
        <f>'Income Eligible Deemed Table'!L9</f>
        <v>per measure</v>
      </c>
      <c r="AJ138" s="644"/>
      <c r="AK138" s="39"/>
      <c r="AL138" s="39"/>
      <c r="AX138" s="1226" t="str">
        <f t="shared" si="260"/>
        <v>AC Tune-up + Refrigerant charge  / Packaged Service MF</v>
      </c>
      <c r="AY138" s="1249"/>
      <c r="AZ138" s="1312" t="str">
        <f t="shared" si="261"/>
        <v>400411</v>
      </c>
      <c r="BA138" s="1171" t="s">
        <v>2174</v>
      </c>
      <c r="BB138" s="1171" t="s">
        <v>2174</v>
      </c>
      <c r="BC138" s="1171" t="s">
        <v>2174</v>
      </c>
      <c r="BD138" s="1171" t="s">
        <v>2174</v>
      </c>
      <c r="BE138" s="1176"/>
      <c r="BF138" s="1171" t="s">
        <v>2174</v>
      </c>
      <c r="BG138" s="1171" t="s">
        <v>2174</v>
      </c>
      <c r="BH138" s="1171" t="s">
        <v>2174</v>
      </c>
      <c r="BI138" s="1172" t="s">
        <v>2174</v>
      </c>
      <c r="BJ138" s="1176"/>
      <c r="BK138" s="1171" t="s">
        <v>2174</v>
      </c>
      <c r="BL138" s="1172" t="s">
        <v>2174</v>
      </c>
      <c r="BM138" s="1171" t="s">
        <v>2174</v>
      </c>
      <c r="BN138" s="1172" t="s">
        <v>2174</v>
      </c>
    </row>
    <row r="139" spans="1:66" s="39" customFormat="1" x14ac:dyDescent="0.25">
      <c r="A139" s="659" t="str">
        <f t="shared" ref="A139" si="280">LEFT(B139,6)</f>
        <v>400415</v>
      </c>
      <c r="B139" s="645" t="str">
        <f>'Income Eligible Deemed Table'!C10</f>
        <v>400415_2025_12_</v>
      </c>
      <c r="C139" s="2116" t="str">
        <f>'Income Eligible Deemed Table'!G10</f>
        <v>Cooling RES</v>
      </c>
      <c r="D139" s="644"/>
      <c r="E139" s="644"/>
      <c r="F139" s="644"/>
      <c r="G139" s="644" t="str">
        <f>'Income Eligible Deemed Table'!E10</f>
        <v>AC Tune-up + Refrigerant check MF</v>
      </c>
      <c r="H139" s="650" t="str">
        <f>'Income Eligible Deemed Table'!D10</f>
        <v>IE</v>
      </c>
      <c r="I139" s="648">
        <f t="shared" ref="I139" si="281">K139+L139</f>
        <v>139.93</v>
      </c>
      <c r="J139" s="648">
        <f t="shared" ref="J139" si="282">M139+N139</f>
        <v>0</v>
      </c>
      <c r="K139" s="646">
        <f>'Income Eligible Deemed Table'!F10</f>
        <v>139.93</v>
      </c>
      <c r="L139" s="646"/>
      <c r="M139" s="646"/>
      <c r="N139" s="646"/>
      <c r="O139" s="649">
        <f t="shared" ref="O139" si="283">Q139+R139</f>
        <v>0.132572</v>
      </c>
      <c r="P139" s="649">
        <f t="shared" ref="P139" si="284">S139+T139</f>
        <v>0</v>
      </c>
      <c r="Q139" s="651">
        <f>'Income Eligible Deemed Table'!I10</f>
        <v>0.132572</v>
      </c>
      <c r="R139" s="651"/>
      <c r="S139" s="651"/>
      <c r="T139" s="651"/>
      <c r="U139" s="2117">
        <f t="shared" ref="U139" si="285">IFERROR(IF(V139+W139&gt;0,0,IF(Z139&gt;0,O139,0)),0)</f>
        <v>0.132572</v>
      </c>
      <c r="V139" s="2117">
        <f t="shared" ref="V139" si="286">IF(W139&gt;0,0,IF(Z139&gt;9,O139,0))</f>
        <v>0</v>
      </c>
      <c r="W139" s="2117">
        <f t="shared" ref="W139" si="287">IF(Z139&gt;14,O139,0)</f>
        <v>0</v>
      </c>
      <c r="X139" s="642">
        <f>'Income Eligible Deemed Table'!J10</f>
        <v>2</v>
      </c>
      <c r="Y139" s="642"/>
      <c r="Z139" s="642">
        <f t="shared" ref="Z139" si="288">Y139+X139</f>
        <v>2</v>
      </c>
      <c r="AA139" s="112">
        <f>'Income Eligible Deemed Table'!DG10</f>
        <v>0.64594743174689839</v>
      </c>
      <c r="AB139" s="733">
        <f>'Income Eligible Deemed Table'!K10</f>
        <v>81</v>
      </c>
      <c r="AC139" s="735">
        <f t="shared" ref="AC139" si="289">AE139+AF139</f>
        <v>52.321741971498774</v>
      </c>
      <c r="AD139" s="735">
        <f t="shared" ref="AD139" si="290">AG139+AH139</f>
        <v>0</v>
      </c>
      <c r="AE139" s="743">
        <f>'Income Eligible Deemed Table'!DI10</f>
        <v>52.321741971498774</v>
      </c>
      <c r="AF139" s="652"/>
      <c r="AG139" s="652"/>
      <c r="AH139" s="652"/>
      <c r="AI139" s="645" t="str">
        <f>'Income Eligible Deemed Table'!L10</f>
        <v>per measure</v>
      </c>
      <c r="AJ139" s="644"/>
      <c r="AX139" s="2167" t="str">
        <f t="shared" ref="AX139" si="291">G139</f>
        <v>AC Tune-up + Refrigerant check MF</v>
      </c>
      <c r="AY139" s="644"/>
      <c r="AZ139" s="2119" t="str">
        <f t="shared" ref="AZ139" si="292">A139</f>
        <v>400415</v>
      </c>
      <c r="BA139" s="2168" t="s">
        <v>2174</v>
      </c>
      <c r="BB139" s="2168" t="s">
        <v>2174</v>
      </c>
      <c r="BC139" s="2168" t="s">
        <v>2174</v>
      </c>
      <c r="BD139" s="2168" t="s">
        <v>2174</v>
      </c>
      <c r="BE139" s="1177"/>
      <c r="BF139" s="2168" t="s">
        <v>2174</v>
      </c>
      <c r="BG139" s="2168" t="s">
        <v>2174</v>
      </c>
      <c r="BH139" s="2168" t="s">
        <v>2174</v>
      </c>
      <c r="BI139" s="2169" t="s">
        <v>2174</v>
      </c>
      <c r="BJ139" s="1177"/>
      <c r="BK139" s="2168" t="s">
        <v>2174</v>
      </c>
      <c r="BL139" s="2169" t="s">
        <v>2174</v>
      </c>
      <c r="BM139" s="2168" t="s">
        <v>2174</v>
      </c>
      <c r="BN139" s="2169" t="s">
        <v>2174</v>
      </c>
    </row>
    <row r="140" spans="1:66" x14ac:dyDescent="0.25">
      <c r="A140" s="49" t="str">
        <f t="shared" si="277"/>
        <v>400450</v>
      </c>
      <c r="B140" s="1307" t="str">
        <f>'Income Eligible Deemed Table'!C34</f>
        <v>400450_2024_12_</v>
      </c>
      <c r="C140" s="1249" t="str">
        <f>'Income Eligible Deemed Table'!G34</f>
        <v>Building Shell RES</v>
      </c>
      <c r="D140" s="1249"/>
      <c r="E140" s="1249"/>
      <c r="F140" s="1249"/>
      <c r="G140" s="1249" t="str">
        <f>'Income Eligible Deemed Table'!E34</f>
        <v>Air Sealing (Infiltration reduction) - 30% MF IE DI electric furnace base</v>
      </c>
      <c r="H140" s="18" t="str">
        <f>'Income Eligible Deemed Table'!D34</f>
        <v>IE</v>
      </c>
      <c r="I140" s="737">
        <f>'Income Eligible Deemed Table'!F34</f>
        <v>0.33</v>
      </c>
      <c r="J140" s="737">
        <f t="shared" si="270"/>
        <v>0</v>
      </c>
      <c r="K140" s="831"/>
      <c r="L140" s="831"/>
      <c r="M140" s="185"/>
      <c r="N140" s="185"/>
      <c r="O140" s="738">
        <f>'Income Eligible Deemed Table'!K34</f>
        <v>1.54E-4</v>
      </c>
      <c r="P140" s="738">
        <f t="shared" si="272"/>
        <v>0</v>
      </c>
      <c r="Q140" s="832"/>
      <c r="R140" s="832"/>
      <c r="S140" s="739"/>
      <c r="T140" s="739"/>
      <c r="U140" s="740">
        <f t="shared" si="273"/>
        <v>0</v>
      </c>
      <c r="V140" s="740">
        <f t="shared" si="274"/>
        <v>0</v>
      </c>
      <c r="W140" s="740">
        <f t="shared" si="275"/>
        <v>1.54E-4</v>
      </c>
      <c r="X140" s="22">
        <f>'Income Eligible Deemed Table'!L34</f>
        <v>20</v>
      </c>
      <c r="Y140" s="22"/>
      <c r="Z140" s="22">
        <f t="shared" si="278"/>
        <v>20</v>
      </c>
      <c r="AA140" s="17">
        <f>'Income Eligible Deemed Table'!DG34</f>
        <v>4.1870160967152685</v>
      </c>
      <c r="AB140" s="241">
        <f>'Income Eligible Deemed Table'!M34</f>
        <v>0.12</v>
      </c>
      <c r="AC140" s="845">
        <f t="shared" si="279"/>
        <v>0.50244193160583217</v>
      </c>
      <c r="AD140" s="845">
        <f t="shared" si="276"/>
        <v>0</v>
      </c>
      <c r="AE140" s="580">
        <f>'Income Eligible Deemed Table'!DI34</f>
        <v>0.50244193160583217</v>
      </c>
      <c r="AF140" s="191"/>
      <c r="AG140" s="191"/>
      <c r="AH140" s="191"/>
      <c r="AI140" s="850" t="str">
        <f>'Income Eligible Deemed Table'!N33</f>
        <v>Units (sq. ft)</v>
      </c>
      <c r="AJ140" s="68"/>
      <c r="AX140" s="1226" t="str">
        <f t="shared" si="260"/>
        <v>Air Sealing (Infiltration reduction) - 30% MF IE DI electric furnace base</v>
      </c>
      <c r="AY140" s="1249"/>
      <c r="AZ140" s="1312" t="str">
        <f t="shared" si="261"/>
        <v>400450</v>
      </c>
      <c r="BA140" s="1171" t="s">
        <v>2174</v>
      </c>
      <c r="BB140" s="1171" t="s">
        <v>2174</v>
      </c>
      <c r="BC140" s="1171" t="s">
        <v>2174</v>
      </c>
      <c r="BD140" s="1171" t="s">
        <v>2174</v>
      </c>
      <c r="BE140" s="1176"/>
      <c r="BF140" s="1171" t="s">
        <v>2174</v>
      </c>
      <c r="BG140" s="1171" t="s">
        <v>2174</v>
      </c>
      <c r="BH140" s="1171" t="s">
        <v>2174</v>
      </c>
      <c r="BI140" s="1172" t="s">
        <v>2174</v>
      </c>
      <c r="BJ140" s="1176"/>
      <c r="BK140" s="1171" t="s">
        <v>2174</v>
      </c>
      <c r="BL140" s="1172" t="s">
        <v>2174</v>
      </c>
      <c r="BM140" s="1171" t="s">
        <v>2174</v>
      </c>
      <c r="BN140" s="1172" t="s">
        <v>2174</v>
      </c>
    </row>
    <row r="141" spans="1:66" x14ac:dyDescent="0.25">
      <c r="A141" s="49" t="str">
        <f t="shared" si="277"/>
        <v>400500</v>
      </c>
      <c r="B141" s="1307" t="str">
        <f>'Income Eligible Deemed Table'!C35</f>
        <v>400500_2024_12_</v>
      </c>
      <c r="C141" s="1249" t="str">
        <f>'Income Eligible Deemed Table'!G35</f>
        <v>Building Shell RES</v>
      </c>
      <c r="D141" s="1249"/>
      <c r="E141" s="1249"/>
      <c r="F141" s="1249"/>
      <c r="G141" s="1249" t="str">
        <f>'Income Eligible Deemed Table'!E35</f>
        <v>Air Sealing (Infiltration reduction) - 30% MF IE DI heat pump base</v>
      </c>
      <c r="H141" s="650" t="str">
        <f>'Income Eligible Deemed Table'!D35</f>
        <v>IE</v>
      </c>
      <c r="I141" s="737">
        <f>'Income Eligible Deemed Table'!F35</f>
        <v>0.25</v>
      </c>
      <c r="J141" s="737">
        <f t="shared" si="270"/>
        <v>0</v>
      </c>
      <c r="K141" s="831"/>
      <c r="L141" s="831"/>
      <c r="M141" s="185"/>
      <c r="N141" s="185"/>
      <c r="O141" s="738">
        <f>'Income Eligible Deemed Table'!K35</f>
        <v>1.17E-4</v>
      </c>
      <c r="P141" s="738">
        <f t="shared" si="272"/>
        <v>0</v>
      </c>
      <c r="Q141" s="832"/>
      <c r="R141" s="832"/>
      <c r="S141" s="739"/>
      <c r="T141" s="739"/>
      <c r="U141" s="740">
        <f t="shared" si="273"/>
        <v>0</v>
      </c>
      <c r="V141" s="740">
        <f t="shared" si="274"/>
        <v>0</v>
      </c>
      <c r="W141" s="740">
        <f t="shared" si="275"/>
        <v>1.17E-4</v>
      </c>
      <c r="X141" s="22">
        <f>'Income Eligible Deemed Table'!L35</f>
        <v>20</v>
      </c>
      <c r="Y141" s="22"/>
      <c r="Z141" s="22">
        <f t="shared" si="278"/>
        <v>20</v>
      </c>
      <c r="AA141" s="17">
        <f>'Income Eligible Deemed Table'!DG35</f>
        <v>3.1719818914509608</v>
      </c>
      <c r="AB141" s="241">
        <f>'Income Eligible Deemed Table'!M35</f>
        <v>0.12</v>
      </c>
      <c r="AC141" s="845">
        <f t="shared" si="279"/>
        <v>0.3806378269741153</v>
      </c>
      <c r="AD141" s="845">
        <f t="shared" si="276"/>
        <v>0</v>
      </c>
      <c r="AE141" s="580">
        <f>'Income Eligible Deemed Table'!DI35</f>
        <v>0.3806378269741153</v>
      </c>
      <c r="AF141" s="191"/>
      <c r="AG141" s="191"/>
      <c r="AH141" s="191"/>
      <c r="AI141" s="850" t="str">
        <f t="shared" ref="AI141:AI148" si="293">AI140</f>
        <v>Units (sq. ft)</v>
      </c>
      <c r="AJ141" s="68"/>
      <c r="AX141" s="1226" t="str">
        <f t="shared" si="260"/>
        <v>Air Sealing (Infiltration reduction) - 30% MF IE DI heat pump base</v>
      </c>
      <c r="AY141" s="1249"/>
      <c r="AZ141" s="1312" t="str">
        <f t="shared" si="261"/>
        <v>400500</v>
      </c>
      <c r="BA141" s="1171" t="s">
        <v>2174</v>
      </c>
      <c r="BB141" s="1171" t="s">
        <v>2174</v>
      </c>
      <c r="BC141" s="1171" t="s">
        <v>2174</v>
      </c>
      <c r="BD141" s="1171" t="s">
        <v>2174</v>
      </c>
      <c r="BE141" s="1176"/>
      <c r="BF141" s="1171" t="s">
        <v>2174</v>
      </c>
      <c r="BG141" s="1171" t="s">
        <v>2174</v>
      </c>
      <c r="BH141" s="1171" t="s">
        <v>2174</v>
      </c>
      <c r="BI141" s="1172" t="s">
        <v>2174</v>
      </c>
      <c r="BJ141" s="1176"/>
      <c r="BK141" s="1171" t="s">
        <v>2174</v>
      </c>
      <c r="BL141" s="1172" t="s">
        <v>2174</v>
      </c>
      <c r="BM141" s="1171" t="s">
        <v>2174</v>
      </c>
      <c r="BN141" s="1172" t="s">
        <v>2174</v>
      </c>
    </row>
    <row r="142" spans="1:66" s="39" customFormat="1" x14ac:dyDescent="0.25">
      <c r="A142" s="49" t="str">
        <f t="shared" si="277"/>
        <v>400501</v>
      </c>
      <c r="B142" s="1307" t="str">
        <f>'Income Eligible Deemed Table'!C36</f>
        <v>400501_2022_12_</v>
      </c>
      <c r="C142" s="1249" t="str">
        <f>'Income Eligible Deemed Table'!G36</f>
        <v>Building Shell RES</v>
      </c>
      <c r="D142" s="1249"/>
      <c r="E142" s="1249"/>
      <c r="F142" s="1249"/>
      <c r="G142" s="1249" t="str">
        <f>'Income Eligible Deemed Table'!E36</f>
        <v>Air Sealing (Infiltration reduction) - 30% MF IE DI gas furnace base</v>
      </c>
      <c r="H142" s="650" t="str">
        <f>'Income Eligible Deemed Table'!D36</f>
        <v>IE</v>
      </c>
      <c r="I142" s="737">
        <f>'Income Eligible Deemed Table'!F36</f>
        <v>0.05</v>
      </c>
      <c r="J142" s="737">
        <f>M142+N142</f>
        <v>0</v>
      </c>
      <c r="K142" s="831"/>
      <c r="L142" s="831"/>
      <c r="M142" s="185"/>
      <c r="N142" s="185"/>
      <c r="O142" s="738">
        <f>'Income Eligible Deemed Table'!K36</f>
        <v>2.3E-5</v>
      </c>
      <c r="P142" s="738">
        <f>S142+T142</f>
        <v>0</v>
      </c>
      <c r="Q142" s="832"/>
      <c r="R142" s="832"/>
      <c r="S142" s="739"/>
      <c r="T142" s="739"/>
      <c r="U142" s="740">
        <f t="shared" si="273"/>
        <v>0</v>
      </c>
      <c r="V142" s="740">
        <f t="shared" si="274"/>
        <v>0</v>
      </c>
      <c r="W142" s="740">
        <f t="shared" si="275"/>
        <v>2.3E-5</v>
      </c>
      <c r="X142" s="22">
        <f>'Income Eligible Deemed Table'!L36</f>
        <v>20</v>
      </c>
      <c r="Y142" s="22"/>
      <c r="Z142" s="22">
        <f>Y142+X142</f>
        <v>20</v>
      </c>
      <c r="AA142" s="17">
        <f>'Income Eligible Deemed Table'!DG36</f>
        <v>0.63439637829019224</v>
      </c>
      <c r="AB142" s="241">
        <f>'Income Eligible Deemed Table'!M36</f>
        <v>0.12</v>
      </c>
      <c r="AC142" s="845">
        <f>AE142+AF142</f>
        <v>7.6127565394823071E-2</v>
      </c>
      <c r="AD142" s="845">
        <f>AG142+AH142</f>
        <v>0</v>
      </c>
      <c r="AE142" s="580">
        <f>'Income Eligible Deemed Table'!DI36</f>
        <v>7.6127565394823071E-2</v>
      </c>
      <c r="AF142" s="191"/>
      <c r="AG142" s="191"/>
      <c r="AH142" s="191"/>
      <c r="AI142" s="850" t="str">
        <f>AI141</f>
        <v>Units (sq. ft)</v>
      </c>
      <c r="AJ142" s="644"/>
      <c r="AM142"/>
      <c r="AN142"/>
      <c r="AO142"/>
      <c r="AP142"/>
      <c r="AQ142"/>
      <c r="AR142"/>
      <c r="AS142"/>
      <c r="AT142"/>
      <c r="AU142"/>
      <c r="AV142"/>
      <c r="AW142"/>
      <c r="AX142" s="1226" t="str">
        <f t="shared" si="260"/>
        <v>Air Sealing (Infiltration reduction) - 30% MF IE DI gas furnace base</v>
      </c>
      <c r="AY142" s="1249"/>
      <c r="AZ142" s="1312" t="str">
        <f t="shared" si="261"/>
        <v>400501</v>
      </c>
      <c r="BA142" s="1171" t="s">
        <v>2174</v>
      </c>
      <c r="BB142" s="1171" t="s">
        <v>2174</v>
      </c>
      <c r="BC142" s="1171" t="s">
        <v>2174</v>
      </c>
      <c r="BD142" s="1171" t="s">
        <v>2174</v>
      </c>
      <c r="BE142" s="1177"/>
      <c r="BF142" s="1171" t="s">
        <v>2174</v>
      </c>
      <c r="BG142" s="1171" t="s">
        <v>2174</v>
      </c>
      <c r="BH142" s="1171" t="s">
        <v>2174</v>
      </c>
      <c r="BI142" s="1172" t="s">
        <v>2174</v>
      </c>
      <c r="BJ142" s="1176"/>
      <c r="BK142" s="1171" t="s">
        <v>2174</v>
      </c>
      <c r="BL142" s="1172" t="s">
        <v>2174</v>
      </c>
      <c r="BM142" s="1171" t="s">
        <v>2174</v>
      </c>
      <c r="BN142" s="1172" t="s">
        <v>2174</v>
      </c>
    </row>
    <row r="143" spans="1:66" x14ac:dyDescent="0.25">
      <c r="A143" s="49" t="str">
        <f t="shared" si="277"/>
        <v>400550</v>
      </c>
      <c r="B143" s="1307" t="str">
        <f>'Income Eligible Deemed Table'!C37</f>
        <v>400550_2024_12_</v>
      </c>
      <c r="C143" s="1249" t="str">
        <f>'Income Eligible Deemed Table'!G37</f>
        <v>Building Shell RES</v>
      </c>
      <c r="D143" s="1249"/>
      <c r="E143" s="1249"/>
      <c r="F143" s="1249"/>
      <c r="G143" s="1249" t="str">
        <f>'Income Eligible Deemed Table'!E37</f>
        <v>Air Sealing (Infiltration reduction) - 30% SF IE DI electric furnace base</v>
      </c>
      <c r="H143" s="650" t="str">
        <f>'Income Eligible Deemed Table'!D37</f>
        <v>PAYS / IE</v>
      </c>
      <c r="I143" s="737">
        <f>'Income Eligible Deemed Table'!F37</f>
        <v>0.36</v>
      </c>
      <c r="J143" s="737">
        <f t="shared" si="270"/>
        <v>0</v>
      </c>
      <c r="K143" s="831"/>
      <c r="L143" s="831"/>
      <c r="M143" s="185"/>
      <c r="N143" s="185"/>
      <c r="O143" s="738">
        <f>'Income Eligible Deemed Table'!K37</f>
        <v>1.6799999999999999E-4</v>
      </c>
      <c r="P143" s="738">
        <f t="shared" si="272"/>
        <v>0</v>
      </c>
      <c r="Q143" s="832"/>
      <c r="R143" s="832"/>
      <c r="S143" s="739"/>
      <c r="T143" s="739"/>
      <c r="U143" s="740">
        <f t="shared" si="273"/>
        <v>0</v>
      </c>
      <c r="V143" s="740">
        <f t="shared" si="274"/>
        <v>0</v>
      </c>
      <c r="W143" s="740">
        <f t="shared" si="275"/>
        <v>1.6799999999999999E-4</v>
      </c>
      <c r="X143" s="22">
        <f>'Income Eligible Deemed Table'!L37</f>
        <v>20</v>
      </c>
      <c r="Y143" s="22"/>
      <c r="Z143" s="22">
        <f t="shared" si="278"/>
        <v>20</v>
      </c>
      <c r="AA143" s="17">
        <f>'Income Eligible Deemed Table'!DG37</f>
        <v>4.5676539236893836</v>
      </c>
      <c r="AB143" s="241">
        <f>'Income Eligible Deemed Table'!M37</f>
        <v>0.12</v>
      </c>
      <c r="AC143" s="845">
        <f t="shared" si="279"/>
        <v>0.54811847084272602</v>
      </c>
      <c r="AD143" s="845">
        <f t="shared" si="276"/>
        <v>0</v>
      </c>
      <c r="AE143" s="580">
        <f>'Income Eligible Deemed Table'!DI37</f>
        <v>0.54811847084272602</v>
      </c>
      <c r="AF143" s="191"/>
      <c r="AG143" s="191"/>
      <c r="AH143" s="191"/>
      <c r="AI143" s="850" t="str">
        <f>AI141</f>
        <v>Units (sq. ft)</v>
      </c>
      <c r="AJ143" s="68"/>
      <c r="AX143" s="1226" t="str">
        <f t="shared" si="260"/>
        <v>Air Sealing (Infiltration reduction) - 30% SF IE DI electric furnace base</v>
      </c>
      <c r="AY143" s="1249"/>
      <c r="AZ143" s="1312" t="str">
        <f t="shared" si="261"/>
        <v>400550</v>
      </c>
      <c r="BA143" s="1171" t="s">
        <v>2174</v>
      </c>
      <c r="BB143" s="1171" t="s">
        <v>2174</v>
      </c>
      <c r="BC143" s="1171" t="s">
        <v>2174</v>
      </c>
      <c r="BD143" s="1171" t="s">
        <v>2174</v>
      </c>
      <c r="BE143" s="1176"/>
      <c r="BF143" s="1171" t="s">
        <v>2174</v>
      </c>
      <c r="BG143" s="1171" t="s">
        <v>2174</v>
      </c>
      <c r="BH143" s="1171" t="s">
        <v>2174</v>
      </c>
      <c r="BI143" s="1172" t="s">
        <v>2174</v>
      </c>
      <c r="BJ143" s="1176"/>
      <c r="BK143" s="1171" t="s">
        <v>2174</v>
      </c>
      <c r="BL143" s="1172" t="s">
        <v>2174</v>
      </c>
      <c r="BM143" s="1171" t="s">
        <v>2174</v>
      </c>
      <c r="BN143" s="1172" t="s">
        <v>2174</v>
      </c>
    </row>
    <row r="144" spans="1:66" x14ac:dyDescent="0.25">
      <c r="A144" s="49" t="str">
        <f t="shared" si="277"/>
        <v>400551</v>
      </c>
      <c r="B144" s="1307" t="str">
        <f>'Income Eligible Deemed Table'!C38</f>
        <v>400551_2024_12_</v>
      </c>
      <c r="C144" s="1249" t="str">
        <f>'Income Eligible Deemed Table'!G38</f>
        <v>Building Shell RES</v>
      </c>
      <c r="D144" s="1249"/>
      <c r="E144" s="1249"/>
      <c r="F144" s="1249"/>
      <c r="G144" s="1249" t="str">
        <f>'Income Eligible Deemed Table'!E38</f>
        <v>Air Sealing (Infiltration reduction) - 30% SF IE DI Gas furnace base</v>
      </c>
      <c r="H144" s="650" t="str">
        <f>'Income Eligible Deemed Table'!D38</f>
        <v>PAYS / IE</v>
      </c>
      <c r="I144" s="737">
        <f>'Income Eligible Deemed Table'!F38</f>
        <v>0.06</v>
      </c>
      <c r="J144" s="737">
        <f t="shared" si="270"/>
        <v>0</v>
      </c>
      <c r="K144" s="831"/>
      <c r="L144" s="831"/>
      <c r="M144" s="185"/>
      <c r="N144" s="185"/>
      <c r="O144" s="738">
        <f>'Income Eligible Deemed Table'!K38</f>
        <v>2.8E-5</v>
      </c>
      <c r="P144" s="738">
        <f t="shared" si="272"/>
        <v>0</v>
      </c>
      <c r="Q144" s="832"/>
      <c r="R144" s="832"/>
      <c r="S144" s="739"/>
      <c r="T144" s="739"/>
      <c r="U144" s="740">
        <f t="shared" si="273"/>
        <v>0</v>
      </c>
      <c r="V144" s="740">
        <f t="shared" si="274"/>
        <v>0</v>
      </c>
      <c r="W144" s="740">
        <f t="shared" si="275"/>
        <v>2.8E-5</v>
      </c>
      <c r="X144" s="22">
        <f>'Income Eligible Deemed Table'!L38</f>
        <v>20</v>
      </c>
      <c r="Y144" s="22"/>
      <c r="Z144" s="22">
        <f t="shared" si="278"/>
        <v>20</v>
      </c>
      <c r="AA144" s="17">
        <f>'Income Eligible Deemed Table'!DG38</f>
        <v>0.7612756539482306</v>
      </c>
      <c r="AB144" s="241">
        <f>'Income Eligible Deemed Table'!M38</f>
        <v>0.12</v>
      </c>
      <c r="AC144" s="845">
        <f t="shared" si="279"/>
        <v>9.1353078473787666E-2</v>
      </c>
      <c r="AD144" s="845">
        <f t="shared" si="276"/>
        <v>0</v>
      </c>
      <c r="AE144" s="580">
        <f>'Income Eligible Deemed Table'!DI38</f>
        <v>9.1353078473787666E-2</v>
      </c>
      <c r="AF144" s="191"/>
      <c r="AG144" s="191"/>
      <c r="AH144" s="191"/>
      <c r="AI144" s="850" t="str">
        <f t="shared" si="293"/>
        <v>Units (sq. ft)</v>
      </c>
      <c r="AJ144" s="68"/>
      <c r="AX144" s="1226" t="str">
        <f t="shared" si="260"/>
        <v>Air Sealing (Infiltration reduction) - 30% SF IE DI Gas furnace base</v>
      </c>
      <c r="AY144" s="1249"/>
      <c r="AZ144" s="1312" t="str">
        <f t="shared" si="261"/>
        <v>400551</v>
      </c>
      <c r="BA144" s="1171" t="s">
        <v>2174</v>
      </c>
      <c r="BB144" s="1171" t="s">
        <v>2174</v>
      </c>
      <c r="BC144" s="1171" t="s">
        <v>2174</v>
      </c>
      <c r="BD144" s="1171" t="s">
        <v>2174</v>
      </c>
      <c r="BE144" s="1176"/>
      <c r="BF144" s="1171" t="s">
        <v>2174</v>
      </c>
      <c r="BG144" s="1171" t="s">
        <v>2174</v>
      </c>
      <c r="BH144" s="1171" t="s">
        <v>2174</v>
      </c>
      <c r="BI144" s="1172" t="s">
        <v>2174</v>
      </c>
      <c r="BJ144" s="1176"/>
      <c r="BK144" s="1171" t="s">
        <v>2174</v>
      </c>
      <c r="BL144" s="1172" t="s">
        <v>2174</v>
      </c>
      <c r="BM144" s="1171" t="s">
        <v>2174</v>
      </c>
      <c r="BN144" s="1172" t="s">
        <v>2174</v>
      </c>
    </row>
    <row r="145" spans="1:66" x14ac:dyDescent="0.25">
      <c r="A145" s="49" t="str">
        <f t="shared" si="277"/>
        <v>400600</v>
      </c>
      <c r="B145" s="1307" t="str">
        <f>'Income Eligible Deemed Table'!C39</f>
        <v>400600_2024_12_</v>
      </c>
      <c r="C145" s="1249" t="str">
        <f>'Income Eligible Deemed Table'!G39</f>
        <v>Building Shell RES</v>
      </c>
      <c r="D145" s="1249"/>
      <c r="E145" s="1249"/>
      <c r="F145" s="1249"/>
      <c r="G145" s="1249" t="str">
        <f>'Income Eligible Deemed Table'!E39</f>
        <v>Air Sealing (Infiltration reduction) - 30% SF IE DI heat pump base</v>
      </c>
      <c r="H145" s="650" t="str">
        <f>'Income Eligible Deemed Table'!D39</f>
        <v>PAYS / IE</v>
      </c>
      <c r="I145" s="737">
        <f>'Income Eligible Deemed Table'!F39</f>
        <v>0.31</v>
      </c>
      <c r="J145" s="737">
        <f t="shared" si="270"/>
        <v>0</v>
      </c>
      <c r="K145" s="831"/>
      <c r="L145" s="831"/>
      <c r="M145" s="185"/>
      <c r="N145" s="185"/>
      <c r="O145" s="738">
        <f>'Income Eligible Deemed Table'!K39</f>
        <v>1.44E-4</v>
      </c>
      <c r="P145" s="738">
        <f t="shared" si="272"/>
        <v>0</v>
      </c>
      <c r="Q145" s="832"/>
      <c r="R145" s="832"/>
      <c r="S145" s="739"/>
      <c r="T145" s="739"/>
      <c r="U145" s="740">
        <f t="shared" si="273"/>
        <v>0</v>
      </c>
      <c r="V145" s="740">
        <f t="shared" si="274"/>
        <v>0</v>
      </c>
      <c r="W145" s="740">
        <f t="shared" si="275"/>
        <v>1.44E-4</v>
      </c>
      <c r="X145" s="22">
        <f>'Income Eligible Deemed Table'!L39</f>
        <v>20</v>
      </c>
      <c r="Y145" s="22"/>
      <c r="Z145" s="22">
        <f t="shared" si="278"/>
        <v>20</v>
      </c>
      <c r="AA145" s="17">
        <f>'Income Eligible Deemed Table'!DG39</f>
        <v>3.9332575453991914</v>
      </c>
      <c r="AB145" s="241">
        <f>'Income Eligible Deemed Table'!M39</f>
        <v>0.12</v>
      </c>
      <c r="AC145" s="845">
        <f t="shared" si="279"/>
        <v>0.47199090544790295</v>
      </c>
      <c r="AD145" s="845">
        <f t="shared" si="276"/>
        <v>0</v>
      </c>
      <c r="AE145" s="580">
        <f>'Income Eligible Deemed Table'!DI39</f>
        <v>0.47199090544790295</v>
      </c>
      <c r="AF145" s="191"/>
      <c r="AG145" s="191"/>
      <c r="AH145" s="191"/>
      <c r="AI145" s="850" t="str">
        <f t="shared" si="293"/>
        <v>Units (sq. ft)</v>
      </c>
      <c r="AJ145" s="68"/>
      <c r="AX145" s="1226" t="str">
        <f t="shared" si="260"/>
        <v>Air Sealing (Infiltration reduction) - 30% SF IE DI heat pump base</v>
      </c>
      <c r="AY145" s="1249"/>
      <c r="AZ145" s="1312" t="str">
        <f t="shared" si="261"/>
        <v>400600</v>
      </c>
      <c r="BA145" s="1171" t="s">
        <v>2174</v>
      </c>
      <c r="BB145" s="1171" t="s">
        <v>2174</v>
      </c>
      <c r="BC145" s="1171" t="s">
        <v>2174</v>
      </c>
      <c r="BD145" s="1171" t="s">
        <v>2174</v>
      </c>
      <c r="BE145" s="1176"/>
      <c r="BF145" s="1171" t="s">
        <v>2174</v>
      </c>
      <c r="BG145" s="1171" t="s">
        <v>2174</v>
      </c>
      <c r="BH145" s="1171" t="s">
        <v>2174</v>
      </c>
      <c r="BI145" s="1172" t="s">
        <v>2174</v>
      </c>
      <c r="BJ145" s="1176"/>
      <c r="BK145" s="1171" t="s">
        <v>2174</v>
      </c>
      <c r="BL145" s="1172" t="s">
        <v>2174</v>
      </c>
      <c r="BM145" s="1171" t="s">
        <v>2174</v>
      </c>
      <c r="BN145" s="1172" t="s">
        <v>2174</v>
      </c>
    </row>
    <row r="146" spans="1:66" x14ac:dyDescent="0.25">
      <c r="A146" s="49" t="str">
        <f t="shared" si="277"/>
        <v>400650</v>
      </c>
      <c r="B146" s="1307" t="str">
        <f>'Income Eligible Deemed Table'!C40</f>
        <v>400650_2024_12_</v>
      </c>
      <c r="C146" s="1249" t="str">
        <f>'Income Eligible Deemed Table'!G40</f>
        <v>Building Shell RES</v>
      </c>
      <c r="D146" s="1249"/>
      <c r="E146" s="1249"/>
      <c r="F146" s="1249"/>
      <c r="G146" s="1249" t="str">
        <f>'Income Eligible Deemed Table'!E40</f>
        <v>MH Adjusted Air Sealing (Infiltration reduction) - 30% SF IE DI electric furnace base</v>
      </c>
      <c r="H146" s="650" t="str">
        <f>'Income Eligible Deemed Table'!D40</f>
        <v>IE</v>
      </c>
      <c r="I146" s="737">
        <f>'Income Eligible Deemed Table'!F40</f>
        <v>0.48</v>
      </c>
      <c r="J146" s="737">
        <f t="shared" si="270"/>
        <v>0</v>
      </c>
      <c r="K146" s="831"/>
      <c r="L146" s="831"/>
      <c r="M146" s="185"/>
      <c r="N146" s="185"/>
      <c r="O146" s="738">
        <f>'Income Eligible Deemed Table'!K40</f>
        <v>2.24E-4</v>
      </c>
      <c r="P146" s="738">
        <f t="shared" si="272"/>
        <v>0</v>
      </c>
      <c r="Q146" s="832"/>
      <c r="R146" s="832"/>
      <c r="S146" s="739"/>
      <c r="T146" s="739"/>
      <c r="U146" s="740">
        <f t="shared" si="273"/>
        <v>0</v>
      </c>
      <c r="V146" s="740">
        <f t="shared" si="274"/>
        <v>0</v>
      </c>
      <c r="W146" s="740">
        <f t="shared" si="275"/>
        <v>2.24E-4</v>
      </c>
      <c r="X146" s="22">
        <f>'Income Eligible Deemed Table'!L40</f>
        <v>20</v>
      </c>
      <c r="Y146" s="22"/>
      <c r="Z146" s="22">
        <f t="shared" si="278"/>
        <v>20</v>
      </c>
      <c r="AA146" s="17">
        <f>'Income Eligible Deemed Table'!DG40</f>
        <v>6.0902052315858448</v>
      </c>
      <c r="AB146" s="241">
        <f>'Income Eligible Deemed Table'!M40</f>
        <v>0.12</v>
      </c>
      <c r="AC146" s="845">
        <f t="shared" si="279"/>
        <v>0.73082462779030133</v>
      </c>
      <c r="AD146" s="845">
        <f t="shared" si="276"/>
        <v>0</v>
      </c>
      <c r="AE146" s="580">
        <f>'Income Eligible Deemed Table'!DI40</f>
        <v>0.73082462779030133</v>
      </c>
      <c r="AF146" s="191"/>
      <c r="AG146" s="191"/>
      <c r="AH146" s="191"/>
      <c r="AI146" s="850" t="str">
        <f t="shared" si="293"/>
        <v>Units (sq. ft)</v>
      </c>
      <c r="AJ146" s="68"/>
      <c r="AX146" s="1226" t="str">
        <f t="shared" si="260"/>
        <v>MH Adjusted Air Sealing (Infiltration reduction) - 30% SF IE DI electric furnace base</v>
      </c>
      <c r="AY146" s="1249"/>
      <c r="AZ146" s="1312" t="str">
        <f t="shared" si="261"/>
        <v>400650</v>
      </c>
      <c r="BA146" s="1171" t="s">
        <v>2174</v>
      </c>
      <c r="BB146" s="1171" t="s">
        <v>2174</v>
      </c>
      <c r="BC146" s="1171" t="s">
        <v>2174</v>
      </c>
      <c r="BD146" s="1171" t="s">
        <v>2174</v>
      </c>
      <c r="BE146" s="1176"/>
      <c r="BF146" s="1171" t="s">
        <v>2174</v>
      </c>
      <c r="BG146" s="1171" t="s">
        <v>2174</v>
      </c>
      <c r="BH146" s="1171" t="s">
        <v>2174</v>
      </c>
      <c r="BI146" s="1172" t="s">
        <v>2174</v>
      </c>
      <c r="BJ146" s="1176"/>
      <c r="BK146" s="1171" t="s">
        <v>2174</v>
      </c>
      <c r="BL146" s="1172" t="s">
        <v>2174</v>
      </c>
      <c r="BM146" s="1171" t="s">
        <v>2174</v>
      </c>
      <c r="BN146" s="1172" t="s">
        <v>2174</v>
      </c>
    </row>
    <row r="147" spans="1:66" x14ac:dyDescent="0.25">
      <c r="A147" s="49" t="str">
        <f t="shared" si="277"/>
        <v>400651</v>
      </c>
      <c r="B147" s="1307" t="str">
        <f>'Income Eligible Deemed Table'!C41</f>
        <v>400651_2024_12_</v>
      </c>
      <c r="C147" s="1249" t="str">
        <f>'Income Eligible Deemed Table'!G41</f>
        <v>Building Shell RES</v>
      </c>
      <c r="D147" s="1249"/>
      <c r="E147" s="1249"/>
      <c r="F147" s="1249"/>
      <c r="G147" s="1249" t="str">
        <f>'Income Eligible Deemed Table'!E41</f>
        <v>MH Adjusted Air Sealing (Infiltration reduction) - 30% SF IE DI heat pump base</v>
      </c>
      <c r="H147" s="650" t="str">
        <f>'Income Eligible Deemed Table'!D41</f>
        <v>IE</v>
      </c>
      <c r="I147" s="737">
        <f>'Income Eligible Deemed Table'!F41</f>
        <v>0.45</v>
      </c>
      <c r="J147" s="737">
        <f t="shared" si="270"/>
        <v>0</v>
      </c>
      <c r="K147" s="831"/>
      <c r="L147" s="831"/>
      <c r="M147" s="185"/>
      <c r="N147" s="185"/>
      <c r="O147" s="738">
        <f>'Income Eligible Deemed Table'!K41</f>
        <v>2.1000000000000001E-4</v>
      </c>
      <c r="P147" s="738">
        <f t="shared" si="272"/>
        <v>0</v>
      </c>
      <c r="Q147" s="832"/>
      <c r="R147" s="832"/>
      <c r="S147" s="739"/>
      <c r="T147" s="739"/>
      <c r="U147" s="740">
        <f t="shared" si="273"/>
        <v>0</v>
      </c>
      <c r="V147" s="740">
        <f t="shared" si="274"/>
        <v>0</v>
      </c>
      <c r="W147" s="740">
        <f t="shared" si="275"/>
        <v>2.1000000000000001E-4</v>
      </c>
      <c r="X147" s="22">
        <f>'Income Eligible Deemed Table'!L41</f>
        <v>20</v>
      </c>
      <c r="Y147" s="22"/>
      <c r="Z147" s="22">
        <f t="shared" si="278"/>
        <v>20</v>
      </c>
      <c r="AA147" s="17">
        <f>'Income Eligible Deemed Table'!DG41</f>
        <v>5.7095674046117297</v>
      </c>
      <c r="AB147" s="241">
        <f>'Income Eligible Deemed Table'!M41</f>
        <v>0.12</v>
      </c>
      <c r="AC147" s="845">
        <f t="shared" si="279"/>
        <v>0.68514808855340759</v>
      </c>
      <c r="AD147" s="845">
        <f t="shared" si="276"/>
        <v>0</v>
      </c>
      <c r="AE147" s="580">
        <f>'Income Eligible Deemed Table'!DI41</f>
        <v>0.68514808855340759</v>
      </c>
      <c r="AF147" s="191"/>
      <c r="AG147" s="191"/>
      <c r="AH147" s="191"/>
      <c r="AI147" s="850" t="str">
        <f t="shared" si="293"/>
        <v>Units (sq. ft)</v>
      </c>
      <c r="AJ147" s="68"/>
      <c r="AX147" s="1226" t="str">
        <f t="shared" si="260"/>
        <v>MH Adjusted Air Sealing (Infiltration reduction) - 30% SF IE DI heat pump base</v>
      </c>
      <c r="AY147" s="1249"/>
      <c r="AZ147" s="1312" t="str">
        <f t="shared" si="261"/>
        <v>400651</v>
      </c>
      <c r="BA147" s="1171" t="s">
        <v>2174</v>
      </c>
      <c r="BB147" s="1171" t="s">
        <v>2174</v>
      </c>
      <c r="BC147" s="1171" t="s">
        <v>2174</v>
      </c>
      <c r="BD147" s="1171" t="s">
        <v>2174</v>
      </c>
      <c r="BE147" s="1176"/>
      <c r="BF147" s="1171" t="s">
        <v>2174</v>
      </c>
      <c r="BG147" s="1171" t="s">
        <v>2174</v>
      </c>
      <c r="BH147" s="1171" t="s">
        <v>2174</v>
      </c>
      <c r="BI147" s="1172" t="s">
        <v>2174</v>
      </c>
      <c r="BJ147" s="1176"/>
      <c r="BK147" s="1171" t="s">
        <v>2174</v>
      </c>
      <c r="BL147" s="1172" t="s">
        <v>2174</v>
      </c>
      <c r="BM147" s="1171" t="s">
        <v>2174</v>
      </c>
      <c r="BN147" s="1172" t="s">
        <v>2174</v>
      </c>
    </row>
    <row r="148" spans="1:66" x14ac:dyDescent="0.25">
      <c r="A148" s="49" t="str">
        <f t="shared" si="277"/>
        <v>400652</v>
      </c>
      <c r="B148" s="1307" t="str">
        <f>'Income Eligible Deemed Table'!C42</f>
        <v>400652_2024_12_</v>
      </c>
      <c r="C148" s="1249" t="str">
        <f>'Income Eligible Deemed Table'!G42</f>
        <v>Building Shell RES</v>
      </c>
      <c r="D148" s="1249"/>
      <c r="E148" s="1249"/>
      <c r="F148" s="1249"/>
      <c r="G148" s="1249" t="str">
        <f>'Income Eligible Deemed Table'!E42</f>
        <v>MH Adjusted Air Sealing (Infiltration reduction) - 30% SF IE DI gas furnace base</v>
      </c>
      <c r="H148" s="650" t="str">
        <f>'Income Eligible Deemed Table'!D42</f>
        <v>IE</v>
      </c>
      <c r="I148" s="737">
        <f>'Income Eligible Deemed Table'!F42</f>
        <v>0.08</v>
      </c>
      <c r="J148" s="737">
        <f t="shared" si="270"/>
        <v>0</v>
      </c>
      <c r="K148" s="831"/>
      <c r="L148" s="831"/>
      <c r="M148" s="185"/>
      <c r="N148" s="185"/>
      <c r="O148" s="738">
        <f>'Income Eligible Deemed Table'!K42</f>
        <v>3.6999999999999998E-5</v>
      </c>
      <c r="P148" s="738">
        <f t="shared" si="272"/>
        <v>0</v>
      </c>
      <c r="Q148" s="832"/>
      <c r="R148" s="832"/>
      <c r="S148" s="739"/>
      <c r="T148" s="739"/>
      <c r="U148" s="740">
        <f t="shared" si="273"/>
        <v>0</v>
      </c>
      <c r="V148" s="740">
        <f t="shared" si="274"/>
        <v>0</v>
      </c>
      <c r="W148" s="740">
        <f t="shared" si="275"/>
        <v>3.6999999999999998E-5</v>
      </c>
      <c r="X148" s="22">
        <f>'Income Eligible Deemed Table'!L42</f>
        <v>20</v>
      </c>
      <c r="Y148" s="22"/>
      <c r="Z148" s="22">
        <f t="shared" si="278"/>
        <v>20</v>
      </c>
      <c r="AA148" s="17">
        <f>'Income Eligible Deemed Table'!DG42</f>
        <v>1.0150342052643075</v>
      </c>
      <c r="AB148" s="241">
        <f>'Income Eligible Deemed Table'!M42</f>
        <v>0.12</v>
      </c>
      <c r="AC148" s="845">
        <f t="shared" si="279"/>
        <v>0.1218041046317169</v>
      </c>
      <c r="AD148" s="845">
        <f t="shared" si="276"/>
        <v>0</v>
      </c>
      <c r="AE148" s="580">
        <f>'Income Eligible Deemed Table'!DI42</f>
        <v>0.1218041046317169</v>
      </c>
      <c r="AF148" s="191"/>
      <c r="AG148" s="191"/>
      <c r="AH148" s="191"/>
      <c r="AI148" s="850" t="str">
        <f t="shared" si="293"/>
        <v>Units (sq. ft)</v>
      </c>
      <c r="AJ148" s="68"/>
      <c r="AX148" s="1226" t="str">
        <f t="shared" si="260"/>
        <v>MH Adjusted Air Sealing (Infiltration reduction) - 30% SF IE DI gas furnace base</v>
      </c>
      <c r="AY148" s="1249"/>
      <c r="AZ148" s="1312" t="str">
        <f t="shared" si="261"/>
        <v>400652</v>
      </c>
      <c r="BA148" s="1171" t="s">
        <v>2174</v>
      </c>
      <c r="BB148" s="1171" t="s">
        <v>2174</v>
      </c>
      <c r="BC148" s="1171" t="s">
        <v>2174</v>
      </c>
      <c r="BD148" s="1171" t="s">
        <v>2174</v>
      </c>
      <c r="BE148" s="1176"/>
      <c r="BF148" s="1171" t="s">
        <v>2174</v>
      </c>
      <c r="BG148" s="1171" t="s">
        <v>2174</v>
      </c>
      <c r="BH148" s="1171" t="s">
        <v>2174</v>
      </c>
      <c r="BI148" s="1172" t="s">
        <v>2174</v>
      </c>
      <c r="BJ148" s="1176"/>
      <c r="BK148" s="1171" t="s">
        <v>2174</v>
      </c>
      <c r="BL148" s="1172" t="s">
        <v>2174</v>
      </c>
      <c r="BM148" s="1171" t="s">
        <v>2174</v>
      </c>
      <c r="BN148" s="1172" t="s">
        <v>2174</v>
      </c>
    </row>
    <row r="149" spans="1:66" x14ac:dyDescent="0.25">
      <c r="A149" s="49" t="str">
        <f t="shared" si="277"/>
        <v>400700</v>
      </c>
      <c r="B149" s="1307" t="str">
        <f>'Income Eligible Deemed Table'!C102</f>
        <v>400700_2024_12_</v>
      </c>
      <c r="C149" s="1249" t="str">
        <f>'Income Eligible Deemed Table'!G102</f>
        <v>Building Shell RES</v>
      </c>
      <c r="D149" s="1249"/>
      <c r="E149" s="1249"/>
      <c r="F149" s="1249"/>
      <c r="G149" s="1249" t="str">
        <f>'Income Eligible Deemed Table'!E102</f>
        <v>Ceiling Insulation R11-R49 MF IE DI electric furnace base</v>
      </c>
      <c r="H149" s="18" t="str">
        <f>'Income Eligible Deemed Table'!D102</f>
        <v>IE</v>
      </c>
      <c r="I149" s="737">
        <f>'Income Eligible Deemed Table'!F102</f>
        <v>0.91</v>
      </c>
      <c r="J149" s="737">
        <f t="shared" si="270"/>
        <v>0</v>
      </c>
      <c r="K149" s="831"/>
      <c r="L149" s="831"/>
      <c r="M149" s="185"/>
      <c r="N149" s="185"/>
      <c r="O149" s="738">
        <f>'Income Eligible Deemed Table'!K102</f>
        <v>4.2400000000000001E-4</v>
      </c>
      <c r="P149" s="738">
        <f t="shared" si="272"/>
        <v>0</v>
      </c>
      <c r="Q149" s="832"/>
      <c r="R149" s="832"/>
      <c r="S149" s="739"/>
      <c r="T149" s="739"/>
      <c r="U149" s="740">
        <f t="shared" si="273"/>
        <v>0</v>
      </c>
      <c r="V149" s="740">
        <f t="shared" si="274"/>
        <v>0</v>
      </c>
      <c r="W149" s="740">
        <f t="shared" si="275"/>
        <v>4.2400000000000001E-4</v>
      </c>
      <c r="X149" s="22">
        <f>'Income Eligible Deemed Table'!L102</f>
        <v>30</v>
      </c>
      <c r="Y149" s="22"/>
      <c r="Z149" s="22">
        <f t="shared" si="278"/>
        <v>30</v>
      </c>
      <c r="AA149" s="17">
        <f>'Income Eligible Deemed Table'!DG102</f>
        <v>0.80448693981771968</v>
      </c>
      <c r="AB149" s="241">
        <f>'Income Eligible Deemed Table'!M102</f>
        <v>2.1249043458397576</v>
      </c>
      <c r="AC149" s="845">
        <f t="shared" si="279"/>
        <v>1.70945779459</v>
      </c>
      <c r="AD149" s="845">
        <f t="shared" si="276"/>
        <v>0</v>
      </c>
      <c r="AE149" s="580">
        <f>'Income Eligible Deemed Table'!DI102</f>
        <v>1.70945779459</v>
      </c>
      <c r="AF149" s="191"/>
      <c r="AG149" s="191"/>
      <c r="AH149" s="191"/>
      <c r="AI149" s="851" t="str">
        <f>'Income Eligible Deemed Table'!N101</f>
        <v>Units - area of ceiling/attic (ft2)</v>
      </c>
      <c r="AJ149" s="68"/>
      <c r="AX149" s="1226" t="str">
        <f t="shared" si="260"/>
        <v>Ceiling Insulation R11-R49 MF IE DI electric furnace base</v>
      </c>
      <c r="AY149" s="1249"/>
      <c r="AZ149" s="1312" t="str">
        <f t="shared" si="261"/>
        <v>400700</v>
      </c>
      <c r="BA149" s="1171" t="s">
        <v>2174</v>
      </c>
      <c r="BB149" s="1171" t="s">
        <v>2174</v>
      </c>
      <c r="BC149" s="1171" t="s">
        <v>2174</v>
      </c>
      <c r="BD149" s="1171" t="s">
        <v>2174</v>
      </c>
      <c r="BE149" s="1176"/>
      <c r="BF149" s="1171" t="s">
        <v>2174</v>
      </c>
      <c r="BG149" s="1171" t="s">
        <v>2174</v>
      </c>
      <c r="BH149" s="1171" t="s">
        <v>2174</v>
      </c>
      <c r="BI149" s="1172" t="s">
        <v>2174</v>
      </c>
      <c r="BJ149" s="1176"/>
      <c r="BK149" s="1171" t="s">
        <v>2174</v>
      </c>
      <c r="BL149" s="1172" t="s">
        <v>2174</v>
      </c>
      <c r="BM149" s="1171" t="s">
        <v>2174</v>
      </c>
      <c r="BN149" s="1172" t="s">
        <v>2174</v>
      </c>
    </row>
    <row r="150" spans="1:66" x14ac:dyDescent="0.25">
      <c r="A150" s="49" t="str">
        <f t="shared" si="277"/>
        <v>400750</v>
      </c>
      <c r="B150" s="1307" t="str">
        <f>'Income Eligible Deemed Table'!C103</f>
        <v>400750_2024_12_</v>
      </c>
      <c r="C150" s="1249" t="str">
        <f>'Income Eligible Deemed Table'!G103</f>
        <v>Building Shell RES</v>
      </c>
      <c r="D150" s="1249"/>
      <c r="E150" s="1249"/>
      <c r="F150" s="1249"/>
      <c r="G150" s="1249" t="str">
        <f>'Income Eligible Deemed Table'!E103</f>
        <v>Ceiling Insulation R11-R49 MF IE DI heat pump base</v>
      </c>
      <c r="H150" s="18" t="str">
        <f>'Income Eligible Deemed Table'!D103</f>
        <v>IE</v>
      </c>
      <c r="I150" s="737">
        <f>'Income Eligible Deemed Table'!F103</f>
        <v>0.61</v>
      </c>
      <c r="J150" s="737">
        <f t="shared" si="270"/>
        <v>0</v>
      </c>
      <c r="K150" s="831"/>
      <c r="L150" s="831"/>
      <c r="M150" s="185"/>
      <c r="N150" s="185"/>
      <c r="O150" s="738">
        <f>'Income Eligible Deemed Table'!K103</f>
        <v>2.8400000000000002E-4</v>
      </c>
      <c r="P150" s="738">
        <f t="shared" si="272"/>
        <v>0</v>
      </c>
      <c r="Q150" s="832"/>
      <c r="R150" s="832"/>
      <c r="S150" s="739"/>
      <c r="T150" s="739"/>
      <c r="U150" s="740">
        <f t="shared" si="273"/>
        <v>0</v>
      </c>
      <c r="V150" s="740">
        <f t="shared" si="274"/>
        <v>0</v>
      </c>
      <c r="W150" s="740">
        <f t="shared" si="275"/>
        <v>2.8400000000000002E-4</v>
      </c>
      <c r="X150" s="22">
        <f>'Income Eligible Deemed Table'!L103</f>
        <v>30</v>
      </c>
      <c r="Y150" s="22"/>
      <c r="Z150" s="22">
        <f t="shared" si="278"/>
        <v>30</v>
      </c>
      <c r="AA150" s="17">
        <f>'Income Eligible Deemed Table'!DG103</f>
        <v>0.53927146515253732</v>
      </c>
      <c r="AB150" s="241">
        <f>'Income Eligible Deemed Table'!M103</f>
        <v>2.1249043458397576</v>
      </c>
      <c r="AC150" s="845">
        <f t="shared" si="279"/>
        <v>1.14590027989</v>
      </c>
      <c r="AD150" s="845">
        <f t="shared" si="276"/>
        <v>0</v>
      </c>
      <c r="AE150" s="580">
        <f>'Income Eligible Deemed Table'!DI103</f>
        <v>1.14590027989</v>
      </c>
      <c r="AF150" s="191"/>
      <c r="AG150" s="191"/>
      <c r="AH150" s="191"/>
      <c r="AI150" s="851" t="str">
        <f t="shared" ref="AI150:AI178" si="294">AI149</f>
        <v>Units - area of ceiling/attic (ft2)</v>
      </c>
      <c r="AJ150" s="68"/>
      <c r="AX150" s="1226" t="str">
        <f t="shared" si="260"/>
        <v>Ceiling Insulation R11-R49 MF IE DI heat pump base</v>
      </c>
      <c r="AY150" s="1249"/>
      <c r="AZ150" s="1312" t="str">
        <f t="shared" si="261"/>
        <v>400750</v>
      </c>
      <c r="BA150" s="1171" t="s">
        <v>2174</v>
      </c>
      <c r="BB150" s="1171" t="s">
        <v>2174</v>
      </c>
      <c r="BC150" s="1171" t="s">
        <v>2174</v>
      </c>
      <c r="BD150" s="1171" t="s">
        <v>2174</v>
      </c>
      <c r="BE150" s="1176"/>
      <c r="BF150" s="1171" t="s">
        <v>2174</v>
      </c>
      <c r="BG150" s="1171" t="s">
        <v>2174</v>
      </c>
      <c r="BH150" s="1171" t="s">
        <v>2174</v>
      </c>
      <c r="BI150" s="1172" t="s">
        <v>2174</v>
      </c>
      <c r="BJ150" s="1176"/>
      <c r="BK150" s="1171" t="s">
        <v>2174</v>
      </c>
      <c r="BL150" s="1172" t="s">
        <v>2174</v>
      </c>
      <c r="BM150" s="1171" t="s">
        <v>2174</v>
      </c>
      <c r="BN150" s="1172" t="s">
        <v>2174</v>
      </c>
    </row>
    <row r="151" spans="1:66" x14ac:dyDescent="0.25">
      <c r="A151" s="49" t="str">
        <f t="shared" si="277"/>
        <v>400800</v>
      </c>
      <c r="B151" s="1307" t="str">
        <f>'Income Eligible Deemed Table'!C104</f>
        <v>400800_2024_12_</v>
      </c>
      <c r="C151" s="1249" t="str">
        <f>'Income Eligible Deemed Table'!G104</f>
        <v>Building Shell RES</v>
      </c>
      <c r="D151" s="1249"/>
      <c r="E151" s="1249"/>
      <c r="F151" s="1249"/>
      <c r="G151" s="1249" t="str">
        <f>'Income Eligible Deemed Table'!E104</f>
        <v>Ceiling Insulation R11-R49 MF IE DI gas heat electric cool base</v>
      </c>
      <c r="H151" s="18" t="str">
        <f>'Income Eligible Deemed Table'!D104</f>
        <v>IE</v>
      </c>
      <c r="I151" s="737">
        <f>'Income Eligible Deemed Table'!F104</f>
        <v>0.14000000000000001</v>
      </c>
      <c r="J151" s="737">
        <f t="shared" si="270"/>
        <v>0</v>
      </c>
      <c r="K151" s="831"/>
      <c r="L151" s="831"/>
      <c r="M151" s="185"/>
      <c r="N151" s="185"/>
      <c r="O151" s="738">
        <f>'Income Eligible Deemed Table'!K104</f>
        <v>6.4999999999999994E-5</v>
      </c>
      <c r="P151" s="738">
        <f t="shared" si="272"/>
        <v>0</v>
      </c>
      <c r="Q151" s="832"/>
      <c r="R151" s="832"/>
      <c r="S151" s="739"/>
      <c r="T151" s="739"/>
      <c r="U151" s="740">
        <f t="shared" si="273"/>
        <v>0</v>
      </c>
      <c r="V151" s="740">
        <f t="shared" si="274"/>
        <v>0</v>
      </c>
      <c r="W151" s="740">
        <f t="shared" si="275"/>
        <v>6.4999999999999994E-5</v>
      </c>
      <c r="X151" s="22">
        <f>'Income Eligible Deemed Table'!L104</f>
        <v>30</v>
      </c>
      <c r="Y151" s="22"/>
      <c r="Z151" s="22">
        <f t="shared" si="278"/>
        <v>30</v>
      </c>
      <c r="AA151" s="17">
        <f>'Income Eligible Deemed Table'!DG104</f>
        <v>0.12376722151041843</v>
      </c>
      <c r="AB151" s="241">
        <f>'Income Eligible Deemed Table'!M104</f>
        <v>2.1249043458397576</v>
      </c>
      <c r="AC151" s="845">
        <f t="shared" si="279"/>
        <v>0.26299350686000006</v>
      </c>
      <c r="AD151" s="845">
        <f t="shared" si="276"/>
        <v>0</v>
      </c>
      <c r="AE151" s="580">
        <f>'Income Eligible Deemed Table'!DI104</f>
        <v>0.26299350686000006</v>
      </c>
      <c r="AF151" s="191"/>
      <c r="AG151" s="191"/>
      <c r="AH151" s="191"/>
      <c r="AI151" s="851" t="str">
        <f t="shared" si="294"/>
        <v>Units - area of ceiling/attic (ft2)</v>
      </c>
      <c r="AJ151" s="68"/>
      <c r="AX151" s="1226" t="str">
        <f t="shared" si="260"/>
        <v>Ceiling Insulation R11-R49 MF IE DI gas heat electric cool base</v>
      </c>
      <c r="AY151" s="1249"/>
      <c r="AZ151" s="1312" t="str">
        <f t="shared" si="261"/>
        <v>400800</v>
      </c>
      <c r="BA151" s="1171" t="s">
        <v>2174</v>
      </c>
      <c r="BB151" s="1171" t="s">
        <v>2174</v>
      </c>
      <c r="BC151" s="1171" t="s">
        <v>2174</v>
      </c>
      <c r="BD151" s="1171" t="s">
        <v>2174</v>
      </c>
      <c r="BE151" s="1176"/>
      <c r="BF151" s="1171" t="s">
        <v>2174</v>
      </c>
      <c r="BG151" s="1171" t="s">
        <v>2174</v>
      </c>
      <c r="BH151" s="1171" t="s">
        <v>2174</v>
      </c>
      <c r="BI151" s="1172" t="s">
        <v>2174</v>
      </c>
      <c r="BJ151" s="1176"/>
      <c r="BK151" s="1171" t="s">
        <v>2174</v>
      </c>
      <c r="BL151" s="1172" t="s">
        <v>2174</v>
      </c>
      <c r="BM151" s="1171" t="s">
        <v>2174</v>
      </c>
      <c r="BN151" s="1172" t="s">
        <v>2174</v>
      </c>
    </row>
    <row r="152" spans="1:66" x14ac:dyDescent="0.25">
      <c r="A152" s="49" t="str">
        <f t="shared" si="277"/>
        <v>400850</v>
      </c>
      <c r="B152" s="1307" t="str">
        <f>'Income Eligible Deemed Table'!C105</f>
        <v>400850_2024_12_</v>
      </c>
      <c r="C152" s="1249" t="str">
        <f>'Income Eligible Deemed Table'!G105</f>
        <v>Building Shell RES</v>
      </c>
      <c r="D152" s="1249"/>
      <c r="E152" s="1249"/>
      <c r="F152" s="1249"/>
      <c r="G152" s="1249" t="str">
        <f>'Income Eligible Deemed Table'!E105</f>
        <v>Ceiling Insulation R11-R49 SF IE DI electric furnace base</v>
      </c>
      <c r="H152" s="18" t="str">
        <f>'Income Eligible Deemed Table'!D105</f>
        <v>PAYS / IE</v>
      </c>
      <c r="I152" s="737">
        <f>'Income Eligible Deemed Table'!F105</f>
        <v>0.91</v>
      </c>
      <c r="J152" s="737">
        <f t="shared" si="270"/>
        <v>0</v>
      </c>
      <c r="K152" s="831"/>
      <c r="L152" s="831"/>
      <c r="M152" s="185"/>
      <c r="N152" s="185"/>
      <c r="O152" s="738">
        <f>'Income Eligible Deemed Table'!K105</f>
        <v>4.2400000000000001E-4</v>
      </c>
      <c r="P152" s="738">
        <f t="shared" si="272"/>
        <v>0</v>
      </c>
      <c r="Q152" s="832"/>
      <c r="R152" s="832"/>
      <c r="S152" s="739"/>
      <c r="T152" s="739"/>
      <c r="U152" s="740">
        <f t="shared" si="273"/>
        <v>0</v>
      </c>
      <c r="V152" s="740">
        <f t="shared" si="274"/>
        <v>0</v>
      </c>
      <c r="W152" s="740">
        <f t="shared" si="275"/>
        <v>4.2400000000000001E-4</v>
      </c>
      <c r="X152" s="22">
        <f>'Income Eligible Deemed Table'!L105</f>
        <v>30</v>
      </c>
      <c r="Y152" s="22"/>
      <c r="Z152" s="22">
        <f t="shared" si="278"/>
        <v>30</v>
      </c>
      <c r="AA152" s="17">
        <f>'Income Eligible Deemed Table'!DG105</f>
        <v>0.80448585878687395</v>
      </c>
      <c r="AB152" s="241">
        <f>'Income Eligible Deemed Table'!M105</f>
        <v>2.1249072011878249</v>
      </c>
      <c r="AC152" s="845">
        <f t="shared" si="279"/>
        <v>1.70945779459</v>
      </c>
      <c r="AD152" s="845">
        <f t="shared" si="276"/>
        <v>0</v>
      </c>
      <c r="AE152" s="580">
        <f>'Income Eligible Deemed Table'!DI105</f>
        <v>1.70945779459</v>
      </c>
      <c r="AF152" s="191"/>
      <c r="AG152" s="191"/>
      <c r="AH152" s="191"/>
      <c r="AI152" s="851" t="str">
        <f t="shared" si="294"/>
        <v>Units - area of ceiling/attic (ft2)</v>
      </c>
      <c r="AJ152" s="68"/>
      <c r="AX152" s="1226" t="str">
        <f t="shared" si="260"/>
        <v>Ceiling Insulation R11-R49 SF IE DI electric furnace base</v>
      </c>
      <c r="AY152" s="1249"/>
      <c r="AZ152" s="1312" t="str">
        <f t="shared" si="261"/>
        <v>400850</v>
      </c>
      <c r="BA152" s="1171" t="s">
        <v>2174</v>
      </c>
      <c r="BB152" s="1171" t="s">
        <v>2174</v>
      </c>
      <c r="BC152" s="1171" t="s">
        <v>2174</v>
      </c>
      <c r="BD152" s="1171" t="s">
        <v>2174</v>
      </c>
      <c r="BE152" s="1176"/>
      <c r="BF152" s="1171" t="s">
        <v>2174</v>
      </c>
      <c r="BG152" s="1171" t="s">
        <v>2174</v>
      </c>
      <c r="BH152" s="1171" t="s">
        <v>2174</v>
      </c>
      <c r="BI152" s="1172" t="s">
        <v>2174</v>
      </c>
      <c r="BJ152" s="1176"/>
      <c r="BK152" s="1171" t="s">
        <v>2174</v>
      </c>
      <c r="BL152" s="1172" t="s">
        <v>2174</v>
      </c>
      <c r="BM152" s="1171" t="s">
        <v>2174</v>
      </c>
      <c r="BN152" s="1172" t="s">
        <v>2174</v>
      </c>
    </row>
    <row r="153" spans="1:66" x14ac:dyDescent="0.25">
      <c r="A153" s="49" t="str">
        <f t="shared" si="277"/>
        <v>400900</v>
      </c>
      <c r="B153" s="1307" t="str">
        <f>'Income Eligible Deemed Table'!C106</f>
        <v>400900_2024_12_</v>
      </c>
      <c r="C153" s="1249" t="str">
        <f>'Income Eligible Deemed Table'!G106</f>
        <v>Building Shell RES</v>
      </c>
      <c r="D153" s="1249"/>
      <c r="E153" s="1249"/>
      <c r="F153" s="1249"/>
      <c r="G153" s="1249" t="str">
        <f>'Income Eligible Deemed Table'!E106</f>
        <v>Ceiling Insulation R11-R49 SF IE DI heat pump base</v>
      </c>
      <c r="H153" s="18" t="str">
        <f>'Income Eligible Deemed Table'!D106</f>
        <v>PAYS / IE</v>
      </c>
      <c r="I153" s="737">
        <f>'Income Eligible Deemed Table'!F106</f>
        <v>0.61</v>
      </c>
      <c r="J153" s="737">
        <f t="shared" si="270"/>
        <v>0</v>
      </c>
      <c r="K153" s="831"/>
      <c r="L153" s="831"/>
      <c r="M153" s="185"/>
      <c r="N153" s="185"/>
      <c r="O153" s="738">
        <f>'Income Eligible Deemed Table'!K106</f>
        <v>2.8400000000000002E-4</v>
      </c>
      <c r="P153" s="738">
        <f t="shared" si="272"/>
        <v>0</v>
      </c>
      <c r="Q153" s="832"/>
      <c r="R153" s="832"/>
      <c r="S153" s="739"/>
      <c r="T153" s="739"/>
      <c r="U153" s="740">
        <f t="shared" si="273"/>
        <v>0</v>
      </c>
      <c r="V153" s="740">
        <f t="shared" si="274"/>
        <v>0</v>
      </c>
      <c r="W153" s="740">
        <f t="shared" si="275"/>
        <v>2.8400000000000002E-4</v>
      </c>
      <c r="X153" s="22">
        <f>'Income Eligible Deemed Table'!L106</f>
        <v>30</v>
      </c>
      <c r="Y153" s="22"/>
      <c r="Z153" s="22">
        <f t="shared" si="278"/>
        <v>30</v>
      </c>
      <c r="AA153" s="17">
        <f>'Income Eligible Deemed Table'!DG106</f>
        <v>0.53927074050548685</v>
      </c>
      <c r="AB153" s="241">
        <f>'Income Eligible Deemed Table'!M106</f>
        <v>2.1249072011878249</v>
      </c>
      <c r="AC153" s="845">
        <f t="shared" si="279"/>
        <v>1.14590027989</v>
      </c>
      <c r="AD153" s="845">
        <f t="shared" si="276"/>
        <v>0</v>
      </c>
      <c r="AE153" s="580">
        <f>'Income Eligible Deemed Table'!DI106</f>
        <v>1.14590027989</v>
      </c>
      <c r="AF153" s="191"/>
      <c r="AG153" s="191"/>
      <c r="AH153" s="191"/>
      <c r="AI153" s="851" t="str">
        <f t="shared" si="294"/>
        <v>Units - area of ceiling/attic (ft2)</v>
      </c>
      <c r="AJ153" s="68"/>
      <c r="AX153" s="1226" t="str">
        <f t="shared" ref="AX153:AX197" si="295">G153</f>
        <v>Ceiling Insulation R11-R49 SF IE DI heat pump base</v>
      </c>
      <c r="AY153" s="1249"/>
      <c r="AZ153" s="1312" t="str">
        <f t="shared" ref="AZ153:AZ197" si="296">A153</f>
        <v>400900</v>
      </c>
      <c r="BA153" s="1171" t="s">
        <v>2174</v>
      </c>
      <c r="BB153" s="1171" t="s">
        <v>2174</v>
      </c>
      <c r="BC153" s="1171" t="s">
        <v>2174</v>
      </c>
      <c r="BD153" s="1171" t="s">
        <v>2174</v>
      </c>
      <c r="BE153" s="1176"/>
      <c r="BF153" s="1171" t="s">
        <v>2174</v>
      </c>
      <c r="BG153" s="1171" t="s">
        <v>2174</v>
      </c>
      <c r="BH153" s="1171" t="s">
        <v>2174</v>
      </c>
      <c r="BI153" s="1172" t="s">
        <v>2174</v>
      </c>
      <c r="BJ153" s="1176"/>
      <c r="BK153" s="1171" t="s">
        <v>2174</v>
      </c>
      <c r="BL153" s="1172" t="s">
        <v>2174</v>
      </c>
      <c r="BM153" s="1171" t="s">
        <v>2174</v>
      </c>
      <c r="BN153" s="1172" t="s">
        <v>2174</v>
      </c>
    </row>
    <row r="154" spans="1:66" x14ac:dyDescent="0.25">
      <c r="A154" s="49" t="str">
        <f t="shared" si="277"/>
        <v>400950</v>
      </c>
      <c r="B154" s="1307" t="str">
        <f>'Income Eligible Deemed Table'!C107</f>
        <v>400950_2024_12_</v>
      </c>
      <c r="C154" s="1249" t="str">
        <f>'Income Eligible Deemed Table'!G107</f>
        <v>Building Shell RES</v>
      </c>
      <c r="D154" s="1249"/>
      <c r="E154" s="1249"/>
      <c r="F154" s="1249"/>
      <c r="G154" s="1249" t="str">
        <f>'Income Eligible Deemed Table'!E107</f>
        <v>Ceiling Insulation R11-R49 SF IE DI gas heat electric cool base</v>
      </c>
      <c r="H154" s="18" t="str">
        <f>'Income Eligible Deemed Table'!D107</f>
        <v>PAYS / IE</v>
      </c>
      <c r="I154" s="737">
        <f>'Income Eligible Deemed Table'!F107</f>
        <v>0.14000000000000001</v>
      </c>
      <c r="J154" s="737">
        <f t="shared" si="270"/>
        <v>0</v>
      </c>
      <c r="K154" s="831"/>
      <c r="L154" s="831"/>
      <c r="M154" s="185"/>
      <c r="N154" s="185"/>
      <c r="O154" s="738">
        <f>'Income Eligible Deemed Table'!K107</f>
        <v>6.4999999999999994E-5</v>
      </c>
      <c r="P154" s="738">
        <f t="shared" si="272"/>
        <v>0</v>
      </c>
      <c r="Q154" s="832"/>
      <c r="R154" s="832"/>
      <c r="S154" s="739"/>
      <c r="T154" s="739"/>
      <c r="U154" s="740">
        <f t="shared" si="273"/>
        <v>0</v>
      </c>
      <c r="V154" s="740">
        <f t="shared" si="274"/>
        <v>0</v>
      </c>
      <c r="W154" s="740">
        <f t="shared" si="275"/>
        <v>6.4999999999999994E-5</v>
      </c>
      <c r="X154" s="22">
        <f>'Income Eligible Deemed Table'!L107</f>
        <v>30</v>
      </c>
      <c r="Y154" s="22"/>
      <c r="Z154" s="22">
        <f t="shared" si="278"/>
        <v>30</v>
      </c>
      <c r="AA154" s="17">
        <f>'Income Eligible Deemed Table'!DG107</f>
        <v>0.12376705519798063</v>
      </c>
      <c r="AB154" s="241">
        <f>'Income Eligible Deemed Table'!M107</f>
        <v>2.1249072011878249</v>
      </c>
      <c r="AC154" s="845">
        <f t="shared" si="279"/>
        <v>0.26299350686000006</v>
      </c>
      <c r="AD154" s="845">
        <f t="shared" si="276"/>
        <v>0</v>
      </c>
      <c r="AE154" s="580">
        <f>'Income Eligible Deemed Table'!DI107</f>
        <v>0.26299350686000006</v>
      </c>
      <c r="AF154" s="191"/>
      <c r="AG154" s="191"/>
      <c r="AH154" s="191"/>
      <c r="AI154" s="851" t="str">
        <f t="shared" si="294"/>
        <v>Units - area of ceiling/attic (ft2)</v>
      </c>
      <c r="AJ154" s="68"/>
      <c r="AX154" s="1226" t="str">
        <f t="shared" si="295"/>
        <v>Ceiling Insulation R11-R49 SF IE DI gas heat electric cool base</v>
      </c>
      <c r="AY154" s="1249"/>
      <c r="AZ154" s="1312" t="str">
        <f t="shared" si="296"/>
        <v>400950</v>
      </c>
      <c r="BA154" s="1171" t="s">
        <v>2174</v>
      </c>
      <c r="BB154" s="1171" t="s">
        <v>2174</v>
      </c>
      <c r="BC154" s="1171" t="s">
        <v>2174</v>
      </c>
      <c r="BD154" s="1171" t="s">
        <v>2174</v>
      </c>
      <c r="BE154" s="1176"/>
      <c r="BF154" s="1171" t="s">
        <v>2174</v>
      </c>
      <c r="BG154" s="1171" t="s">
        <v>2174</v>
      </c>
      <c r="BH154" s="1171" t="s">
        <v>2174</v>
      </c>
      <c r="BI154" s="1172" t="s">
        <v>2174</v>
      </c>
      <c r="BJ154" s="1176"/>
      <c r="BK154" s="1171" t="s">
        <v>2174</v>
      </c>
      <c r="BL154" s="1172" t="s">
        <v>2174</v>
      </c>
      <c r="BM154" s="1171" t="s">
        <v>2174</v>
      </c>
      <c r="BN154" s="1172" t="s">
        <v>2174</v>
      </c>
    </row>
    <row r="155" spans="1:66" x14ac:dyDescent="0.25">
      <c r="A155" s="49" t="str">
        <f t="shared" si="277"/>
        <v>401000</v>
      </c>
      <c r="B155" s="1307" t="str">
        <f>'Income Eligible Deemed Table'!C108</f>
        <v>401000_2024_12_</v>
      </c>
      <c r="C155" s="1249" t="str">
        <f>'Income Eligible Deemed Table'!G108</f>
        <v>Building Shell RES</v>
      </c>
      <c r="D155" s="1249"/>
      <c r="E155" s="1249"/>
      <c r="F155" s="1249"/>
      <c r="G155" s="1249" t="str">
        <f>'Income Eligible Deemed Table'!E108</f>
        <v>Ceiling Insulation R5-R30 MF IE DI electric furnace base</v>
      </c>
      <c r="H155" s="18" t="str">
        <f>'Income Eligible Deemed Table'!D108</f>
        <v>IE</v>
      </c>
      <c r="I155" s="737">
        <f>'Income Eligible Deemed Table'!F108</f>
        <v>1.49</v>
      </c>
      <c r="J155" s="737">
        <f t="shared" si="270"/>
        <v>0</v>
      </c>
      <c r="K155" s="831"/>
      <c r="L155" s="831"/>
      <c r="M155" s="185"/>
      <c r="N155" s="185"/>
      <c r="O155" s="738">
        <f>'Income Eligible Deemed Table'!K108</f>
        <v>6.9399999999999996E-4</v>
      </c>
      <c r="P155" s="738">
        <f t="shared" si="272"/>
        <v>0</v>
      </c>
      <c r="Q155" s="832"/>
      <c r="R155" s="832"/>
      <c r="S155" s="739"/>
      <c r="T155" s="739"/>
      <c r="U155" s="740">
        <f t="shared" si="273"/>
        <v>0</v>
      </c>
      <c r="V155" s="740">
        <f t="shared" si="274"/>
        <v>0</v>
      </c>
      <c r="W155" s="740">
        <f t="shared" si="275"/>
        <v>6.9399999999999996E-4</v>
      </c>
      <c r="X155" s="22">
        <f>'Income Eligible Deemed Table'!L108</f>
        <v>30</v>
      </c>
      <c r="Y155" s="22"/>
      <c r="Z155" s="22">
        <f t="shared" si="278"/>
        <v>30</v>
      </c>
      <c r="AA155" s="17">
        <f>'Income Eligible Deemed Table'!DG108</f>
        <v>2.4064805420157493</v>
      </c>
      <c r="AB155" s="241">
        <f>'Income Eligible Deemed Table'!M108</f>
        <v>1.1631103074141049</v>
      </c>
      <c r="AC155" s="845">
        <f t="shared" si="279"/>
        <v>2.7990023230099998</v>
      </c>
      <c r="AD155" s="845">
        <f t="shared" si="276"/>
        <v>0</v>
      </c>
      <c r="AE155" s="580">
        <f>'Income Eligible Deemed Table'!DI108</f>
        <v>2.7990023230099998</v>
      </c>
      <c r="AF155" s="191"/>
      <c r="AG155" s="191"/>
      <c r="AH155" s="191"/>
      <c r="AI155" s="851" t="str">
        <f t="shared" si="294"/>
        <v>Units - area of ceiling/attic (ft2)</v>
      </c>
      <c r="AJ155" s="68"/>
      <c r="AX155" s="1226" t="str">
        <f t="shared" si="295"/>
        <v>Ceiling Insulation R5-R30 MF IE DI electric furnace base</v>
      </c>
      <c r="AY155" s="1249"/>
      <c r="AZ155" s="1312" t="str">
        <f t="shared" si="296"/>
        <v>401000</v>
      </c>
      <c r="BA155" s="1171" t="s">
        <v>2174</v>
      </c>
      <c r="BB155" s="1171" t="s">
        <v>2174</v>
      </c>
      <c r="BC155" s="1171" t="s">
        <v>2174</v>
      </c>
      <c r="BD155" s="1171" t="s">
        <v>2174</v>
      </c>
      <c r="BE155" s="1176"/>
      <c r="BF155" s="1171" t="s">
        <v>2174</v>
      </c>
      <c r="BG155" s="1171" t="s">
        <v>2174</v>
      </c>
      <c r="BH155" s="1171" t="s">
        <v>2174</v>
      </c>
      <c r="BI155" s="1172" t="s">
        <v>2174</v>
      </c>
      <c r="BJ155" s="1176"/>
      <c r="BK155" s="1171" t="s">
        <v>2174</v>
      </c>
      <c r="BL155" s="1172" t="s">
        <v>2174</v>
      </c>
      <c r="BM155" s="1171" t="s">
        <v>2174</v>
      </c>
      <c r="BN155" s="1172" t="s">
        <v>2174</v>
      </c>
    </row>
    <row r="156" spans="1:66" x14ac:dyDescent="0.25">
      <c r="A156" s="49" t="str">
        <f t="shared" si="277"/>
        <v>401050</v>
      </c>
      <c r="B156" s="1307" t="str">
        <f>'Income Eligible Deemed Table'!C109</f>
        <v>401050_2024_12_</v>
      </c>
      <c r="C156" s="1249" t="str">
        <f>'Income Eligible Deemed Table'!G109</f>
        <v>Building Shell RES</v>
      </c>
      <c r="D156" s="1249"/>
      <c r="E156" s="1249"/>
      <c r="F156" s="1249"/>
      <c r="G156" s="1249" t="str">
        <f>'Income Eligible Deemed Table'!E109</f>
        <v>Ceiling Insulation R5-R30 MF IE DI heat pump base</v>
      </c>
      <c r="H156" s="18" t="str">
        <f>'Income Eligible Deemed Table'!D109</f>
        <v>IE</v>
      </c>
      <c r="I156" s="737">
        <f>'Income Eligible Deemed Table'!F109</f>
        <v>1</v>
      </c>
      <c r="J156" s="737">
        <f t="shared" si="270"/>
        <v>0</v>
      </c>
      <c r="K156" s="831"/>
      <c r="L156" s="831"/>
      <c r="M156" s="185"/>
      <c r="N156" s="185"/>
      <c r="O156" s="738">
        <f>'Income Eligible Deemed Table'!K109</f>
        <v>4.66E-4</v>
      </c>
      <c r="P156" s="738">
        <f t="shared" si="272"/>
        <v>0</v>
      </c>
      <c r="Q156" s="832"/>
      <c r="R156" s="832"/>
      <c r="S156" s="739"/>
      <c r="T156" s="739"/>
      <c r="U156" s="740">
        <f t="shared" si="273"/>
        <v>0</v>
      </c>
      <c r="V156" s="740">
        <f t="shared" si="274"/>
        <v>0</v>
      </c>
      <c r="W156" s="740">
        <f t="shared" si="275"/>
        <v>4.66E-4</v>
      </c>
      <c r="X156" s="22">
        <f>'Income Eligible Deemed Table'!L109</f>
        <v>30</v>
      </c>
      <c r="Y156" s="22"/>
      <c r="Z156" s="22">
        <f t="shared" si="278"/>
        <v>30</v>
      </c>
      <c r="AA156" s="17">
        <f>'Income Eligible Deemed Table'!DG109</f>
        <v>1.6150876120911069</v>
      </c>
      <c r="AB156" s="241">
        <f>'Income Eligible Deemed Table'!M109</f>
        <v>1.1631103074141049</v>
      </c>
      <c r="AC156" s="845">
        <f t="shared" si="279"/>
        <v>1.8785250490000001</v>
      </c>
      <c r="AD156" s="845">
        <f t="shared" si="276"/>
        <v>0</v>
      </c>
      <c r="AE156" s="580">
        <f>'Income Eligible Deemed Table'!DI109</f>
        <v>1.8785250490000001</v>
      </c>
      <c r="AF156" s="191"/>
      <c r="AG156" s="191"/>
      <c r="AH156" s="191"/>
      <c r="AI156" s="851" t="str">
        <f t="shared" si="294"/>
        <v>Units - area of ceiling/attic (ft2)</v>
      </c>
      <c r="AJ156" s="68"/>
      <c r="AX156" s="1226" t="str">
        <f t="shared" si="295"/>
        <v>Ceiling Insulation R5-R30 MF IE DI heat pump base</v>
      </c>
      <c r="AY156" s="1249"/>
      <c r="AZ156" s="1312" t="str">
        <f t="shared" si="296"/>
        <v>401050</v>
      </c>
      <c r="BA156" s="1171" t="s">
        <v>2174</v>
      </c>
      <c r="BB156" s="1171" t="s">
        <v>2174</v>
      </c>
      <c r="BC156" s="1171" t="s">
        <v>2174</v>
      </c>
      <c r="BD156" s="1171" t="s">
        <v>2174</v>
      </c>
      <c r="BE156" s="1176"/>
      <c r="BF156" s="1171" t="s">
        <v>2174</v>
      </c>
      <c r="BG156" s="1171" t="s">
        <v>2174</v>
      </c>
      <c r="BH156" s="1171" t="s">
        <v>2174</v>
      </c>
      <c r="BI156" s="1172" t="s">
        <v>2174</v>
      </c>
      <c r="BJ156" s="1176"/>
      <c r="BK156" s="1171" t="s">
        <v>2174</v>
      </c>
      <c r="BL156" s="1172" t="s">
        <v>2174</v>
      </c>
      <c r="BM156" s="1171" t="s">
        <v>2174</v>
      </c>
      <c r="BN156" s="1172" t="s">
        <v>2174</v>
      </c>
    </row>
    <row r="157" spans="1:66" x14ac:dyDescent="0.25">
      <c r="A157" s="49" t="str">
        <f t="shared" si="277"/>
        <v>401100</v>
      </c>
      <c r="B157" s="1307" t="str">
        <f>'Income Eligible Deemed Table'!C110</f>
        <v>401100_2024_12_</v>
      </c>
      <c r="C157" s="1249" t="str">
        <f>'Income Eligible Deemed Table'!G110</f>
        <v>Building Shell RES</v>
      </c>
      <c r="D157" s="1249"/>
      <c r="E157" s="1249"/>
      <c r="F157" s="1249"/>
      <c r="G157" s="1249" t="str">
        <f>'Income Eligible Deemed Table'!E110</f>
        <v>Ceiling Insulation R5-R30 MF IE DI gas heat electric cool base</v>
      </c>
      <c r="H157" s="18" t="str">
        <f>'Income Eligible Deemed Table'!D110</f>
        <v>IE</v>
      </c>
      <c r="I157" s="737">
        <f>'Income Eligible Deemed Table'!F110</f>
        <v>0.22</v>
      </c>
      <c r="J157" s="737">
        <f t="shared" si="270"/>
        <v>0</v>
      </c>
      <c r="K157" s="831"/>
      <c r="L157" s="831"/>
      <c r="M157" s="185"/>
      <c r="N157" s="185"/>
      <c r="O157" s="738">
        <f>'Income Eligible Deemed Table'!K110</f>
        <v>1.03E-4</v>
      </c>
      <c r="P157" s="738">
        <f t="shared" si="272"/>
        <v>0</v>
      </c>
      <c r="Q157" s="832"/>
      <c r="R157" s="832"/>
      <c r="S157" s="739"/>
      <c r="T157" s="739"/>
      <c r="U157" s="740">
        <f t="shared" si="273"/>
        <v>0</v>
      </c>
      <c r="V157" s="740">
        <f t="shared" si="274"/>
        <v>0</v>
      </c>
      <c r="W157" s="740">
        <f t="shared" si="275"/>
        <v>1.03E-4</v>
      </c>
      <c r="X157" s="22">
        <f>'Income Eligible Deemed Table'!L110</f>
        <v>30</v>
      </c>
      <c r="Y157" s="22"/>
      <c r="Z157" s="22">
        <f t="shared" si="278"/>
        <v>30</v>
      </c>
      <c r="AA157" s="17">
        <f>'Income Eligible Deemed Table'!DG110</f>
        <v>0.35531927466004354</v>
      </c>
      <c r="AB157" s="241">
        <f>'Income Eligible Deemed Table'!M110</f>
        <v>1.1631103074141049</v>
      </c>
      <c r="AC157" s="845">
        <f t="shared" si="279"/>
        <v>0.41327551078000002</v>
      </c>
      <c r="AD157" s="845">
        <f t="shared" si="276"/>
        <v>0</v>
      </c>
      <c r="AE157" s="580">
        <f>'Income Eligible Deemed Table'!DI110</f>
        <v>0.41327551078000002</v>
      </c>
      <c r="AF157" s="191"/>
      <c r="AG157" s="191"/>
      <c r="AH157" s="191"/>
      <c r="AI157" s="851" t="str">
        <f t="shared" si="294"/>
        <v>Units - area of ceiling/attic (ft2)</v>
      </c>
      <c r="AJ157" s="68"/>
      <c r="AX157" s="1226" t="str">
        <f t="shared" si="295"/>
        <v>Ceiling Insulation R5-R30 MF IE DI gas heat electric cool base</v>
      </c>
      <c r="AY157" s="1249"/>
      <c r="AZ157" s="1312" t="str">
        <f t="shared" si="296"/>
        <v>401100</v>
      </c>
      <c r="BA157" s="1171" t="s">
        <v>2174</v>
      </c>
      <c r="BB157" s="1171" t="s">
        <v>2174</v>
      </c>
      <c r="BC157" s="1171" t="s">
        <v>2174</v>
      </c>
      <c r="BD157" s="1171" t="s">
        <v>2174</v>
      </c>
      <c r="BE157" s="1176"/>
      <c r="BF157" s="1171" t="s">
        <v>2174</v>
      </c>
      <c r="BG157" s="1171" t="s">
        <v>2174</v>
      </c>
      <c r="BH157" s="1171" t="s">
        <v>2174</v>
      </c>
      <c r="BI157" s="1172" t="s">
        <v>2174</v>
      </c>
      <c r="BJ157" s="1176"/>
      <c r="BK157" s="1171" t="s">
        <v>2174</v>
      </c>
      <c r="BL157" s="1172" t="s">
        <v>2174</v>
      </c>
      <c r="BM157" s="1171" t="s">
        <v>2174</v>
      </c>
      <c r="BN157" s="1172" t="s">
        <v>2174</v>
      </c>
    </row>
    <row r="158" spans="1:66" x14ac:dyDescent="0.25">
      <c r="A158" s="49" t="str">
        <f t="shared" si="277"/>
        <v>401150</v>
      </c>
      <c r="B158" s="1307" t="str">
        <f>'Income Eligible Deemed Table'!C111</f>
        <v>401150_2024_12_</v>
      </c>
      <c r="C158" s="1249" t="str">
        <f>'Income Eligible Deemed Table'!G111</f>
        <v>Building Shell RES</v>
      </c>
      <c r="D158" s="1249"/>
      <c r="E158" s="1249"/>
      <c r="F158" s="1249"/>
      <c r="G158" s="1249" t="str">
        <f>'Income Eligible Deemed Table'!E111</f>
        <v>Ceiling Insulation R5-R30 SF IE DI electric furnace base</v>
      </c>
      <c r="H158" s="18" t="str">
        <f>'Income Eligible Deemed Table'!D111</f>
        <v>PAYS / IE</v>
      </c>
      <c r="I158" s="737">
        <f>'Income Eligible Deemed Table'!F111</f>
        <v>1.49</v>
      </c>
      <c r="J158" s="737">
        <f t="shared" si="270"/>
        <v>0</v>
      </c>
      <c r="K158" s="831"/>
      <c r="L158" s="831"/>
      <c r="M158" s="185"/>
      <c r="N158" s="185"/>
      <c r="O158" s="738">
        <f>'Income Eligible Deemed Table'!K111</f>
        <v>6.9399999999999996E-4</v>
      </c>
      <c r="P158" s="738">
        <f t="shared" si="272"/>
        <v>0</v>
      </c>
      <c r="Q158" s="832"/>
      <c r="R158" s="832"/>
      <c r="S158" s="739"/>
      <c r="T158" s="739"/>
      <c r="U158" s="740">
        <f t="shared" si="273"/>
        <v>0</v>
      </c>
      <c r="V158" s="740">
        <f t="shared" si="274"/>
        <v>0</v>
      </c>
      <c r="W158" s="740">
        <f t="shared" si="275"/>
        <v>6.9399999999999996E-4</v>
      </c>
      <c r="X158" s="22">
        <f>'Income Eligible Deemed Table'!L111</f>
        <v>30</v>
      </c>
      <c r="Y158" s="22"/>
      <c r="Z158" s="22">
        <f t="shared" si="278"/>
        <v>30</v>
      </c>
      <c r="AA158" s="17">
        <f>'Income Eligible Deemed Table'!DG111</f>
        <v>2.4064992492549382</v>
      </c>
      <c r="AB158" s="241">
        <f>'Income Eligible Deemed Table'!M111</f>
        <v>1.1631012658227848</v>
      </c>
      <c r="AC158" s="845">
        <f t="shared" si="279"/>
        <v>2.7990023230099998</v>
      </c>
      <c r="AD158" s="845">
        <f t="shared" si="276"/>
        <v>0</v>
      </c>
      <c r="AE158" s="580">
        <f>'Income Eligible Deemed Table'!DI111</f>
        <v>2.7990023230099998</v>
      </c>
      <c r="AF158" s="191"/>
      <c r="AG158" s="191"/>
      <c r="AH158" s="191"/>
      <c r="AI158" s="851" t="str">
        <f t="shared" si="294"/>
        <v>Units - area of ceiling/attic (ft2)</v>
      </c>
      <c r="AJ158" s="68"/>
      <c r="AX158" s="1226" t="str">
        <f t="shared" si="295"/>
        <v>Ceiling Insulation R5-R30 SF IE DI electric furnace base</v>
      </c>
      <c r="AY158" s="1249"/>
      <c r="AZ158" s="1312" t="str">
        <f t="shared" si="296"/>
        <v>401150</v>
      </c>
      <c r="BA158" s="1171" t="s">
        <v>2174</v>
      </c>
      <c r="BB158" s="1171" t="s">
        <v>2174</v>
      </c>
      <c r="BC158" s="1171" t="s">
        <v>2174</v>
      </c>
      <c r="BD158" s="1171" t="s">
        <v>2174</v>
      </c>
      <c r="BE158" s="1176"/>
      <c r="BF158" s="1171" t="s">
        <v>2174</v>
      </c>
      <c r="BG158" s="1171" t="s">
        <v>2174</v>
      </c>
      <c r="BH158" s="1171" t="s">
        <v>2174</v>
      </c>
      <c r="BI158" s="1172" t="s">
        <v>2174</v>
      </c>
      <c r="BJ158" s="1176"/>
      <c r="BK158" s="1171" t="s">
        <v>2174</v>
      </c>
      <c r="BL158" s="1172" t="s">
        <v>2174</v>
      </c>
      <c r="BM158" s="1171" t="s">
        <v>2174</v>
      </c>
      <c r="BN158" s="1172" t="s">
        <v>2174</v>
      </c>
    </row>
    <row r="159" spans="1:66" x14ac:dyDescent="0.25">
      <c r="A159" s="49" t="str">
        <f t="shared" si="277"/>
        <v>401200</v>
      </c>
      <c r="B159" s="1307" t="str">
        <f>'Income Eligible Deemed Table'!C112</f>
        <v>401200_2024_12_</v>
      </c>
      <c r="C159" s="1249" t="str">
        <f>'Income Eligible Deemed Table'!G112</f>
        <v>Building Shell RES</v>
      </c>
      <c r="D159" s="1249"/>
      <c r="E159" s="1249"/>
      <c r="F159" s="1249"/>
      <c r="G159" s="1249" t="str">
        <f>'Income Eligible Deemed Table'!E112</f>
        <v>Ceiling Insulation R5-R30 SF IE DI heat pump base</v>
      </c>
      <c r="H159" s="18" t="str">
        <f>'Income Eligible Deemed Table'!D112</f>
        <v>PAYS / IE</v>
      </c>
      <c r="I159" s="737">
        <f>'Income Eligible Deemed Table'!F112</f>
        <v>1</v>
      </c>
      <c r="J159" s="737">
        <f t="shared" si="270"/>
        <v>0</v>
      </c>
      <c r="K159" s="831"/>
      <c r="L159" s="831"/>
      <c r="M159" s="185"/>
      <c r="N159" s="185"/>
      <c r="O159" s="738">
        <f>'Income Eligible Deemed Table'!K112</f>
        <v>4.66E-4</v>
      </c>
      <c r="P159" s="738">
        <f t="shared" si="272"/>
        <v>0</v>
      </c>
      <c r="Q159" s="832"/>
      <c r="R159" s="832"/>
      <c r="S159" s="739"/>
      <c r="T159" s="739"/>
      <c r="U159" s="740">
        <f t="shared" si="273"/>
        <v>0</v>
      </c>
      <c r="V159" s="740">
        <f t="shared" si="274"/>
        <v>0</v>
      </c>
      <c r="W159" s="740">
        <f t="shared" si="275"/>
        <v>4.66E-4</v>
      </c>
      <c r="X159" s="22">
        <f>'Income Eligible Deemed Table'!L112</f>
        <v>30</v>
      </c>
      <c r="Y159" s="22"/>
      <c r="Z159" s="22">
        <f t="shared" si="278"/>
        <v>30</v>
      </c>
      <c r="AA159" s="17">
        <f>'Income Eligible Deemed Table'!DG112</f>
        <v>1.6151001672851935</v>
      </c>
      <c r="AB159" s="241">
        <f>'Income Eligible Deemed Table'!M112</f>
        <v>1.1631012658227848</v>
      </c>
      <c r="AC159" s="845">
        <f t="shared" si="279"/>
        <v>1.8785250490000001</v>
      </c>
      <c r="AD159" s="845">
        <f t="shared" si="276"/>
        <v>0</v>
      </c>
      <c r="AE159" s="580">
        <f>'Income Eligible Deemed Table'!DI112</f>
        <v>1.8785250490000001</v>
      </c>
      <c r="AF159" s="191"/>
      <c r="AG159" s="191"/>
      <c r="AH159" s="191"/>
      <c r="AI159" s="851" t="str">
        <f t="shared" si="294"/>
        <v>Units - area of ceiling/attic (ft2)</v>
      </c>
      <c r="AJ159" s="68"/>
      <c r="AX159" s="1226" t="str">
        <f t="shared" si="295"/>
        <v>Ceiling Insulation R5-R30 SF IE DI heat pump base</v>
      </c>
      <c r="AY159" s="1249"/>
      <c r="AZ159" s="1312" t="str">
        <f t="shared" si="296"/>
        <v>401200</v>
      </c>
      <c r="BA159" s="1171" t="s">
        <v>2174</v>
      </c>
      <c r="BB159" s="1171" t="s">
        <v>2174</v>
      </c>
      <c r="BC159" s="1171" t="s">
        <v>2174</v>
      </c>
      <c r="BD159" s="1171" t="s">
        <v>2174</v>
      </c>
      <c r="BE159" s="1176"/>
      <c r="BF159" s="1171" t="s">
        <v>2174</v>
      </c>
      <c r="BG159" s="1171" t="s">
        <v>2174</v>
      </c>
      <c r="BH159" s="1171" t="s">
        <v>2174</v>
      </c>
      <c r="BI159" s="1172" t="s">
        <v>2174</v>
      </c>
      <c r="BJ159" s="1176"/>
      <c r="BK159" s="1171" t="s">
        <v>2174</v>
      </c>
      <c r="BL159" s="1172" t="s">
        <v>2174</v>
      </c>
      <c r="BM159" s="1171" t="s">
        <v>2174</v>
      </c>
      <c r="BN159" s="1172" t="s">
        <v>2174</v>
      </c>
    </row>
    <row r="160" spans="1:66" x14ac:dyDescent="0.25">
      <c r="A160" s="49" t="str">
        <f t="shared" si="277"/>
        <v>401250</v>
      </c>
      <c r="B160" s="1307" t="str">
        <f>'Income Eligible Deemed Table'!C113</f>
        <v>401250_2024_12_</v>
      </c>
      <c r="C160" s="1249" t="str">
        <f>'Income Eligible Deemed Table'!G113</f>
        <v>Building Shell RES</v>
      </c>
      <c r="D160" s="1249"/>
      <c r="E160" s="1249"/>
      <c r="F160" s="1249"/>
      <c r="G160" s="1249" t="str">
        <f>'Income Eligible Deemed Table'!E113</f>
        <v>Ceiling Insulation R5-R30 SF IE DI gas heat electric cool base</v>
      </c>
      <c r="H160" s="18" t="str">
        <f>'Income Eligible Deemed Table'!D113</f>
        <v>PAYS / IE</v>
      </c>
      <c r="I160" s="737">
        <f>'Income Eligible Deemed Table'!F113</f>
        <v>0.22</v>
      </c>
      <c r="J160" s="737">
        <f t="shared" si="270"/>
        <v>0</v>
      </c>
      <c r="K160" s="831"/>
      <c r="L160" s="831"/>
      <c r="M160" s="185"/>
      <c r="N160" s="185"/>
      <c r="O160" s="738">
        <f>'Income Eligible Deemed Table'!K113</f>
        <v>1.03E-4</v>
      </c>
      <c r="P160" s="738">
        <f t="shared" si="272"/>
        <v>0</v>
      </c>
      <c r="Q160" s="832"/>
      <c r="R160" s="832"/>
      <c r="S160" s="739"/>
      <c r="T160" s="739"/>
      <c r="U160" s="740">
        <f t="shared" si="273"/>
        <v>0</v>
      </c>
      <c r="V160" s="740">
        <f t="shared" si="274"/>
        <v>0</v>
      </c>
      <c r="W160" s="740">
        <f t="shared" si="275"/>
        <v>1.03E-4</v>
      </c>
      <c r="X160" s="22">
        <f>'Income Eligible Deemed Table'!L113</f>
        <v>30</v>
      </c>
      <c r="Y160" s="22"/>
      <c r="Z160" s="22">
        <f t="shared" si="278"/>
        <v>30</v>
      </c>
      <c r="AA160" s="17">
        <f>'Income Eligible Deemed Table'!DG113</f>
        <v>0.35532203680274255</v>
      </c>
      <c r="AB160" s="241">
        <f>'Income Eligible Deemed Table'!M113</f>
        <v>1.1631012658227848</v>
      </c>
      <c r="AC160" s="845">
        <f t="shared" si="279"/>
        <v>0.41327551078000002</v>
      </c>
      <c r="AD160" s="845">
        <f t="shared" si="276"/>
        <v>0</v>
      </c>
      <c r="AE160" s="580">
        <f>'Income Eligible Deemed Table'!DI113</f>
        <v>0.41327551078000002</v>
      </c>
      <c r="AF160" s="191"/>
      <c r="AG160" s="191"/>
      <c r="AH160" s="191"/>
      <c r="AI160" s="851" t="str">
        <f t="shared" si="294"/>
        <v>Units - area of ceiling/attic (ft2)</v>
      </c>
      <c r="AJ160" s="68"/>
      <c r="AX160" s="1226" t="str">
        <f t="shared" si="295"/>
        <v>Ceiling Insulation R5-R30 SF IE DI gas heat electric cool base</v>
      </c>
      <c r="AY160" s="1249"/>
      <c r="AZ160" s="1312" t="str">
        <f t="shared" si="296"/>
        <v>401250</v>
      </c>
      <c r="BA160" s="1171" t="s">
        <v>2174</v>
      </c>
      <c r="BB160" s="1171" t="s">
        <v>2174</v>
      </c>
      <c r="BC160" s="1171" t="s">
        <v>2174</v>
      </c>
      <c r="BD160" s="1171" t="s">
        <v>2174</v>
      </c>
      <c r="BE160" s="1176"/>
      <c r="BF160" s="1171" t="s">
        <v>2174</v>
      </c>
      <c r="BG160" s="1171" t="s">
        <v>2174</v>
      </c>
      <c r="BH160" s="1171" t="s">
        <v>2174</v>
      </c>
      <c r="BI160" s="1172" t="s">
        <v>2174</v>
      </c>
      <c r="BJ160" s="1176"/>
      <c r="BK160" s="1171" t="s">
        <v>2174</v>
      </c>
      <c r="BL160" s="1172" t="s">
        <v>2174</v>
      </c>
      <c r="BM160" s="1171" t="s">
        <v>2174</v>
      </c>
      <c r="BN160" s="1172" t="s">
        <v>2174</v>
      </c>
    </row>
    <row r="161" spans="1:66" x14ac:dyDescent="0.25">
      <c r="A161" s="49" t="str">
        <f t="shared" si="277"/>
        <v>401300</v>
      </c>
      <c r="B161" s="1307" t="str">
        <f>'Income Eligible Deemed Table'!C114</f>
        <v>401300_2024_12_</v>
      </c>
      <c r="C161" s="1249" t="str">
        <f>'Income Eligible Deemed Table'!G114</f>
        <v>Building Shell RES</v>
      </c>
      <c r="D161" s="1249"/>
      <c r="E161" s="1249"/>
      <c r="F161" s="1249"/>
      <c r="G161" s="1249" t="str">
        <f>'Income Eligible Deemed Table'!E114</f>
        <v>Ceiling Insulation R5-R38 MF IE DI electric furnace base</v>
      </c>
      <c r="H161" s="18" t="str">
        <f>'Income Eligible Deemed Table'!D114</f>
        <v>IE</v>
      </c>
      <c r="I161" s="737">
        <f>'Income Eligible Deemed Table'!F114</f>
        <v>1.6</v>
      </c>
      <c r="J161" s="737">
        <f t="shared" si="270"/>
        <v>0</v>
      </c>
      <c r="K161" s="831"/>
      <c r="L161" s="831"/>
      <c r="M161" s="185"/>
      <c r="N161" s="185"/>
      <c r="O161" s="738">
        <f>'Income Eligible Deemed Table'!K114</f>
        <v>7.4600000000000003E-4</v>
      </c>
      <c r="P161" s="738">
        <f t="shared" si="272"/>
        <v>0</v>
      </c>
      <c r="Q161" s="832"/>
      <c r="R161" s="832"/>
      <c r="S161" s="739"/>
      <c r="T161" s="739"/>
      <c r="U161" s="740">
        <f t="shared" si="273"/>
        <v>0</v>
      </c>
      <c r="V161" s="740">
        <f t="shared" si="274"/>
        <v>0</v>
      </c>
      <c r="W161" s="740">
        <f t="shared" si="275"/>
        <v>7.4600000000000003E-4</v>
      </c>
      <c r="X161" s="22">
        <f>'Income Eligible Deemed Table'!L114</f>
        <v>30</v>
      </c>
      <c r="Y161" s="22"/>
      <c r="Z161" s="22">
        <f t="shared" si="278"/>
        <v>30</v>
      </c>
      <c r="AA161" s="17">
        <f>'Income Eligible Deemed Table'!DG114</f>
        <v>1.7879641310399339</v>
      </c>
      <c r="AB161" s="241">
        <f>'Income Eligible Deemed Table'!M114</f>
        <v>1.6810404785088331</v>
      </c>
      <c r="AC161" s="845">
        <f t="shared" si="279"/>
        <v>3.0056400784000004</v>
      </c>
      <c r="AD161" s="845">
        <f t="shared" si="276"/>
        <v>0</v>
      </c>
      <c r="AE161" s="580">
        <f>'Income Eligible Deemed Table'!DI114</f>
        <v>3.0056400784000004</v>
      </c>
      <c r="AF161" s="191"/>
      <c r="AG161" s="191"/>
      <c r="AH161" s="191"/>
      <c r="AI161" s="851" t="str">
        <f t="shared" si="294"/>
        <v>Units - area of ceiling/attic (ft2)</v>
      </c>
      <c r="AJ161" s="68"/>
      <c r="AX161" s="1226" t="str">
        <f t="shared" si="295"/>
        <v>Ceiling Insulation R5-R38 MF IE DI electric furnace base</v>
      </c>
      <c r="AY161" s="1249"/>
      <c r="AZ161" s="1312" t="str">
        <f t="shared" si="296"/>
        <v>401300</v>
      </c>
      <c r="BA161" s="1171" t="s">
        <v>2174</v>
      </c>
      <c r="BB161" s="1171" t="s">
        <v>2174</v>
      </c>
      <c r="BC161" s="1171" t="s">
        <v>2174</v>
      </c>
      <c r="BD161" s="1171" t="s">
        <v>2174</v>
      </c>
      <c r="BE161" s="1176"/>
      <c r="BF161" s="1171" t="s">
        <v>2174</v>
      </c>
      <c r="BG161" s="1171" t="s">
        <v>2174</v>
      </c>
      <c r="BH161" s="1171" t="s">
        <v>2174</v>
      </c>
      <c r="BI161" s="1172" t="s">
        <v>2174</v>
      </c>
      <c r="BJ161" s="1176"/>
      <c r="BK161" s="1171" t="s">
        <v>2174</v>
      </c>
      <c r="BL161" s="1172" t="s">
        <v>2174</v>
      </c>
      <c r="BM161" s="1171" t="s">
        <v>2174</v>
      </c>
      <c r="BN161" s="1172" t="s">
        <v>2174</v>
      </c>
    </row>
    <row r="162" spans="1:66" x14ac:dyDescent="0.25">
      <c r="A162" s="49" t="str">
        <f t="shared" si="277"/>
        <v>401350</v>
      </c>
      <c r="B162" s="1307" t="str">
        <f>'Income Eligible Deemed Table'!C115</f>
        <v>401350_2024_12_</v>
      </c>
      <c r="C162" s="1249" t="str">
        <f>'Income Eligible Deemed Table'!G115</f>
        <v>Building Shell RES</v>
      </c>
      <c r="D162" s="1249"/>
      <c r="E162" s="1249"/>
      <c r="F162" s="1249"/>
      <c r="G162" s="1249" t="str">
        <f>'Income Eligible Deemed Table'!E115</f>
        <v>Ceiling Insulation R5-R38 MF IE DI heat pump base</v>
      </c>
      <c r="H162" s="18" t="str">
        <f>'Income Eligible Deemed Table'!D115</f>
        <v>IE</v>
      </c>
      <c r="I162" s="737">
        <f>'Income Eligible Deemed Table'!F115</f>
        <v>1.07</v>
      </c>
      <c r="J162" s="737">
        <f t="shared" si="270"/>
        <v>0</v>
      </c>
      <c r="K162" s="831"/>
      <c r="L162" s="831"/>
      <c r="M162" s="185"/>
      <c r="N162" s="185"/>
      <c r="O162" s="738">
        <f>'Income Eligible Deemed Table'!K115</f>
        <v>4.9899999999999999E-4</v>
      </c>
      <c r="P162" s="738">
        <f t="shared" si="272"/>
        <v>0</v>
      </c>
      <c r="Q162" s="832"/>
      <c r="R162" s="832"/>
      <c r="S162" s="739"/>
      <c r="T162" s="739"/>
      <c r="U162" s="740">
        <f t="shared" si="273"/>
        <v>0</v>
      </c>
      <c r="V162" s="740">
        <f t="shared" si="274"/>
        <v>0</v>
      </c>
      <c r="W162" s="740">
        <f t="shared" si="275"/>
        <v>4.9899999999999999E-4</v>
      </c>
      <c r="X162" s="22">
        <f>'Income Eligible Deemed Table'!L115</f>
        <v>30</v>
      </c>
      <c r="Y162" s="22"/>
      <c r="Z162" s="22">
        <f t="shared" si="278"/>
        <v>30</v>
      </c>
      <c r="AA162" s="17">
        <f>'Income Eligible Deemed Table'!DG115</f>
        <v>1.1957010126329557</v>
      </c>
      <c r="AB162" s="241">
        <f>'Income Eligible Deemed Table'!M115</f>
        <v>1.6810404785088331</v>
      </c>
      <c r="AC162" s="845">
        <f t="shared" si="279"/>
        <v>2.0100218024300003</v>
      </c>
      <c r="AD162" s="845">
        <f t="shared" si="276"/>
        <v>0</v>
      </c>
      <c r="AE162" s="580">
        <f>'Income Eligible Deemed Table'!DI115</f>
        <v>2.0100218024300003</v>
      </c>
      <c r="AF162" s="191"/>
      <c r="AG162" s="191"/>
      <c r="AH162" s="191"/>
      <c r="AI162" s="851" t="str">
        <f t="shared" si="294"/>
        <v>Units - area of ceiling/attic (ft2)</v>
      </c>
      <c r="AJ162" s="68"/>
      <c r="AX162" s="1226" t="str">
        <f t="shared" si="295"/>
        <v>Ceiling Insulation R5-R38 MF IE DI heat pump base</v>
      </c>
      <c r="AY162" s="1249"/>
      <c r="AZ162" s="1312" t="str">
        <f t="shared" si="296"/>
        <v>401350</v>
      </c>
      <c r="BA162" s="1171" t="s">
        <v>2174</v>
      </c>
      <c r="BB162" s="1171" t="s">
        <v>2174</v>
      </c>
      <c r="BC162" s="1171" t="s">
        <v>2174</v>
      </c>
      <c r="BD162" s="1171" t="s">
        <v>2174</v>
      </c>
      <c r="BE162" s="1176"/>
      <c r="BF162" s="1171" t="s">
        <v>2174</v>
      </c>
      <c r="BG162" s="1171" t="s">
        <v>2174</v>
      </c>
      <c r="BH162" s="1171" t="s">
        <v>2174</v>
      </c>
      <c r="BI162" s="1172" t="s">
        <v>2174</v>
      </c>
      <c r="BJ162" s="1176"/>
      <c r="BK162" s="1171" t="s">
        <v>2174</v>
      </c>
      <c r="BL162" s="1172" t="s">
        <v>2174</v>
      </c>
      <c r="BM162" s="1171" t="s">
        <v>2174</v>
      </c>
      <c r="BN162" s="1172" t="s">
        <v>2174</v>
      </c>
    </row>
    <row r="163" spans="1:66" x14ac:dyDescent="0.25">
      <c r="A163" s="49" t="str">
        <f t="shared" si="277"/>
        <v>401400</v>
      </c>
      <c r="B163" s="1307" t="str">
        <f>'Income Eligible Deemed Table'!C116</f>
        <v>401400_2024_12_</v>
      </c>
      <c r="C163" s="1249" t="str">
        <f>'Income Eligible Deemed Table'!G116</f>
        <v>Building Shell RES</v>
      </c>
      <c r="D163" s="1249"/>
      <c r="E163" s="1249"/>
      <c r="F163" s="1249"/>
      <c r="G163" s="1249" t="str">
        <f>'Income Eligible Deemed Table'!E116</f>
        <v>Ceiling Insulation R5-R38 MF IE DI gas heat electric cool base</v>
      </c>
      <c r="H163" s="18" t="str">
        <f>'Income Eligible Deemed Table'!D116</f>
        <v>IE</v>
      </c>
      <c r="I163" s="737">
        <f>'Income Eligible Deemed Table'!F116</f>
        <v>0.24</v>
      </c>
      <c r="J163" s="737">
        <f t="shared" si="270"/>
        <v>0</v>
      </c>
      <c r="K163" s="831"/>
      <c r="L163" s="831"/>
      <c r="M163" s="185"/>
      <c r="N163" s="185"/>
      <c r="O163" s="738">
        <f>'Income Eligible Deemed Table'!K116</f>
        <v>1.12E-4</v>
      </c>
      <c r="P163" s="738">
        <f t="shared" si="272"/>
        <v>0</v>
      </c>
      <c r="Q163" s="832"/>
      <c r="R163" s="832"/>
      <c r="S163" s="739"/>
      <c r="T163" s="739"/>
      <c r="U163" s="740">
        <f t="shared" si="273"/>
        <v>0</v>
      </c>
      <c r="V163" s="740">
        <f t="shared" si="274"/>
        <v>0</v>
      </c>
      <c r="W163" s="740">
        <f t="shared" si="275"/>
        <v>1.12E-4</v>
      </c>
      <c r="X163" s="22">
        <f>'Income Eligible Deemed Table'!L116</f>
        <v>30</v>
      </c>
      <c r="Y163" s="22"/>
      <c r="Z163" s="22">
        <f t="shared" si="278"/>
        <v>30</v>
      </c>
      <c r="AA163" s="17">
        <f>'Income Eligible Deemed Table'!DG116</f>
        <v>0.26819461965599006</v>
      </c>
      <c r="AB163" s="241">
        <f>'Income Eligible Deemed Table'!M116</f>
        <v>1.6810404785088331</v>
      </c>
      <c r="AC163" s="845">
        <f t="shared" si="279"/>
        <v>0.45084601176</v>
      </c>
      <c r="AD163" s="845">
        <f t="shared" si="276"/>
        <v>0</v>
      </c>
      <c r="AE163" s="580">
        <f>'Income Eligible Deemed Table'!DI116</f>
        <v>0.45084601176</v>
      </c>
      <c r="AF163" s="191"/>
      <c r="AG163" s="191"/>
      <c r="AH163" s="191"/>
      <c r="AI163" s="851" t="str">
        <f t="shared" si="294"/>
        <v>Units - area of ceiling/attic (ft2)</v>
      </c>
      <c r="AJ163" s="68"/>
      <c r="AX163" s="1226" t="str">
        <f t="shared" si="295"/>
        <v>Ceiling Insulation R5-R38 MF IE DI gas heat electric cool base</v>
      </c>
      <c r="AY163" s="1249"/>
      <c r="AZ163" s="1312" t="str">
        <f t="shared" si="296"/>
        <v>401400</v>
      </c>
      <c r="BA163" s="1171" t="s">
        <v>2174</v>
      </c>
      <c r="BB163" s="1171" t="s">
        <v>2174</v>
      </c>
      <c r="BC163" s="1171" t="s">
        <v>2174</v>
      </c>
      <c r="BD163" s="1171" t="s">
        <v>2174</v>
      </c>
      <c r="BE163" s="1176"/>
      <c r="BF163" s="1171" t="s">
        <v>2174</v>
      </c>
      <c r="BG163" s="1171" t="s">
        <v>2174</v>
      </c>
      <c r="BH163" s="1171" t="s">
        <v>2174</v>
      </c>
      <c r="BI163" s="1172" t="s">
        <v>2174</v>
      </c>
      <c r="BJ163" s="1176"/>
      <c r="BK163" s="1171" t="s">
        <v>2174</v>
      </c>
      <c r="BL163" s="1172" t="s">
        <v>2174</v>
      </c>
      <c r="BM163" s="1171" t="s">
        <v>2174</v>
      </c>
      <c r="BN163" s="1172" t="s">
        <v>2174</v>
      </c>
    </row>
    <row r="164" spans="1:66" x14ac:dyDescent="0.25">
      <c r="A164" s="49" t="str">
        <f t="shared" si="277"/>
        <v>401450</v>
      </c>
      <c r="B164" s="1307" t="str">
        <f>'Income Eligible Deemed Table'!C117</f>
        <v>401450_2024_12_</v>
      </c>
      <c r="C164" s="1249" t="str">
        <f>'Income Eligible Deemed Table'!G117</f>
        <v>Building Shell RES</v>
      </c>
      <c r="D164" s="1249"/>
      <c r="E164" s="1249"/>
      <c r="F164" s="1249"/>
      <c r="G164" s="1249" t="str">
        <f>'Income Eligible Deemed Table'!E117</f>
        <v>Ceiling Insulation R5-R38 SF IE DI electric furnace base</v>
      </c>
      <c r="H164" s="18" t="str">
        <f>'Income Eligible Deemed Table'!D117</f>
        <v>PAYS / IE</v>
      </c>
      <c r="I164" s="737">
        <f>'Income Eligible Deemed Table'!F117</f>
        <v>1.6</v>
      </c>
      <c r="J164" s="737">
        <f t="shared" si="270"/>
        <v>0</v>
      </c>
      <c r="K164" s="831"/>
      <c r="L164" s="831"/>
      <c r="M164" s="185"/>
      <c r="N164" s="185"/>
      <c r="O164" s="738">
        <f>'Income Eligible Deemed Table'!K117</f>
        <v>7.4600000000000003E-4</v>
      </c>
      <c r="P164" s="738">
        <f t="shared" si="272"/>
        <v>0</v>
      </c>
      <c r="Q164" s="832"/>
      <c r="R164" s="832"/>
      <c r="S164" s="739"/>
      <c r="T164" s="739"/>
      <c r="U164" s="740">
        <f t="shared" si="273"/>
        <v>0</v>
      </c>
      <c r="V164" s="740">
        <f t="shared" si="274"/>
        <v>0</v>
      </c>
      <c r="W164" s="740">
        <f t="shared" si="275"/>
        <v>7.4600000000000003E-4</v>
      </c>
      <c r="X164" s="22">
        <f>'Income Eligible Deemed Table'!L117</f>
        <v>30</v>
      </c>
      <c r="Y164" s="22"/>
      <c r="Z164" s="22">
        <f t="shared" si="278"/>
        <v>30</v>
      </c>
      <c r="AA164" s="17">
        <f>'Income Eligible Deemed Table'!DG117</f>
        <v>1.787964870785433</v>
      </c>
      <c r="AB164" s="241">
        <f>'Income Eligible Deemed Table'!M117</f>
        <v>1.6810397830018082</v>
      </c>
      <c r="AC164" s="845">
        <f t="shared" si="279"/>
        <v>3.0056400784000004</v>
      </c>
      <c r="AD164" s="845">
        <f t="shared" si="276"/>
        <v>0</v>
      </c>
      <c r="AE164" s="580">
        <f>'Income Eligible Deemed Table'!DI117</f>
        <v>3.0056400784000004</v>
      </c>
      <c r="AF164" s="191"/>
      <c r="AG164" s="191"/>
      <c r="AH164" s="191"/>
      <c r="AI164" s="851" t="str">
        <f t="shared" si="294"/>
        <v>Units - area of ceiling/attic (ft2)</v>
      </c>
      <c r="AJ164" s="68"/>
      <c r="AX164" s="1226" t="str">
        <f t="shared" si="295"/>
        <v>Ceiling Insulation R5-R38 SF IE DI electric furnace base</v>
      </c>
      <c r="AY164" s="1249"/>
      <c r="AZ164" s="1312" t="str">
        <f t="shared" si="296"/>
        <v>401450</v>
      </c>
      <c r="BA164" s="1171" t="s">
        <v>2174</v>
      </c>
      <c r="BB164" s="1171" t="s">
        <v>2174</v>
      </c>
      <c r="BC164" s="1171" t="s">
        <v>2174</v>
      </c>
      <c r="BD164" s="1171" t="s">
        <v>2174</v>
      </c>
      <c r="BE164" s="1176"/>
      <c r="BF164" s="1171" t="s">
        <v>2174</v>
      </c>
      <c r="BG164" s="1171" t="s">
        <v>2174</v>
      </c>
      <c r="BH164" s="1171" t="s">
        <v>2174</v>
      </c>
      <c r="BI164" s="1172" t="s">
        <v>2174</v>
      </c>
      <c r="BJ164" s="1176"/>
      <c r="BK164" s="1171" t="s">
        <v>2174</v>
      </c>
      <c r="BL164" s="1172" t="s">
        <v>2174</v>
      </c>
      <c r="BM164" s="1171" t="s">
        <v>2174</v>
      </c>
      <c r="BN164" s="1172" t="s">
        <v>2174</v>
      </c>
    </row>
    <row r="165" spans="1:66" x14ac:dyDescent="0.25">
      <c r="A165" s="49" t="str">
        <f t="shared" si="277"/>
        <v>401500</v>
      </c>
      <c r="B165" s="1307" t="str">
        <f>'Income Eligible Deemed Table'!C118</f>
        <v>401500_2024_12_</v>
      </c>
      <c r="C165" s="1249" t="str">
        <f>'Income Eligible Deemed Table'!G118</f>
        <v>Building Shell RES</v>
      </c>
      <c r="D165" s="1249"/>
      <c r="E165" s="1249"/>
      <c r="F165" s="1249"/>
      <c r="G165" s="1249" t="str">
        <f>'Income Eligible Deemed Table'!E118</f>
        <v>Ceiling Insulation R5-R38 SF IE DI heat pump base</v>
      </c>
      <c r="H165" s="18" t="str">
        <f>'Income Eligible Deemed Table'!D118</f>
        <v>PAYS / IE</v>
      </c>
      <c r="I165" s="737">
        <f>'Income Eligible Deemed Table'!F118</f>
        <v>1.07</v>
      </c>
      <c r="J165" s="737">
        <f t="shared" si="270"/>
        <v>0</v>
      </c>
      <c r="K165" s="831"/>
      <c r="L165" s="831"/>
      <c r="M165" s="185"/>
      <c r="N165" s="185"/>
      <c r="O165" s="738">
        <f>'Income Eligible Deemed Table'!K118</f>
        <v>4.9899999999999999E-4</v>
      </c>
      <c r="P165" s="738">
        <f t="shared" si="272"/>
        <v>0</v>
      </c>
      <c r="Q165" s="832"/>
      <c r="R165" s="832"/>
      <c r="S165" s="739"/>
      <c r="T165" s="739"/>
      <c r="U165" s="740">
        <f t="shared" si="273"/>
        <v>0</v>
      </c>
      <c r="V165" s="740">
        <f t="shared" si="274"/>
        <v>0</v>
      </c>
      <c r="W165" s="740">
        <f t="shared" si="275"/>
        <v>4.9899999999999999E-4</v>
      </c>
      <c r="X165" s="22">
        <f>'Income Eligible Deemed Table'!L118</f>
        <v>30</v>
      </c>
      <c r="Y165" s="22"/>
      <c r="Z165" s="22">
        <f t="shared" si="278"/>
        <v>30</v>
      </c>
      <c r="AA165" s="17">
        <f>'Income Eligible Deemed Table'!DG118</f>
        <v>1.1957015073377584</v>
      </c>
      <c r="AB165" s="241">
        <f>'Income Eligible Deemed Table'!M118</f>
        <v>1.6810397830018082</v>
      </c>
      <c r="AC165" s="845">
        <f t="shared" si="279"/>
        <v>2.0100218024300003</v>
      </c>
      <c r="AD165" s="845">
        <f t="shared" si="276"/>
        <v>0</v>
      </c>
      <c r="AE165" s="580">
        <f>'Income Eligible Deemed Table'!DI118</f>
        <v>2.0100218024300003</v>
      </c>
      <c r="AF165" s="191"/>
      <c r="AG165" s="191"/>
      <c r="AH165" s="191"/>
      <c r="AI165" s="851" t="str">
        <f t="shared" si="294"/>
        <v>Units - area of ceiling/attic (ft2)</v>
      </c>
      <c r="AJ165" s="68"/>
      <c r="AX165" s="1226" t="str">
        <f t="shared" si="295"/>
        <v>Ceiling Insulation R5-R38 SF IE DI heat pump base</v>
      </c>
      <c r="AY165" s="1249"/>
      <c r="AZ165" s="1312" t="str">
        <f t="shared" si="296"/>
        <v>401500</v>
      </c>
      <c r="BA165" s="1171" t="s">
        <v>2174</v>
      </c>
      <c r="BB165" s="1171" t="s">
        <v>2174</v>
      </c>
      <c r="BC165" s="1171" t="s">
        <v>2174</v>
      </c>
      <c r="BD165" s="1171" t="s">
        <v>2174</v>
      </c>
      <c r="BE165" s="1176"/>
      <c r="BF165" s="1171" t="s">
        <v>2174</v>
      </c>
      <c r="BG165" s="1171" t="s">
        <v>2174</v>
      </c>
      <c r="BH165" s="1171" t="s">
        <v>2174</v>
      </c>
      <c r="BI165" s="1172" t="s">
        <v>2174</v>
      </c>
      <c r="BJ165" s="1176"/>
      <c r="BK165" s="1171" t="s">
        <v>2174</v>
      </c>
      <c r="BL165" s="1172" t="s">
        <v>2174</v>
      </c>
      <c r="BM165" s="1171" t="s">
        <v>2174</v>
      </c>
      <c r="BN165" s="1172" t="s">
        <v>2174</v>
      </c>
    </row>
    <row r="166" spans="1:66" x14ac:dyDescent="0.25">
      <c r="A166" s="49" t="str">
        <f t="shared" si="277"/>
        <v>401550</v>
      </c>
      <c r="B166" s="1307" t="str">
        <f>'Income Eligible Deemed Table'!C119</f>
        <v>401550_2024_12_</v>
      </c>
      <c r="C166" s="1249" t="str">
        <f>'Income Eligible Deemed Table'!G119</f>
        <v>Building Shell RES</v>
      </c>
      <c r="D166" s="1249"/>
      <c r="E166" s="1249"/>
      <c r="F166" s="1249"/>
      <c r="G166" s="1249" t="str">
        <f>'Income Eligible Deemed Table'!E119</f>
        <v>Ceiling Insulation R5-R38 SF IE DI gas heat electric cool base</v>
      </c>
      <c r="H166" s="18" t="str">
        <f>'Income Eligible Deemed Table'!D119</f>
        <v>PAYS / IE</v>
      </c>
      <c r="I166" s="737">
        <f>'Income Eligible Deemed Table'!F119</f>
        <v>0.24</v>
      </c>
      <c r="J166" s="737">
        <f t="shared" si="270"/>
        <v>0</v>
      </c>
      <c r="K166" s="831"/>
      <c r="L166" s="831"/>
      <c r="M166" s="185"/>
      <c r="N166" s="185"/>
      <c r="O166" s="738">
        <f>'Income Eligible Deemed Table'!K119</f>
        <v>1.12E-4</v>
      </c>
      <c r="P166" s="738">
        <f t="shared" si="272"/>
        <v>0</v>
      </c>
      <c r="Q166" s="832"/>
      <c r="R166" s="832"/>
      <c r="S166" s="739"/>
      <c r="T166" s="739"/>
      <c r="U166" s="740">
        <f t="shared" si="273"/>
        <v>0</v>
      </c>
      <c r="V166" s="740">
        <f t="shared" si="274"/>
        <v>0</v>
      </c>
      <c r="W166" s="740">
        <f t="shared" si="275"/>
        <v>1.12E-4</v>
      </c>
      <c r="X166" s="22">
        <f>'Income Eligible Deemed Table'!L119</f>
        <v>30</v>
      </c>
      <c r="Y166" s="22"/>
      <c r="Z166" s="22">
        <f t="shared" si="278"/>
        <v>30</v>
      </c>
      <c r="AA166" s="17">
        <f>'Income Eligible Deemed Table'!DG119</f>
        <v>0.2681947306178149</v>
      </c>
      <c r="AB166" s="241">
        <f>'Income Eligible Deemed Table'!M119</f>
        <v>1.6810397830018082</v>
      </c>
      <c r="AC166" s="845">
        <f t="shared" si="279"/>
        <v>0.45084601176</v>
      </c>
      <c r="AD166" s="845">
        <f t="shared" si="276"/>
        <v>0</v>
      </c>
      <c r="AE166" s="580">
        <f>'Income Eligible Deemed Table'!DI119</f>
        <v>0.45084601176</v>
      </c>
      <c r="AF166" s="191"/>
      <c r="AG166" s="191"/>
      <c r="AH166" s="191"/>
      <c r="AI166" s="851" t="str">
        <f t="shared" si="294"/>
        <v>Units - area of ceiling/attic (ft2)</v>
      </c>
      <c r="AJ166" s="68"/>
      <c r="AX166" s="1226" t="str">
        <f t="shared" si="295"/>
        <v>Ceiling Insulation R5-R38 SF IE DI gas heat electric cool base</v>
      </c>
      <c r="AY166" s="1249"/>
      <c r="AZ166" s="1312" t="str">
        <f t="shared" si="296"/>
        <v>401550</v>
      </c>
      <c r="BA166" s="1171" t="s">
        <v>2174</v>
      </c>
      <c r="BB166" s="1171" t="s">
        <v>2174</v>
      </c>
      <c r="BC166" s="1171" t="s">
        <v>2174</v>
      </c>
      <c r="BD166" s="1171" t="s">
        <v>2174</v>
      </c>
      <c r="BE166" s="1176"/>
      <c r="BF166" s="1171" t="s">
        <v>2174</v>
      </c>
      <c r="BG166" s="1171" t="s">
        <v>2174</v>
      </c>
      <c r="BH166" s="1171" t="s">
        <v>2174</v>
      </c>
      <c r="BI166" s="1172" t="s">
        <v>2174</v>
      </c>
      <c r="BJ166" s="1176"/>
      <c r="BK166" s="1171" t="s">
        <v>2174</v>
      </c>
      <c r="BL166" s="1172" t="s">
        <v>2174</v>
      </c>
      <c r="BM166" s="1171" t="s">
        <v>2174</v>
      </c>
      <c r="BN166" s="1172" t="s">
        <v>2174</v>
      </c>
    </row>
    <row r="167" spans="1:66" x14ac:dyDescent="0.25">
      <c r="A167" s="49" t="str">
        <f t="shared" si="277"/>
        <v>401600</v>
      </c>
      <c r="B167" s="1307" t="str">
        <f>'Income Eligible Deemed Table'!C120</f>
        <v>401600_2024_12_</v>
      </c>
      <c r="C167" s="1249" t="str">
        <f>'Income Eligible Deemed Table'!G120</f>
        <v>Building Shell RES</v>
      </c>
      <c r="D167" s="1249"/>
      <c r="E167" s="1249"/>
      <c r="F167" s="1249"/>
      <c r="G167" s="1249" t="str">
        <f>'Income Eligible Deemed Table'!E120</f>
        <v>Ceiling Insulation R5-R49 MF IE DI electric furnace base</v>
      </c>
      <c r="H167" s="18" t="str">
        <f>'Income Eligible Deemed Table'!D120</f>
        <v>IE</v>
      </c>
      <c r="I167" s="737">
        <f>'Income Eligible Deemed Table'!F120</f>
        <v>1.69</v>
      </c>
      <c r="J167" s="737">
        <f t="shared" si="270"/>
        <v>0</v>
      </c>
      <c r="K167" s="831"/>
      <c r="L167" s="831"/>
      <c r="M167" s="185"/>
      <c r="N167" s="185"/>
      <c r="O167" s="738">
        <f>'Income Eligible Deemed Table'!K120</f>
        <v>7.8799999999999996E-4</v>
      </c>
      <c r="P167" s="738">
        <f t="shared" si="272"/>
        <v>0</v>
      </c>
      <c r="Q167" s="832"/>
      <c r="R167" s="832"/>
      <c r="S167" s="739"/>
      <c r="T167" s="739"/>
      <c r="U167" s="740">
        <f t="shared" si="273"/>
        <v>0</v>
      </c>
      <c r="V167" s="740">
        <f t="shared" si="274"/>
        <v>0</v>
      </c>
      <c r="W167" s="740">
        <f t="shared" si="275"/>
        <v>7.8799999999999996E-4</v>
      </c>
      <c r="X167" s="22">
        <f>'Income Eligible Deemed Table'!L120</f>
        <v>30</v>
      </c>
      <c r="Y167" s="22"/>
      <c r="Z167" s="22">
        <f t="shared" si="278"/>
        <v>30</v>
      </c>
      <c r="AA167" s="17">
        <f>'Income Eligible Deemed Table'!DG120</f>
        <v>1.2358920341137116</v>
      </c>
      <c r="AB167" s="241">
        <f>'Income Eligible Deemed Table'!M120</f>
        <v>2.568757824454027</v>
      </c>
      <c r="AC167" s="845">
        <f t="shared" si="279"/>
        <v>3.1747073328100002</v>
      </c>
      <c r="AD167" s="845">
        <f t="shared" si="276"/>
        <v>0</v>
      </c>
      <c r="AE167" s="580">
        <f>'Income Eligible Deemed Table'!DI120</f>
        <v>3.1747073328100002</v>
      </c>
      <c r="AF167" s="191"/>
      <c r="AG167" s="191"/>
      <c r="AH167" s="191"/>
      <c r="AI167" s="851" t="str">
        <f t="shared" si="294"/>
        <v>Units - area of ceiling/attic (ft2)</v>
      </c>
      <c r="AJ167" s="68"/>
      <c r="AX167" s="1226" t="str">
        <f t="shared" si="295"/>
        <v>Ceiling Insulation R5-R49 MF IE DI electric furnace base</v>
      </c>
      <c r="AY167" s="1249"/>
      <c r="AZ167" s="1312" t="str">
        <f t="shared" si="296"/>
        <v>401600</v>
      </c>
      <c r="BA167" s="1171" t="s">
        <v>2174</v>
      </c>
      <c r="BB167" s="1171" t="s">
        <v>2174</v>
      </c>
      <c r="BC167" s="1171" t="s">
        <v>2174</v>
      </c>
      <c r="BD167" s="1171" t="s">
        <v>2174</v>
      </c>
      <c r="BE167" s="1176"/>
      <c r="BF167" s="1171" t="s">
        <v>2174</v>
      </c>
      <c r="BG167" s="1171" t="s">
        <v>2174</v>
      </c>
      <c r="BH167" s="1171" t="s">
        <v>2174</v>
      </c>
      <c r="BI167" s="1172" t="s">
        <v>2174</v>
      </c>
      <c r="BJ167" s="1176"/>
      <c r="BK167" s="1171" t="s">
        <v>2174</v>
      </c>
      <c r="BL167" s="1172" t="s">
        <v>2174</v>
      </c>
      <c r="BM167" s="1171" t="s">
        <v>2174</v>
      </c>
      <c r="BN167" s="1172" t="s">
        <v>2174</v>
      </c>
    </row>
    <row r="168" spans="1:66" x14ac:dyDescent="0.25">
      <c r="A168" s="49" t="str">
        <f t="shared" si="277"/>
        <v>401650</v>
      </c>
      <c r="B168" s="1307" t="str">
        <f>'Income Eligible Deemed Table'!C121</f>
        <v>401650_2024_12_</v>
      </c>
      <c r="C168" s="1249" t="str">
        <f>'Income Eligible Deemed Table'!G121</f>
        <v>Building Shell RES</v>
      </c>
      <c r="D168" s="1249"/>
      <c r="E168" s="1249"/>
      <c r="F168" s="1249"/>
      <c r="G168" s="1249" t="str">
        <f>'Income Eligible Deemed Table'!E121</f>
        <v>Ceiling Insulation R5-R49 MF IE DI heat pump base</v>
      </c>
      <c r="H168" s="18" t="str">
        <f>'Income Eligible Deemed Table'!D121</f>
        <v>IE</v>
      </c>
      <c r="I168" s="737">
        <f>'Income Eligible Deemed Table'!F121</f>
        <v>1.1399999999999999</v>
      </c>
      <c r="J168" s="737">
        <f t="shared" si="270"/>
        <v>0</v>
      </c>
      <c r="K168" s="831"/>
      <c r="L168" s="831"/>
      <c r="M168" s="185"/>
      <c r="N168" s="185"/>
      <c r="O168" s="738">
        <f>'Income Eligible Deemed Table'!K121</f>
        <v>5.31E-4</v>
      </c>
      <c r="P168" s="738">
        <f t="shared" si="272"/>
        <v>0</v>
      </c>
      <c r="Q168" s="832"/>
      <c r="R168" s="832"/>
      <c r="S168" s="739"/>
      <c r="T168" s="739"/>
      <c r="U168" s="740">
        <f t="shared" si="273"/>
        <v>0</v>
      </c>
      <c r="V168" s="740">
        <f t="shared" si="274"/>
        <v>0</v>
      </c>
      <c r="W168" s="740">
        <f t="shared" si="275"/>
        <v>5.31E-4</v>
      </c>
      <c r="X168" s="22">
        <f>'Income Eligible Deemed Table'!L121</f>
        <v>30</v>
      </c>
      <c r="Y168" s="22"/>
      <c r="Z168" s="22">
        <f t="shared" si="278"/>
        <v>30</v>
      </c>
      <c r="AA168" s="17">
        <f>'Income Eligible Deemed Table'!DG121</f>
        <v>0.83367865023055099</v>
      </c>
      <c r="AB168" s="241">
        <f>'Income Eligible Deemed Table'!M121</f>
        <v>2.568757824454027</v>
      </c>
      <c r="AC168" s="845">
        <f t="shared" si="279"/>
        <v>2.1415185558599998</v>
      </c>
      <c r="AD168" s="845">
        <f t="shared" si="276"/>
        <v>0</v>
      </c>
      <c r="AE168" s="580">
        <f>'Income Eligible Deemed Table'!DI121</f>
        <v>2.1415185558599998</v>
      </c>
      <c r="AF168" s="191"/>
      <c r="AG168" s="191"/>
      <c r="AH168" s="191"/>
      <c r="AI168" s="851" t="str">
        <f t="shared" si="294"/>
        <v>Units - area of ceiling/attic (ft2)</v>
      </c>
      <c r="AJ168" s="68"/>
      <c r="AX168" s="1226" t="str">
        <f t="shared" si="295"/>
        <v>Ceiling Insulation R5-R49 MF IE DI heat pump base</v>
      </c>
      <c r="AY168" s="1249"/>
      <c r="AZ168" s="1312" t="str">
        <f t="shared" si="296"/>
        <v>401650</v>
      </c>
      <c r="BA168" s="1171" t="s">
        <v>2174</v>
      </c>
      <c r="BB168" s="1171" t="s">
        <v>2174</v>
      </c>
      <c r="BC168" s="1171" t="s">
        <v>2174</v>
      </c>
      <c r="BD168" s="1171" t="s">
        <v>2174</v>
      </c>
      <c r="BE168" s="1176"/>
      <c r="BF168" s="1171" t="s">
        <v>2174</v>
      </c>
      <c r="BG168" s="1171" t="s">
        <v>2174</v>
      </c>
      <c r="BH168" s="1171" t="s">
        <v>2174</v>
      </c>
      <c r="BI168" s="1172" t="s">
        <v>2174</v>
      </c>
      <c r="BJ168" s="1176"/>
      <c r="BK168" s="1171" t="s">
        <v>2174</v>
      </c>
      <c r="BL168" s="1172" t="s">
        <v>2174</v>
      </c>
      <c r="BM168" s="1171" t="s">
        <v>2174</v>
      </c>
      <c r="BN168" s="1172" t="s">
        <v>2174</v>
      </c>
    </row>
    <row r="169" spans="1:66" x14ac:dyDescent="0.25">
      <c r="A169" s="49" t="str">
        <f t="shared" si="277"/>
        <v>401700</v>
      </c>
      <c r="B169" s="1307" t="str">
        <f>'Income Eligible Deemed Table'!C122</f>
        <v>401700_2024_12_</v>
      </c>
      <c r="C169" s="1249" t="str">
        <f>'Income Eligible Deemed Table'!G122</f>
        <v>Building Shell RES</v>
      </c>
      <c r="D169" s="1249"/>
      <c r="E169" s="1249"/>
      <c r="F169" s="1249"/>
      <c r="G169" s="1249" t="str">
        <f>'Income Eligible Deemed Table'!E122</f>
        <v>Ceiling Insulation R5-R49 MF IE DI gas heat electric cool base</v>
      </c>
      <c r="H169" s="18" t="str">
        <f>'Income Eligible Deemed Table'!D122</f>
        <v>IE</v>
      </c>
      <c r="I169" s="737">
        <f>'Income Eligible Deemed Table'!F122</f>
        <v>0.25</v>
      </c>
      <c r="J169" s="737">
        <f t="shared" si="270"/>
        <v>0</v>
      </c>
      <c r="K169" s="831"/>
      <c r="L169" s="831"/>
      <c r="M169" s="185"/>
      <c r="N169" s="185"/>
      <c r="O169" s="738">
        <f>'Income Eligible Deemed Table'!K122</f>
        <v>1.17E-4</v>
      </c>
      <c r="P169" s="738">
        <f t="shared" si="272"/>
        <v>0</v>
      </c>
      <c r="Q169" s="832"/>
      <c r="R169" s="832"/>
      <c r="S169" s="739"/>
      <c r="T169" s="739"/>
      <c r="U169" s="740">
        <f t="shared" si="273"/>
        <v>0</v>
      </c>
      <c r="V169" s="740">
        <f t="shared" si="274"/>
        <v>0</v>
      </c>
      <c r="W169" s="740">
        <f t="shared" si="275"/>
        <v>1.17E-4</v>
      </c>
      <c r="X169" s="22">
        <f>'Income Eligible Deemed Table'!L122</f>
        <v>30</v>
      </c>
      <c r="Y169" s="22"/>
      <c r="Z169" s="22">
        <f t="shared" si="278"/>
        <v>30</v>
      </c>
      <c r="AA169" s="17">
        <f>'Income Eligible Deemed Table'!DG122</f>
        <v>0.18282426540143665</v>
      </c>
      <c r="AB169" s="241">
        <f>'Income Eligible Deemed Table'!M122</f>
        <v>2.568757824454027</v>
      </c>
      <c r="AC169" s="845">
        <f t="shared" si="279"/>
        <v>0.46963126225000001</v>
      </c>
      <c r="AD169" s="845">
        <f t="shared" si="276"/>
        <v>0</v>
      </c>
      <c r="AE169" s="580">
        <f>'Income Eligible Deemed Table'!DI122</f>
        <v>0.46963126225000001</v>
      </c>
      <c r="AF169" s="191"/>
      <c r="AG169" s="191"/>
      <c r="AH169" s="191"/>
      <c r="AI169" s="851" t="str">
        <f t="shared" si="294"/>
        <v>Units - area of ceiling/attic (ft2)</v>
      </c>
      <c r="AJ169" s="68"/>
      <c r="AX169" s="1226" t="str">
        <f t="shared" si="295"/>
        <v>Ceiling Insulation R5-R49 MF IE DI gas heat electric cool base</v>
      </c>
      <c r="AY169" s="1249"/>
      <c r="AZ169" s="1312" t="str">
        <f t="shared" si="296"/>
        <v>401700</v>
      </c>
      <c r="BA169" s="1171" t="s">
        <v>2174</v>
      </c>
      <c r="BB169" s="1171" t="s">
        <v>2174</v>
      </c>
      <c r="BC169" s="1171" t="s">
        <v>2174</v>
      </c>
      <c r="BD169" s="1171" t="s">
        <v>2174</v>
      </c>
      <c r="BE169" s="1176"/>
      <c r="BF169" s="1171" t="s">
        <v>2174</v>
      </c>
      <c r="BG169" s="1171" t="s">
        <v>2174</v>
      </c>
      <c r="BH169" s="1171" t="s">
        <v>2174</v>
      </c>
      <c r="BI169" s="1172" t="s">
        <v>2174</v>
      </c>
      <c r="BJ169" s="1176"/>
      <c r="BK169" s="1171" t="s">
        <v>2174</v>
      </c>
      <c r="BL169" s="1172" t="s">
        <v>2174</v>
      </c>
      <c r="BM169" s="1171" t="s">
        <v>2174</v>
      </c>
      <c r="BN169" s="1172" t="s">
        <v>2174</v>
      </c>
    </row>
    <row r="170" spans="1:66" x14ac:dyDescent="0.25">
      <c r="A170" s="49" t="str">
        <f t="shared" si="277"/>
        <v>401750</v>
      </c>
      <c r="B170" s="1307" t="str">
        <f>'Income Eligible Deemed Table'!C123</f>
        <v>401750_2024_12_</v>
      </c>
      <c r="C170" s="1249" t="str">
        <f>'Income Eligible Deemed Table'!G123</f>
        <v>Building Shell RES</v>
      </c>
      <c r="D170" s="1249"/>
      <c r="E170" s="1249"/>
      <c r="F170" s="1249"/>
      <c r="G170" s="1249" t="str">
        <f>'Income Eligible Deemed Table'!E123</f>
        <v>Ceiling Insulation R5-R49 SF IE DI electric furnace base</v>
      </c>
      <c r="H170" s="18" t="str">
        <f>'Income Eligible Deemed Table'!D123</f>
        <v>PAYS / IE</v>
      </c>
      <c r="I170" s="737">
        <f>'Income Eligible Deemed Table'!F123</f>
        <v>1.69</v>
      </c>
      <c r="J170" s="737">
        <f t="shared" si="270"/>
        <v>0</v>
      </c>
      <c r="K170" s="831"/>
      <c r="L170" s="831"/>
      <c r="M170" s="185"/>
      <c r="N170" s="185"/>
      <c r="O170" s="738">
        <f>'Income Eligible Deemed Table'!K123</f>
        <v>7.8799999999999996E-4</v>
      </c>
      <c r="P170" s="738">
        <f t="shared" si="272"/>
        <v>0</v>
      </c>
      <c r="Q170" s="832"/>
      <c r="R170" s="832"/>
      <c r="S170" s="739"/>
      <c r="T170" s="739"/>
      <c r="U170" s="740">
        <f t="shared" si="273"/>
        <v>0</v>
      </c>
      <c r="V170" s="740">
        <f t="shared" si="274"/>
        <v>0</v>
      </c>
      <c r="W170" s="740">
        <f t="shared" si="275"/>
        <v>7.8799999999999996E-4</v>
      </c>
      <c r="X170" s="22">
        <f>'Income Eligible Deemed Table'!L123</f>
        <v>30</v>
      </c>
      <c r="Y170" s="22"/>
      <c r="Z170" s="22">
        <f t="shared" si="278"/>
        <v>30</v>
      </c>
      <c r="AA170" s="17">
        <f>'Income Eligible Deemed Table'!DG123</f>
        <v>1.2358947111226384</v>
      </c>
      <c r="AB170" s="241">
        <f>'Income Eligible Deemed Table'!M123</f>
        <v>2.5687522603978299</v>
      </c>
      <c r="AC170" s="845">
        <f t="shared" si="279"/>
        <v>3.1747073328100002</v>
      </c>
      <c r="AD170" s="845">
        <f t="shared" si="276"/>
        <v>0</v>
      </c>
      <c r="AE170" s="580">
        <f>'Income Eligible Deemed Table'!DI123</f>
        <v>3.1747073328100002</v>
      </c>
      <c r="AF170" s="191"/>
      <c r="AG170" s="191"/>
      <c r="AH170" s="191"/>
      <c r="AI170" s="851" t="str">
        <f t="shared" si="294"/>
        <v>Units - area of ceiling/attic (ft2)</v>
      </c>
      <c r="AJ170" s="68"/>
      <c r="AX170" s="1226" t="str">
        <f t="shared" si="295"/>
        <v>Ceiling Insulation R5-R49 SF IE DI electric furnace base</v>
      </c>
      <c r="AY170" s="1249"/>
      <c r="AZ170" s="1312" t="str">
        <f t="shared" si="296"/>
        <v>401750</v>
      </c>
      <c r="BA170" s="1171" t="s">
        <v>2174</v>
      </c>
      <c r="BB170" s="1171" t="s">
        <v>2174</v>
      </c>
      <c r="BC170" s="1171" t="s">
        <v>2174</v>
      </c>
      <c r="BD170" s="1171" t="s">
        <v>2174</v>
      </c>
      <c r="BE170" s="1176"/>
      <c r="BF170" s="1171" t="s">
        <v>2174</v>
      </c>
      <c r="BG170" s="1171" t="s">
        <v>2174</v>
      </c>
      <c r="BH170" s="1171" t="s">
        <v>2174</v>
      </c>
      <c r="BI170" s="1172" t="s">
        <v>2174</v>
      </c>
      <c r="BJ170" s="1176"/>
      <c r="BK170" s="1171" t="s">
        <v>2174</v>
      </c>
      <c r="BL170" s="1172" t="s">
        <v>2174</v>
      </c>
      <c r="BM170" s="1171" t="s">
        <v>2174</v>
      </c>
      <c r="BN170" s="1172" t="s">
        <v>2174</v>
      </c>
    </row>
    <row r="171" spans="1:66" x14ac:dyDescent="0.25">
      <c r="A171" s="49" t="str">
        <f t="shared" si="277"/>
        <v>401800</v>
      </c>
      <c r="B171" s="1307" t="str">
        <f>'Income Eligible Deemed Table'!C124</f>
        <v>401800_2024_12_</v>
      </c>
      <c r="C171" s="1249" t="str">
        <f>'Income Eligible Deemed Table'!G124</f>
        <v>Building Shell RES</v>
      </c>
      <c r="D171" s="1249"/>
      <c r="E171" s="1249"/>
      <c r="F171" s="1249"/>
      <c r="G171" s="1249" t="str">
        <f>'Income Eligible Deemed Table'!E124</f>
        <v>Ceiling Insulation R5-R49 SF IE DI heat pump base</v>
      </c>
      <c r="H171" s="18" t="str">
        <f>'Income Eligible Deemed Table'!D124</f>
        <v>PAYS / IE</v>
      </c>
      <c r="I171" s="737">
        <f>'Income Eligible Deemed Table'!F124</f>
        <v>1.1399999999999999</v>
      </c>
      <c r="J171" s="737">
        <f t="shared" si="270"/>
        <v>0</v>
      </c>
      <c r="K171" s="831"/>
      <c r="L171" s="831"/>
      <c r="M171" s="185"/>
      <c r="N171" s="185"/>
      <c r="O171" s="738">
        <f>'Income Eligible Deemed Table'!K124</f>
        <v>5.31E-4</v>
      </c>
      <c r="P171" s="738">
        <f t="shared" si="272"/>
        <v>0</v>
      </c>
      <c r="Q171" s="832"/>
      <c r="R171" s="832"/>
      <c r="S171" s="739"/>
      <c r="T171" s="739"/>
      <c r="U171" s="740">
        <f t="shared" si="273"/>
        <v>0</v>
      </c>
      <c r="V171" s="740">
        <f t="shared" si="274"/>
        <v>0</v>
      </c>
      <c r="W171" s="740">
        <f t="shared" si="275"/>
        <v>5.31E-4</v>
      </c>
      <c r="X171" s="22">
        <f>'Income Eligible Deemed Table'!L124</f>
        <v>30</v>
      </c>
      <c r="Y171" s="22"/>
      <c r="Z171" s="22">
        <f t="shared" si="278"/>
        <v>30</v>
      </c>
      <c r="AA171" s="17">
        <f>'Income Eligible Deemed Table'!DG124</f>
        <v>0.83368045602355478</v>
      </c>
      <c r="AB171" s="241">
        <f>'Income Eligible Deemed Table'!M124</f>
        <v>2.5687522603978299</v>
      </c>
      <c r="AC171" s="845">
        <f t="shared" si="279"/>
        <v>2.1415185558599998</v>
      </c>
      <c r="AD171" s="845">
        <f t="shared" si="276"/>
        <v>0</v>
      </c>
      <c r="AE171" s="580">
        <f>'Income Eligible Deemed Table'!DI124</f>
        <v>2.1415185558599998</v>
      </c>
      <c r="AF171" s="191"/>
      <c r="AG171" s="191"/>
      <c r="AH171" s="191"/>
      <c r="AI171" s="851" t="str">
        <f t="shared" si="294"/>
        <v>Units - area of ceiling/attic (ft2)</v>
      </c>
      <c r="AJ171" s="68"/>
      <c r="AX171" s="1226" t="str">
        <f t="shared" si="295"/>
        <v>Ceiling Insulation R5-R49 SF IE DI heat pump base</v>
      </c>
      <c r="AY171" s="1249"/>
      <c r="AZ171" s="1312" t="str">
        <f t="shared" si="296"/>
        <v>401800</v>
      </c>
      <c r="BA171" s="1171" t="s">
        <v>2174</v>
      </c>
      <c r="BB171" s="1171" t="s">
        <v>2174</v>
      </c>
      <c r="BC171" s="1171" t="s">
        <v>2174</v>
      </c>
      <c r="BD171" s="1171" t="s">
        <v>2174</v>
      </c>
      <c r="BE171" s="1176"/>
      <c r="BF171" s="1171" t="s">
        <v>2174</v>
      </c>
      <c r="BG171" s="1171" t="s">
        <v>2174</v>
      </c>
      <c r="BH171" s="1171" t="s">
        <v>2174</v>
      </c>
      <c r="BI171" s="1172" t="s">
        <v>2174</v>
      </c>
      <c r="BJ171" s="1176"/>
      <c r="BK171" s="1171" t="s">
        <v>2174</v>
      </c>
      <c r="BL171" s="1172" t="s">
        <v>2174</v>
      </c>
      <c r="BM171" s="1171" t="s">
        <v>2174</v>
      </c>
      <c r="BN171" s="1172" t="s">
        <v>2174</v>
      </c>
    </row>
    <row r="172" spans="1:66" x14ac:dyDescent="0.25">
      <c r="A172" s="49" t="str">
        <f t="shared" si="277"/>
        <v>401850</v>
      </c>
      <c r="B172" s="1307" t="str">
        <f>'Income Eligible Deemed Table'!C125</f>
        <v>401850_2024_12_</v>
      </c>
      <c r="C172" s="1249" t="str">
        <f>'Income Eligible Deemed Table'!G125</f>
        <v>Building Shell RES</v>
      </c>
      <c r="D172" s="1249"/>
      <c r="E172" s="1249"/>
      <c r="F172" s="1249"/>
      <c r="G172" s="1249" t="str">
        <f>'Income Eligible Deemed Table'!E125</f>
        <v>Ceiling Insulation R5-R49 SF IE DI gas heat electric cool base</v>
      </c>
      <c r="H172" s="18" t="str">
        <f>'Income Eligible Deemed Table'!D125</f>
        <v>PAYS / IE</v>
      </c>
      <c r="I172" s="737">
        <f>'Income Eligible Deemed Table'!F125</f>
        <v>0.25</v>
      </c>
      <c r="J172" s="737">
        <f t="shared" si="270"/>
        <v>0</v>
      </c>
      <c r="K172" s="831"/>
      <c r="L172" s="831"/>
      <c r="M172" s="185"/>
      <c r="N172" s="185"/>
      <c r="O172" s="738">
        <f>'Income Eligible Deemed Table'!K125</f>
        <v>1.17E-4</v>
      </c>
      <c r="P172" s="738">
        <f t="shared" si="272"/>
        <v>0</v>
      </c>
      <c r="Q172" s="832"/>
      <c r="R172" s="832"/>
      <c r="S172" s="739"/>
      <c r="T172" s="739"/>
      <c r="U172" s="740">
        <f t="shared" si="273"/>
        <v>0</v>
      </c>
      <c r="V172" s="740">
        <f t="shared" si="274"/>
        <v>0</v>
      </c>
      <c r="W172" s="740">
        <f t="shared" si="275"/>
        <v>1.17E-4</v>
      </c>
      <c r="X172" s="22">
        <f>'Income Eligible Deemed Table'!L125</f>
        <v>30</v>
      </c>
      <c r="Y172" s="22"/>
      <c r="Z172" s="22">
        <f t="shared" si="278"/>
        <v>30</v>
      </c>
      <c r="AA172" s="17">
        <f>'Income Eligible Deemed Table'!DG125</f>
        <v>0.18282466140867432</v>
      </c>
      <c r="AB172" s="241">
        <f>'Income Eligible Deemed Table'!M125</f>
        <v>2.5687522603978299</v>
      </c>
      <c r="AC172" s="845">
        <f t="shared" si="279"/>
        <v>0.46963126225000001</v>
      </c>
      <c r="AD172" s="845">
        <f t="shared" si="276"/>
        <v>0</v>
      </c>
      <c r="AE172" s="580">
        <f>'Income Eligible Deemed Table'!DI125</f>
        <v>0.46963126225000001</v>
      </c>
      <c r="AF172" s="191"/>
      <c r="AG172" s="191"/>
      <c r="AH172" s="191"/>
      <c r="AI172" s="851" t="str">
        <f t="shared" si="294"/>
        <v>Units - area of ceiling/attic (ft2)</v>
      </c>
      <c r="AJ172" s="68"/>
      <c r="AX172" s="1226" t="str">
        <f t="shared" si="295"/>
        <v>Ceiling Insulation R5-R49 SF IE DI gas heat electric cool base</v>
      </c>
      <c r="AY172" s="1249"/>
      <c r="AZ172" s="1312" t="str">
        <f t="shared" si="296"/>
        <v>401850</v>
      </c>
      <c r="BA172" s="1171" t="s">
        <v>2174</v>
      </c>
      <c r="BB172" s="1171" t="s">
        <v>2174</v>
      </c>
      <c r="BC172" s="1171" t="s">
        <v>2174</v>
      </c>
      <c r="BD172" s="1171" t="s">
        <v>2174</v>
      </c>
      <c r="BE172" s="1176"/>
      <c r="BF172" s="1171" t="s">
        <v>2174</v>
      </c>
      <c r="BG172" s="1171" t="s">
        <v>2174</v>
      </c>
      <c r="BH172" s="1171" t="s">
        <v>2174</v>
      </c>
      <c r="BI172" s="1172" t="s">
        <v>2174</v>
      </c>
      <c r="BJ172" s="1176"/>
      <c r="BK172" s="1171" t="s">
        <v>2174</v>
      </c>
      <c r="BL172" s="1172" t="s">
        <v>2174</v>
      </c>
      <c r="BM172" s="1171" t="s">
        <v>2174</v>
      </c>
      <c r="BN172" s="1172" t="s">
        <v>2174</v>
      </c>
    </row>
    <row r="173" spans="1:66" x14ac:dyDescent="0.25">
      <c r="A173" s="49" t="str">
        <f t="shared" si="277"/>
        <v>401900</v>
      </c>
      <c r="B173" s="1307" t="str">
        <f>'Income Eligible Deemed Table'!C126</f>
        <v>401900_2024_12_</v>
      </c>
      <c r="C173" s="1249" t="str">
        <f>'Income Eligible Deemed Table'!G126</f>
        <v>Building Shell RES</v>
      </c>
      <c r="D173" s="1249"/>
      <c r="E173" s="1249"/>
      <c r="F173" s="1249"/>
      <c r="G173" s="1249" t="str">
        <f>'Income Eligible Deemed Table'!E126</f>
        <v>Ceiling Insulation R5-R60 MF IE DI electric furnace base</v>
      </c>
      <c r="H173" s="18" t="str">
        <f>'Income Eligible Deemed Table'!D126</f>
        <v>IE</v>
      </c>
      <c r="I173" s="737">
        <f>'Income Eligible Deemed Table'!F126</f>
        <v>1.76</v>
      </c>
      <c r="J173" s="737">
        <f t="shared" si="270"/>
        <v>0</v>
      </c>
      <c r="K173" s="831"/>
      <c r="L173" s="831"/>
      <c r="M173" s="185"/>
      <c r="N173" s="185"/>
      <c r="O173" s="738">
        <f>'Income Eligible Deemed Table'!K126</f>
        <v>8.1999999999999998E-4</v>
      </c>
      <c r="P173" s="738">
        <f t="shared" si="272"/>
        <v>0</v>
      </c>
      <c r="Q173" s="832"/>
      <c r="R173" s="832"/>
      <c r="S173" s="739"/>
      <c r="T173" s="739"/>
      <c r="U173" s="740">
        <f t="shared" si="273"/>
        <v>0</v>
      </c>
      <c r="V173" s="740">
        <f t="shared" si="274"/>
        <v>0</v>
      </c>
      <c r="W173" s="740">
        <f t="shared" si="275"/>
        <v>8.1999999999999998E-4</v>
      </c>
      <c r="X173" s="22">
        <f>'Income Eligible Deemed Table'!L126</f>
        <v>30</v>
      </c>
      <c r="Y173" s="22"/>
      <c r="Z173" s="22">
        <f t="shared" si="278"/>
        <v>30</v>
      </c>
      <c r="AA173" s="17">
        <f>'Income Eligible Deemed Table'!DG126</f>
        <v>0.96551210636338514</v>
      </c>
      <c r="AB173" s="241">
        <f>'Income Eligible Deemed Table'!M126</f>
        <v>3.424301015440256</v>
      </c>
      <c r="AC173" s="845">
        <f t="shared" si="279"/>
        <v>3.3062040862400002</v>
      </c>
      <c r="AD173" s="845">
        <f t="shared" si="276"/>
        <v>0</v>
      </c>
      <c r="AE173" s="580">
        <f>'Income Eligible Deemed Table'!DI126</f>
        <v>3.3062040862400002</v>
      </c>
      <c r="AF173" s="191"/>
      <c r="AG173" s="191"/>
      <c r="AH173" s="191"/>
      <c r="AI173" s="851" t="str">
        <f t="shared" si="294"/>
        <v>Units - area of ceiling/attic (ft2)</v>
      </c>
      <c r="AJ173" s="68"/>
      <c r="AX173" s="1226" t="str">
        <f t="shared" si="295"/>
        <v>Ceiling Insulation R5-R60 MF IE DI electric furnace base</v>
      </c>
      <c r="AY173" s="1249"/>
      <c r="AZ173" s="1312" t="str">
        <f t="shared" si="296"/>
        <v>401900</v>
      </c>
      <c r="BA173" s="1171" t="s">
        <v>2174</v>
      </c>
      <c r="BB173" s="1171" t="s">
        <v>2174</v>
      </c>
      <c r="BC173" s="1171" t="s">
        <v>2174</v>
      </c>
      <c r="BD173" s="1171" t="s">
        <v>2174</v>
      </c>
      <c r="BE173" s="1176"/>
      <c r="BF173" s="1171" t="s">
        <v>2174</v>
      </c>
      <c r="BG173" s="1171" t="s">
        <v>2174</v>
      </c>
      <c r="BH173" s="1171" t="s">
        <v>2174</v>
      </c>
      <c r="BI173" s="1172" t="s">
        <v>2174</v>
      </c>
      <c r="BJ173" s="1176"/>
      <c r="BK173" s="1171" t="s">
        <v>2174</v>
      </c>
      <c r="BL173" s="1172" t="s">
        <v>2174</v>
      </c>
      <c r="BM173" s="1171" t="s">
        <v>2174</v>
      </c>
      <c r="BN173" s="1172" t="s">
        <v>2174</v>
      </c>
    </row>
    <row r="174" spans="1:66" x14ac:dyDescent="0.25">
      <c r="A174" s="49" t="str">
        <f t="shared" si="277"/>
        <v>401950</v>
      </c>
      <c r="B174" s="1307" t="str">
        <f>'Income Eligible Deemed Table'!C127</f>
        <v>401950_2024_12_</v>
      </c>
      <c r="C174" s="1249" t="str">
        <f>'Income Eligible Deemed Table'!G127</f>
        <v>Building Shell RES</v>
      </c>
      <c r="D174" s="1249"/>
      <c r="E174" s="1249"/>
      <c r="F174" s="1249"/>
      <c r="G174" s="1249" t="str">
        <f>'Income Eligible Deemed Table'!E127</f>
        <v>Ceiling Insulation R5-R60 MF IE DI heat pump base</v>
      </c>
      <c r="H174" s="18" t="str">
        <f>'Income Eligible Deemed Table'!D127</f>
        <v>IE</v>
      </c>
      <c r="I174" s="737">
        <f>'Income Eligible Deemed Table'!F127</f>
        <v>1.18</v>
      </c>
      <c r="J174" s="737">
        <f t="shared" si="270"/>
        <v>0</v>
      </c>
      <c r="K174" s="831"/>
      <c r="L174" s="831"/>
      <c r="M174" s="185"/>
      <c r="N174" s="185"/>
      <c r="O174" s="738">
        <f>'Income Eligible Deemed Table'!K127</f>
        <v>5.5000000000000003E-4</v>
      </c>
      <c r="P174" s="738">
        <f t="shared" si="272"/>
        <v>0</v>
      </c>
      <c r="Q174" s="832"/>
      <c r="R174" s="832"/>
      <c r="S174" s="739"/>
      <c r="T174" s="739"/>
      <c r="U174" s="740">
        <f t="shared" si="273"/>
        <v>0</v>
      </c>
      <c r="V174" s="740">
        <f t="shared" si="274"/>
        <v>0</v>
      </c>
      <c r="W174" s="740">
        <f t="shared" si="275"/>
        <v>5.5000000000000003E-4</v>
      </c>
      <c r="X174" s="22">
        <f>'Income Eligible Deemed Table'!L127</f>
        <v>30</v>
      </c>
      <c r="Y174" s="22"/>
      <c r="Z174" s="22">
        <f t="shared" si="278"/>
        <v>30</v>
      </c>
      <c r="AA174" s="17">
        <f>'Income Eligible Deemed Table'!DG127</f>
        <v>0.64733198040272411</v>
      </c>
      <c r="AB174" s="241">
        <f>'Income Eligible Deemed Table'!M127</f>
        <v>3.424301015440256</v>
      </c>
      <c r="AC174" s="845">
        <f t="shared" si="279"/>
        <v>2.2166595578199999</v>
      </c>
      <c r="AD174" s="845">
        <f t="shared" si="276"/>
        <v>0</v>
      </c>
      <c r="AE174" s="580">
        <f>'Income Eligible Deemed Table'!DI127</f>
        <v>2.2166595578199999</v>
      </c>
      <c r="AF174" s="191"/>
      <c r="AG174" s="191"/>
      <c r="AH174" s="191"/>
      <c r="AI174" s="851" t="str">
        <f t="shared" si="294"/>
        <v>Units - area of ceiling/attic (ft2)</v>
      </c>
      <c r="AJ174" s="68"/>
      <c r="AX174" s="1226" t="str">
        <f t="shared" si="295"/>
        <v>Ceiling Insulation R5-R60 MF IE DI heat pump base</v>
      </c>
      <c r="AY174" s="1249"/>
      <c r="AZ174" s="1312" t="str">
        <f t="shared" si="296"/>
        <v>401950</v>
      </c>
      <c r="BA174" s="1171" t="s">
        <v>2174</v>
      </c>
      <c r="BB174" s="1171" t="s">
        <v>2174</v>
      </c>
      <c r="BC174" s="1171" t="s">
        <v>2174</v>
      </c>
      <c r="BD174" s="1171" t="s">
        <v>2174</v>
      </c>
      <c r="BE174" s="1176"/>
      <c r="BF174" s="1171" t="s">
        <v>2174</v>
      </c>
      <c r="BG174" s="1171" t="s">
        <v>2174</v>
      </c>
      <c r="BH174" s="1171" t="s">
        <v>2174</v>
      </c>
      <c r="BI174" s="1172" t="s">
        <v>2174</v>
      </c>
      <c r="BJ174" s="1176"/>
      <c r="BK174" s="1171" t="s">
        <v>2174</v>
      </c>
      <c r="BL174" s="1172" t="s">
        <v>2174</v>
      </c>
      <c r="BM174" s="1171" t="s">
        <v>2174</v>
      </c>
      <c r="BN174" s="1172" t="s">
        <v>2174</v>
      </c>
    </row>
    <row r="175" spans="1:66" x14ac:dyDescent="0.25">
      <c r="A175" s="49" t="str">
        <f t="shared" si="277"/>
        <v>402000</v>
      </c>
      <c r="B175" s="1307" t="str">
        <f>'Income Eligible Deemed Table'!C128</f>
        <v>402000_2024_12_</v>
      </c>
      <c r="C175" s="1249" t="str">
        <f>'Income Eligible Deemed Table'!G128</f>
        <v>Building Shell RES</v>
      </c>
      <c r="D175" s="1249"/>
      <c r="E175" s="1249"/>
      <c r="F175" s="1249"/>
      <c r="G175" s="1249" t="str">
        <f>'Income Eligible Deemed Table'!E128</f>
        <v>Ceiling Insulation R5-R60 MF IE DI gas heat electric cool base</v>
      </c>
      <c r="H175" s="18" t="str">
        <f>'Income Eligible Deemed Table'!D128</f>
        <v>IE</v>
      </c>
      <c r="I175" s="737">
        <f>'Income Eligible Deemed Table'!F128</f>
        <v>0.26</v>
      </c>
      <c r="J175" s="737">
        <f t="shared" si="270"/>
        <v>0</v>
      </c>
      <c r="K175" s="831"/>
      <c r="L175" s="831"/>
      <c r="M175" s="185"/>
      <c r="N175" s="185"/>
      <c r="O175" s="738">
        <f>'Income Eligible Deemed Table'!K128</f>
        <v>1.21E-4</v>
      </c>
      <c r="P175" s="738">
        <f t="shared" si="272"/>
        <v>0</v>
      </c>
      <c r="Q175" s="832"/>
      <c r="R175" s="832"/>
      <c r="S175" s="739"/>
      <c r="T175" s="739"/>
      <c r="U175" s="740">
        <f t="shared" si="273"/>
        <v>0</v>
      </c>
      <c r="V175" s="740">
        <f t="shared" si="274"/>
        <v>0</v>
      </c>
      <c r="W175" s="740">
        <f t="shared" si="275"/>
        <v>1.21E-4</v>
      </c>
      <c r="X175" s="22">
        <f>'Income Eligible Deemed Table'!L128</f>
        <v>30</v>
      </c>
      <c r="Y175" s="22"/>
      <c r="Z175" s="22">
        <f t="shared" si="278"/>
        <v>30</v>
      </c>
      <c r="AA175" s="17">
        <f>'Income Eligible Deemed Table'!DG128</f>
        <v>0.14263247025822734</v>
      </c>
      <c r="AB175" s="241">
        <f>'Income Eligible Deemed Table'!M128</f>
        <v>3.424301015440256</v>
      </c>
      <c r="AC175" s="845">
        <f t="shared" si="279"/>
        <v>0.48841651274000003</v>
      </c>
      <c r="AD175" s="845">
        <f t="shared" ref="AD175:AD211" si="297">AG175+AH175</f>
        <v>0</v>
      </c>
      <c r="AE175" s="580">
        <f>'Income Eligible Deemed Table'!DI128</f>
        <v>0.48841651274000003</v>
      </c>
      <c r="AF175" s="191"/>
      <c r="AG175" s="191"/>
      <c r="AH175" s="191"/>
      <c r="AI175" s="851" t="str">
        <f t="shared" si="294"/>
        <v>Units - area of ceiling/attic (ft2)</v>
      </c>
      <c r="AJ175" s="68"/>
      <c r="AX175" s="1226" t="str">
        <f t="shared" si="295"/>
        <v>Ceiling Insulation R5-R60 MF IE DI gas heat electric cool base</v>
      </c>
      <c r="AY175" s="1249"/>
      <c r="AZ175" s="1312" t="str">
        <f t="shared" si="296"/>
        <v>402000</v>
      </c>
      <c r="BA175" s="1171" t="s">
        <v>2174</v>
      </c>
      <c r="BB175" s="1171" t="s">
        <v>2174</v>
      </c>
      <c r="BC175" s="1171" t="s">
        <v>2174</v>
      </c>
      <c r="BD175" s="1171" t="s">
        <v>2174</v>
      </c>
      <c r="BE175" s="1176"/>
      <c r="BF175" s="1171" t="s">
        <v>2174</v>
      </c>
      <c r="BG175" s="1171" t="s">
        <v>2174</v>
      </c>
      <c r="BH175" s="1171" t="s">
        <v>2174</v>
      </c>
      <c r="BI175" s="1172" t="s">
        <v>2174</v>
      </c>
      <c r="BJ175" s="1176"/>
      <c r="BK175" s="1171" t="s">
        <v>2174</v>
      </c>
      <c r="BL175" s="1172" t="s">
        <v>2174</v>
      </c>
      <c r="BM175" s="1171" t="s">
        <v>2174</v>
      </c>
      <c r="BN175" s="1172" t="s">
        <v>2174</v>
      </c>
    </row>
    <row r="176" spans="1:66" x14ac:dyDescent="0.25">
      <c r="A176" s="49" t="str">
        <f t="shared" si="277"/>
        <v>402050</v>
      </c>
      <c r="B176" s="1307" t="str">
        <f>'Income Eligible Deemed Table'!C129</f>
        <v>402050_2024_12_</v>
      </c>
      <c r="C176" s="1249" t="str">
        <f>'Income Eligible Deemed Table'!G129</f>
        <v>Building Shell RES</v>
      </c>
      <c r="D176" s="1249"/>
      <c r="E176" s="1249"/>
      <c r="F176" s="1249"/>
      <c r="G176" s="1249" t="str">
        <f>'Income Eligible Deemed Table'!E129</f>
        <v>Ceiling Insulation R5-R60 SF IE DI electric furnace base</v>
      </c>
      <c r="H176" s="18" t="str">
        <f>'Income Eligible Deemed Table'!D129</f>
        <v>PAYS / IE</v>
      </c>
      <c r="I176" s="737">
        <f>'Income Eligible Deemed Table'!F129</f>
        <v>1.76</v>
      </c>
      <c r="J176" s="737">
        <f t="shared" si="270"/>
        <v>0</v>
      </c>
      <c r="K176" s="831"/>
      <c r="L176" s="831"/>
      <c r="M176" s="185"/>
      <c r="N176" s="185"/>
      <c r="O176" s="738">
        <f>'Income Eligible Deemed Table'!K129</f>
        <v>8.1999999999999998E-4</v>
      </c>
      <c r="P176" s="738">
        <f t="shared" si="272"/>
        <v>0</v>
      </c>
      <c r="Q176" s="832"/>
      <c r="R176" s="832"/>
      <c r="S176" s="739"/>
      <c r="T176" s="739"/>
      <c r="U176" s="740">
        <f t="shared" si="273"/>
        <v>0</v>
      </c>
      <c r="V176" s="740">
        <f t="shared" si="274"/>
        <v>0</v>
      </c>
      <c r="W176" s="740">
        <f t="shared" si="275"/>
        <v>8.1999999999999998E-4</v>
      </c>
      <c r="X176" s="22">
        <f>'Income Eligible Deemed Table'!L129</f>
        <v>30</v>
      </c>
      <c r="Y176" s="22"/>
      <c r="Z176" s="22">
        <f t="shared" si="278"/>
        <v>30</v>
      </c>
      <c r="AA176" s="17">
        <f>'Income Eligible Deemed Table'!DG129</f>
        <v>0.96551132194647349</v>
      </c>
      <c r="AB176" s="241">
        <f>'Income Eligible Deemed Table'!M129</f>
        <v>3.4243037974683546</v>
      </c>
      <c r="AC176" s="845">
        <f t="shared" si="279"/>
        <v>3.3062040862400002</v>
      </c>
      <c r="AD176" s="845">
        <f t="shared" si="297"/>
        <v>0</v>
      </c>
      <c r="AE176" s="580">
        <f>'Income Eligible Deemed Table'!DI129</f>
        <v>3.3062040862400002</v>
      </c>
      <c r="AF176" s="191"/>
      <c r="AG176" s="191"/>
      <c r="AH176" s="191"/>
      <c r="AI176" s="851" t="str">
        <f t="shared" si="294"/>
        <v>Units - area of ceiling/attic (ft2)</v>
      </c>
      <c r="AJ176" s="68"/>
      <c r="AX176" s="1226" t="str">
        <f t="shared" si="295"/>
        <v>Ceiling Insulation R5-R60 SF IE DI electric furnace base</v>
      </c>
      <c r="AY176" s="1249"/>
      <c r="AZ176" s="1312" t="str">
        <f t="shared" si="296"/>
        <v>402050</v>
      </c>
      <c r="BA176" s="1171" t="s">
        <v>2174</v>
      </c>
      <c r="BB176" s="1171" t="s">
        <v>2174</v>
      </c>
      <c r="BC176" s="1171" t="s">
        <v>2174</v>
      </c>
      <c r="BD176" s="1171" t="s">
        <v>2174</v>
      </c>
      <c r="BE176" s="1176"/>
      <c r="BF176" s="1171" t="s">
        <v>2174</v>
      </c>
      <c r="BG176" s="1171" t="s">
        <v>2174</v>
      </c>
      <c r="BH176" s="1171" t="s">
        <v>2174</v>
      </c>
      <c r="BI176" s="1172" t="s">
        <v>2174</v>
      </c>
      <c r="BJ176" s="1176"/>
      <c r="BK176" s="1171" t="s">
        <v>2174</v>
      </c>
      <c r="BL176" s="1172" t="s">
        <v>2174</v>
      </c>
      <c r="BM176" s="1171" t="s">
        <v>2174</v>
      </c>
      <c r="BN176" s="1172" t="s">
        <v>2174</v>
      </c>
    </row>
    <row r="177" spans="1:66" x14ac:dyDescent="0.25">
      <c r="A177" s="49" t="str">
        <f t="shared" si="277"/>
        <v>402100</v>
      </c>
      <c r="B177" s="1307" t="str">
        <f>'Income Eligible Deemed Table'!C130</f>
        <v>402100_2024_12_</v>
      </c>
      <c r="C177" s="1249" t="str">
        <f>'Income Eligible Deemed Table'!G130</f>
        <v>Building Shell RES</v>
      </c>
      <c r="D177" s="1249"/>
      <c r="E177" s="1249"/>
      <c r="F177" s="1249"/>
      <c r="G177" s="1249" t="str">
        <f>'Income Eligible Deemed Table'!E130</f>
        <v>Ceiling Insulation R5-R60 SF IE DI heat pump base</v>
      </c>
      <c r="H177" s="18" t="str">
        <f>'Income Eligible Deemed Table'!D130</f>
        <v>PAYS / IE</v>
      </c>
      <c r="I177" s="737">
        <f>'Income Eligible Deemed Table'!F130</f>
        <v>1.18</v>
      </c>
      <c r="J177" s="737">
        <f t="shared" si="270"/>
        <v>0</v>
      </c>
      <c r="K177" s="831"/>
      <c r="L177" s="831"/>
      <c r="M177" s="185"/>
      <c r="N177" s="185"/>
      <c r="O177" s="738">
        <f>'Income Eligible Deemed Table'!K130</f>
        <v>5.5000000000000003E-4</v>
      </c>
      <c r="P177" s="738">
        <f t="shared" si="272"/>
        <v>0</v>
      </c>
      <c r="Q177" s="832"/>
      <c r="R177" s="832"/>
      <c r="S177" s="739"/>
      <c r="T177" s="739"/>
      <c r="U177" s="740">
        <f t="shared" si="273"/>
        <v>0</v>
      </c>
      <c r="V177" s="740">
        <f t="shared" si="274"/>
        <v>0</v>
      </c>
      <c r="W177" s="740">
        <f t="shared" si="275"/>
        <v>5.5000000000000003E-4</v>
      </c>
      <c r="X177" s="22">
        <f>'Income Eligible Deemed Table'!L130</f>
        <v>30</v>
      </c>
      <c r="Y177" s="22"/>
      <c r="Z177" s="22">
        <f t="shared" si="278"/>
        <v>30</v>
      </c>
      <c r="AA177" s="17">
        <f>'Income Eligible Deemed Table'!DG130</f>
        <v>0.64733145448684015</v>
      </c>
      <c r="AB177" s="241">
        <f>'Income Eligible Deemed Table'!M130</f>
        <v>3.4243037974683546</v>
      </c>
      <c r="AC177" s="845">
        <f t="shared" si="279"/>
        <v>2.2166595578199999</v>
      </c>
      <c r="AD177" s="845">
        <f t="shared" si="297"/>
        <v>0</v>
      </c>
      <c r="AE177" s="580">
        <f>'Income Eligible Deemed Table'!DI130</f>
        <v>2.2166595578199999</v>
      </c>
      <c r="AF177" s="191"/>
      <c r="AG177" s="191"/>
      <c r="AH177" s="191"/>
      <c r="AI177" s="851" t="str">
        <f t="shared" si="294"/>
        <v>Units - area of ceiling/attic (ft2)</v>
      </c>
      <c r="AJ177" s="68"/>
      <c r="AX177" s="1226" t="str">
        <f t="shared" si="295"/>
        <v>Ceiling Insulation R5-R60 SF IE DI heat pump base</v>
      </c>
      <c r="AY177" s="1249"/>
      <c r="AZ177" s="1312" t="str">
        <f t="shared" si="296"/>
        <v>402100</v>
      </c>
      <c r="BA177" s="1171" t="s">
        <v>2174</v>
      </c>
      <c r="BB177" s="1171" t="s">
        <v>2174</v>
      </c>
      <c r="BC177" s="1171" t="s">
        <v>2174</v>
      </c>
      <c r="BD177" s="1171" t="s">
        <v>2174</v>
      </c>
      <c r="BE177" s="1176"/>
      <c r="BF177" s="1171" t="s">
        <v>2174</v>
      </c>
      <c r="BG177" s="1171" t="s">
        <v>2174</v>
      </c>
      <c r="BH177" s="1171" t="s">
        <v>2174</v>
      </c>
      <c r="BI177" s="1172" t="s">
        <v>2174</v>
      </c>
      <c r="BJ177" s="1176"/>
      <c r="BK177" s="1171" t="s">
        <v>2174</v>
      </c>
      <c r="BL177" s="1172" t="s">
        <v>2174</v>
      </c>
      <c r="BM177" s="1171" t="s">
        <v>2174</v>
      </c>
      <c r="BN177" s="1172" t="s">
        <v>2174</v>
      </c>
    </row>
    <row r="178" spans="1:66" x14ac:dyDescent="0.25">
      <c r="A178" s="49" t="str">
        <f t="shared" si="277"/>
        <v>402150</v>
      </c>
      <c r="B178" s="1307" t="str">
        <f>'Income Eligible Deemed Table'!C131</f>
        <v>402150_2024_12_</v>
      </c>
      <c r="C178" s="1249" t="str">
        <f>'Income Eligible Deemed Table'!G131</f>
        <v>Building Shell RES</v>
      </c>
      <c r="D178" s="1249"/>
      <c r="E178" s="1249"/>
      <c r="F178" s="1249"/>
      <c r="G178" s="1249" t="str">
        <f>'Income Eligible Deemed Table'!E131</f>
        <v>Ceiling Insulation R5-R60 SF IE DI gas heat electric cool base</v>
      </c>
      <c r="H178" s="18" t="str">
        <f>'Income Eligible Deemed Table'!D131</f>
        <v>PAYS / IE</v>
      </c>
      <c r="I178" s="737">
        <f>'Income Eligible Deemed Table'!F131</f>
        <v>0.26</v>
      </c>
      <c r="J178" s="737">
        <f t="shared" si="270"/>
        <v>0</v>
      </c>
      <c r="K178" s="831"/>
      <c r="L178" s="831"/>
      <c r="M178" s="185"/>
      <c r="N178" s="185"/>
      <c r="O178" s="738">
        <f>'Income Eligible Deemed Table'!K131</f>
        <v>1.21E-4</v>
      </c>
      <c r="P178" s="738">
        <f t="shared" si="272"/>
        <v>0</v>
      </c>
      <c r="Q178" s="832"/>
      <c r="R178" s="832"/>
      <c r="S178" s="739"/>
      <c r="T178" s="739"/>
      <c r="U178" s="740">
        <f t="shared" si="273"/>
        <v>0</v>
      </c>
      <c r="V178" s="740">
        <f t="shared" si="274"/>
        <v>0</v>
      </c>
      <c r="W178" s="740">
        <f t="shared" si="275"/>
        <v>1.21E-4</v>
      </c>
      <c r="X178" s="22">
        <f>'Income Eligible Deemed Table'!L131</f>
        <v>30</v>
      </c>
      <c r="Y178" s="22"/>
      <c r="Z178" s="22">
        <f t="shared" si="278"/>
        <v>30</v>
      </c>
      <c r="AA178" s="17">
        <f>'Income Eligible Deemed Table'!DG131</f>
        <v>0.14263235437845631</v>
      </c>
      <c r="AB178" s="241">
        <f>'Income Eligible Deemed Table'!M131</f>
        <v>3.4243037974683546</v>
      </c>
      <c r="AC178" s="845">
        <f t="shared" si="279"/>
        <v>0.48841651274000003</v>
      </c>
      <c r="AD178" s="845">
        <f t="shared" si="297"/>
        <v>0</v>
      </c>
      <c r="AE178" s="580">
        <f>'Income Eligible Deemed Table'!DI131</f>
        <v>0.48841651274000003</v>
      </c>
      <c r="AF178" s="191"/>
      <c r="AG178" s="191"/>
      <c r="AH178" s="191"/>
      <c r="AI178" s="851" t="str">
        <f t="shared" si="294"/>
        <v>Units - area of ceiling/attic (ft2)</v>
      </c>
      <c r="AJ178" s="68"/>
      <c r="AX178" s="1226" t="str">
        <f t="shared" si="295"/>
        <v>Ceiling Insulation R5-R60 SF IE DI gas heat electric cool base</v>
      </c>
      <c r="AY178" s="1249"/>
      <c r="AZ178" s="1312" t="str">
        <f t="shared" si="296"/>
        <v>402150</v>
      </c>
      <c r="BA178" s="1171" t="s">
        <v>2174</v>
      </c>
      <c r="BB178" s="1171" t="s">
        <v>2174</v>
      </c>
      <c r="BC178" s="1171" t="s">
        <v>2174</v>
      </c>
      <c r="BD178" s="1171" t="s">
        <v>2174</v>
      </c>
      <c r="BE178" s="1176"/>
      <c r="BF178" s="1171" t="s">
        <v>2174</v>
      </c>
      <c r="BG178" s="1171" t="s">
        <v>2174</v>
      </c>
      <c r="BH178" s="1171" t="s">
        <v>2174</v>
      </c>
      <c r="BI178" s="1172" t="s">
        <v>2174</v>
      </c>
      <c r="BJ178" s="1176"/>
      <c r="BK178" s="1171" t="s">
        <v>2174</v>
      </c>
      <c r="BL178" s="1172" t="s">
        <v>2174</v>
      </c>
      <c r="BM178" s="1171" t="s">
        <v>2174</v>
      </c>
      <c r="BN178" s="1172" t="s">
        <v>2174</v>
      </c>
    </row>
    <row r="179" spans="1:66" x14ac:dyDescent="0.25">
      <c r="A179" s="49" t="str">
        <f t="shared" si="277"/>
        <v>402200</v>
      </c>
      <c r="B179" s="1307" t="str">
        <f>'Income Eligible Deemed Table'!C421</f>
        <v>402200_2024_12_</v>
      </c>
      <c r="C179" s="1249" t="str">
        <f>'Income Eligible Deemed Table'!G421</f>
        <v>Building Shell RES</v>
      </c>
      <c r="D179" s="1249"/>
      <c r="E179" s="1249"/>
      <c r="F179" s="1249"/>
      <c r="G179" s="1249" t="str">
        <f>'Income Eligible Deemed Table'!E421</f>
        <v>Floor Insulation R25 (R-3.96 base) MH electric furnace/baseboard and electric cooling</v>
      </c>
      <c r="H179" s="18" t="str">
        <f>'Income Eligible Deemed Table'!D421</f>
        <v>IE</v>
      </c>
      <c r="I179" s="737">
        <f>'Income Eligible Deemed Table'!F421</f>
        <v>2.0499999999999998</v>
      </c>
      <c r="J179" s="737">
        <f t="shared" si="270"/>
        <v>0</v>
      </c>
      <c r="K179" s="831"/>
      <c r="L179" s="831"/>
      <c r="M179" s="185"/>
      <c r="N179" s="185"/>
      <c r="O179" s="738">
        <f>'Income Eligible Deemed Table'!K421</f>
        <v>9.5500000000000001E-4</v>
      </c>
      <c r="P179" s="738"/>
      <c r="Q179" s="832"/>
      <c r="R179" s="832"/>
      <c r="S179" s="739"/>
      <c r="T179" s="739"/>
      <c r="U179" s="740">
        <f t="shared" si="273"/>
        <v>0</v>
      </c>
      <c r="V179" s="740">
        <f t="shared" si="274"/>
        <v>0</v>
      </c>
      <c r="W179" s="740">
        <f t="shared" si="275"/>
        <v>9.5500000000000001E-4</v>
      </c>
      <c r="X179" s="22">
        <f>'Income Eligible Deemed Table'!L421</f>
        <v>30</v>
      </c>
      <c r="Y179" s="22"/>
      <c r="Z179" s="22">
        <f t="shared" si="278"/>
        <v>30</v>
      </c>
      <c r="AA179" s="17">
        <f>'Income Eligible Deemed Table'!DG421</f>
        <v>5.6659779555419325</v>
      </c>
      <c r="AB179" s="241">
        <f>'Income Eligible Deemed Table'!M421</f>
        <v>0.67966666666666664</v>
      </c>
      <c r="AC179" s="845">
        <f t="shared" si="279"/>
        <v>3.8509763504499999</v>
      </c>
      <c r="AD179" s="845">
        <f t="shared" si="297"/>
        <v>0</v>
      </c>
      <c r="AE179" s="580">
        <f>'Income Eligible Deemed Table'!DI421</f>
        <v>3.8509763504499999</v>
      </c>
      <c r="AF179" s="191"/>
      <c r="AG179" s="191"/>
      <c r="AH179" s="191"/>
      <c r="AI179" s="631" t="str">
        <f>'Income Eligible Deemed Table'!N420</f>
        <v>Units - area of floor (ft2)</v>
      </c>
      <c r="AJ179" s="68"/>
      <c r="AX179" s="1226" t="str">
        <f t="shared" si="295"/>
        <v>Floor Insulation R25 (R-3.96 base) MH electric furnace/baseboard and electric cooling</v>
      </c>
      <c r="AY179" s="1249"/>
      <c r="AZ179" s="1312" t="str">
        <f t="shared" si="296"/>
        <v>402200</v>
      </c>
      <c r="BA179" s="1171" t="s">
        <v>2174</v>
      </c>
      <c r="BB179" s="1171" t="s">
        <v>2174</v>
      </c>
      <c r="BC179" s="1171" t="s">
        <v>2174</v>
      </c>
      <c r="BD179" s="1171" t="s">
        <v>2174</v>
      </c>
      <c r="BE179" s="1176"/>
      <c r="BF179" s="1171" t="s">
        <v>2174</v>
      </c>
      <c r="BG179" s="1171" t="s">
        <v>2174</v>
      </c>
      <c r="BH179" s="1171" t="s">
        <v>2174</v>
      </c>
      <c r="BI179" s="1172" t="s">
        <v>2174</v>
      </c>
      <c r="BJ179" s="1176"/>
      <c r="BK179" s="1171" t="s">
        <v>2174</v>
      </c>
      <c r="BL179" s="1172" t="s">
        <v>2174</v>
      </c>
      <c r="BM179" s="1171" t="s">
        <v>2174</v>
      </c>
      <c r="BN179" s="1172" t="s">
        <v>2174</v>
      </c>
    </row>
    <row r="180" spans="1:66" x14ac:dyDescent="0.25">
      <c r="A180" s="49" t="str">
        <f t="shared" si="277"/>
        <v>402201</v>
      </c>
      <c r="B180" s="1307" t="str">
        <f>'Income Eligible Deemed Table'!C422</f>
        <v>402201_2024_12_</v>
      </c>
      <c r="C180" s="1249" t="str">
        <f>'Income Eligible Deemed Table'!G422</f>
        <v>Building Shell RES</v>
      </c>
      <c r="D180" s="1249"/>
      <c r="E180" s="1249"/>
      <c r="F180" s="1249"/>
      <c r="G180" s="1249" t="str">
        <f>'Income Eligible Deemed Table'!E422</f>
        <v>Floor Insulation R25 (R-3.96 base) MH heat pump and electric cooling</v>
      </c>
      <c r="H180" s="18" t="str">
        <f>'Income Eligible Deemed Table'!D422</f>
        <v>IE</v>
      </c>
      <c r="I180" s="737">
        <f>'Income Eligible Deemed Table'!F422</f>
        <v>1.36</v>
      </c>
      <c r="J180" s="737">
        <f t="shared" si="270"/>
        <v>0</v>
      </c>
      <c r="K180" s="831"/>
      <c r="L180" s="831"/>
      <c r="M180" s="185"/>
      <c r="N180" s="185"/>
      <c r="O180" s="738">
        <f>'Income Eligible Deemed Table'!K422</f>
        <v>6.3400000000000001E-4</v>
      </c>
      <c r="P180" s="738"/>
      <c r="Q180" s="832"/>
      <c r="R180" s="832"/>
      <c r="S180" s="739"/>
      <c r="T180" s="739"/>
      <c r="U180" s="740">
        <f t="shared" si="273"/>
        <v>0</v>
      </c>
      <c r="V180" s="740">
        <f t="shared" si="274"/>
        <v>0</v>
      </c>
      <c r="W180" s="740">
        <f t="shared" si="275"/>
        <v>6.3400000000000001E-4</v>
      </c>
      <c r="X180" s="22">
        <f>'Income Eligible Deemed Table'!L422</f>
        <v>30</v>
      </c>
      <c r="Y180" s="22"/>
      <c r="Z180" s="22">
        <f t="shared" si="278"/>
        <v>30</v>
      </c>
      <c r="AA180" s="17">
        <f>'Income Eligible Deemed Table'!DG422</f>
        <v>3.7588926924570876</v>
      </c>
      <c r="AB180" s="241">
        <f>'Income Eligible Deemed Table'!M422</f>
        <v>0.67966666666666664</v>
      </c>
      <c r="AC180" s="845">
        <f t="shared" si="279"/>
        <v>2.5547940666400004</v>
      </c>
      <c r="AD180" s="845">
        <f t="shared" si="297"/>
        <v>0</v>
      </c>
      <c r="AE180" s="580">
        <f>'Income Eligible Deemed Table'!DI422</f>
        <v>2.5547940666400004</v>
      </c>
      <c r="AF180" s="191"/>
      <c r="AG180" s="191"/>
      <c r="AH180" s="191"/>
      <c r="AI180" s="631" t="str">
        <f>AI179</f>
        <v>Units - area of floor (ft2)</v>
      </c>
      <c r="AJ180" s="68"/>
      <c r="AX180" s="1226" t="str">
        <f t="shared" si="295"/>
        <v>Floor Insulation R25 (R-3.96 base) MH heat pump and electric cooling</v>
      </c>
      <c r="AY180" s="1249"/>
      <c r="AZ180" s="1312" t="str">
        <f t="shared" si="296"/>
        <v>402201</v>
      </c>
      <c r="BA180" s="1171" t="s">
        <v>2174</v>
      </c>
      <c r="BB180" s="1171" t="s">
        <v>2174</v>
      </c>
      <c r="BC180" s="1171" t="s">
        <v>2174</v>
      </c>
      <c r="BD180" s="1171" t="s">
        <v>2174</v>
      </c>
      <c r="BE180" s="1176"/>
      <c r="BF180" s="1171" t="s">
        <v>2174</v>
      </c>
      <c r="BG180" s="1171" t="s">
        <v>2174</v>
      </c>
      <c r="BH180" s="1171" t="s">
        <v>2174</v>
      </c>
      <c r="BI180" s="1172" t="s">
        <v>2174</v>
      </c>
      <c r="BJ180" s="1176"/>
      <c r="BK180" s="1171" t="s">
        <v>2174</v>
      </c>
      <c r="BL180" s="1172" t="s">
        <v>2174</v>
      </c>
      <c r="BM180" s="1171" t="s">
        <v>2174</v>
      </c>
      <c r="BN180" s="1172" t="s">
        <v>2174</v>
      </c>
    </row>
    <row r="181" spans="1:66" x14ac:dyDescent="0.25">
      <c r="A181" s="49" t="str">
        <f t="shared" si="277"/>
        <v>402202</v>
      </c>
      <c r="B181" s="1307" t="str">
        <f>'Income Eligible Deemed Table'!C423</f>
        <v>402202_2024_12_</v>
      </c>
      <c r="C181" s="1249" t="str">
        <f>'Income Eligible Deemed Table'!G423</f>
        <v>Building Shell RES</v>
      </c>
      <c r="D181" s="1249"/>
      <c r="E181" s="1249"/>
      <c r="F181" s="1249"/>
      <c r="G181" s="1249" t="str">
        <f>'Income Eligible Deemed Table'!E423</f>
        <v>Floor Insulation R25 (R-3.96 base) MH gas furnace/baseboard and electric cooling</v>
      </c>
      <c r="H181" s="18" t="str">
        <f>'Income Eligible Deemed Table'!D423</f>
        <v>IE</v>
      </c>
      <c r="I181" s="737">
        <f>'Income Eligible Deemed Table'!F423</f>
        <v>0.24</v>
      </c>
      <c r="J181" s="737">
        <f t="shared" ref="J181:J194" si="298">M181+N181</f>
        <v>0</v>
      </c>
      <c r="K181" s="831"/>
      <c r="L181" s="831"/>
      <c r="M181" s="185"/>
      <c r="N181" s="185"/>
      <c r="O181" s="738">
        <f>'Income Eligible Deemed Table'!K423</f>
        <v>1.12E-4</v>
      </c>
      <c r="P181" s="738"/>
      <c r="Q181" s="832"/>
      <c r="R181" s="832"/>
      <c r="S181" s="739"/>
      <c r="T181" s="739"/>
      <c r="U181" s="740">
        <f t="shared" si="273"/>
        <v>0</v>
      </c>
      <c r="V181" s="740">
        <f t="shared" si="274"/>
        <v>0</v>
      </c>
      <c r="W181" s="740">
        <f t="shared" si="275"/>
        <v>1.12E-4</v>
      </c>
      <c r="X181" s="22">
        <f>'Income Eligible Deemed Table'!L423</f>
        <v>30</v>
      </c>
      <c r="Y181" s="22"/>
      <c r="Z181" s="22">
        <f t="shared" si="278"/>
        <v>30</v>
      </c>
      <c r="AA181" s="17">
        <f>'Income Eligible Deemed Table'!DG423</f>
        <v>0.66333400455125069</v>
      </c>
      <c r="AB181" s="241">
        <f>'Income Eligible Deemed Table'!M423</f>
        <v>0.67966666666666664</v>
      </c>
      <c r="AC181" s="845">
        <f t="shared" si="279"/>
        <v>0.45084601176</v>
      </c>
      <c r="AD181" s="845">
        <f t="shared" si="297"/>
        <v>0</v>
      </c>
      <c r="AE181" s="580">
        <f>'Income Eligible Deemed Table'!DI423</f>
        <v>0.45084601176</v>
      </c>
      <c r="AF181" s="191"/>
      <c r="AG181" s="191"/>
      <c r="AH181" s="191"/>
      <c r="AI181" s="631" t="str">
        <f>AI180</f>
        <v>Units - area of floor (ft2)</v>
      </c>
      <c r="AJ181" s="68"/>
      <c r="AX181" s="1226" t="str">
        <f t="shared" si="295"/>
        <v>Floor Insulation R25 (R-3.96 base) MH gas furnace/baseboard and electric cooling</v>
      </c>
      <c r="AY181" s="1249"/>
      <c r="AZ181" s="1312" t="str">
        <f t="shared" si="296"/>
        <v>402202</v>
      </c>
      <c r="BA181" s="1171" t="s">
        <v>2174</v>
      </c>
      <c r="BB181" s="1171" t="s">
        <v>2174</v>
      </c>
      <c r="BC181" s="1171" t="s">
        <v>2174</v>
      </c>
      <c r="BD181" s="1171" t="s">
        <v>2174</v>
      </c>
      <c r="BE181" s="1176"/>
      <c r="BF181" s="1171" t="s">
        <v>2174</v>
      </c>
      <c r="BG181" s="1171" t="s">
        <v>2174</v>
      </c>
      <c r="BH181" s="1171" t="s">
        <v>2174</v>
      </c>
      <c r="BI181" s="1172" t="s">
        <v>2174</v>
      </c>
      <c r="BJ181" s="1176"/>
      <c r="BK181" s="1171" t="s">
        <v>2174</v>
      </c>
      <c r="BL181" s="1172" t="s">
        <v>2174</v>
      </c>
      <c r="BM181" s="1171" t="s">
        <v>2174</v>
      </c>
      <c r="BN181" s="1172" t="s">
        <v>2174</v>
      </c>
    </row>
    <row r="182" spans="1:66" x14ac:dyDescent="0.25">
      <c r="A182" s="49" t="str">
        <f t="shared" si="277"/>
        <v>402203</v>
      </c>
      <c r="B182" s="1307" t="str">
        <f>'Income Eligible Deemed Table'!C424</f>
        <v>402203_2024_12_</v>
      </c>
      <c r="C182" s="1249" t="str">
        <f>'Income Eligible Deemed Table'!G424</f>
        <v>Building Shell RES</v>
      </c>
      <c r="D182" s="1249"/>
      <c r="E182" s="1249"/>
      <c r="F182" s="1249"/>
      <c r="G182" s="1249" t="str">
        <f>'Income Eligible Deemed Table'!E424</f>
        <v>Floor Insulation R25 (R-13 base) MH electric furnace/baseboard and electric cooling</v>
      </c>
      <c r="H182" s="18" t="str">
        <f>'Income Eligible Deemed Table'!D424</f>
        <v>IE</v>
      </c>
      <c r="I182" s="737">
        <f>'Income Eligible Deemed Table'!F424</f>
        <v>0.2</v>
      </c>
      <c r="J182" s="737">
        <f t="shared" si="298"/>
        <v>0</v>
      </c>
      <c r="K182" s="831"/>
      <c r="L182" s="831"/>
      <c r="M182" s="185"/>
      <c r="N182" s="185"/>
      <c r="O182" s="738">
        <f>'Income Eligible Deemed Table'!K424</f>
        <v>9.2999999999999997E-5</v>
      </c>
      <c r="P182" s="738"/>
      <c r="Q182" s="832"/>
      <c r="R182" s="832"/>
      <c r="S182" s="739"/>
      <c r="T182" s="739"/>
      <c r="U182" s="740">
        <f t="shared" si="273"/>
        <v>0</v>
      </c>
      <c r="V182" s="740">
        <f t="shared" si="274"/>
        <v>0</v>
      </c>
      <c r="W182" s="740">
        <f t="shared" si="275"/>
        <v>9.2999999999999997E-5</v>
      </c>
      <c r="X182" s="22">
        <f>'Income Eligible Deemed Table'!L424</f>
        <v>30</v>
      </c>
      <c r="Y182" s="22"/>
      <c r="Z182" s="22">
        <f t="shared" si="278"/>
        <v>30</v>
      </c>
      <c r="AA182" s="17">
        <f>'Income Eligible Deemed Table'!DG424</f>
        <v>0.5527783371260423</v>
      </c>
      <c r="AB182" s="241">
        <f>'Income Eligible Deemed Table'!M424</f>
        <v>0.67966666666666664</v>
      </c>
      <c r="AC182" s="845">
        <f t="shared" si="279"/>
        <v>0.37570500980000004</v>
      </c>
      <c r="AD182" s="845">
        <f t="shared" si="297"/>
        <v>0</v>
      </c>
      <c r="AE182" s="580">
        <f>'Income Eligible Deemed Table'!DI424</f>
        <v>0.37570500980000004</v>
      </c>
      <c r="AF182" s="191"/>
      <c r="AG182" s="191"/>
      <c r="AH182" s="191"/>
      <c r="AI182" s="631" t="str">
        <f>AI181</f>
        <v>Units - area of floor (ft2)</v>
      </c>
      <c r="AJ182" s="68"/>
      <c r="AX182" s="1226" t="str">
        <f t="shared" si="295"/>
        <v>Floor Insulation R25 (R-13 base) MH electric furnace/baseboard and electric cooling</v>
      </c>
      <c r="AY182" s="1249"/>
      <c r="AZ182" s="1312" t="str">
        <f t="shared" si="296"/>
        <v>402203</v>
      </c>
      <c r="BA182" s="1171" t="s">
        <v>2174</v>
      </c>
      <c r="BB182" s="1171" t="s">
        <v>2174</v>
      </c>
      <c r="BC182" s="1171" t="s">
        <v>2174</v>
      </c>
      <c r="BD182" s="1171" t="s">
        <v>2174</v>
      </c>
      <c r="BE182" s="1176"/>
      <c r="BF182" s="1171" t="s">
        <v>2174</v>
      </c>
      <c r="BG182" s="1171" t="s">
        <v>2174</v>
      </c>
      <c r="BH182" s="1171" t="s">
        <v>2174</v>
      </c>
      <c r="BI182" s="1172" t="s">
        <v>2174</v>
      </c>
      <c r="BJ182" s="1176"/>
      <c r="BK182" s="1171" t="s">
        <v>2174</v>
      </c>
      <c r="BL182" s="1172" t="s">
        <v>2174</v>
      </c>
      <c r="BM182" s="1171" t="s">
        <v>2174</v>
      </c>
      <c r="BN182" s="1172" t="s">
        <v>2174</v>
      </c>
    </row>
    <row r="183" spans="1:66" x14ac:dyDescent="0.25">
      <c r="A183" s="49" t="str">
        <f t="shared" si="277"/>
        <v>402204</v>
      </c>
      <c r="B183" s="1307" t="str">
        <f>'Income Eligible Deemed Table'!C425</f>
        <v>402204_2024_12_</v>
      </c>
      <c r="C183" s="1249" t="str">
        <f>'Income Eligible Deemed Table'!G425</f>
        <v>Building Shell RES</v>
      </c>
      <c r="D183" s="1249"/>
      <c r="E183" s="1249"/>
      <c r="F183" s="1249"/>
      <c r="G183" s="1249" t="str">
        <f>'Income Eligible Deemed Table'!E425</f>
        <v>Floor Insulation R25 (R-13 base) MH heat pump and electric cooling</v>
      </c>
      <c r="H183" s="18" t="str">
        <f>'Income Eligible Deemed Table'!D425</f>
        <v>IE</v>
      </c>
      <c r="I183" s="737">
        <f>'Income Eligible Deemed Table'!F425</f>
        <v>0.11</v>
      </c>
      <c r="J183" s="737">
        <f t="shared" si="298"/>
        <v>0</v>
      </c>
      <c r="K183" s="831"/>
      <c r="L183" s="831"/>
      <c r="M183" s="185"/>
      <c r="N183" s="185"/>
      <c r="O183" s="738">
        <f>'Income Eligible Deemed Table'!K425</f>
        <v>5.1E-5</v>
      </c>
      <c r="P183" s="738"/>
      <c r="Q183" s="832"/>
      <c r="R183" s="832"/>
      <c r="S183" s="739"/>
      <c r="T183" s="739"/>
      <c r="U183" s="740">
        <f t="shared" ref="U183:U214" si="299">IFERROR(IF(V183+W183&gt;0,0,IF(Z183&gt;0,O183,0)),0)</f>
        <v>0</v>
      </c>
      <c r="V183" s="740">
        <f t="shared" ref="V183:V214" si="300">IF(W183&gt;0,0,IF(Z183&gt;9,O183,0))</f>
        <v>0</v>
      </c>
      <c r="W183" s="740">
        <f t="shared" ref="W183:W214" si="301">IF(Z183&gt;14,O183,0)</f>
        <v>5.1E-5</v>
      </c>
      <c r="X183" s="22">
        <f>'Income Eligible Deemed Table'!L425</f>
        <v>30</v>
      </c>
      <c r="Y183" s="22"/>
      <c r="Z183" s="22">
        <f t="shared" si="278"/>
        <v>30</v>
      </c>
      <c r="AA183" s="17">
        <f>'Income Eligible Deemed Table'!DG425</f>
        <v>0.30402808541932325</v>
      </c>
      <c r="AB183" s="241">
        <f>'Income Eligible Deemed Table'!M425</f>
        <v>0.67966666666666664</v>
      </c>
      <c r="AC183" s="845">
        <f t="shared" si="279"/>
        <v>0.20663775539000001</v>
      </c>
      <c r="AD183" s="845">
        <f t="shared" si="297"/>
        <v>0</v>
      </c>
      <c r="AE183" s="580">
        <f>'Income Eligible Deemed Table'!DI425</f>
        <v>0.20663775539000001</v>
      </c>
      <c r="AF183" s="191"/>
      <c r="AG183" s="191"/>
      <c r="AH183" s="191"/>
      <c r="AI183" s="631" t="str">
        <f>AI182</f>
        <v>Units - area of floor (ft2)</v>
      </c>
      <c r="AJ183" s="68"/>
      <c r="AX183" s="1226" t="str">
        <f t="shared" si="295"/>
        <v>Floor Insulation R25 (R-13 base) MH heat pump and electric cooling</v>
      </c>
      <c r="AY183" s="1249"/>
      <c r="AZ183" s="1312" t="str">
        <f t="shared" si="296"/>
        <v>402204</v>
      </c>
      <c r="BA183" s="1171" t="s">
        <v>2174</v>
      </c>
      <c r="BB183" s="1171" t="s">
        <v>2174</v>
      </c>
      <c r="BC183" s="1171" t="s">
        <v>2174</v>
      </c>
      <c r="BD183" s="1171" t="s">
        <v>2174</v>
      </c>
      <c r="BE183" s="1176"/>
      <c r="BF183" s="1171" t="s">
        <v>2174</v>
      </c>
      <c r="BG183" s="1171" t="s">
        <v>2174</v>
      </c>
      <c r="BH183" s="1171" t="s">
        <v>2174</v>
      </c>
      <c r="BI183" s="1172" t="s">
        <v>2174</v>
      </c>
      <c r="BJ183" s="1176"/>
      <c r="BK183" s="1171" t="s">
        <v>2174</v>
      </c>
      <c r="BL183" s="1172" t="s">
        <v>2174</v>
      </c>
      <c r="BM183" s="1171" t="s">
        <v>2174</v>
      </c>
      <c r="BN183" s="1172" t="s">
        <v>2174</v>
      </c>
    </row>
    <row r="184" spans="1:66" x14ac:dyDescent="0.25">
      <c r="A184" s="49" t="str">
        <f t="shared" si="277"/>
        <v>402205</v>
      </c>
      <c r="B184" s="1307" t="str">
        <f>'Income Eligible Deemed Table'!C426</f>
        <v>402205_2024_12_</v>
      </c>
      <c r="C184" s="1249" t="str">
        <f>'Income Eligible Deemed Table'!G426</f>
        <v>Building Shell RES</v>
      </c>
      <c r="D184" s="1249"/>
      <c r="E184" s="1249"/>
      <c r="F184" s="1249"/>
      <c r="G184" s="1249" t="str">
        <f>'Income Eligible Deemed Table'!E426</f>
        <v>Floor Insulation R25 (R-13 base) MH gas furnace/baseboard and electric cooling</v>
      </c>
      <c r="H184" s="18" t="str">
        <f>'Income Eligible Deemed Table'!D426</f>
        <v>IE</v>
      </c>
      <c r="I184" s="737">
        <f>'Income Eligible Deemed Table'!F426</f>
        <v>0.02</v>
      </c>
      <c r="J184" s="737">
        <f t="shared" si="298"/>
        <v>0</v>
      </c>
      <c r="K184" s="831"/>
      <c r="L184" s="831"/>
      <c r="M184" s="185"/>
      <c r="N184" s="185"/>
      <c r="O184" s="738">
        <f>'Income Eligible Deemed Table'!K426</f>
        <v>9.0000000000000002E-6</v>
      </c>
      <c r="P184" s="738"/>
      <c r="Q184" s="832"/>
      <c r="R184" s="832"/>
      <c r="S184" s="739"/>
      <c r="T184" s="739"/>
      <c r="U184" s="740">
        <f t="shared" si="299"/>
        <v>0</v>
      </c>
      <c r="V184" s="740">
        <f t="shared" si="300"/>
        <v>0</v>
      </c>
      <c r="W184" s="740">
        <f t="shared" si="301"/>
        <v>9.0000000000000002E-6</v>
      </c>
      <c r="X184" s="22">
        <f>'Income Eligible Deemed Table'!L426</f>
        <v>30</v>
      </c>
      <c r="Y184" s="22"/>
      <c r="Z184" s="22">
        <f t="shared" si="278"/>
        <v>30</v>
      </c>
      <c r="AA184" s="17">
        <f>'Income Eligible Deemed Table'!DG426</f>
        <v>5.5277833712604224E-2</v>
      </c>
      <c r="AB184" s="241">
        <f>'Income Eligible Deemed Table'!M426</f>
        <v>0.67966666666666664</v>
      </c>
      <c r="AC184" s="845">
        <f t="shared" si="279"/>
        <v>3.7570500980000004E-2</v>
      </c>
      <c r="AD184" s="845">
        <f t="shared" si="297"/>
        <v>0</v>
      </c>
      <c r="AE184" s="580">
        <f>'Income Eligible Deemed Table'!DI426</f>
        <v>3.7570500980000004E-2</v>
      </c>
      <c r="AF184" s="191"/>
      <c r="AG184" s="191"/>
      <c r="AH184" s="191"/>
      <c r="AI184" s="631" t="str">
        <f>AI183</f>
        <v>Units - area of floor (ft2)</v>
      </c>
      <c r="AJ184" s="68"/>
      <c r="AX184" s="1226" t="str">
        <f t="shared" si="295"/>
        <v>Floor Insulation R25 (R-13 base) MH gas furnace/baseboard and electric cooling</v>
      </c>
      <c r="AY184" s="1249"/>
      <c r="AZ184" s="1312" t="str">
        <f t="shared" si="296"/>
        <v>402205</v>
      </c>
      <c r="BA184" s="1171" t="s">
        <v>2174</v>
      </c>
      <c r="BB184" s="1171" t="s">
        <v>2174</v>
      </c>
      <c r="BC184" s="1171" t="s">
        <v>2174</v>
      </c>
      <c r="BD184" s="1171" t="s">
        <v>2174</v>
      </c>
      <c r="BE184" s="1176"/>
      <c r="BF184" s="1171" t="s">
        <v>2174</v>
      </c>
      <c r="BG184" s="1171" t="s">
        <v>2174</v>
      </c>
      <c r="BH184" s="1171" t="s">
        <v>2174</v>
      </c>
      <c r="BI184" s="1172" t="s">
        <v>2174</v>
      </c>
      <c r="BJ184" s="1176"/>
      <c r="BK184" s="1171" t="s">
        <v>2174</v>
      </c>
      <c r="BL184" s="1172" t="s">
        <v>2174</v>
      </c>
      <c r="BM184" s="1171" t="s">
        <v>2174</v>
      </c>
      <c r="BN184" s="1172" t="s">
        <v>2174</v>
      </c>
    </row>
    <row r="185" spans="1:66" x14ac:dyDescent="0.25">
      <c r="A185" s="49" t="str">
        <f t="shared" si="277"/>
        <v>402250</v>
      </c>
      <c r="B185" s="1307" t="str">
        <f>'Income Eligible Deemed Table'!C459</f>
        <v>402250_2024_12_</v>
      </c>
      <c r="C185" s="1249" t="str">
        <f>'Income Eligible Deemed Table'!G459</f>
        <v>HVAC RES</v>
      </c>
      <c r="D185" s="1249"/>
      <c r="E185" s="1249"/>
      <c r="F185" s="1249"/>
      <c r="G185" s="1249" t="str">
        <f>'Income Eligible Deemed Table'!E459</f>
        <v>Dirty Filter Alarm_MFIE</v>
      </c>
      <c r="H185" s="18" t="str">
        <f>'Income Eligible Deemed Table'!D459</f>
        <v>IE</v>
      </c>
      <c r="I185" s="737">
        <f>'Income Eligible Deemed Table'!F459</f>
        <v>68.45</v>
      </c>
      <c r="J185" s="737">
        <f t="shared" si="298"/>
        <v>0</v>
      </c>
      <c r="K185" s="831"/>
      <c r="L185" s="831"/>
      <c r="M185" s="185"/>
      <c r="N185" s="185"/>
      <c r="O185" s="738">
        <f>'Income Eligible Deemed Table'!K459</f>
        <v>3.1903000000000001E-2</v>
      </c>
      <c r="P185" s="738"/>
      <c r="Q185" s="832"/>
      <c r="R185" s="832"/>
      <c r="S185" s="739"/>
      <c r="T185" s="739"/>
      <c r="U185" s="740">
        <f t="shared" si="299"/>
        <v>3.1903000000000001E-2</v>
      </c>
      <c r="V185" s="740">
        <f t="shared" si="300"/>
        <v>0</v>
      </c>
      <c r="W185" s="740">
        <f t="shared" si="301"/>
        <v>0</v>
      </c>
      <c r="X185" s="22">
        <f>'Income Eligible Deemed Table'!L459</f>
        <v>5</v>
      </c>
      <c r="Y185" s="22"/>
      <c r="Z185" s="22">
        <f t="shared" si="278"/>
        <v>5</v>
      </c>
      <c r="AA185" s="17">
        <f>'Income Eligible Deemed Table'!DG459</f>
        <v>7.2802575529565017</v>
      </c>
      <c r="AB185" s="241">
        <f>'Income Eligible Deemed Table'!M459</f>
        <v>5</v>
      </c>
      <c r="AC185" s="845">
        <f t="shared" si="279"/>
        <v>36.401287764782509</v>
      </c>
      <c r="AD185" s="845">
        <f t="shared" si="297"/>
        <v>0</v>
      </c>
      <c r="AE185" s="580">
        <f>'Income Eligible Deemed Table'!DI459</f>
        <v>36.401287764782509</v>
      </c>
      <c r="AF185" s="191"/>
      <c r="AG185" s="191"/>
      <c r="AH185" s="191"/>
      <c r="AI185" s="1307" t="str">
        <f>'Income Eligible Deemed Table'!N459</f>
        <v>per measure</v>
      </c>
      <c r="AJ185" s="68"/>
      <c r="AX185" s="1226" t="str">
        <f t="shared" si="295"/>
        <v>Dirty Filter Alarm_MFIE</v>
      </c>
      <c r="AY185" s="1249"/>
      <c r="AZ185" s="1312" t="str">
        <f t="shared" si="296"/>
        <v>402250</v>
      </c>
      <c r="BA185" s="1171" t="s">
        <v>2174</v>
      </c>
      <c r="BB185" s="1171" t="s">
        <v>2174</v>
      </c>
      <c r="BC185" s="1171" t="s">
        <v>2174</v>
      </c>
      <c r="BD185" s="1171" t="s">
        <v>2174</v>
      </c>
      <c r="BE185" s="1176"/>
      <c r="BF185" s="1171" t="s">
        <v>2174</v>
      </c>
      <c r="BG185" s="1171" t="s">
        <v>2174</v>
      </c>
      <c r="BH185" s="1171" t="s">
        <v>2174</v>
      </c>
      <c r="BI185" s="1172" t="s">
        <v>2174</v>
      </c>
      <c r="BJ185" s="1176"/>
      <c r="BK185" s="1171" t="s">
        <v>2174</v>
      </c>
      <c r="BL185" s="1172" t="s">
        <v>2174</v>
      </c>
      <c r="BM185" s="1171" t="s">
        <v>2174</v>
      </c>
      <c r="BN185" s="1172" t="s">
        <v>2174</v>
      </c>
    </row>
    <row r="186" spans="1:66" x14ac:dyDescent="0.25">
      <c r="A186" s="49" t="str">
        <f t="shared" si="277"/>
        <v>402300</v>
      </c>
      <c r="B186" s="1307" t="str">
        <f>'Income Eligible Deemed Table'!C487</f>
        <v>402300_2024_12_</v>
      </c>
      <c r="C186" s="1249" t="str">
        <f>'Income Eligible Deemed Table'!G487</f>
        <v>HVAC RES</v>
      </c>
      <c r="D186" s="1249"/>
      <c r="E186" s="1249"/>
      <c r="F186" s="1249"/>
      <c r="G186" s="1249" t="str">
        <f>'Income Eligible Deemed Table'!E487</f>
        <v>Duct Insulation - Electric Heating</v>
      </c>
      <c r="H186" s="18" t="str">
        <f>'Income Eligible Deemed Table'!D487</f>
        <v>PAYS / IE</v>
      </c>
      <c r="I186" s="737">
        <f>'Income Eligible Deemed Table'!F487</f>
        <v>22.8</v>
      </c>
      <c r="J186" s="737">
        <f t="shared" si="298"/>
        <v>0</v>
      </c>
      <c r="K186" s="831"/>
      <c r="L186" s="831"/>
      <c r="M186" s="185"/>
      <c r="N186" s="185"/>
      <c r="O186" s="738">
        <f>'Income Eligible Deemed Table'!L487</f>
        <v>1.0626999999999999E-2</v>
      </c>
      <c r="P186" s="738"/>
      <c r="Q186" s="832"/>
      <c r="R186" s="832"/>
      <c r="S186" s="739"/>
      <c r="T186" s="739"/>
      <c r="U186" s="740">
        <f t="shared" si="299"/>
        <v>0</v>
      </c>
      <c r="V186" s="740">
        <f t="shared" si="300"/>
        <v>0</v>
      </c>
      <c r="W186" s="740">
        <f t="shared" si="301"/>
        <v>1.0626999999999999E-2</v>
      </c>
      <c r="X186" s="22">
        <f>'Income Eligible Deemed Table'!M487</f>
        <v>20</v>
      </c>
      <c r="Y186" s="22"/>
      <c r="Z186" s="22">
        <f t="shared" si="278"/>
        <v>20</v>
      </c>
      <c r="AA186" s="17">
        <f>'Income Eligible Deemed Table'!DG487</f>
        <v>8.2251191963232539</v>
      </c>
      <c r="AB186" s="241">
        <f>'Income Eligible Deemed Table'!N487</f>
        <v>4.2205065958870298</v>
      </c>
      <c r="AC186" s="845">
        <f t="shared" si="279"/>
        <v>34.714169820039317</v>
      </c>
      <c r="AD186" s="845">
        <f t="shared" si="297"/>
        <v>0</v>
      </c>
      <c r="AE186" s="580">
        <f>'Income Eligible Deemed Table'!DI487</f>
        <v>34.714169820039317</v>
      </c>
      <c r="AF186" s="191"/>
      <c r="AG186" s="191"/>
      <c r="AH186" s="191"/>
      <c r="AI186" s="1307" t="str">
        <f>'Income Eligible Deemed Table'!O486</f>
        <v>Units - DuctLength (ft.)</v>
      </c>
      <c r="AJ186" s="68"/>
      <c r="AX186" s="1226" t="str">
        <f t="shared" si="295"/>
        <v>Duct Insulation - Electric Heating</v>
      </c>
      <c r="AY186" s="1249"/>
      <c r="AZ186" s="1312" t="str">
        <f t="shared" si="296"/>
        <v>402300</v>
      </c>
      <c r="BA186" s="1171" t="s">
        <v>2174</v>
      </c>
      <c r="BB186" s="1171" t="s">
        <v>2174</v>
      </c>
      <c r="BC186" s="1171" t="s">
        <v>2174</v>
      </c>
      <c r="BD186" s="1171" t="s">
        <v>2174</v>
      </c>
      <c r="BE186" s="1176"/>
      <c r="BF186" s="1171" t="s">
        <v>2174</v>
      </c>
      <c r="BG186" s="1171" t="s">
        <v>2174</v>
      </c>
      <c r="BH186" s="1171" t="s">
        <v>2174</v>
      </c>
      <c r="BI186" s="1172" t="s">
        <v>2174</v>
      </c>
      <c r="BJ186" s="1176"/>
      <c r="BK186" s="1171" t="s">
        <v>2174</v>
      </c>
      <c r="BL186" s="1172" t="s">
        <v>2174</v>
      </c>
      <c r="BM186" s="1171" t="s">
        <v>2174</v>
      </c>
      <c r="BN186" s="1172" t="s">
        <v>2174</v>
      </c>
    </row>
    <row r="187" spans="1:66" x14ac:dyDescent="0.25">
      <c r="A187" s="49" t="str">
        <f t="shared" si="277"/>
        <v>402350</v>
      </c>
      <c r="B187" s="1307" t="str">
        <f>'Income Eligible Deemed Table'!C488</f>
        <v>402350_2024_12_</v>
      </c>
      <c r="C187" s="1249" t="str">
        <f>'Income Eligible Deemed Table'!G488</f>
        <v>HVAC RES</v>
      </c>
      <c r="D187" s="1249"/>
      <c r="E187" s="1249"/>
      <c r="F187" s="1249"/>
      <c r="G187" s="1249" t="str">
        <f>'Income Eligible Deemed Table'!E488</f>
        <v>Mobile Home Adjusted Duct Insulation - Electric Heating </v>
      </c>
      <c r="H187" s="18" t="str">
        <f>'Income Eligible Deemed Table'!D488</f>
        <v>PAYS / IE</v>
      </c>
      <c r="I187" s="737">
        <f>'Income Eligible Deemed Table'!F488</f>
        <v>22.8</v>
      </c>
      <c r="J187" s="737">
        <f t="shared" si="298"/>
        <v>0</v>
      </c>
      <c r="K187" s="831"/>
      <c r="L187" s="831"/>
      <c r="M187" s="185"/>
      <c r="N187" s="185"/>
      <c r="O187" s="738">
        <f>'Income Eligible Deemed Table'!L488</f>
        <v>1.0626999999999999E-2</v>
      </c>
      <c r="P187" s="738"/>
      <c r="Q187" s="832"/>
      <c r="R187" s="832"/>
      <c r="S187" s="739"/>
      <c r="T187" s="739"/>
      <c r="U187" s="740">
        <f t="shared" si="299"/>
        <v>0</v>
      </c>
      <c r="V187" s="740">
        <f t="shared" si="300"/>
        <v>0</v>
      </c>
      <c r="W187" s="740">
        <f t="shared" si="301"/>
        <v>1.0626999999999999E-2</v>
      </c>
      <c r="X187" s="22">
        <f>'Income Eligible Deemed Table'!M488</f>
        <v>20</v>
      </c>
      <c r="Y187" s="22"/>
      <c r="Z187" s="22">
        <f t="shared" si="278"/>
        <v>20</v>
      </c>
      <c r="AA187" s="17">
        <f>'Income Eligible Deemed Table'!DG488</f>
        <v>8.2251191963232539</v>
      </c>
      <c r="AB187" s="241">
        <f>'Income Eligible Deemed Table'!N488</f>
        <v>4.2205065958870298</v>
      </c>
      <c r="AC187" s="845">
        <f t="shared" si="279"/>
        <v>34.714169820039317</v>
      </c>
      <c r="AD187" s="845">
        <f t="shared" si="297"/>
        <v>0</v>
      </c>
      <c r="AE187" s="580">
        <f>'Income Eligible Deemed Table'!DI488</f>
        <v>34.714169820039317</v>
      </c>
      <c r="AF187" s="191"/>
      <c r="AG187" s="191"/>
      <c r="AH187" s="191"/>
      <c r="AI187" s="850" t="str">
        <f>AI186</f>
        <v>Units - DuctLength (ft.)</v>
      </c>
      <c r="AJ187" s="68"/>
      <c r="AX187" s="1226" t="str">
        <f t="shared" si="295"/>
        <v>Mobile Home Adjusted Duct Insulation - Electric Heating </v>
      </c>
      <c r="AY187" s="1249"/>
      <c r="AZ187" s="1312" t="str">
        <f t="shared" si="296"/>
        <v>402350</v>
      </c>
      <c r="BA187" s="1171" t="s">
        <v>2174</v>
      </c>
      <c r="BB187" s="1171" t="s">
        <v>2174</v>
      </c>
      <c r="BC187" s="1171" t="s">
        <v>2174</v>
      </c>
      <c r="BD187" s="1171" t="s">
        <v>2174</v>
      </c>
      <c r="BE187" s="1176"/>
      <c r="BF187" s="1171" t="s">
        <v>2174</v>
      </c>
      <c r="BG187" s="1171" t="s">
        <v>2174</v>
      </c>
      <c r="BH187" s="1171" t="s">
        <v>2174</v>
      </c>
      <c r="BI187" s="1172" t="s">
        <v>2174</v>
      </c>
      <c r="BJ187" s="1176"/>
      <c r="BK187" s="1171" t="s">
        <v>2174</v>
      </c>
      <c r="BL187" s="1172" t="s">
        <v>2174</v>
      </c>
      <c r="BM187" s="1171" t="s">
        <v>2174</v>
      </c>
      <c r="BN187" s="1172" t="s">
        <v>2174</v>
      </c>
    </row>
    <row r="188" spans="1:66" x14ac:dyDescent="0.25">
      <c r="A188" s="49" t="str">
        <f t="shared" si="277"/>
        <v>402400</v>
      </c>
      <c r="B188" s="1307" t="str">
        <f>'Income Eligible Deemed Table'!C489</f>
        <v>402400_2024_12_</v>
      </c>
      <c r="C188" s="1249" t="str">
        <f>'Income Eligible Deemed Table'!G489</f>
        <v>HVAC RES</v>
      </c>
      <c r="D188" s="1249"/>
      <c r="E188" s="1249"/>
      <c r="F188" s="1249"/>
      <c r="G188" s="1249" t="str">
        <f>'Income Eligible Deemed Table'!E489</f>
        <v>Duct Insulation - Gas Heating</v>
      </c>
      <c r="H188" s="18" t="str">
        <f>'Income Eligible Deemed Table'!D489</f>
        <v>PAYS / IE</v>
      </c>
      <c r="I188" s="737">
        <f>'Income Eligible Deemed Table'!F489</f>
        <v>2.4900000000000002</v>
      </c>
      <c r="J188" s="737">
        <f t="shared" si="298"/>
        <v>0</v>
      </c>
      <c r="K188" s="831"/>
      <c r="L188" s="831"/>
      <c r="M188" s="185"/>
      <c r="N188" s="185"/>
      <c r="O188" s="738">
        <f>'Income Eligible Deemed Table'!L489</f>
        <v>1.1609999999999999E-3</v>
      </c>
      <c r="P188" s="738"/>
      <c r="Q188" s="832"/>
      <c r="R188" s="832"/>
      <c r="S188" s="739"/>
      <c r="T188" s="739"/>
      <c r="U188" s="740">
        <f t="shared" si="299"/>
        <v>0</v>
      </c>
      <c r="V188" s="740">
        <f t="shared" si="300"/>
        <v>0</v>
      </c>
      <c r="W188" s="740">
        <f t="shared" si="301"/>
        <v>1.1609999999999999E-3</v>
      </c>
      <c r="X188" s="22">
        <f>'Income Eligible Deemed Table'!M489</f>
        <v>20</v>
      </c>
      <c r="Y188" s="22"/>
      <c r="Z188" s="22">
        <f t="shared" si="278"/>
        <v>20</v>
      </c>
      <c r="AA188" s="17">
        <f>'Income Eligible Deemed Table'!DG489</f>
        <v>0.89826959644056592</v>
      </c>
      <c r="AB188" s="241">
        <f>'Income Eligible Deemed Table'!N489</f>
        <v>4.2205065958870298</v>
      </c>
      <c r="AC188" s="845">
        <f t="shared" si="279"/>
        <v>3.7911527566621888</v>
      </c>
      <c r="AD188" s="845">
        <f t="shared" si="297"/>
        <v>0</v>
      </c>
      <c r="AE188" s="580">
        <f>'Income Eligible Deemed Table'!DI489</f>
        <v>3.7911527566621888</v>
      </c>
      <c r="AF188" s="191"/>
      <c r="AG188" s="191"/>
      <c r="AH188" s="191"/>
      <c r="AI188" s="850" t="str">
        <f>AI187</f>
        <v>Units - DuctLength (ft.)</v>
      </c>
      <c r="AJ188" s="68"/>
      <c r="AX188" s="1226" t="str">
        <f t="shared" si="295"/>
        <v>Duct Insulation - Gas Heating</v>
      </c>
      <c r="AY188" s="1249"/>
      <c r="AZ188" s="1312" t="str">
        <f t="shared" si="296"/>
        <v>402400</v>
      </c>
      <c r="BA188" s="1171" t="s">
        <v>2174</v>
      </c>
      <c r="BB188" s="1171" t="s">
        <v>2174</v>
      </c>
      <c r="BC188" s="1171" t="s">
        <v>2174</v>
      </c>
      <c r="BD188" s="1171" t="s">
        <v>2174</v>
      </c>
      <c r="BE188" s="1176"/>
      <c r="BF188" s="1171" t="s">
        <v>2174</v>
      </c>
      <c r="BG188" s="1171" t="s">
        <v>2174</v>
      </c>
      <c r="BH188" s="1171" t="s">
        <v>2174</v>
      </c>
      <c r="BI188" s="1172" t="s">
        <v>2174</v>
      </c>
      <c r="BJ188" s="1176"/>
      <c r="BK188" s="1171" t="s">
        <v>2174</v>
      </c>
      <c r="BL188" s="1172" t="s">
        <v>2174</v>
      </c>
      <c r="BM188" s="1171" t="s">
        <v>2174</v>
      </c>
      <c r="BN188" s="1172" t="s">
        <v>2174</v>
      </c>
    </row>
    <row r="189" spans="1:66" s="39" customFormat="1" x14ac:dyDescent="0.25">
      <c r="A189" s="49" t="str">
        <f t="shared" si="277"/>
        <v>402450</v>
      </c>
      <c r="B189" s="1307" t="str">
        <f>'Income Eligible Deemed Table'!C522</f>
        <v>402450_2024_12_</v>
      </c>
      <c r="C189" s="1249" t="str">
        <f>'Income Eligible Deemed Table'!G522</f>
        <v>HVAC RES</v>
      </c>
      <c r="D189" s="1249"/>
      <c r="E189" s="1249"/>
      <c r="F189" s="1249"/>
      <c r="G189" s="1249" t="str">
        <f>'Income Eligible Deemed Table'!E522</f>
        <v>Duct Repair (Sealing) - Electric Heating SF</v>
      </c>
      <c r="H189" s="18" t="str">
        <f>'Income Eligible Deemed Table'!D522</f>
        <v>IE</v>
      </c>
      <c r="I189" s="737">
        <f>'Income Eligible Deemed Table'!F522</f>
        <v>4.92</v>
      </c>
      <c r="J189" s="737">
        <f t="shared" si="298"/>
        <v>0</v>
      </c>
      <c r="K189" s="831"/>
      <c r="L189" s="831"/>
      <c r="M189" s="185"/>
      <c r="N189" s="185"/>
      <c r="O189" s="738">
        <f>'Income Eligible Deemed Table'!K522</f>
        <v>2.2929999999999999E-3</v>
      </c>
      <c r="P189" s="738"/>
      <c r="Q189" s="832"/>
      <c r="R189" s="832"/>
      <c r="S189" s="739"/>
      <c r="T189" s="739"/>
      <c r="U189" s="740">
        <f t="shared" si="299"/>
        <v>0</v>
      </c>
      <c r="V189" s="740">
        <f t="shared" si="300"/>
        <v>0</v>
      </c>
      <c r="W189" s="740">
        <f t="shared" si="301"/>
        <v>2.2929999999999999E-3</v>
      </c>
      <c r="X189" s="22">
        <f>'Income Eligible Deemed Table'!L522</f>
        <v>20</v>
      </c>
      <c r="Y189" s="22"/>
      <c r="Z189" s="22">
        <f t="shared" si="278"/>
        <v>20</v>
      </c>
      <c r="AA189" s="17">
        <f>'Income Eligible Deemed Table'!DG522</f>
        <v>0.93198113324130205</v>
      </c>
      <c r="AB189" s="241">
        <f>'Income Eligible Deemed Table'!M522</f>
        <v>8.0376653213977498</v>
      </c>
      <c r="AC189" s="845">
        <f t="shared" si="279"/>
        <v>7.4909524348505894</v>
      </c>
      <c r="AD189" s="845">
        <f t="shared" si="297"/>
        <v>0</v>
      </c>
      <c r="AE189" s="580">
        <f>'Income Eligible Deemed Table'!DI522</f>
        <v>7.4909524348505894</v>
      </c>
      <c r="AF189" s="191"/>
      <c r="AG189" s="191"/>
      <c r="AH189" s="191"/>
      <c r="AI189" s="1307" t="str">
        <f>'Income Eligible Deemed Table'!N521</f>
        <v>Units - DuctLength (ft.)</v>
      </c>
      <c r="AJ189" s="68"/>
      <c r="AK189"/>
      <c r="AL189"/>
      <c r="AM189"/>
      <c r="AN189"/>
      <c r="AO189"/>
      <c r="AP189"/>
      <c r="AQ189"/>
      <c r="AR189"/>
      <c r="AS189"/>
      <c r="AT189"/>
      <c r="AU189"/>
      <c r="AV189"/>
      <c r="AW189"/>
      <c r="AX189" s="1226" t="str">
        <f t="shared" si="295"/>
        <v>Duct Repair (Sealing) - Electric Heating SF</v>
      </c>
      <c r="AY189" s="1249"/>
      <c r="AZ189" s="1312" t="str">
        <f t="shared" si="296"/>
        <v>402450</v>
      </c>
      <c r="BA189" s="1171" t="s">
        <v>2174</v>
      </c>
      <c r="BB189" s="1171" t="s">
        <v>2174</v>
      </c>
      <c r="BC189" s="1171" t="s">
        <v>2174</v>
      </c>
      <c r="BD189" s="1171" t="s">
        <v>2174</v>
      </c>
      <c r="BE189" s="1177"/>
      <c r="BF189" s="1171" t="s">
        <v>2174</v>
      </c>
      <c r="BG189" s="1171" t="s">
        <v>2174</v>
      </c>
      <c r="BH189" s="1171" t="s">
        <v>2174</v>
      </c>
      <c r="BI189" s="1172" t="s">
        <v>2174</v>
      </c>
      <c r="BJ189" s="1176"/>
      <c r="BK189" s="1171" t="s">
        <v>2174</v>
      </c>
      <c r="BL189" s="1172" t="s">
        <v>2174</v>
      </c>
      <c r="BM189" s="1171" t="s">
        <v>2174</v>
      </c>
      <c r="BN189" s="1172" t="s">
        <v>2174</v>
      </c>
    </row>
    <row r="190" spans="1:66" s="39" customFormat="1" x14ac:dyDescent="0.25">
      <c r="A190" s="49" t="str">
        <f t="shared" si="277"/>
        <v>402451</v>
      </c>
      <c r="B190" s="1307" t="str">
        <f>'Income Eligible Deemed Table'!C523</f>
        <v>402451_2024_12_</v>
      </c>
      <c r="C190" s="1249" t="str">
        <f>'Income Eligible Deemed Table'!G523</f>
        <v>HVAC RES</v>
      </c>
      <c r="D190" s="1249"/>
      <c r="E190" s="1249"/>
      <c r="F190" s="1249"/>
      <c r="G190" s="1249" t="str">
        <f>'Income Eligible Deemed Table'!E523</f>
        <v>Duct Repair (Sealing) - Gas Heating SF</v>
      </c>
      <c r="H190" s="18" t="str">
        <f>'Income Eligible Deemed Table'!D523</f>
        <v>IE</v>
      </c>
      <c r="I190" s="737">
        <f>'Income Eligible Deemed Table'!F523</f>
        <v>1</v>
      </c>
      <c r="J190" s="737">
        <f t="shared" si="298"/>
        <v>0</v>
      </c>
      <c r="K190" s="831"/>
      <c r="L190" s="831"/>
      <c r="M190" s="185"/>
      <c r="N190" s="185"/>
      <c r="O190" s="738">
        <f>'Income Eligible Deemed Table'!K523</f>
        <v>4.66E-4</v>
      </c>
      <c r="P190" s="738"/>
      <c r="Q190" s="832"/>
      <c r="R190" s="832"/>
      <c r="S190" s="739"/>
      <c r="T190" s="739"/>
      <c r="U190" s="740">
        <f t="shared" si="299"/>
        <v>0</v>
      </c>
      <c r="V190" s="740">
        <f t="shared" si="300"/>
        <v>0</v>
      </c>
      <c r="W190" s="740">
        <f t="shared" si="301"/>
        <v>4.66E-4</v>
      </c>
      <c r="X190" s="22">
        <f>'Income Eligible Deemed Table'!L523</f>
        <v>20</v>
      </c>
      <c r="Y190" s="22"/>
      <c r="Z190" s="22">
        <f t="shared" si="278"/>
        <v>20</v>
      </c>
      <c r="AA190" s="17">
        <f>'Income Eligible Deemed Table'!DG523</f>
        <v>0.18942705960189066</v>
      </c>
      <c r="AB190" s="241">
        <f>'Income Eligible Deemed Table'!M523</f>
        <v>8.0376653213977498</v>
      </c>
      <c r="AC190" s="845">
        <f t="shared" si="279"/>
        <v>1.5225513078964612</v>
      </c>
      <c r="AD190" s="845">
        <f t="shared" si="297"/>
        <v>0</v>
      </c>
      <c r="AE190" s="580">
        <f>'Income Eligible Deemed Table'!DI523</f>
        <v>1.5225513078964612</v>
      </c>
      <c r="AF190" s="191"/>
      <c r="AG190" s="191"/>
      <c r="AH190" s="191"/>
      <c r="AI190" s="631" t="str">
        <f>AI189</f>
        <v>Units - DuctLength (ft.)</v>
      </c>
      <c r="AJ190" s="68"/>
      <c r="AK190"/>
      <c r="AL190"/>
      <c r="AM190"/>
      <c r="AN190"/>
      <c r="AO190"/>
      <c r="AP190"/>
      <c r="AQ190"/>
      <c r="AR190"/>
      <c r="AS190"/>
      <c r="AT190"/>
      <c r="AU190"/>
      <c r="AV190"/>
      <c r="AW190"/>
      <c r="AX190" s="1226" t="str">
        <f t="shared" si="295"/>
        <v>Duct Repair (Sealing) - Gas Heating SF</v>
      </c>
      <c r="AY190" s="1249"/>
      <c r="AZ190" s="1312" t="str">
        <f t="shared" si="296"/>
        <v>402451</v>
      </c>
      <c r="BA190" s="1171" t="s">
        <v>2174</v>
      </c>
      <c r="BB190" s="1171" t="s">
        <v>2174</v>
      </c>
      <c r="BC190" s="1171" t="s">
        <v>2174</v>
      </c>
      <c r="BD190" s="1171" t="s">
        <v>2174</v>
      </c>
      <c r="BE190" s="1177"/>
      <c r="BF190" s="1171" t="s">
        <v>2174</v>
      </c>
      <c r="BG190" s="1171" t="s">
        <v>2174</v>
      </c>
      <c r="BH190" s="1171" t="s">
        <v>2174</v>
      </c>
      <c r="BI190" s="1172" t="s">
        <v>2174</v>
      </c>
      <c r="BJ190" s="1176"/>
      <c r="BK190" s="1171" t="s">
        <v>2174</v>
      </c>
      <c r="BL190" s="1172" t="s">
        <v>2174</v>
      </c>
      <c r="BM190" s="1171" t="s">
        <v>2174</v>
      </c>
      <c r="BN190" s="1172" t="s">
        <v>2174</v>
      </c>
    </row>
    <row r="191" spans="1:66" x14ac:dyDescent="0.25">
      <c r="A191" s="49" t="str">
        <f t="shared" si="277"/>
        <v>402452</v>
      </c>
      <c r="B191" s="1307" t="str">
        <f>'Income Eligible Deemed Table'!C524</f>
        <v>402452_2024_12_</v>
      </c>
      <c r="C191" s="1249" t="str">
        <f>'Income Eligible Deemed Table'!G524</f>
        <v>HVAC RES</v>
      </c>
      <c r="D191" s="1249"/>
      <c r="E191" s="1249"/>
      <c r="F191" s="1249"/>
      <c r="G191" s="1249" t="str">
        <f>'Income Eligible Deemed Table'!E524</f>
        <v>Duct Repair (Sealing) - Electric Heating MF Adjusted</v>
      </c>
      <c r="H191" s="18" t="str">
        <f>'Income Eligible Deemed Table'!D524</f>
        <v>IE</v>
      </c>
      <c r="I191" s="737">
        <f>'Income Eligible Deemed Table'!F524</f>
        <v>4.1100000000000003</v>
      </c>
      <c r="J191" s="737">
        <f t="shared" si="298"/>
        <v>0</v>
      </c>
      <c r="K191" s="831"/>
      <c r="L191" s="831"/>
      <c r="M191" s="185"/>
      <c r="N191" s="185"/>
      <c r="O191" s="738">
        <f>'Income Eligible Deemed Table'!K524</f>
        <v>1.916E-3</v>
      </c>
      <c r="P191" s="738"/>
      <c r="Q191" s="832"/>
      <c r="R191" s="832"/>
      <c r="S191" s="739"/>
      <c r="T191" s="739"/>
      <c r="U191" s="740">
        <f t="shared" si="299"/>
        <v>0</v>
      </c>
      <c r="V191" s="740">
        <f t="shared" si="300"/>
        <v>0</v>
      </c>
      <c r="W191" s="740">
        <f t="shared" si="301"/>
        <v>1.916E-3</v>
      </c>
      <c r="X191" s="22">
        <f>'Income Eligible Deemed Table'!L524</f>
        <v>20</v>
      </c>
      <c r="Y191" s="22"/>
      <c r="Z191" s="22">
        <f t="shared" si="278"/>
        <v>20</v>
      </c>
      <c r="AA191" s="17">
        <f>'Income Eligible Deemed Table'!DG524</f>
        <v>0.77854521496377072</v>
      </c>
      <c r="AB191" s="241">
        <f>'Income Eligible Deemed Table'!M524</f>
        <v>8.0376653213977498</v>
      </c>
      <c r="AC191" s="845">
        <f t="shared" si="279"/>
        <v>6.257685875454456</v>
      </c>
      <c r="AD191" s="845">
        <f t="shared" si="297"/>
        <v>0</v>
      </c>
      <c r="AE191" s="580">
        <f>'Income Eligible Deemed Table'!DI524</f>
        <v>6.257685875454456</v>
      </c>
      <c r="AF191" s="191"/>
      <c r="AG191" s="191"/>
      <c r="AH191" s="191"/>
      <c r="AI191" s="631" t="str">
        <f>AI190</f>
        <v>Units - DuctLength (ft.)</v>
      </c>
      <c r="AJ191" s="644"/>
      <c r="AK191" s="39"/>
      <c r="AL191" s="39"/>
      <c r="AX191" s="1226" t="str">
        <f t="shared" si="295"/>
        <v>Duct Repair (Sealing) - Electric Heating MF Adjusted</v>
      </c>
      <c r="AY191" s="1249"/>
      <c r="AZ191" s="1312" t="str">
        <f t="shared" si="296"/>
        <v>402452</v>
      </c>
      <c r="BA191" s="1171" t="s">
        <v>2174</v>
      </c>
      <c r="BB191" s="1171" t="s">
        <v>2174</v>
      </c>
      <c r="BC191" s="1171" t="s">
        <v>2174</v>
      </c>
      <c r="BD191" s="1171" t="s">
        <v>2174</v>
      </c>
      <c r="BE191" s="1176"/>
      <c r="BF191" s="1171" t="s">
        <v>2174</v>
      </c>
      <c r="BG191" s="1171" t="s">
        <v>2174</v>
      </c>
      <c r="BH191" s="1171" t="s">
        <v>2174</v>
      </c>
      <c r="BI191" s="1172" t="s">
        <v>2174</v>
      </c>
      <c r="BJ191" s="1176"/>
      <c r="BK191" s="1171" t="s">
        <v>2174</v>
      </c>
      <c r="BL191" s="1172" t="s">
        <v>2174</v>
      </c>
      <c r="BM191" s="1171" t="s">
        <v>2174</v>
      </c>
      <c r="BN191" s="1172" t="s">
        <v>2174</v>
      </c>
    </row>
    <row r="192" spans="1:66" x14ac:dyDescent="0.25">
      <c r="A192" s="49" t="str">
        <f t="shared" si="277"/>
        <v>402453</v>
      </c>
      <c r="B192" s="1307" t="str">
        <f>'Income Eligible Deemed Table'!C525</f>
        <v>402453_2024_12_</v>
      </c>
      <c r="C192" s="1249" t="str">
        <f>'Income Eligible Deemed Table'!G525</f>
        <v>HVAC RES</v>
      </c>
      <c r="D192" s="1249"/>
      <c r="E192" s="1249"/>
      <c r="F192" s="1249"/>
      <c r="G192" s="1249" t="str">
        <f>'Income Eligible Deemed Table'!E525</f>
        <v>Duct Repair (Sealing) - Gas Heating  MF Adjusted</v>
      </c>
      <c r="H192" s="18" t="str">
        <f>'Income Eligible Deemed Table'!D525</f>
        <v>IE</v>
      </c>
      <c r="I192" s="737">
        <f>'Income Eligible Deemed Table'!F525</f>
        <v>0.87</v>
      </c>
      <c r="J192" s="737">
        <f t="shared" si="298"/>
        <v>0</v>
      </c>
      <c r="K192" s="831"/>
      <c r="L192" s="831"/>
      <c r="M192" s="185"/>
      <c r="N192" s="185"/>
      <c r="O192" s="738">
        <f>'Income Eligible Deemed Table'!K525</f>
        <v>4.0499999999999998E-4</v>
      </c>
      <c r="P192" s="738"/>
      <c r="Q192" s="832"/>
      <c r="R192" s="832"/>
      <c r="S192" s="739"/>
      <c r="T192" s="739"/>
      <c r="U192" s="740">
        <f t="shared" si="299"/>
        <v>0</v>
      </c>
      <c r="V192" s="740">
        <f t="shared" si="300"/>
        <v>0</v>
      </c>
      <c r="W192" s="740">
        <f t="shared" si="301"/>
        <v>4.0499999999999998E-4</v>
      </c>
      <c r="X192" s="22">
        <f>'Income Eligible Deemed Table'!L525</f>
        <v>20</v>
      </c>
      <c r="Y192" s="22"/>
      <c r="Z192" s="22">
        <f t="shared" si="278"/>
        <v>20</v>
      </c>
      <c r="AA192" s="17">
        <f>'Income Eligible Deemed Table'!DG525</f>
        <v>0.16480154185364487</v>
      </c>
      <c r="AB192" s="241">
        <f>'Income Eligible Deemed Table'!M525</f>
        <v>8.0376653213977498</v>
      </c>
      <c r="AC192" s="845">
        <f t="shared" si="279"/>
        <v>1.3246196378699213</v>
      </c>
      <c r="AD192" s="845">
        <f t="shared" si="297"/>
        <v>0</v>
      </c>
      <c r="AE192" s="580">
        <f>'Income Eligible Deemed Table'!DI525</f>
        <v>1.3246196378699213</v>
      </c>
      <c r="AF192" s="191"/>
      <c r="AG192" s="191"/>
      <c r="AH192" s="191"/>
      <c r="AI192" s="631" t="str">
        <f>AI191</f>
        <v>Units - DuctLength (ft.)</v>
      </c>
      <c r="AJ192" s="644"/>
      <c r="AK192" s="39"/>
      <c r="AL192" s="39"/>
      <c r="AX192" s="1226" t="str">
        <f t="shared" si="295"/>
        <v>Duct Repair (Sealing) - Gas Heating  MF Adjusted</v>
      </c>
      <c r="AY192" s="1249"/>
      <c r="AZ192" s="1312" t="str">
        <f t="shared" si="296"/>
        <v>402453</v>
      </c>
      <c r="BA192" s="1171" t="s">
        <v>2174</v>
      </c>
      <c r="BB192" s="1171" t="s">
        <v>2174</v>
      </c>
      <c r="BC192" s="1171" t="s">
        <v>2174</v>
      </c>
      <c r="BD192" s="1171" t="s">
        <v>2174</v>
      </c>
      <c r="BE192" s="1176"/>
      <c r="BF192" s="1171" t="s">
        <v>2174</v>
      </c>
      <c r="BG192" s="1171" t="s">
        <v>2174</v>
      </c>
      <c r="BH192" s="1171" t="s">
        <v>2174</v>
      </c>
      <c r="BI192" s="1172" t="s">
        <v>2174</v>
      </c>
      <c r="BJ192" s="1176"/>
      <c r="BK192" s="1171" t="s">
        <v>2174</v>
      </c>
      <c r="BL192" s="1172" t="s">
        <v>2174</v>
      </c>
      <c r="BM192" s="1171" t="s">
        <v>2174</v>
      </c>
      <c r="BN192" s="1172" t="s">
        <v>2174</v>
      </c>
    </row>
    <row r="193" spans="1:66" x14ac:dyDescent="0.25">
      <c r="A193" s="49" t="str">
        <f t="shared" si="277"/>
        <v>402500</v>
      </c>
      <c r="B193" s="1307" t="str">
        <f>'Income Eligible Deemed Table'!C526</f>
        <v>402500_2024_12_</v>
      </c>
      <c r="C193" s="1249" t="str">
        <f>'Income Eligible Deemed Table'!G526</f>
        <v>HVAC RES</v>
      </c>
      <c r="D193" s="1249"/>
      <c r="E193" s="1249"/>
      <c r="F193" s="1249"/>
      <c r="G193" s="1249" t="str">
        <f>'Income Eligible Deemed Table'!E526</f>
        <v>Duct Repair (Sealing) - Electric Heating MH Adjusted</v>
      </c>
      <c r="H193" s="18" t="str">
        <f>'Income Eligible Deemed Table'!D526</f>
        <v>IE</v>
      </c>
      <c r="I193" s="737">
        <f>'Income Eligible Deemed Table'!F526</f>
        <v>6.01</v>
      </c>
      <c r="J193" s="737">
        <f t="shared" si="298"/>
        <v>0</v>
      </c>
      <c r="K193" s="831"/>
      <c r="L193" s="831"/>
      <c r="M193" s="185"/>
      <c r="N193" s="185"/>
      <c r="O193" s="738">
        <f>'Income Eligible Deemed Table'!K526</f>
        <v>2.8010000000000001E-3</v>
      </c>
      <c r="P193" s="738"/>
      <c r="Q193" s="832"/>
      <c r="R193" s="832"/>
      <c r="S193" s="739"/>
      <c r="T193" s="739"/>
      <c r="U193" s="740">
        <f t="shared" si="299"/>
        <v>0</v>
      </c>
      <c r="V193" s="740">
        <f t="shared" si="300"/>
        <v>0</v>
      </c>
      <c r="W193" s="740">
        <f t="shared" si="301"/>
        <v>2.8010000000000001E-3</v>
      </c>
      <c r="X193" s="22">
        <f>'Income Eligible Deemed Table'!L526</f>
        <v>20</v>
      </c>
      <c r="Y193" s="22"/>
      <c r="Z193" s="22">
        <f t="shared" si="278"/>
        <v>20</v>
      </c>
      <c r="AA193" s="17">
        <f>'Income Eligible Deemed Table'!DG526</f>
        <v>1.1384566282073629</v>
      </c>
      <c r="AB193" s="241">
        <f>'Income Eligible Deemed Table'!M526</f>
        <v>8.0376653213977498</v>
      </c>
      <c r="AC193" s="845">
        <f t="shared" si="279"/>
        <v>9.1505333604577324</v>
      </c>
      <c r="AD193" s="845">
        <f t="shared" si="297"/>
        <v>0</v>
      </c>
      <c r="AE193" s="580">
        <f>'Income Eligible Deemed Table'!DI526</f>
        <v>9.1505333604577324</v>
      </c>
      <c r="AF193" s="191"/>
      <c r="AG193" s="191"/>
      <c r="AH193" s="191"/>
      <c r="AI193" s="631" t="str">
        <f>AI190</f>
        <v>Units - DuctLength (ft.)</v>
      </c>
      <c r="AJ193" s="68"/>
      <c r="AX193" s="1226" t="str">
        <f t="shared" si="295"/>
        <v>Duct Repair (Sealing) - Electric Heating MH Adjusted</v>
      </c>
      <c r="AY193" s="1249"/>
      <c r="AZ193" s="1312" t="str">
        <f t="shared" si="296"/>
        <v>402500</v>
      </c>
      <c r="BA193" s="1171" t="s">
        <v>2174</v>
      </c>
      <c r="BB193" s="1171" t="s">
        <v>2174</v>
      </c>
      <c r="BC193" s="1171" t="s">
        <v>2174</v>
      </c>
      <c r="BD193" s="1171" t="s">
        <v>2174</v>
      </c>
      <c r="BE193" s="1176"/>
      <c r="BF193" s="1171" t="s">
        <v>2174</v>
      </c>
      <c r="BG193" s="1171" t="s">
        <v>2174</v>
      </c>
      <c r="BH193" s="1171" t="s">
        <v>2174</v>
      </c>
      <c r="BI193" s="1172" t="s">
        <v>2174</v>
      </c>
      <c r="BJ193" s="1176"/>
      <c r="BK193" s="1171" t="s">
        <v>2174</v>
      </c>
      <c r="BL193" s="1172" t="s">
        <v>2174</v>
      </c>
      <c r="BM193" s="1171" t="s">
        <v>2174</v>
      </c>
      <c r="BN193" s="1172" t="s">
        <v>2174</v>
      </c>
    </row>
    <row r="194" spans="1:66" x14ac:dyDescent="0.25">
      <c r="A194" s="49" t="str">
        <f t="shared" si="277"/>
        <v>402501</v>
      </c>
      <c r="B194" s="1307" t="str">
        <f>'Income Eligible Deemed Table'!C527</f>
        <v>402501_2024_12_</v>
      </c>
      <c r="C194" s="1249" t="str">
        <f>'Income Eligible Deemed Table'!G527</f>
        <v>HVAC RES</v>
      </c>
      <c r="D194" s="1249"/>
      <c r="E194" s="1249"/>
      <c r="F194" s="1249"/>
      <c r="G194" s="1249" t="str">
        <f>'Income Eligible Deemed Table'!E527</f>
        <v>Duct Repair (Sealing) - Gas Heating  MH Adjusted</v>
      </c>
      <c r="H194" s="18" t="str">
        <f>'Income Eligible Deemed Table'!D527</f>
        <v>IE</v>
      </c>
      <c r="I194" s="737">
        <f>'Income Eligible Deemed Table'!F527</f>
        <v>1.19</v>
      </c>
      <c r="J194" s="737">
        <f t="shared" si="298"/>
        <v>0</v>
      </c>
      <c r="K194" s="831"/>
      <c r="L194" s="831"/>
      <c r="M194" s="185"/>
      <c r="N194" s="185"/>
      <c r="O194" s="738">
        <f>'Income Eligible Deemed Table'!K527</f>
        <v>5.5500000000000005E-4</v>
      </c>
      <c r="P194" s="738"/>
      <c r="Q194" s="832"/>
      <c r="R194" s="832"/>
      <c r="S194" s="739"/>
      <c r="T194" s="739"/>
      <c r="U194" s="740">
        <f t="shared" si="299"/>
        <v>0</v>
      </c>
      <c r="V194" s="740">
        <f t="shared" si="300"/>
        <v>0</v>
      </c>
      <c r="W194" s="740">
        <f t="shared" si="301"/>
        <v>5.5500000000000005E-4</v>
      </c>
      <c r="X194" s="22">
        <f>'Income Eligible Deemed Table'!L527</f>
        <v>20</v>
      </c>
      <c r="Y194" s="22"/>
      <c r="Z194" s="22">
        <f t="shared" si="278"/>
        <v>20</v>
      </c>
      <c r="AA194" s="17">
        <f>'Income Eligible Deemed Table'!DG527</f>
        <v>0.22541820092624987</v>
      </c>
      <c r="AB194" s="241">
        <f>'Income Eligible Deemed Table'!M527</f>
        <v>8.0376653213977498</v>
      </c>
      <c r="AC194" s="845">
        <f t="shared" si="279"/>
        <v>1.8118360563967888</v>
      </c>
      <c r="AD194" s="845">
        <f t="shared" si="297"/>
        <v>0</v>
      </c>
      <c r="AE194" s="580">
        <f>'Income Eligible Deemed Table'!DI527</f>
        <v>1.8118360563967888</v>
      </c>
      <c r="AF194" s="191"/>
      <c r="AG194" s="191"/>
      <c r="AH194" s="191"/>
      <c r="AI194" s="631" t="str">
        <f>AI193</f>
        <v>Units - DuctLength (ft.)</v>
      </c>
      <c r="AJ194" s="68"/>
      <c r="AX194" s="1226" t="str">
        <f t="shared" si="295"/>
        <v>Duct Repair (Sealing) - Gas Heating  MH Adjusted</v>
      </c>
      <c r="AY194" s="1249"/>
      <c r="AZ194" s="1312" t="str">
        <f t="shared" si="296"/>
        <v>402501</v>
      </c>
      <c r="BA194" s="1171" t="s">
        <v>2174</v>
      </c>
      <c r="BB194" s="1171" t="s">
        <v>2174</v>
      </c>
      <c r="BC194" s="1171" t="s">
        <v>2174</v>
      </c>
      <c r="BD194" s="1171" t="s">
        <v>2174</v>
      </c>
      <c r="BE194" s="1176"/>
      <c r="BF194" s="1171" t="s">
        <v>2174</v>
      </c>
      <c r="BG194" s="1171" t="s">
        <v>2174</v>
      </c>
      <c r="BH194" s="1171" t="s">
        <v>2174</v>
      </c>
      <c r="BI194" s="1172" t="s">
        <v>2174</v>
      </c>
      <c r="BJ194" s="1176"/>
      <c r="BK194" s="1171" t="s">
        <v>2174</v>
      </c>
      <c r="BL194" s="1172" t="s">
        <v>2174</v>
      </c>
      <c r="BM194" s="1171" t="s">
        <v>2174</v>
      </c>
      <c r="BN194" s="1172" t="s">
        <v>2174</v>
      </c>
    </row>
    <row r="195" spans="1:66" x14ac:dyDescent="0.25">
      <c r="A195" s="49" t="str">
        <f t="shared" si="277"/>
        <v>402600</v>
      </c>
      <c r="B195" s="1307" t="str">
        <f>'Income Eligible Deemed Table'!C557</f>
        <v>402600_2024_12_</v>
      </c>
      <c r="C195" s="1249" t="str">
        <f>'Income Eligible Deemed Table'!G557</f>
        <v>HVAC RES</v>
      </c>
      <c r="D195" s="1249" t="str">
        <f>'Income Eligible Deemed Table'!G558</f>
        <v>HVAC RES ER2</v>
      </c>
      <c r="E195" s="1249"/>
      <c r="F195" s="1249"/>
      <c r="G195" s="1249" t="str">
        <f>'Income Eligible Deemed Table'!E557</f>
        <v>ECM Auto Fan Early Replacement ER1 (Full Cost) - SF</v>
      </c>
      <c r="H195" s="18" t="str">
        <f>'Income Eligible Deemed Table'!D557</f>
        <v>IE</v>
      </c>
      <c r="I195" s="737">
        <f>'Income Eligible Deemed Table'!F557</f>
        <v>579.09</v>
      </c>
      <c r="J195" s="737">
        <f>'Income Eligible Deemed Table'!F558</f>
        <v>0</v>
      </c>
      <c r="K195" s="831"/>
      <c r="L195" s="831"/>
      <c r="M195" s="185"/>
      <c r="N195" s="185"/>
      <c r="O195" s="738">
        <f>'Income Eligible Deemed Table'!M557</f>
        <v>0.269903</v>
      </c>
      <c r="P195" s="738">
        <f>'Income Eligible Deemed Table'!M558</f>
        <v>0</v>
      </c>
      <c r="Q195" s="832"/>
      <c r="R195" s="832"/>
      <c r="S195" s="739"/>
      <c r="T195" s="739"/>
      <c r="U195" s="740">
        <f t="shared" si="299"/>
        <v>0.269903</v>
      </c>
      <c r="V195" s="740">
        <f t="shared" si="300"/>
        <v>0</v>
      </c>
      <c r="W195" s="740">
        <f t="shared" si="301"/>
        <v>0</v>
      </c>
      <c r="X195" s="22">
        <f>'Income Eligible Deemed Table'!N557</f>
        <v>6</v>
      </c>
      <c r="Y195" s="22">
        <f>'Income Eligible Deemed Table'!N558</f>
        <v>0</v>
      </c>
      <c r="Z195" s="22">
        <f t="shared" si="278"/>
        <v>6</v>
      </c>
      <c r="AA195" s="17">
        <f>'Income Eligible Deemed Table'!DG557</f>
        <v>1.3748154098071015</v>
      </c>
      <c r="AB195" s="241">
        <f>'Income Eligible Deemed Table'!O557</f>
        <v>262.5</v>
      </c>
      <c r="AC195" s="845">
        <f t="shared" si="279"/>
        <v>360.88904507436416</v>
      </c>
      <c r="AD195" s="845">
        <f t="shared" si="297"/>
        <v>0</v>
      </c>
      <c r="AE195" s="580">
        <f>'Income Eligible Deemed Table'!DI557</f>
        <v>360.88904507436416</v>
      </c>
      <c r="AF195" s="191"/>
      <c r="AG195" s="848">
        <f>'Income Eligible Deemed Table'!DI558</f>
        <v>0</v>
      </c>
      <c r="AH195" s="191"/>
      <c r="AI195" s="852" t="str">
        <f>'Income Eligible Deemed Table'!P557</f>
        <v>per measure</v>
      </c>
      <c r="AJ195" s="68"/>
      <c r="AX195" s="1226" t="str">
        <f t="shared" si="295"/>
        <v>ECM Auto Fan Early Replacement ER1 (Full Cost) - SF</v>
      </c>
      <c r="AY195" s="1249"/>
      <c r="AZ195" s="1312" t="str">
        <f t="shared" si="296"/>
        <v>402600</v>
      </c>
      <c r="BA195" s="1171" t="s">
        <v>2174</v>
      </c>
      <c r="BB195" s="1171" t="s">
        <v>2174</v>
      </c>
      <c r="BC195" s="1171" t="s">
        <v>2174</v>
      </c>
      <c r="BD195" s="1171" t="s">
        <v>2174</v>
      </c>
      <c r="BE195" s="1176"/>
      <c r="BF195" s="1171" t="s">
        <v>2174</v>
      </c>
      <c r="BG195" s="1171" t="s">
        <v>2174</v>
      </c>
      <c r="BH195" s="1171" t="s">
        <v>2174</v>
      </c>
      <c r="BI195" s="1172" t="s">
        <v>2174</v>
      </c>
      <c r="BJ195" s="1176"/>
      <c r="BK195" s="1171" t="s">
        <v>2174</v>
      </c>
      <c r="BL195" s="1172" t="s">
        <v>2174</v>
      </c>
      <c r="BM195" s="1171" t="s">
        <v>2174</v>
      </c>
      <c r="BN195" s="1172" t="s">
        <v>2174</v>
      </c>
    </row>
    <row r="196" spans="1:66" x14ac:dyDescent="0.25">
      <c r="A196" s="49" t="str">
        <f t="shared" ref="A196:A224" si="302">LEFT(B196,6)</f>
        <v>402800</v>
      </c>
      <c r="B196" s="1307" t="str">
        <f>'Income Eligible Deemed Table'!C559</f>
        <v>402800_2024_12_</v>
      </c>
      <c r="C196" s="1249" t="str">
        <f>'Income Eligible Deemed Table'!G559</f>
        <v>HVAC RES</v>
      </c>
      <c r="D196" s="1249" t="str">
        <f>'Income Eligible Deemed Table'!G560</f>
        <v>HVAC RES ER2</v>
      </c>
      <c r="E196" s="1249"/>
      <c r="F196" s="1249"/>
      <c r="G196" s="1249" t="str">
        <f>'Income Eligible Deemed Table'!E559</f>
        <v>ECM Auto Fan Early Replacement ER1 (Full Cost) - MF</v>
      </c>
      <c r="H196" s="18" t="str">
        <f>'Income Eligible Deemed Table'!D559</f>
        <v>IE</v>
      </c>
      <c r="I196" s="737">
        <f>'Income Eligible Deemed Table'!F559</f>
        <v>579.09</v>
      </c>
      <c r="J196" s="737">
        <f>'Income Eligible Deemed Table'!F560</f>
        <v>0</v>
      </c>
      <c r="K196" s="831"/>
      <c r="L196" s="831"/>
      <c r="M196" s="185"/>
      <c r="N196" s="185"/>
      <c r="O196" s="738">
        <f>'Income Eligible Deemed Table'!M559</f>
        <v>0.269903</v>
      </c>
      <c r="P196" s="738">
        <f>'Income Eligible Deemed Table'!M560</f>
        <v>0</v>
      </c>
      <c r="Q196" s="832"/>
      <c r="R196" s="832"/>
      <c r="S196" s="739"/>
      <c r="T196" s="739"/>
      <c r="U196" s="740">
        <f t="shared" si="299"/>
        <v>0.269903</v>
      </c>
      <c r="V196" s="740">
        <f t="shared" si="300"/>
        <v>0</v>
      </c>
      <c r="W196" s="740">
        <f t="shared" si="301"/>
        <v>0</v>
      </c>
      <c r="X196" s="22">
        <f>'Income Eligible Deemed Table'!N559</f>
        <v>6</v>
      </c>
      <c r="Y196" s="22">
        <f>'Income Eligible Deemed Table'!N560</f>
        <v>0</v>
      </c>
      <c r="Z196" s="22">
        <f t="shared" ref="Z196:Z224" si="303">Y196+X196</f>
        <v>6</v>
      </c>
      <c r="AA196" s="17">
        <f>'Income Eligible Deemed Table'!DG559</f>
        <v>1.3748154098071015</v>
      </c>
      <c r="AB196" s="241">
        <f>'Income Eligible Deemed Table'!O559</f>
        <v>262.5</v>
      </c>
      <c r="AC196" s="845">
        <f t="shared" ref="AC196:AC224" si="304">AE196+AF196</f>
        <v>360.88904507436416</v>
      </c>
      <c r="AD196" s="845">
        <f t="shared" si="297"/>
        <v>0</v>
      </c>
      <c r="AE196" s="580">
        <f>'Income Eligible Deemed Table'!DI559</f>
        <v>360.88904507436416</v>
      </c>
      <c r="AF196" s="191"/>
      <c r="AG196" s="848">
        <f>'Income Eligible Deemed Table'!DI560</f>
        <v>0</v>
      </c>
      <c r="AH196" s="191"/>
      <c r="AI196" s="852" t="str">
        <f>'Income Eligible Deemed Table'!P559</f>
        <v>per measure</v>
      </c>
      <c r="AJ196" s="68"/>
      <c r="AX196" s="1226" t="str">
        <f t="shared" si="295"/>
        <v>ECM Auto Fan Early Replacement ER1 (Full Cost) - MF</v>
      </c>
      <c r="AY196" s="1249"/>
      <c r="AZ196" s="1312" t="str">
        <f t="shared" si="296"/>
        <v>402800</v>
      </c>
      <c r="BA196" s="1171" t="s">
        <v>2174</v>
      </c>
      <c r="BB196" s="1171" t="s">
        <v>2174</v>
      </c>
      <c r="BC196" s="1171" t="s">
        <v>2174</v>
      </c>
      <c r="BD196" s="1171" t="s">
        <v>2174</v>
      </c>
      <c r="BE196" s="1176"/>
      <c r="BF196" s="1171" t="s">
        <v>2174</v>
      </c>
      <c r="BG196" s="1171" t="s">
        <v>2174</v>
      </c>
      <c r="BH196" s="1171" t="s">
        <v>2174</v>
      </c>
      <c r="BI196" s="1172" t="s">
        <v>2174</v>
      </c>
      <c r="BJ196" s="1176"/>
      <c r="BK196" s="1171" t="s">
        <v>2174</v>
      </c>
      <c r="BL196" s="1172" t="s">
        <v>2174</v>
      </c>
      <c r="BM196" s="1171" t="s">
        <v>2174</v>
      </c>
      <c r="BN196" s="1172" t="s">
        <v>2174</v>
      </c>
    </row>
    <row r="197" spans="1:66" x14ac:dyDescent="0.25">
      <c r="A197" s="49" t="str">
        <f t="shared" si="302"/>
        <v>403311</v>
      </c>
      <c r="B197" s="1307" t="str">
        <f>'Income Eligible Deemed Table'!C607</f>
        <v>403311_2025_12</v>
      </c>
      <c r="C197" s="1249" t="str">
        <f>'Income Eligible Deemed Table'!G607</f>
        <v>Cooling RES</v>
      </c>
      <c r="D197" s="1249" t="str">
        <f>'Income Eligible Deemed Table'!G608</f>
        <v>Heating RES</v>
      </c>
      <c r="E197" s="1249"/>
      <c r="F197" s="1249"/>
      <c r="G197" s="1249" t="str">
        <f>'Income Eligible Deemed Table'!E607</f>
        <v>HP tune-up + Refrigerant charge Packaged Service MF</v>
      </c>
      <c r="H197" s="18" t="str">
        <f>'Income Eligible Deemed Table'!D607</f>
        <v>IE</v>
      </c>
      <c r="I197" s="737">
        <f t="shared" ref="I197" si="305">K197+L197</f>
        <v>1587.8899999999999</v>
      </c>
      <c r="J197" s="737">
        <f t="shared" ref="J197" si="306">M197+N197</f>
        <v>0</v>
      </c>
      <c r="K197" s="185">
        <f>'Income Eligible Deemed Table'!F607</f>
        <v>404.14</v>
      </c>
      <c r="L197" s="185">
        <f>'Income Eligible Deemed Table'!F608</f>
        <v>1183.75</v>
      </c>
      <c r="M197" s="185"/>
      <c r="N197" s="185"/>
      <c r="O197" s="738">
        <f t="shared" ref="O197" si="307">Q197+R197</f>
        <v>0.38289000000000001</v>
      </c>
      <c r="P197" s="738">
        <f t="shared" ref="P197" si="308">S197+T197</f>
        <v>0</v>
      </c>
      <c r="Q197" s="739">
        <f>'Income Eligible Deemed Table'!I607</f>
        <v>0.38289000000000001</v>
      </c>
      <c r="R197" s="739">
        <f>'Income Eligible Deemed Table'!I608</f>
        <v>0</v>
      </c>
      <c r="S197" s="739"/>
      <c r="T197" s="739"/>
      <c r="U197" s="740">
        <f t="shared" si="299"/>
        <v>0.38289000000000001</v>
      </c>
      <c r="V197" s="740">
        <f t="shared" si="300"/>
        <v>0</v>
      </c>
      <c r="W197" s="740">
        <f t="shared" si="301"/>
        <v>0</v>
      </c>
      <c r="X197" s="22">
        <f>'Income Eligible Deemed Table'!J607</f>
        <v>2</v>
      </c>
      <c r="Y197" s="22"/>
      <c r="Z197" s="22">
        <f t="shared" si="303"/>
        <v>2</v>
      </c>
      <c r="AA197" s="17">
        <f>'Income Eligible Deemed Table'!DG607</f>
        <v>3.4114587931514597</v>
      </c>
      <c r="AB197" s="241">
        <f>'Income Eligible Deemed Table'!K607</f>
        <v>81</v>
      </c>
      <c r="AC197" s="845">
        <f t="shared" si="304"/>
        <v>276.32816224526823</v>
      </c>
      <c r="AD197" s="845">
        <f t="shared" si="297"/>
        <v>0</v>
      </c>
      <c r="AE197" s="580">
        <f>'Income Eligible Deemed Table'!DI607</f>
        <v>151.11347674095271</v>
      </c>
      <c r="AF197" s="191">
        <f>'Income Eligible Deemed Table'!DI608</f>
        <v>125.21468550431555</v>
      </c>
      <c r="AG197" s="191"/>
      <c r="AH197" s="191"/>
      <c r="AI197" s="1307" t="str">
        <f>'Income Eligible Deemed Table'!L607</f>
        <v>per measure</v>
      </c>
      <c r="AJ197" s="644"/>
      <c r="AK197" s="39"/>
      <c r="AL197" s="39"/>
      <c r="AX197" s="1226" t="str">
        <f t="shared" si="295"/>
        <v>HP tune-up + Refrigerant charge Packaged Service MF</v>
      </c>
      <c r="AY197" s="1249"/>
      <c r="AZ197" s="1312" t="str">
        <f t="shared" si="296"/>
        <v>403311</v>
      </c>
      <c r="BA197" s="1171" t="s">
        <v>2174</v>
      </c>
      <c r="BB197" s="1171" t="s">
        <v>2174</v>
      </c>
      <c r="BC197" s="1171" t="s">
        <v>2174</v>
      </c>
      <c r="BD197" s="1171" t="s">
        <v>2174</v>
      </c>
      <c r="BE197" s="1176"/>
      <c r="BF197" s="1171" t="s">
        <v>2174</v>
      </c>
      <c r="BG197" s="1171" t="s">
        <v>2174</v>
      </c>
      <c r="BH197" s="1171" t="s">
        <v>2174</v>
      </c>
      <c r="BI197" s="1172" t="s">
        <v>2174</v>
      </c>
      <c r="BJ197" s="1176"/>
      <c r="BK197" s="1171" t="s">
        <v>2174</v>
      </c>
      <c r="BL197" s="1172" t="s">
        <v>2174</v>
      </c>
      <c r="BM197" s="1171" t="s">
        <v>2174</v>
      </c>
      <c r="BN197" s="1172" t="s">
        <v>2174</v>
      </c>
    </row>
    <row r="198" spans="1:66" s="39" customFormat="1" x14ac:dyDescent="0.25">
      <c r="A198" s="659" t="str">
        <f t="shared" ref="A198" si="309">LEFT(B198,6)</f>
        <v>403320</v>
      </c>
      <c r="B198" s="645" t="str">
        <f>'Income Eligible Deemed Table'!C609</f>
        <v>403320_2025_12</v>
      </c>
      <c r="C198" s="644" t="str">
        <f>'Income Eligible Deemed Table'!G609</f>
        <v>Cooling RES</v>
      </c>
      <c r="D198" s="644" t="str">
        <f>'Income Eligible Deemed Table'!G610</f>
        <v>Heating RES</v>
      </c>
      <c r="E198" s="644"/>
      <c r="F198" s="644"/>
      <c r="G198" s="644" t="str">
        <f>'Income Eligible Deemed Table'!E609</f>
        <v>HP tune-up + Refrigerant check MF</v>
      </c>
      <c r="H198" s="650" t="str">
        <f>'Income Eligible Deemed Table'!D609</f>
        <v>IE</v>
      </c>
      <c r="I198" s="648">
        <f t="shared" ref="I198" si="310">K198+L198</f>
        <v>531.79</v>
      </c>
      <c r="J198" s="648">
        <f t="shared" ref="J198" si="311">M198+N198</f>
        <v>0</v>
      </c>
      <c r="K198" s="646">
        <f>'Income Eligible Deemed Table'!F609</f>
        <v>135.35</v>
      </c>
      <c r="L198" s="646">
        <f>'Income Eligible Deemed Table'!F610</f>
        <v>396.44</v>
      </c>
      <c r="M198" s="646"/>
      <c r="N198" s="646"/>
      <c r="O198" s="649">
        <f t="shared" ref="O198" si="312">Q198+R198</f>
        <v>0.12823300000000001</v>
      </c>
      <c r="P198" s="649">
        <f t="shared" ref="P198" si="313">S198+T198</f>
        <v>0</v>
      </c>
      <c r="Q198" s="651">
        <f>'Income Eligible Deemed Table'!I609</f>
        <v>0.12823300000000001</v>
      </c>
      <c r="R198" s="651">
        <f>'Income Eligible Deemed Table'!I610</f>
        <v>0</v>
      </c>
      <c r="S198" s="651"/>
      <c r="T198" s="651"/>
      <c r="U198" s="2117">
        <f t="shared" ref="U198" si="314">IFERROR(IF(V198+W198&gt;0,0,IF(Z198&gt;0,O198,0)),0)</f>
        <v>0.12823300000000001</v>
      </c>
      <c r="V198" s="2117">
        <f t="shared" ref="V198" si="315">IF(W198&gt;0,0,IF(Z198&gt;9,O198,0))</f>
        <v>0</v>
      </c>
      <c r="W198" s="2117">
        <f t="shared" ref="W198" si="316">IF(Z198&gt;14,O198,0)</f>
        <v>0</v>
      </c>
      <c r="X198" s="642">
        <f>'Income Eligible Deemed Table'!J609</f>
        <v>2</v>
      </c>
      <c r="Y198" s="642"/>
      <c r="Z198" s="642">
        <f t="shared" ref="Z198" si="317">Y198+X198</f>
        <v>2</v>
      </c>
      <c r="AA198" s="112">
        <f>'Income Eligible Deemed Table'!DG609</f>
        <v>1.1425165462572924</v>
      </c>
      <c r="AB198" s="733">
        <f>'Income Eligible Deemed Table'!K609</f>
        <v>81</v>
      </c>
      <c r="AC198" s="735">
        <f t="shared" ref="AC198" si="318">AE198+AF198</f>
        <v>92.543840246840688</v>
      </c>
      <c r="AD198" s="735">
        <f t="shared" ref="AD198" si="319">AG198+AH198</f>
        <v>0</v>
      </c>
      <c r="AE198" s="743">
        <f>'Income Eligible Deemed Table'!DI609</f>
        <v>50.609217293234892</v>
      </c>
      <c r="AF198" s="652">
        <f>'Income Eligible Deemed Table'!DI610</f>
        <v>41.934622953605789</v>
      </c>
      <c r="AG198" s="652"/>
      <c r="AH198" s="652"/>
      <c r="AI198" s="645" t="str">
        <f>'Income Eligible Deemed Table'!L609</f>
        <v>per measure</v>
      </c>
      <c r="AJ198" s="644"/>
      <c r="AX198" s="2167" t="str">
        <f t="shared" ref="AX198" si="320">G198</f>
        <v>HP tune-up + Refrigerant check MF</v>
      </c>
      <c r="AY198" s="644"/>
      <c r="AZ198" s="2119" t="str">
        <f t="shared" ref="AZ198" si="321">A198</f>
        <v>403320</v>
      </c>
      <c r="BA198" s="2168" t="s">
        <v>2174</v>
      </c>
      <c r="BB198" s="2168" t="s">
        <v>2174</v>
      </c>
      <c r="BC198" s="2168" t="s">
        <v>2174</v>
      </c>
      <c r="BD198" s="2168" t="s">
        <v>2174</v>
      </c>
      <c r="BE198" s="1177"/>
      <c r="BF198" s="2168" t="s">
        <v>2174</v>
      </c>
      <c r="BG198" s="2168" t="s">
        <v>2174</v>
      </c>
      <c r="BH198" s="2168" t="s">
        <v>2174</v>
      </c>
      <c r="BI198" s="2169" t="s">
        <v>2174</v>
      </c>
      <c r="BJ198" s="1177"/>
      <c r="BK198" s="2168" t="s">
        <v>2174</v>
      </c>
      <c r="BL198" s="2169" t="s">
        <v>2174</v>
      </c>
      <c r="BM198" s="2168" t="s">
        <v>2174</v>
      </c>
      <c r="BN198" s="2169" t="s">
        <v>2174</v>
      </c>
    </row>
    <row r="199" spans="1:66" s="39" customFormat="1" x14ac:dyDescent="0.25">
      <c r="A199" s="49" t="str">
        <f t="shared" si="302"/>
        <v>403400</v>
      </c>
      <c r="B199" s="1307" t="str">
        <f>'Income Eligible Deemed Table'!C639</f>
        <v>403400_2024_12_</v>
      </c>
      <c r="C199" s="1249" t="str">
        <f>'Income Eligible Deemed Table'!G639</f>
        <v>Water heating RES</v>
      </c>
      <c r="D199" s="1249"/>
      <c r="E199" s="1249"/>
      <c r="F199" s="1249"/>
      <c r="G199" s="1249" t="str">
        <f>'Income Eligible Deemed Table'!E639</f>
        <v>Low Flow Bathroom Faucet Aerator MFIE DI</v>
      </c>
      <c r="H199" s="18" t="str">
        <f>'Income Eligible Deemed Table'!D639</f>
        <v>IE</v>
      </c>
      <c r="I199" s="737">
        <f>'Income Eligible Deemed Table'!F639</f>
        <v>40.619999999999997</v>
      </c>
      <c r="J199" s="737"/>
      <c r="K199" s="185"/>
      <c r="L199" s="185"/>
      <c r="M199" s="185"/>
      <c r="N199" s="185"/>
      <c r="O199" s="738">
        <f>'Income Eligible Deemed Table'!J639</f>
        <v>3.604E-3</v>
      </c>
      <c r="P199" s="738"/>
      <c r="Q199" s="739"/>
      <c r="R199" s="739"/>
      <c r="S199" s="739"/>
      <c r="T199" s="739"/>
      <c r="U199" s="740">
        <f t="shared" si="299"/>
        <v>0</v>
      </c>
      <c r="V199" s="740">
        <f t="shared" si="300"/>
        <v>3.604E-3</v>
      </c>
      <c r="W199" s="740">
        <f t="shared" si="301"/>
        <v>0</v>
      </c>
      <c r="X199" s="22">
        <f>'Income Eligible Deemed Table'!K639</f>
        <v>10</v>
      </c>
      <c r="Y199" s="22"/>
      <c r="Z199" s="22">
        <f t="shared" si="303"/>
        <v>10</v>
      </c>
      <c r="AA199" s="17">
        <f>'Income Eligible Deemed Table'!DG639</f>
        <v>1.7613767269049343</v>
      </c>
      <c r="AB199" s="241">
        <f>'Income Eligible Deemed Table'!L639</f>
        <v>11.33</v>
      </c>
      <c r="AC199" s="845">
        <f t="shared" si="304"/>
        <v>19.956398315832907</v>
      </c>
      <c r="AD199" s="845">
        <f t="shared" si="297"/>
        <v>0</v>
      </c>
      <c r="AE199" s="580">
        <f>'Income Eligible Deemed Table'!DI639</f>
        <v>19.956398315832907</v>
      </c>
      <c r="AF199" s="191"/>
      <c r="AG199" s="191"/>
      <c r="AH199" s="191"/>
      <c r="AI199" s="853" t="str">
        <f>'Income Eligible Deemed Table'!M639</f>
        <v>per measure</v>
      </c>
      <c r="AJ199" s="68"/>
      <c r="AK199"/>
      <c r="AL199"/>
      <c r="AM199"/>
      <c r="AN199"/>
      <c r="AO199"/>
      <c r="AP199"/>
      <c r="AQ199"/>
      <c r="AR199"/>
      <c r="AS199"/>
      <c r="AT199"/>
      <c r="AU199"/>
      <c r="AV199"/>
      <c r="AW199"/>
      <c r="AX199" s="1226" t="str">
        <f t="shared" ref="AX199:AX226" si="322">G199</f>
        <v>Low Flow Bathroom Faucet Aerator MFIE DI</v>
      </c>
      <c r="AY199" s="1249"/>
      <c r="AZ199" s="1312" t="str">
        <f t="shared" ref="AZ199:AZ226" si="323">A199</f>
        <v>403400</v>
      </c>
      <c r="BA199" s="1171" t="s">
        <v>2174</v>
      </c>
      <c r="BB199" s="1171" t="s">
        <v>2174</v>
      </c>
      <c r="BC199" s="1171" t="s">
        <v>2174</v>
      </c>
      <c r="BD199" s="1171" t="s">
        <v>2174</v>
      </c>
      <c r="BE199" s="1177"/>
      <c r="BF199" s="1171" t="s">
        <v>2174</v>
      </c>
      <c r="BG199" s="1171" t="s">
        <v>2174</v>
      </c>
      <c r="BH199" s="1171" t="s">
        <v>2174</v>
      </c>
      <c r="BI199" s="1172" t="s">
        <v>2174</v>
      </c>
      <c r="BJ199" s="1176"/>
      <c r="BK199" s="1171" t="s">
        <v>2174</v>
      </c>
      <c r="BL199" s="1172" t="s">
        <v>2174</v>
      </c>
      <c r="BM199" s="1171" t="s">
        <v>2174</v>
      </c>
      <c r="BN199" s="1172" t="s">
        <v>2174</v>
      </c>
    </row>
    <row r="200" spans="1:66" s="39" customFormat="1" x14ac:dyDescent="0.25">
      <c r="A200" s="49" t="str">
        <f t="shared" si="302"/>
        <v>403450</v>
      </c>
      <c r="B200" s="1307" t="str">
        <f>'Income Eligible Deemed Table'!C640</f>
        <v>403450_2024_12_</v>
      </c>
      <c r="C200" s="1249" t="str">
        <f>'Income Eligible Deemed Table'!G640</f>
        <v>Water heating RES</v>
      </c>
      <c r="D200" s="1249"/>
      <c r="E200" s="1249"/>
      <c r="F200" s="1249"/>
      <c r="G200" s="1249" t="str">
        <f>'Income Eligible Deemed Table'!E640</f>
        <v>Low Flow Bathroom Faucet Aerator SFIE DI</v>
      </c>
      <c r="H200" s="18" t="str">
        <f>'Income Eligible Deemed Table'!D640</f>
        <v>PAYS / IE</v>
      </c>
      <c r="I200" s="737">
        <f>'Income Eligible Deemed Table'!F640</f>
        <v>40.619999999999997</v>
      </c>
      <c r="J200" s="737"/>
      <c r="K200" s="185"/>
      <c r="L200" s="185"/>
      <c r="M200" s="185"/>
      <c r="N200" s="185"/>
      <c r="O200" s="738">
        <f>'Income Eligible Deemed Table'!J640</f>
        <v>3.604E-3</v>
      </c>
      <c r="P200" s="738"/>
      <c r="Q200" s="739"/>
      <c r="R200" s="739"/>
      <c r="S200" s="739"/>
      <c r="T200" s="739"/>
      <c r="U200" s="740">
        <f t="shared" si="299"/>
        <v>0</v>
      </c>
      <c r="V200" s="740">
        <f t="shared" si="300"/>
        <v>3.604E-3</v>
      </c>
      <c r="W200" s="740">
        <f t="shared" si="301"/>
        <v>0</v>
      </c>
      <c r="X200" s="22">
        <f>'Income Eligible Deemed Table'!K640</f>
        <v>10</v>
      </c>
      <c r="Y200" s="22"/>
      <c r="Z200" s="22">
        <f t="shared" si="303"/>
        <v>10</v>
      </c>
      <c r="AA200" s="17">
        <f>'Income Eligible Deemed Table'!DG640</f>
        <v>1.7613767269049343</v>
      </c>
      <c r="AB200" s="241">
        <f>'Income Eligible Deemed Table'!L640</f>
        <v>11.33</v>
      </c>
      <c r="AC200" s="845">
        <f t="shared" si="304"/>
        <v>19.956398315832907</v>
      </c>
      <c r="AD200" s="845">
        <f t="shared" si="297"/>
        <v>0</v>
      </c>
      <c r="AE200" s="580">
        <f>'Income Eligible Deemed Table'!DI640</f>
        <v>19.956398315832907</v>
      </c>
      <c r="AF200" s="191"/>
      <c r="AG200" s="191"/>
      <c r="AH200" s="191"/>
      <c r="AI200" s="853" t="str">
        <f>'Income Eligible Deemed Table'!M640</f>
        <v>per measure</v>
      </c>
      <c r="AJ200" s="68"/>
      <c r="AK200"/>
      <c r="AL200"/>
      <c r="AM200"/>
      <c r="AN200"/>
      <c r="AO200"/>
      <c r="AP200"/>
      <c r="AQ200"/>
      <c r="AR200"/>
      <c r="AS200"/>
      <c r="AT200"/>
      <c r="AU200"/>
      <c r="AV200"/>
      <c r="AW200"/>
      <c r="AX200" s="1226" t="str">
        <f t="shared" si="322"/>
        <v>Low Flow Bathroom Faucet Aerator SFIE DI</v>
      </c>
      <c r="AY200" s="1249"/>
      <c r="AZ200" s="1312" t="str">
        <f t="shared" si="323"/>
        <v>403450</v>
      </c>
      <c r="BA200" s="1171" t="s">
        <v>2174</v>
      </c>
      <c r="BB200" s="1171" t="s">
        <v>2174</v>
      </c>
      <c r="BC200" s="1171" t="s">
        <v>2174</v>
      </c>
      <c r="BD200" s="1171" t="s">
        <v>2174</v>
      </c>
      <c r="BE200" s="1177"/>
      <c r="BF200" s="1171" t="s">
        <v>2174</v>
      </c>
      <c r="BG200" s="1171" t="s">
        <v>2174</v>
      </c>
      <c r="BH200" s="1171" t="s">
        <v>2174</v>
      </c>
      <c r="BI200" s="1172" t="s">
        <v>2174</v>
      </c>
      <c r="BJ200" s="1176"/>
      <c r="BK200" s="1171" t="s">
        <v>2174</v>
      </c>
      <c r="BL200" s="1172" t="s">
        <v>2174</v>
      </c>
      <c r="BM200" s="1171" t="s">
        <v>2174</v>
      </c>
      <c r="BN200" s="1172" t="s">
        <v>2174</v>
      </c>
    </row>
    <row r="201" spans="1:66" x14ac:dyDescent="0.25">
      <c r="A201" s="49" t="str">
        <f t="shared" si="302"/>
        <v>403480</v>
      </c>
      <c r="B201" s="1307" t="str">
        <f>'Income Eligible Deemed Table'!C675</f>
        <v>403480_2024_12_</v>
      </c>
      <c r="C201" s="1249" t="str">
        <f>'Income Eligible Deemed Table'!G675</f>
        <v>Water Heating RES</v>
      </c>
      <c r="D201" s="1249"/>
      <c r="E201" s="1249"/>
      <c r="F201" s="1249"/>
      <c r="G201" s="1249" t="str">
        <f>'Income Eligible Deemed Table'!E675</f>
        <v>Low Flow Kitchen Faucet Aerator MFIE DI</v>
      </c>
      <c r="H201" s="18" t="str">
        <f>'Income Eligible Deemed Table'!D675</f>
        <v>IE</v>
      </c>
      <c r="I201" s="737">
        <f>'Income Eligible Deemed Table'!F675</f>
        <v>121.19</v>
      </c>
      <c r="J201" s="737"/>
      <c r="K201" s="185"/>
      <c r="L201" s="185"/>
      <c r="M201" s="185"/>
      <c r="N201" s="185"/>
      <c r="O201" s="738">
        <f>'Income Eligible Deemed Table'!J675</f>
        <v>1.0753E-2</v>
      </c>
      <c r="P201" s="738"/>
      <c r="Q201" s="739"/>
      <c r="R201" s="739"/>
      <c r="S201" s="739"/>
      <c r="T201" s="739"/>
      <c r="U201" s="740">
        <f t="shared" si="299"/>
        <v>0</v>
      </c>
      <c r="V201" s="740">
        <f t="shared" si="300"/>
        <v>1.0753E-2</v>
      </c>
      <c r="W201" s="740">
        <f t="shared" si="301"/>
        <v>0</v>
      </c>
      <c r="X201" s="22">
        <f>'Income Eligible Deemed Table'!K675</f>
        <v>10</v>
      </c>
      <c r="Y201" s="22"/>
      <c r="Z201" s="22">
        <f t="shared" si="303"/>
        <v>10</v>
      </c>
      <c r="AA201" s="17">
        <f>'Income Eligible Deemed Table'!DG675</f>
        <v>5.2550774380504439</v>
      </c>
      <c r="AB201" s="241">
        <f>'Income Eligible Deemed Table'!L675</f>
        <v>11.33</v>
      </c>
      <c r="AC201" s="845">
        <f t="shared" si="304"/>
        <v>59.540027373111528</v>
      </c>
      <c r="AD201" s="845">
        <f t="shared" si="297"/>
        <v>0</v>
      </c>
      <c r="AE201" s="580">
        <f>'Income Eligible Deemed Table'!DI675</f>
        <v>59.540027373111528</v>
      </c>
      <c r="AF201" s="191"/>
      <c r="AG201" s="191"/>
      <c r="AH201" s="191"/>
      <c r="AI201" s="853" t="str">
        <f>'Income Eligible Deemed Table'!M675</f>
        <v>per measure</v>
      </c>
      <c r="AJ201" s="644"/>
      <c r="AK201" s="39"/>
      <c r="AL201" s="39"/>
      <c r="AX201" s="1226" t="str">
        <f t="shared" si="322"/>
        <v>Low Flow Kitchen Faucet Aerator MFIE DI</v>
      </c>
      <c r="AY201" s="1249"/>
      <c r="AZ201" s="1312" t="str">
        <f t="shared" si="323"/>
        <v>403480</v>
      </c>
      <c r="BA201" s="1171" t="s">
        <v>2174</v>
      </c>
      <c r="BB201" s="1171" t="s">
        <v>2174</v>
      </c>
      <c r="BC201" s="1171" t="s">
        <v>2174</v>
      </c>
      <c r="BD201" s="1171" t="s">
        <v>2174</v>
      </c>
      <c r="BE201" s="1176"/>
      <c r="BF201" s="1171" t="s">
        <v>2174</v>
      </c>
      <c r="BG201" s="1171" t="s">
        <v>2174</v>
      </c>
      <c r="BH201" s="1171" t="s">
        <v>2174</v>
      </c>
      <c r="BI201" s="1172" t="s">
        <v>2174</v>
      </c>
      <c r="BJ201" s="1176"/>
      <c r="BK201" s="1171" t="s">
        <v>2174</v>
      </c>
      <c r="BL201" s="1172" t="s">
        <v>2174</v>
      </c>
      <c r="BM201" s="1171" t="s">
        <v>2174</v>
      </c>
      <c r="BN201" s="1172" t="s">
        <v>2174</v>
      </c>
    </row>
    <row r="202" spans="1:66" x14ac:dyDescent="0.25">
      <c r="A202" s="49" t="str">
        <f t="shared" si="302"/>
        <v>403481</v>
      </c>
      <c r="B202" s="1307" t="str">
        <f>'Income Eligible Deemed Table'!C676</f>
        <v>403481_2024_12_</v>
      </c>
      <c r="C202" s="1249" t="str">
        <f>'Income Eligible Deemed Table'!G676</f>
        <v>Water Heating RES</v>
      </c>
      <c r="D202" s="1249"/>
      <c r="E202" s="1249"/>
      <c r="F202" s="1249"/>
      <c r="G202" s="1249" t="str">
        <f>'Income Eligible Deemed Table'!E676</f>
        <v>Low Flow Kitchen Faucet Aerator SFIE DI</v>
      </c>
      <c r="H202" s="18" t="str">
        <f>'Income Eligible Deemed Table'!D676</f>
        <v>PAYS / IE</v>
      </c>
      <c r="I202" s="737">
        <f>'Income Eligible Deemed Table'!F676</f>
        <v>121.19</v>
      </c>
      <c r="J202" s="737"/>
      <c r="K202" s="185"/>
      <c r="L202" s="185"/>
      <c r="M202" s="185"/>
      <c r="N202" s="185"/>
      <c r="O202" s="738">
        <f>'Income Eligible Deemed Table'!J676</f>
        <v>1.0753E-2</v>
      </c>
      <c r="P202" s="738"/>
      <c r="Q202" s="739"/>
      <c r="R202" s="739"/>
      <c r="S202" s="739"/>
      <c r="T202" s="739"/>
      <c r="U202" s="740">
        <f t="shared" si="299"/>
        <v>0</v>
      </c>
      <c r="V202" s="740">
        <f t="shared" si="300"/>
        <v>1.0753E-2</v>
      </c>
      <c r="W202" s="740">
        <f t="shared" si="301"/>
        <v>0</v>
      </c>
      <c r="X202" s="22">
        <f>'Income Eligible Deemed Table'!K676</f>
        <v>10</v>
      </c>
      <c r="Y202" s="22"/>
      <c r="Z202" s="22">
        <f t="shared" si="303"/>
        <v>10</v>
      </c>
      <c r="AA202" s="17">
        <f>'Income Eligible Deemed Table'!DG676</f>
        <v>5.2550774380504439</v>
      </c>
      <c r="AB202" s="241">
        <f>'Income Eligible Deemed Table'!L676</f>
        <v>11.33</v>
      </c>
      <c r="AC202" s="845">
        <f t="shared" si="304"/>
        <v>59.540027373111528</v>
      </c>
      <c r="AD202" s="845">
        <f t="shared" si="297"/>
        <v>0</v>
      </c>
      <c r="AE202" s="580">
        <f>'Income Eligible Deemed Table'!DI676</f>
        <v>59.540027373111528</v>
      </c>
      <c r="AF202" s="191"/>
      <c r="AG202" s="191"/>
      <c r="AH202" s="191"/>
      <c r="AI202" s="853" t="str">
        <f>'Income Eligible Deemed Table'!M676</f>
        <v>per measure</v>
      </c>
      <c r="AJ202" s="644"/>
      <c r="AK202" s="39"/>
      <c r="AL202" s="39"/>
      <c r="AX202" s="1226" t="str">
        <f t="shared" si="322"/>
        <v>Low Flow Kitchen Faucet Aerator SFIE DI</v>
      </c>
      <c r="AY202" s="1249"/>
      <c r="AZ202" s="1312" t="str">
        <f t="shared" si="323"/>
        <v>403481</v>
      </c>
      <c r="BA202" s="1171" t="s">
        <v>2174</v>
      </c>
      <c r="BB202" s="1171" t="s">
        <v>2174</v>
      </c>
      <c r="BC202" s="1171" t="s">
        <v>2174</v>
      </c>
      <c r="BD202" s="1171" t="s">
        <v>2174</v>
      </c>
      <c r="BE202" s="1176"/>
      <c r="BF202" s="1171" t="s">
        <v>2174</v>
      </c>
      <c r="BG202" s="1171" t="s">
        <v>2174</v>
      </c>
      <c r="BH202" s="1171" t="s">
        <v>2174</v>
      </c>
      <c r="BI202" s="1172" t="s">
        <v>2174</v>
      </c>
      <c r="BJ202" s="1176"/>
      <c r="BK202" s="1171" t="s">
        <v>2174</v>
      </c>
      <c r="BL202" s="1172" t="s">
        <v>2174</v>
      </c>
      <c r="BM202" s="1171" t="s">
        <v>2174</v>
      </c>
      <c r="BN202" s="1172" t="s">
        <v>2174</v>
      </c>
    </row>
    <row r="203" spans="1:66" x14ac:dyDescent="0.25">
      <c r="A203" s="49" t="str">
        <f t="shared" si="302"/>
        <v>403550</v>
      </c>
      <c r="B203" s="1307" t="str">
        <f>'Income Eligible Deemed Table'!C710</f>
        <v>403550_2024_12_</v>
      </c>
      <c r="C203" s="1249" t="str">
        <f>'Income Eligible Deemed Table'!G710</f>
        <v>Water heating RES</v>
      </c>
      <c r="D203" s="1249"/>
      <c r="E203" s="1249"/>
      <c r="F203" s="1249"/>
      <c r="G203" s="1249" t="str">
        <f>'Income Eligible Deemed Table'!E710</f>
        <v>Low Flow Showerhead MFIE DI</v>
      </c>
      <c r="H203" s="18" t="str">
        <f>'Income Eligible Deemed Table'!D710</f>
        <v>IE</v>
      </c>
      <c r="I203" s="737">
        <f>'Income Eligible Deemed Table'!F710</f>
        <v>248.01</v>
      </c>
      <c r="J203" s="737"/>
      <c r="K203" s="185"/>
      <c r="L203" s="185"/>
      <c r="M203" s="185"/>
      <c r="N203" s="185"/>
      <c r="O203" s="738">
        <f>'Income Eligible Deemed Table'!J710</f>
        <v>2.2006000000000001E-2</v>
      </c>
      <c r="P203" s="738"/>
      <c r="Q203" s="739"/>
      <c r="R203" s="739"/>
      <c r="S203" s="739"/>
      <c r="T203" s="739"/>
      <c r="U203" s="740">
        <f t="shared" si="299"/>
        <v>0</v>
      </c>
      <c r="V203" s="740">
        <f t="shared" si="300"/>
        <v>2.2006000000000001E-2</v>
      </c>
      <c r="W203" s="740">
        <f t="shared" si="301"/>
        <v>0</v>
      </c>
      <c r="X203" s="22">
        <f>'Income Eligible Deemed Table'!K710</f>
        <v>10</v>
      </c>
      <c r="Y203" s="22"/>
      <c r="Z203" s="22">
        <f t="shared" si="303"/>
        <v>10</v>
      </c>
      <c r="AA203" s="17">
        <f>'Income Eligible Deemed Table'!DG710</f>
        <v>7.9482090646346917</v>
      </c>
      <c r="AB203" s="241">
        <f>'Income Eligible Deemed Table'!L710</f>
        <v>15.33</v>
      </c>
      <c r="AC203" s="845">
        <f t="shared" si="304"/>
        <v>121.84604496084982</v>
      </c>
      <c r="AD203" s="845">
        <f t="shared" si="297"/>
        <v>0</v>
      </c>
      <c r="AE203" s="580">
        <f>'Income Eligible Deemed Table'!DI710</f>
        <v>121.84604496084982</v>
      </c>
      <c r="AF203" s="191"/>
      <c r="AG203" s="191"/>
      <c r="AH203" s="191"/>
      <c r="AI203" s="853" t="str">
        <f>'Income Eligible Deemed Table'!M710</f>
        <v>per measure</v>
      </c>
      <c r="AJ203" s="68"/>
      <c r="AX203" s="1226" t="str">
        <f t="shared" si="322"/>
        <v>Low Flow Showerhead MFIE DI</v>
      </c>
      <c r="AY203" s="1249"/>
      <c r="AZ203" s="1312" t="str">
        <f t="shared" si="323"/>
        <v>403550</v>
      </c>
      <c r="BA203" s="1171" t="s">
        <v>2174</v>
      </c>
      <c r="BB203" s="1171" t="s">
        <v>2174</v>
      </c>
      <c r="BC203" s="1171" t="s">
        <v>2174</v>
      </c>
      <c r="BD203" s="1171" t="s">
        <v>2174</v>
      </c>
      <c r="BE203" s="1176"/>
      <c r="BF203" s="1171" t="s">
        <v>2174</v>
      </c>
      <c r="BG203" s="1171" t="s">
        <v>2174</v>
      </c>
      <c r="BH203" s="1171" t="s">
        <v>2174</v>
      </c>
      <c r="BI203" s="1172" t="s">
        <v>2174</v>
      </c>
      <c r="BJ203" s="1176"/>
      <c r="BK203" s="1171" t="s">
        <v>2174</v>
      </c>
      <c r="BL203" s="1172" t="s">
        <v>2174</v>
      </c>
      <c r="BM203" s="1171" t="s">
        <v>2174</v>
      </c>
      <c r="BN203" s="1172" t="s">
        <v>2174</v>
      </c>
    </row>
    <row r="204" spans="1:66" x14ac:dyDescent="0.25">
      <c r="A204" s="49" t="str">
        <f t="shared" si="302"/>
        <v>403551</v>
      </c>
      <c r="B204" s="1307" t="str">
        <f>'Income Eligible Deemed Table'!C711</f>
        <v>403551_2024_12_</v>
      </c>
      <c r="C204" s="1249" t="str">
        <f>'Income Eligible Deemed Table'!G711</f>
        <v>Water heating RES</v>
      </c>
      <c r="D204" s="1249"/>
      <c r="E204" s="1249"/>
      <c r="F204" s="1249"/>
      <c r="G204" s="1249" t="str">
        <f>'Income Eligible Deemed Table'!E711</f>
        <v>Low Flow Handheld Showerhead MFIE DI</v>
      </c>
      <c r="H204" s="18" t="str">
        <f>'Income Eligible Deemed Table'!D711</f>
        <v>IE</v>
      </c>
      <c r="I204" s="737">
        <f>'Income Eligible Deemed Table'!F711</f>
        <v>248.01</v>
      </c>
      <c r="J204" s="737"/>
      <c r="K204" s="185"/>
      <c r="L204" s="185"/>
      <c r="M204" s="185"/>
      <c r="N204" s="185"/>
      <c r="O204" s="738">
        <f>'Income Eligible Deemed Table'!J711</f>
        <v>2.2006000000000001E-2</v>
      </c>
      <c r="P204" s="738"/>
      <c r="Q204" s="739"/>
      <c r="R204" s="739"/>
      <c r="S204" s="739"/>
      <c r="T204" s="739"/>
      <c r="U204" s="740">
        <f t="shared" si="299"/>
        <v>0</v>
      </c>
      <c r="V204" s="740">
        <f t="shared" si="300"/>
        <v>2.2006000000000001E-2</v>
      </c>
      <c r="W204" s="740">
        <f t="shared" si="301"/>
        <v>0</v>
      </c>
      <c r="X204" s="22">
        <f>'Income Eligible Deemed Table'!K711</f>
        <v>10</v>
      </c>
      <c r="Y204" s="22"/>
      <c r="Z204" s="22">
        <f t="shared" si="303"/>
        <v>10</v>
      </c>
      <c r="AA204" s="17">
        <f>'Income Eligible Deemed Table'!DG711</f>
        <v>5.2182460368672299</v>
      </c>
      <c r="AB204" s="241">
        <f>'Income Eligible Deemed Table'!L711</f>
        <v>23.35</v>
      </c>
      <c r="AC204" s="845">
        <f t="shared" si="304"/>
        <v>121.84604496084982</v>
      </c>
      <c r="AD204" s="845">
        <f t="shared" si="297"/>
        <v>0</v>
      </c>
      <c r="AE204" s="580">
        <f>'Income Eligible Deemed Table'!DI711</f>
        <v>121.84604496084982</v>
      </c>
      <c r="AF204" s="191"/>
      <c r="AG204" s="191"/>
      <c r="AH204" s="191"/>
      <c r="AI204" s="853" t="str">
        <f>'Income Eligible Deemed Table'!M711</f>
        <v>per measure</v>
      </c>
      <c r="AJ204" s="68"/>
      <c r="AX204" s="1226" t="str">
        <f t="shared" si="322"/>
        <v>Low Flow Handheld Showerhead MFIE DI</v>
      </c>
      <c r="AY204" s="1249"/>
      <c r="AZ204" s="1312" t="str">
        <f t="shared" si="323"/>
        <v>403551</v>
      </c>
      <c r="BA204" s="1171" t="s">
        <v>2174</v>
      </c>
      <c r="BB204" s="1171" t="s">
        <v>2174</v>
      </c>
      <c r="BC204" s="1171" t="s">
        <v>2174</v>
      </c>
      <c r="BD204" s="1171" t="s">
        <v>2174</v>
      </c>
      <c r="BE204" s="1176"/>
      <c r="BF204" s="1171" t="s">
        <v>2174</v>
      </c>
      <c r="BG204" s="1171" t="s">
        <v>2174</v>
      </c>
      <c r="BH204" s="1171" t="s">
        <v>2174</v>
      </c>
      <c r="BI204" s="1172" t="s">
        <v>2174</v>
      </c>
      <c r="BJ204" s="1176"/>
      <c r="BK204" s="1171" t="s">
        <v>2174</v>
      </c>
      <c r="BL204" s="1172" t="s">
        <v>2174</v>
      </c>
      <c r="BM204" s="1171" t="s">
        <v>2174</v>
      </c>
      <c r="BN204" s="1172" t="s">
        <v>2174</v>
      </c>
    </row>
    <row r="205" spans="1:66" x14ac:dyDescent="0.25">
      <c r="A205" s="49" t="str">
        <f t="shared" si="302"/>
        <v>403600</v>
      </c>
      <c r="B205" s="1307" t="str">
        <f>'Income Eligible Deemed Table'!C712</f>
        <v>403600_2024_12_</v>
      </c>
      <c r="C205" s="1249" t="str">
        <f>'Income Eligible Deemed Table'!G712</f>
        <v>Water heating RES</v>
      </c>
      <c r="D205" s="1249"/>
      <c r="E205" s="1249"/>
      <c r="F205" s="1249"/>
      <c r="G205" s="1249" t="str">
        <f>'Income Eligible Deemed Table'!E712</f>
        <v>Low Flow Showerhead SFIE DI</v>
      </c>
      <c r="H205" s="18" t="str">
        <f>'Income Eligible Deemed Table'!D712</f>
        <v>PAYS / IE</v>
      </c>
      <c r="I205" s="737">
        <f>'Income Eligible Deemed Table'!F712</f>
        <v>207.7</v>
      </c>
      <c r="J205" s="737"/>
      <c r="K205" s="185"/>
      <c r="L205" s="185"/>
      <c r="M205" s="185"/>
      <c r="N205" s="185"/>
      <c r="O205" s="738">
        <f>'Income Eligible Deemed Table'!J712</f>
        <v>1.8429999999999998E-2</v>
      </c>
      <c r="P205" s="738"/>
      <c r="Q205" s="739"/>
      <c r="R205" s="739"/>
      <c r="S205" s="739"/>
      <c r="T205" s="739"/>
      <c r="U205" s="740">
        <f t="shared" si="299"/>
        <v>0</v>
      </c>
      <c r="V205" s="740">
        <f t="shared" si="300"/>
        <v>1.8429999999999998E-2</v>
      </c>
      <c r="W205" s="740">
        <f t="shared" si="301"/>
        <v>0</v>
      </c>
      <c r="X205" s="22">
        <f>'Income Eligible Deemed Table'!K712</f>
        <v>10</v>
      </c>
      <c r="Y205" s="22"/>
      <c r="Z205" s="22">
        <f t="shared" si="303"/>
        <v>10</v>
      </c>
      <c r="AA205" s="17">
        <f>'Income Eligible Deemed Table'!DG712</f>
        <v>6.6563566901521121</v>
      </c>
      <c r="AB205" s="241">
        <f>'Income Eligible Deemed Table'!L712</f>
        <v>15.33</v>
      </c>
      <c r="AC205" s="845">
        <f t="shared" si="304"/>
        <v>102.04194806003188</v>
      </c>
      <c r="AD205" s="845">
        <f t="shared" si="297"/>
        <v>0</v>
      </c>
      <c r="AE205" s="580">
        <f>'Income Eligible Deemed Table'!DI712</f>
        <v>102.04194806003188</v>
      </c>
      <c r="AF205" s="191"/>
      <c r="AG205" s="191"/>
      <c r="AH205" s="191"/>
      <c r="AI205" s="853" t="str">
        <f>'Income Eligible Deemed Table'!M712</f>
        <v>per measure</v>
      </c>
      <c r="AJ205" s="68"/>
      <c r="AX205" s="1226" t="str">
        <f t="shared" si="322"/>
        <v>Low Flow Showerhead SFIE DI</v>
      </c>
      <c r="AY205" s="1249"/>
      <c r="AZ205" s="1312" t="str">
        <f t="shared" si="323"/>
        <v>403600</v>
      </c>
      <c r="BA205" s="1171" t="s">
        <v>2174</v>
      </c>
      <c r="BB205" s="1171" t="s">
        <v>2174</v>
      </c>
      <c r="BC205" s="1171" t="s">
        <v>2174</v>
      </c>
      <c r="BD205" s="1171" t="s">
        <v>2174</v>
      </c>
      <c r="BE205" s="1176"/>
      <c r="BF205" s="1171" t="s">
        <v>2174</v>
      </c>
      <c r="BG205" s="1171" t="s">
        <v>2174</v>
      </c>
      <c r="BH205" s="1171" t="s">
        <v>2174</v>
      </c>
      <c r="BI205" s="1172" t="s">
        <v>2174</v>
      </c>
      <c r="BJ205" s="1176"/>
      <c r="BK205" s="1171" t="s">
        <v>2174</v>
      </c>
      <c r="BL205" s="1172" t="s">
        <v>2174</v>
      </c>
      <c r="BM205" s="1171" t="s">
        <v>2174</v>
      </c>
      <c r="BN205" s="1172" t="s">
        <v>2174</v>
      </c>
    </row>
    <row r="206" spans="1:66" x14ac:dyDescent="0.25">
      <c r="A206" s="49" t="str">
        <f t="shared" si="302"/>
        <v>403601</v>
      </c>
      <c r="B206" s="1307" t="str">
        <f>'Income Eligible Deemed Table'!C713</f>
        <v>403601_2024_12_</v>
      </c>
      <c r="C206" s="1249" t="str">
        <f>'Income Eligible Deemed Table'!G713</f>
        <v>Water heating RES</v>
      </c>
      <c r="D206" s="1249"/>
      <c r="E206" s="1249"/>
      <c r="F206" s="1249"/>
      <c r="G206" s="1249" t="str">
        <f>'Income Eligible Deemed Table'!E713</f>
        <v>Low Flow Handheld Showerhead SFIE DI</v>
      </c>
      <c r="H206" s="18" t="str">
        <f>'Income Eligible Deemed Table'!D713</f>
        <v>IE</v>
      </c>
      <c r="I206" s="737">
        <f>'Income Eligible Deemed Table'!F713</f>
        <v>207.7</v>
      </c>
      <c r="J206" s="737"/>
      <c r="K206" s="185"/>
      <c r="L206" s="185"/>
      <c r="M206" s="185"/>
      <c r="N206" s="185"/>
      <c r="O206" s="738">
        <f>'Income Eligible Deemed Table'!J713</f>
        <v>1.8429999999999998E-2</v>
      </c>
      <c r="P206" s="738"/>
      <c r="Q206" s="739"/>
      <c r="R206" s="739"/>
      <c r="S206" s="739"/>
      <c r="T206" s="739"/>
      <c r="U206" s="740">
        <f t="shared" si="299"/>
        <v>0</v>
      </c>
      <c r="V206" s="740">
        <f t="shared" si="300"/>
        <v>1.8429999999999998E-2</v>
      </c>
      <c r="W206" s="740">
        <f t="shared" si="301"/>
        <v>0</v>
      </c>
      <c r="X206" s="22">
        <f>'Income Eligible Deemed Table'!K713</f>
        <v>10</v>
      </c>
      <c r="Y206" s="22"/>
      <c r="Z206" s="22">
        <f t="shared" si="303"/>
        <v>10</v>
      </c>
      <c r="AA206" s="17">
        <f>'Income Eligible Deemed Table'!DG713</f>
        <v>4.3701048419713864</v>
      </c>
      <c r="AB206" s="241">
        <f>'Income Eligible Deemed Table'!L713</f>
        <v>23.35</v>
      </c>
      <c r="AC206" s="845">
        <f t="shared" si="304"/>
        <v>102.04194806003188</v>
      </c>
      <c r="AD206" s="845">
        <f t="shared" si="297"/>
        <v>0</v>
      </c>
      <c r="AE206" s="580">
        <f>'Income Eligible Deemed Table'!DI713</f>
        <v>102.04194806003188</v>
      </c>
      <c r="AF206" s="191"/>
      <c r="AG206" s="191"/>
      <c r="AH206" s="191"/>
      <c r="AI206" s="853" t="str">
        <f>'Income Eligible Deemed Table'!M713</f>
        <v>per measure</v>
      </c>
      <c r="AJ206" s="68"/>
      <c r="AX206" s="1226" t="str">
        <f t="shared" si="322"/>
        <v>Low Flow Handheld Showerhead SFIE DI</v>
      </c>
      <c r="AY206" s="1249"/>
      <c r="AZ206" s="1312" t="str">
        <f t="shared" si="323"/>
        <v>403601</v>
      </c>
      <c r="BA206" s="1171" t="s">
        <v>2174</v>
      </c>
      <c r="BB206" s="1171" t="s">
        <v>2174</v>
      </c>
      <c r="BC206" s="1171" t="s">
        <v>2174</v>
      </c>
      <c r="BD206" s="1171" t="s">
        <v>2174</v>
      </c>
      <c r="BE206" s="1176"/>
      <c r="BF206" s="1171" t="s">
        <v>2174</v>
      </c>
      <c r="BG206" s="1171" t="s">
        <v>2174</v>
      </c>
      <c r="BH206" s="1171" t="s">
        <v>2174</v>
      </c>
      <c r="BI206" s="1172" t="s">
        <v>2174</v>
      </c>
      <c r="BJ206" s="1176"/>
      <c r="BK206" s="1171" t="s">
        <v>2174</v>
      </c>
      <c r="BL206" s="1172" t="s">
        <v>2174</v>
      </c>
      <c r="BM206" s="1171" t="s">
        <v>2174</v>
      </c>
      <c r="BN206" s="1172" t="s">
        <v>2174</v>
      </c>
    </row>
    <row r="207" spans="1:66" x14ac:dyDescent="0.25">
      <c r="A207" s="49" t="str">
        <f t="shared" si="302"/>
        <v>403700</v>
      </c>
      <c r="B207" s="1307" t="str">
        <f>'Income Eligible Deemed Table'!C752</f>
        <v>403700_2019_12_</v>
      </c>
      <c r="C207" s="1249" t="str">
        <f>'Income Eligible Deemed Table'!G752</f>
        <v>Water heating RES</v>
      </c>
      <c r="D207" s="1249"/>
      <c r="E207" s="1249"/>
      <c r="F207" s="1249"/>
      <c r="G207" s="1249" t="str">
        <f>'Income Eligible Deemed Table'!E752</f>
        <v>Pipe Insulation MFIE DI</v>
      </c>
      <c r="H207" s="18" t="str">
        <f>'Income Eligible Deemed Table'!D752</f>
        <v>IE</v>
      </c>
      <c r="I207" s="737">
        <f>'Income Eligible Deemed Table'!F752</f>
        <v>4.6399999999999997</v>
      </c>
      <c r="J207" s="737"/>
      <c r="K207" s="185"/>
      <c r="L207" s="185"/>
      <c r="M207" s="185"/>
      <c r="N207" s="185"/>
      <c r="O207" s="738">
        <f>'Income Eligible Deemed Table'!I752</f>
        <v>4.1199999999999999E-4</v>
      </c>
      <c r="P207" s="738"/>
      <c r="Q207" s="739"/>
      <c r="R207" s="739"/>
      <c r="S207" s="739"/>
      <c r="T207" s="739"/>
      <c r="U207" s="740">
        <f t="shared" si="299"/>
        <v>0</v>
      </c>
      <c r="V207" s="740">
        <f t="shared" si="300"/>
        <v>4.1199999999999999E-4</v>
      </c>
      <c r="W207" s="740">
        <f t="shared" si="301"/>
        <v>0</v>
      </c>
      <c r="X207" s="22">
        <f>'Income Eligible Deemed Table'!J752</f>
        <v>12</v>
      </c>
      <c r="Y207" s="22"/>
      <c r="Z207" s="22">
        <f t="shared" si="303"/>
        <v>12</v>
      </c>
      <c r="AA207" s="17">
        <f>'Income Eligible Deemed Table'!DG752</f>
        <v>0.46027265770701875</v>
      </c>
      <c r="AB207" s="241">
        <f>'Income Eligible Deemed Table'!K752</f>
        <v>5.66</v>
      </c>
      <c r="AC207" s="845">
        <f t="shared" si="304"/>
        <v>2.6051432426217263</v>
      </c>
      <c r="AD207" s="845">
        <f t="shared" si="297"/>
        <v>0</v>
      </c>
      <c r="AE207" s="580">
        <f>'Income Eligible Deemed Table'!DI752</f>
        <v>2.6051432426217263</v>
      </c>
      <c r="AF207" s="191"/>
      <c r="AG207" s="191"/>
      <c r="AH207" s="191"/>
      <c r="AI207" s="1307" t="str">
        <f>'Income Eligible Deemed Table'!L752</f>
        <v>per foot</v>
      </c>
      <c r="AJ207" s="68"/>
      <c r="AX207" s="1226" t="str">
        <f t="shared" si="322"/>
        <v>Pipe Insulation MFIE DI</v>
      </c>
      <c r="AY207" s="1249"/>
      <c r="AZ207" s="1312" t="str">
        <f t="shared" si="323"/>
        <v>403700</v>
      </c>
      <c r="BA207" s="1171" t="s">
        <v>2174</v>
      </c>
      <c r="BB207" s="1171" t="s">
        <v>2174</v>
      </c>
      <c r="BC207" s="1171" t="s">
        <v>2174</v>
      </c>
      <c r="BD207" s="1171" t="s">
        <v>2174</v>
      </c>
      <c r="BE207" s="1176"/>
      <c r="BF207" s="1171" t="s">
        <v>2174</v>
      </c>
      <c r="BG207" s="1171" t="s">
        <v>2174</v>
      </c>
      <c r="BH207" s="1171" t="s">
        <v>2174</v>
      </c>
      <c r="BI207" s="1172" t="s">
        <v>2174</v>
      </c>
      <c r="BJ207" s="1176"/>
      <c r="BK207" s="1171" t="s">
        <v>2174</v>
      </c>
      <c r="BL207" s="1172" t="s">
        <v>2174</v>
      </c>
      <c r="BM207" s="1171" t="s">
        <v>2174</v>
      </c>
      <c r="BN207" s="1172" t="s">
        <v>2174</v>
      </c>
    </row>
    <row r="208" spans="1:66" x14ac:dyDescent="0.25">
      <c r="A208" s="49" t="str">
        <f t="shared" si="302"/>
        <v>403750</v>
      </c>
      <c r="B208" s="1307" t="str">
        <f>'Income Eligible Deemed Table'!C753</f>
        <v>403750_2019_12_</v>
      </c>
      <c r="C208" s="1249" t="str">
        <f>'Income Eligible Deemed Table'!G753</f>
        <v>Water heating RES</v>
      </c>
      <c r="D208" s="1249"/>
      <c r="E208" s="1249"/>
      <c r="F208" s="1249"/>
      <c r="G208" s="1249" t="str">
        <f>'Income Eligible Deemed Table'!E753</f>
        <v>Pipe Insulation SFIE DI</v>
      </c>
      <c r="H208" s="18" t="str">
        <f>'Income Eligible Deemed Table'!D753</f>
        <v>PAYS / IE</v>
      </c>
      <c r="I208" s="737">
        <f>'Income Eligible Deemed Table'!F753</f>
        <v>4.6399999999999997</v>
      </c>
      <c r="J208" s="737"/>
      <c r="K208" s="185"/>
      <c r="L208" s="185"/>
      <c r="M208" s="185"/>
      <c r="N208" s="185"/>
      <c r="O208" s="738">
        <f>'Income Eligible Deemed Table'!I753</f>
        <v>4.1199999999999999E-4</v>
      </c>
      <c r="P208" s="738"/>
      <c r="Q208" s="739"/>
      <c r="R208" s="739"/>
      <c r="S208" s="739"/>
      <c r="T208" s="739"/>
      <c r="U208" s="740">
        <f t="shared" si="299"/>
        <v>0</v>
      </c>
      <c r="V208" s="740">
        <f t="shared" si="300"/>
        <v>4.1199999999999999E-4</v>
      </c>
      <c r="W208" s="740">
        <f t="shared" si="301"/>
        <v>0</v>
      </c>
      <c r="X208" s="22">
        <f>'Income Eligible Deemed Table'!J753</f>
        <v>12</v>
      </c>
      <c r="Y208" s="22"/>
      <c r="Z208" s="22">
        <f t="shared" si="303"/>
        <v>12</v>
      </c>
      <c r="AA208" s="17">
        <f>'Income Eligible Deemed Table'!DG753</f>
        <v>0.46027265770701875</v>
      </c>
      <c r="AB208" s="241">
        <f>'Income Eligible Deemed Table'!K753</f>
        <v>5.66</v>
      </c>
      <c r="AC208" s="845">
        <f t="shared" si="304"/>
        <v>2.6051432426217263</v>
      </c>
      <c r="AD208" s="845">
        <f t="shared" si="297"/>
        <v>0</v>
      </c>
      <c r="AE208" s="580">
        <f>'Income Eligible Deemed Table'!DI753</f>
        <v>2.6051432426217263</v>
      </c>
      <c r="AF208" s="191"/>
      <c r="AG208" s="191"/>
      <c r="AH208" s="191"/>
      <c r="AI208" s="1307" t="str">
        <f>'Income Eligible Deemed Table'!L753</f>
        <v>per foot</v>
      </c>
      <c r="AJ208" s="68"/>
      <c r="AX208" s="1226" t="str">
        <f t="shared" si="322"/>
        <v>Pipe Insulation SFIE DI</v>
      </c>
      <c r="AY208" s="1249"/>
      <c r="AZ208" s="1312" t="str">
        <f t="shared" si="323"/>
        <v>403750</v>
      </c>
      <c r="BA208" s="1171" t="s">
        <v>2174</v>
      </c>
      <c r="BB208" s="1171" t="s">
        <v>2174</v>
      </c>
      <c r="BC208" s="1171" t="s">
        <v>2174</v>
      </c>
      <c r="BD208" s="1171" t="s">
        <v>2174</v>
      </c>
      <c r="BE208" s="1176"/>
      <c r="BF208" s="1171" t="s">
        <v>2174</v>
      </c>
      <c r="BG208" s="1171" t="s">
        <v>2174</v>
      </c>
      <c r="BH208" s="1171" t="s">
        <v>2174</v>
      </c>
      <c r="BI208" s="1172" t="s">
        <v>2174</v>
      </c>
      <c r="BJ208" s="1176"/>
      <c r="BK208" s="1171" t="s">
        <v>2174</v>
      </c>
      <c r="BL208" s="1172" t="s">
        <v>2174</v>
      </c>
      <c r="BM208" s="1171" t="s">
        <v>2174</v>
      </c>
      <c r="BN208" s="1172" t="s">
        <v>2174</v>
      </c>
    </row>
    <row r="209" spans="1:66" x14ac:dyDescent="0.25">
      <c r="A209" s="49" t="str">
        <f t="shared" si="302"/>
        <v>403800</v>
      </c>
      <c r="B209" s="1307" t="str">
        <f>'Income Eligible Deemed Table'!C780</f>
        <v>403800_2019_12_</v>
      </c>
      <c r="C209" s="1249" t="str">
        <f>'Income Eligible Deemed Table'!G780</f>
        <v>Cooling RES</v>
      </c>
      <c r="D209" s="1249" t="str">
        <f>'Income Eligible Deemed Table'!G781</f>
        <v>Heating RES</v>
      </c>
      <c r="E209" s="1249"/>
      <c r="F209" s="1249"/>
      <c r="G209" s="1249" t="str">
        <f>'Income Eligible Deemed Table'!E780</f>
        <v>Standard Programmableetback thermostat - full setback - ASHP heating/cooling MF</v>
      </c>
      <c r="H209" s="18" t="str">
        <f>'Income Eligible Deemed Table'!D780</f>
        <v>IE</v>
      </c>
      <c r="I209" s="737">
        <f t="shared" ref="I209:I214" si="324">K209+L209</f>
        <v>0</v>
      </c>
      <c r="J209" s="737">
        <f t="shared" ref="J209:J214" si="325">M209+N209</f>
        <v>0</v>
      </c>
      <c r="K209" s="185">
        <f>'Income Eligible Deemed Table'!F780</f>
        <v>0</v>
      </c>
      <c r="L209" s="185">
        <f>'Income Eligible Deemed Table'!F781</f>
        <v>0</v>
      </c>
      <c r="M209" s="185"/>
      <c r="N209" s="185"/>
      <c r="O209" s="738">
        <f t="shared" ref="O209:O214" si="326">Q209+R209</f>
        <v>0</v>
      </c>
      <c r="P209" s="738">
        <f t="shared" ref="P209:P214" si="327">S209+T209</f>
        <v>0</v>
      </c>
      <c r="Q209" s="739">
        <f>'Income Eligible Deemed Table'!I780</f>
        <v>0</v>
      </c>
      <c r="R209" s="739">
        <f>'Income Eligible Deemed Table'!I781</f>
        <v>0</v>
      </c>
      <c r="S209" s="739"/>
      <c r="T209" s="739"/>
      <c r="U209" s="740">
        <f t="shared" si="299"/>
        <v>0</v>
      </c>
      <c r="V209" s="740">
        <f t="shared" si="300"/>
        <v>0</v>
      </c>
      <c r="W209" s="740">
        <f t="shared" si="301"/>
        <v>0</v>
      </c>
      <c r="X209" s="22">
        <f>'Income Eligible Deemed Table'!J780</f>
        <v>10</v>
      </c>
      <c r="Y209" s="22"/>
      <c r="Z209" s="22">
        <f t="shared" si="303"/>
        <v>10</v>
      </c>
      <c r="AA209" s="17">
        <f>'Income Eligible Deemed Table'!DG780</f>
        <v>0</v>
      </c>
      <c r="AB209" s="241">
        <f>'Income Eligible Deemed Table'!K780</f>
        <v>70</v>
      </c>
      <c r="AC209" s="845">
        <f t="shared" si="304"/>
        <v>0</v>
      </c>
      <c r="AD209" s="845">
        <f t="shared" si="297"/>
        <v>0</v>
      </c>
      <c r="AE209" s="580">
        <f>'Income Eligible Deemed Table'!DI780</f>
        <v>0</v>
      </c>
      <c r="AF209" s="191">
        <f>'Income Eligible Deemed Table'!DI781</f>
        <v>0</v>
      </c>
      <c r="AG209" s="191"/>
      <c r="AH209" s="191"/>
      <c r="AI209" s="1307" t="str">
        <f>'Income Eligible Deemed Table'!L780</f>
        <v>per measure</v>
      </c>
      <c r="AJ209" s="68"/>
      <c r="AX209" s="1226" t="str">
        <f t="shared" si="322"/>
        <v>Standard Programmableetback thermostat - full setback - ASHP heating/cooling MF</v>
      </c>
      <c r="AY209" s="1249"/>
      <c r="AZ209" s="1312" t="str">
        <f t="shared" si="323"/>
        <v>403800</v>
      </c>
      <c r="BA209" s="1171" t="s">
        <v>2174</v>
      </c>
      <c r="BB209" s="1171" t="s">
        <v>2174</v>
      </c>
      <c r="BC209" s="1171" t="s">
        <v>2174</v>
      </c>
      <c r="BD209" s="1171" t="s">
        <v>2174</v>
      </c>
      <c r="BE209" s="1176"/>
      <c r="BF209" s="1171" t="s">
        <v>2174</v>
      </c>
      <c r="BG209" s="1171" t="s">
        <v>2174</v>
      </c>
      <c r="BH209" s="1171" t="s">
        <v>2174</v>
      </c>
      <c r="BI209" s="1172" t="s">
        <v>2174</v>
      </c>
      <c r="BJ209" s="1176"/>
      <c r="BK209" s="1171" t="s">
        <v>2174</v>
      </c>
      <c r="BL209" s="1172" t="s">
        <v>2174</v>
      </c>
      <c r="BM209" s="1171" t="s">
        <v>2174</v>
      </c>
      <c r="BN209" s="1172" t="s">
        <v>2174</v>
      </c>
    </row>
    <row r="210" spans="1:66" x14ac:dyDescent="0.25">
      <c r="A210" s="49" t="str">
        <f t="shared" si="302"/>
        <v>403850</v>
      </c>
      <c r="B210" s="1307" t="str">
        <f>'Income Eligible Deemed Table'!C782</f>
        <v>403850_2024_12_</v>
      </c>
      <c r="C210" s="1249" t="str">
        <f>'Income Eligible Deemed Table'!G782</f>
        <v>Cooling RES</v>
      </c>
      <c r="D210" s="1249" t="str">
        <f>'Income Eligible Deemed Table'!G783</f>
        <v>Heating RES</v>
      </c>
      <c r="E210" s="1249"/>
      <c r="F210" s="1249"/>
      <c r="G210" s="1249" t="str">
        <f>'Income Eligible Deemed Table'!E782</f>
        <v>Standard Programmableetback thermostat - full setback - ASHP heating/cooling SF</v>
      </c>
      <c r="H210" s="18" t="str">
        <f>'Income Eligible Deemed Table'!D782</f>
        <v>IE</v>
      </c>
      <c r="I210" s="737">
        <f t="shared" si="324"/>
        <v>0</v>
      </c>
      <c r="J210" s="737">
        <f t="shared" si="325"/>
        <v>0</v>
      </c>
      <c r="K210" s="185">
        <f>'Income Eligible Deemed Table'!F782</f>
        <v>0</v>
      </c>
      <c r="L210" s="185">
        <f>'Income Eligible Deemed Table'!F783</f>
        <v>0</v>
      </c>
      <c r="M210" s="185"/>
      <c r="N210" s="185"/>
      <c r="O210" s="738">
        <f t="shared" si="326"/>
        <v>0</v>
      </c>
      <c r="P210" s="738">
        <f t="shared" si="327"/>
        <v>0</v>
      </c>
      <c r="Q210" s="739">
        <f>'Income Eligible Deemed Table'!I782</f>
        <v>0</v>
      </c>
      <c r="R210" s="739">
        <f>'Income Eligible Deemed Table'!I783</f>
        <v>0</v>
      </c>
      <c r="S210" s="739"/>
      <c r="T210" s="739"/>
      <c r="U210" s="740">
        <f t="shared" si="299"/>
        <v>0</v>
      </c>
      <c r="V210" s="740">
        <f t="shared" si="300"/>
        <v>0</v>
      </c>
      <c r="W210" s="740">
        <f t="shared" si="301"/>
        <v>0</v>
      </c>
      <c r="X210" s="22">
        <f>'Income Eligible Deemed Table'!J782</f>
        <v>10</v>
      </c>
      <c r="Y210" s="22"/>
      <c r="Z210" s="22">
        <f t="shared" si="303"/>
        <v>10</v>
      </c>
      <c r="AA210" s="17">
        <f>'Income Eligible Deemed Table'!DG782</f>
        <v>0</v>
      </c>
      <c r="AB210" s="241">
        <f>'Income Eligible Deemed Table'!K782</f>
        <v>70</v>
      </c>
      <c r="AC210" s="845">
        <f t="shared" si="304"/>
        <v>0</v>
      </c>
      <c r="AD210" s="845">
        <f t="shared" si="297"/>
        <v>0</v>
      </c>
      <c r="AE210" s="580">
        <f>'Income Eligible Deemed Table'!DI782</f>
        <v>0</v>
      </c>
      <c r="AF210" s="191">
        <f>'Income Eligible Deemed Table'!DI783</f>
        <v>0</v>
      </c>
      <c r="AG210" s="191"/>
      <c r="AH210" s="191"/>
      <c r="AI210" s="1307" t="str">
        <f>'Income Eligible Deemed Table'!L782</f>
        <v>per measure</v>
      </c>
      <c r="AJ210" s="68"/>
      <c r="AX210" s="1226" t="str">
        <f t="shared" si="322"/>
        <v>Standard Programmableetback thermostat - full setback - ASHP heating/cooling SF</v>
      </c>
      <c r="AY210" s="1249"/>
      <c r="AZ210" s="1312" t="str">
        <f t="shared" si="323"/>
        <v>403850</v>
      </c>
      <c r="BA210" s="1171" t="s">
        <v>2174</v>
      </c>
      <c r="BB210" s="1171" t="s">
        <v>2174</v>
      </c>
      <c r="BC210" s="1171" t="s">
        <v>2174</v>
      </c>
      <c r="BD210" s="1171" t="s">
        <v>2174</v>
      </c>
      <c r="BE210" s="1176"/>
      <c r="BF210" s="1171" t="s">
        <v>2174</v>
      </c>
      <c r="BG210" s="1171" t="s">
        <v>2174</v>
      </c>
      <c r="BH210" s="1171" t="s">
        <v>2174</v>
      </c>
      <c r="BI210" s="1172" t="s">
        <v>2174</v>
      </c>
      <c r="BJ210" s="1176"/>
      <c r="BK210" s="1171" t="s">
        <v>2174</v>
      </c>
      <c r="BL210" s="1172" t="s">
        <v>2174</v>
      </c>
      <c r="BM210" s="1171" t="s">
        <v>2174</v>
      </c>
      <c r="BN210" s="1172" t="s">
        <v>2174</v>
      </c>
    </row>
    <row r="211" spans="1:66" x14ac:dyDescent="0.25">
      <c r="A211" s="49" t="str">
        <f t="shared" si="302"/>
        <v>403900</v>
      </c>
      <c r="B211" s="1307" t="str">
        <f>'Income Eligible Deemed Table'!C784</f>
        <v>403900_2019_12_</v>
      </c>
      <c r="C211" s="1249" t="str">
        <f>'Income Eligible Deemed Table'!G784</f>
        <v>Cooling RES</v>
      </c>
      <c r="D211" s="1249" t="str">
        <f>'Income Eligible Deemed Table'!G785</f>
        <v>Heating RES</v>
      </c>
      <c r="E211" s="1249"/>
      <c r="F211" s="1249"/>
      <c r="G211" s="1249" t="str">
        <f>'Income Eligible Deemed Table'!E784</f>
        <v>Standard Programmableetback thermostat - full setback - elec furnace heating / central AC MF</v>
      </c>
      <c r="H211" s="18" t="str">
        <f>'Income Eligible Deemed Table'!D784</f>
        <v>IE</v>
      </c>
      <c r="I211" s="737">
        <f t="shared" si="324"/>
        <v>0</v>
      </c>
      <c r="J211" s="737">
        <f t="shared" si="325"/>
        <v>0</v>
      </c>
      <c r="K211" s="185">
        <f>'Income Eligible Deemed Table'!F784</f>
        <v>0</v>
      </c>
      <c r="L211" s="185">
        <f>'Income Eligible Deemed Table'!F785</f>
        <v>0</v>
      </c>
      <c r="M211" s="185"/>
      <c r="N211" s="185"/>
      <c r="O211" s="738">
        <f t="shared" si="326"/>
        <v>0</v>
      </c>
      <c r="P211" s="738">
        <f t="shared" si="327"/>
        <v>0</v>
      </c>
      <c r="Q211" s="739">
        <f>'Income Eligible Deemed Table'!I784</f>
        <v>0</v>
      </c>
      <c r="R211" s="739">
        <f>'Income Eligible Deemed Table'!I785</f>
        <v>0</v>
      </c>
      <c r="S211" s="739"/>
      <c r="T211" s="739"/>
      <c r="U211" s="740">
        <f t="shared" si="299"/>
        <v>0</v>
      </c>
      <c r="V211" s="740">
        <f t="shared" si="300"/>
        <v>0</v>
      </c>
      <c r="W211" s="740">
        <f t="shared" si="301"/>
        <v>0</v>
      </c>
      <c r="X211" s="22">
        <f>'Income Eligible Deemed Table'!J784</f>
        <v>10</v>
      </c>
      <c r="Y211" s="22"/>
      <c r="Z211" s="22">
        <f t="shared" si="303"/>
        <v>10</v>
      </c>
      <c r="AA211" s="17">
        <f>'Income Eligible Deemed Table'!DG784</f>
        <v>0</v>
      </c>
      <c r="AB211" s="241">
        <f>'Income Eligible Deemed Table'!K784</f>
        <v>70</v>
      </c>
      <c r="AC211" s="845">
        <f t="shared" si="304"/>
        <v>0</v>
      </c>
      <c r="AD211" s="845">
        <f t="shared" si="297"/>
        <v>0</v>
      </c>
      <c r="AE211" s="580">
        <f>'Income Eligible Deemed Table'!DI784</f>
        <v>0</v>
      </c>
      <c r="AF211" s="191">
        <f>'Income Eligible Deemed Table'!DI785</f>
        <v>0</v>
      </c>
      <c r="AG211" s="191"/>
      <c r="AH211" s="191"/>
      <c r="AI211" s="1307" t="str">
        <f>'Income Eligible Deemed Table'!L784</f>
        <v>per measure</v>
      </c>
      <c r="AJ211" s="68"/>
      <c r="AX211" s="1226" t="str">
        <f t="shared" si="322"/>
        <v>Standard Programmableetback thermostat - full setback - elec furnace heating / central AC MF</v>
      </c>
      <c r="AY211" s="1249"/>
      <c r="AZ211" s="1312" t="str">
        <f t="shared" si="323"/>
        <v>403900</v>
      </c>
      <c r="BA211" s="1171" t="s">
        <v>2174</v>
      </c>
      <c r="BB211" s="1171" t="s">
        <v>2174</v>
      </c>
      <c r="BC211" s="1171" t="s">
        <v>2174</v>
      </c>
      <c r="BD211" s="1171" t="s">
        <v>2174</v>
      </c>
      <c r="BE211" s="1176"/>
      <c r="BF211" s="1171" t="s">
        <v>2174</v>
      </c>
      <c r="BG211" s="1171" t="s">
        <v>2174</v>
      </c>
      <c r="BH211" s="1171" t="s">
        <v>2174</v>
      </c>
      <c r="BI211" s="1172" t="s">
        <v>2174</v>
      </c>
      <c r="BJ211" s="1176"/>
      <c r="BK211" s="1171" t="s">
        <v>2174</v>
      </c>
      <c r="BL211" s="1172" t="s">
        <v>2174</v>
      </c>
      <c r="BM211" s="1171" t="s">
        <v>2174</v>
      </c>
      <c r="BN211" s="1172" t="s">
        <v>2174</v>
      </c>
    </row>
    <row r="212" spans="1:66" x14ac:dyDescent="0.25">
      <c r="A212" s="49" t="str">
        <f t="shared" si="302"/>
        <v>403950</v>
      </c>
      <c r="B212" s="1307" t="str">
        <f>'Income Eligible Deemed Table'!C786</f>
        <v>403950_2024_12_</v>
      </c>
      <c r="C212" s="1249" t="str">
        <f>'Income Eligible Deemed Table'!G786</f>
        <v>Cooling RES</v>
      </c>
      <c r="D212" s="1249" t="str">
        <f>'Income Eligible Deemed Table'!G787</f>
        <v>Heating RES</v>
      </c>
      <c r="E212" s="1249"/>
      <c r="F212" s="1249"/>
      <c r="G212" s="1249" t="str">
        <f>'Income Eligible Deemed Table'!E786</f>
        <v>Standard Programmableetback thermostat - full setback - elec furnace heating / central AC SF</v>
      </c>
      <c r="H212" s="18" t="str">
        <f>'Income Eligible Deemed Table'!D786</f>
        <v>IE</v>
      </c>
      <c r="I212" s="737">
        <f t="shared" si="324"/>
        <v>0</v>
      </c>
      <c r="J212" s="737">
        <f t="shared" si="325"/>
        <v>0</v>
      </c>
      <c r="K212" s="185">
        <f>'Income Eligible Deemed Table'!F786</f>
        <v>0</v>
      </c>
      <c r="L212" s="185">
        <f>'Income Eligible Deemed Table'!F787</f>
        <v>0</v>
      </c>
      <c r="M212" s="185"/>
      <c r="N212" s="185"/>
      <c r="O212" s="738">
        <f t="shared" si="326"/>
        <v>0</v>
      </c>
      <c r="P212" s="738">
        <f t="shared" si="327"/>
        <v>0</v>
      </c>
      <c r="Q212" s="739">
        <f>'Income Eligible Deemed Table'!I786</f>
        <v>0</v>
      </c>
      <c r="R212" s="739">
        <f>'Income Eligible Deemed Table'!I787</f>
        <v>0</v>
      </c>
      <c r="S212" s="739"/>
      <c r="T212" s="739"/>
      <c r="U212" s="740">
        <f t="shared" si="299"/>
        <v>0</v>
      </c>
      <c r="V212" s="740">
        <f t="shared" si="300"/>
        <v>0</v>
      </c>
      <c r="W212" s="740">
        <f t="shared" si="301"/>
        <v>0</v>
      </c>
      <c r="X212" s="22">
        <f>'Income Eligible Deemed Table'!J786</f>
        <v>10</v>
      </c>
      <c r="Y212" s="22"/>
      <c r="Z212" s="22">
        <f t="shared" si="303"/>
        <v>10</v>
      </c>
      <c r="AA212" s="17">
        <f>'Income Eligible Deemed Table'!DG786</f>
        <v>0</v>
      </c>
      <c r="AB212" s="241">
        <f>'Income Eligible Deemed Table'!K786</f>
        <v>70</v>
      </c>
      <c r="AC212" s="845">
        <f t="shared" si="304"/>
        <v>0</v>
      </c>
      <c r="AD212" s="845">
        <f t="shared" ref="AD212:AD230" si="328">AG212+AH212</f>
        <v>0</v>
      </c>
      <c r="AE212" s="580">
        <f>'Income Eligible Deemed Table'!DI786</f>
        <v>0</v>
      </c>
      <c r="AF212" s="191">
        <f>'Income Eligible Deemed Table'!DI787</f>
        <v>0</v>
      </c>
      <c r="AG212" s="191"/>
      <c r="AH212" s="191"/>
      <c r="AI212" s="1307" t="str">
        <f>'Income Eligible Deemed Table'!L786</f>
        <v>per measure</v>
      </c>
      <c r="AJ212" s="68"/>
      <c r="AX212" s="1226" t="str">
        <f t="shared" si="322"/>
        <v>Standard Programmableetback thermostat - full setback - elec furnace heating / central AC SF</v>
      </c>
      <c r="AY212" s="1249"/>
      <c r="AZ212" s="1312" t="str">
        <f t="shared" si="323"/>
        <v>403950</v>
      </c>
      <c r="BA212" s="1171" t="s">
        <v>2174</v>
      </c>
      <c r="BB212" s="1171" t="s">
        <v>2174</v>
      </c>
      <c r="BC212" s="1171" t="s">
        <v>2174</v>
      </c>
      <c r="BD212" s="1171" t="s">
        <v>2174</v>
      </c>
      <c r="BE212" s="1176"/>
      <c r="BF212" s="1171" t="s">
        <v>2174</v>
      </c>
      <c r="BG212" s="1171" t="s">
        <v>2174</v>
      </c>
      <c r="BH212" s="1171" t="s">
        <v>2174</v>
      </c>
      <c r="BI212" s="1172" t="s">
        <v>2174</v>
      </c>
      <c r="BJ212" s="1176"/>
      <c r="BK212" s="1171" t="s">
        <v>2174</v>
      </c>
      <c r="BL212" s="1172" t="s">
        <v>2174</v>
      </c>
      <c r="BM212" s="1171" t="s">
        <v>2174</v>
      </c>
      <c r="BN212" s="1172" t="s">
        <v>2174</v>
      </c>
    </row>
    <row r="213" spans="1:66" x14ac:dyDescent="0.25">
      <c r="A213" s="49" t="str">
        <f t="shared" si="302"/>
        <v>404000</v>
      </c>
      <c r="B213" s="1307" t="str">
        <f>'Income Eligible Deemed Table'!C788</f>
        <v>404000_2024_12_</v>
      </c>
      <c r="C213" s="1249" t="str">
        <f>'Income Eligible Deemed Table'!G788</f>
        <v>Cooling RES</v>
      </c>
      <c r="D213" s="1249" t="str">
        <f>'Income Eligible Deemed Table'!G789</f>
        <v>Heating RES</v>
      </c>
      <c r="E213" s="1249"/>
      <c r="F213" s="1249"/>
      <c r="G213" s="1249" t="str">
        <f>'Income Eligible Deemed Table'!E788</f>
        <v>Standard Programmableetback thermostat - full setback - gas heating / central AC MF</v>
      </c>
      <c r="H213" s="18" t="str">
        <f>'Income Eligible Deemed Table'!D788</f>
        <v>IE</v>
      </c>
      <c r="I213" s="737">
        <f t="shared" si="324"/>
        <v>0</v>
      </c>
      <c r="J213" s="737">
        <f t="shared" si="325"/>
        <v>0</v>
      </c>
      <c r="K213" s="185">
        <f>'Income Eligible Deemed Table'!F788</f>
        <v>0</v>
      </c>
      <c r="L213" s="185">
        <f>'Income Eligible Deemed Table'!F789</f>
        <v>0</v>
      </c>
      <c r="M213" s="185"/>
      <c r="N213" s="185"/>
      <c r="O213" s="738">
        <f t="shared" si="326"/>
        <v>0</v>
      </c>
      <c r="P213" s="738">
        <f t="shared" si="327"/>
        <v>0</v>
      </c>
      <c r="Q213" s="739">
        <f>'Income Eligible Deemed Table'!I788</f>
        <v>0</v>
      </c>
      <c r="R213" s="739">
        <f>'Income Eligible Deemed Table'!I789</f>
        <v>0</v>
      </c>
      <c r="S213" s="739"/>
      <c r="T213" s="739"/>
      <c r="U213" s="740">
        <f t="shared" si="299"/>
        <v>0</v>
      </c>
      <c r="V213" s="740">
        <f t="shared" si="300"/>
        <v>0</v>
      </c>
      <c r="W213" s="740">
        <f t="shared" si="301"/>
        <v>0</v>
      </c>
      <c r="X213" s="22">
        <f>'Income Eligible Deemed Table'!J788</f>
        <v>10</v>
      </c>
      <c r="Y213" s="22"/>
      <c r="Z213" s="22">
        <f t="shared" si="303"/>
        <v>10</v>
      </c>
      <c r="AA213" s="17">
        <f>'Income Eligible Deemed Table'!DG788</f>
        <v>0</v>
      </c>
      <c r="AB213" s="241">
        <f>'Income Eligible Deemed Table'!K788</f>
        <v>70</v>
      </c>
      <c r="AC213" s="845">
        <f t="shared" si="304"/>
        <v>0</v>
      </c>
      <c r="AD213" s="845">
        <f t="shared" si="328"/>
        <v>0</v>
      </c>
      <c r="AE213" s="580">
        <f>'Income Eligible Deemed Table'!DI788</f>
        <v>0</v>
      </c>
      <c r="AF213" s="191">
        <f>'Income Eligible Deemed Table'!DI789</f>
        <v>0</v>
      </c>
      <c r="AG213" s="191"/>
      <c r="AH213" s="191"/>
      <c r="AI213" s="1307" t="str">
        <f>'Income Eligible Deemed Table'!L788</f>
        <v>per measure</v>
      </c>
      <c r="AJ213" s="68"/>
      <c r="AX213" s="1226" t="str">
        <f t="shared" si="322"/>
        <v>Standard Programmableetback thermostat - full setback - gas heating / central AC MF</v>
      </c>
      <c r="AY213" s="1249"/>
      <c r="AZ213" s="1312" t="str">
        <f t="shared" si="323"/>
        <v>404000</v>
      </c>
      <c r="BA213" s="1171" t="s">
        <v>2174</v>
      </c>
      <c r="BB213" s="1171" t="s">
        <v>2174</v>
      </c>
      <c r="BC213" s="1171" t="s">
        <v>2174</v>
      </c>
      <c r="BD213" s="1171" t="s">
        <v>2174</v>
      </c>
      <c r="BE213" s="1176"/>
      <c r="BF213" s="1171" t="s">
        <v>2174</v>
      </c>
      <c r="BG213" s="1171" t="s">
        <v>2174</v>
      </c>
      <c r="BH213" s="1171" t="s">
        <v>2174</v>
      </c>
      <c r="BI213" s="1172" t="s">
        <v>2174</v>
      </c>
      <c r="BJ213" s="1176"/>
      <c r="BK213" s="1171" t="s">
        <v>2174</v>
      </c>
      <c r="BL213" s="1172" t="s">
        <v>2174</v>
      </c>
      <c r="BM213" s="1171" t="s">
        <v>2174</v>
      </c>
      <c r="BN213" s="1172" t="s">
        <v>2174</v>
      </c>
    </row>
    <row r="214" spans="1:66" x14ac:dyDescent="0.25">
      <c r="A214" s="49" t="str">
        <f t="shared" si="302"/>
        <v>404050</v>
      </c>
      <c r="B214" s="1307" t="str">
        <f>'Income Eligible Deemed Table'!C790</f>
        <v>404050_2019_12_</v>
      </c>
      <c r="C214" s="1249" t="str">
        <f>'Income Eligible Deemed Table'!G790</f>
        <v>Cooling RES</v>
      </c>
      <c r="D214" s="1249" t="str">
        <f>'Income Eligible Deemed Table'!G791</f>
        <v>Heating RES</v>
      </c>
      <c r="E214" s="1249"/>
      <c r="F214" s="1249"/>
      <c r="G214" s="1249" t="str">
        <f>'Income Eligible Deemed Table'!E790</f>
        <v>Standard Programmableetback thermostat for SF - full setback - gas heating / central AC </v>
      </c>
      <c r="H214" s="18" t="str">
        <f>'Income Eligible Deemed Table'!D790</f>
        <v>IE</v>
      </c>
      <c r="I214" s="737">
        <f t="shared" si="324"/>
        <v>0</v>
      </c>
      <c r="J214" s="737">
        <f t="shared" si="325"/>
        <v>0</v>
      </c>
      <c r="K214" s="185">
        <f>'Income Eligible Deemed Table'!F790</f>
        <v>0</v>
      </c>
      <c r="L214" s="185">
        <f>'Income Eligible Deemed Table'!F791</f>
        <v>0</v>
      </c>
      <c r="M214" s="185"/>
      <c r="N214" s="185"/>
      <c r="O214" s="738">
        <f t="shared" si="326"/>
        <v>0</v>
      </c>
      <c r="P214" s="738">
        <f t="shared" si="327"/>
        <v>0</v>
      </c>
      <c r="Q214" s="739">
        <f>'Income Eligible Deemed Table'!I790</f>
        <v>0</v>
      </c>
      <c r="R214" s="739">
        <f>'Income Eligible Deemed Table'!I791</f>
        <v>0</v>
      </c>
      <c r="S214" s="739"/>
      <c r="T214" s="739"/>
      <c r="U214" s="740">
        <f t="shared" si="299"/>
        <v>0</v>
      </c>
      <c r="V214" s="740">
        <f t="shared" si="300"/>
        <v>0</v>
      </c>
      <c r="W214" s="740">
        <f t="shared" si="301"/>
        <v>0</v>
      </c>
      <c r="X214" s="22">
        <f>'Income Eligible Deemed Table'!J790</f>
        <v>10</v>
      </c>
      <c r="Y214" s="22"/>
      <c r="Z214" s="22">
        <f t="shared" si="303"/>
        <v>10</v>
      </c>
      <c r="AA214" s="17">
        <f>'Income Eligible Deemed Table'!DG790</f>
        <v>0</v>
      </c>
      <c r="AB214" s="241">
        <f>'Income Eligible Deemed Table'!K790</f>
        <v>70</v>
      </c>
      <c r="AC214" s="845">
        <f t="shared" si="304"/>
        <v>0</v>
      </c>
      <c r="AD214" s="845">
        <f t="shared" si="328"/>
        <v>0</v>
      </c>
      <c r="AE214" s="580">
        <f>'Income Eligible Deemed Table'!DI790</f>
        <v>0</v>
      </c>
      <c r="AF214" s="191">
        <f>'Income Eligible Deemed Table'!DI791</f>
        <v>0</v>
      </c>
      <c r="AG214" s="191"/>
      <c r="AH214" s="191"/>
      <c r="AI214" s="1307" t="str">
        <f>'Income Eligible Deemed Table'!L790</f>
        <v>per measure</v>
      </c>
      <c r="AJ214" s="68"/>
      <c r="AX214" s="1226" t="str">
        <f t="shared" si="322"/>
        <v>Standard Programmableetback thermostat for SF - full setback - gas heating / central AC </v>
      </c>
      <c r="AY214" s="1249"/>
      <c r="AZ214" s="1312" t="str">
        <f t="shared" si="323"/>
        <v>404050</v>
      </c>
      <c r="BA214" s="1171" t="s">
        <v>2174</v>
      </c>
      <c r="BB214" s="1171" t="s">
        <v>2174</v>
      </c>
      <c r="BC214" s="1171" t="s">
        <v>2174</v>
      </c>
      <c r="BD214" s="1171" t="s">
        <v>2174</v>
      </c>
      <c r="BE214" s="1176"/>
      <c r="BF214" s="1171" t="s">
        <v>2174</v>
      </c>
      <c r="BG214" s="1171" t="s">
        <v>2174</v>
      </c>
      <c r="BH214" s="1171" t="s">
        <v>2174</v>
      </c>
      <c r="BI214" s="1172" t="s">
        <v>2174</v>
      </c>
      <c r="BJ214" s="1176"/>
      <c r="BK214" s="1171" t="s">
        <v>2174</v>
      </c>
      <c r="BL214" s="1172" t="s">
        <v>2174</v>
      </c>
      <c r="BM214" s="1171" t="s">
        <v>2174</v>
      </c>
      <c r="BN214" s="1172" t="s">
        <v>2174</v>
      </c>
    </row>
    <row r="215" spans="1:66" x14ac:dyDescent="0.25">
      <c r="A215" s="49" t="str">
        <f t="shared" si="302"/>
        <v>404450</v>
      </c>
      <c r="B215" s="1307" t="str">
        <f>'Income Eligible Deemed Table'!C846</f>
        <v>404450_2024_12_</v>
      </c>
      <c r="C215" s="1249" t="str">
        <f>'Income Eligible Deemed Table'!G846</f>
        <v>Lighting RES</v>
      </c>
      <c r="D215" s="1249"/>
      <c r="E215" s="1249"/>
      <c r="F215" s="1249"/>
      <c r="G215" s="1249" t="str">
        <f>'Income Eligible Deemed Table'!E846</f>
        <v>LED - 10.5W Downlight E26 IE DI</v>
      </c>
      <c r="H215" s="18" t="str">
        <f>'Income Eligible Deemed Table'!D846</f>
        <v>PAYS / IE</v>
      </c>
      <c r="I215" s="737">
        <f>'Income Eligible Deemed Table'!F846</f>
        <v>44.56</v>
      </c>
      <c r="J215" s="737"/>
      <c r="K215" s="185"/>
      <c r="L215" s="185"/>
      <c r="M215" s="185"/>
      <c r="N215" s="185"/>
      <c r="O215" s="738">
        <f>'Income Eligible Deemed Table'!M846</f>
        <v>6.6509999999999998E-3</v>
      </c>
      <c r="P215" s="738"/>
      <c r="Q215" s="739"/>
      <c r="R215" s="739"/>
      <c r="S215" s="739"/>
      <c r="T215" s="739"/>
      <c r="U215" s="740">
        <f t="shared" ref="U215:U230" si="329">IFERROR(IF(V215+W215&gt;0,0,IF(Z215&gt;0,O215,0)),0)</f>
        <v>6.6509999999999998E-3</v>
      </c>
      <c r="V215" s="740">
        <f t="shared" ref="V215:V230" si="330">IF(W215&gt;0,0,IF(Z215&gt;9,O215,0))</f>
        <v>0</v>
      </c>
      <c r="W215" s="740">
        <f t="shared" ref="W215:W230" si="331">IF(Z215&gt;14,O215,0)</f>
        <v>0</v>
      </c>
      <c r="X215" s="22">
        <f>'Income Eligible Deemed Table'!N846</f>
        <v>8</v>
      </c>
      <c r="Y215" s="22"/>
      <c r="Z215" s="22">
        <f t="shared" si="303"/>
        <v>8</v>
      </c>
      <c r="AA215" s="17">
        <f>'Income Eligible Deemed Table'!DG846</f>
        <v>10.714425002390662</v>
      </c>
      <c r="AB215" s="241">
        <f>'Income Eligible Deemed Table'!P846</f>
        <v>1.66</v>
      </c>
      <c r="AC215" s="845">
        <f t="shared" si="304"/>
        <v>17.785945503968499</v>
      </c>
      <c r="AD215" s="845">
        <f t="shared" si="328"/>
        <v>0</v>
      </c>
      <c r="AE215" s="580">
        <f>'Income Eligible Deemed Table'!DI846</f>
        <v>17.785945503968499</v>
      </c>
      <c r="AF215" s="191"/>
      <c r="AG215" s="191"/>
      <c r="AH215" s="191"/>
      <c r="AI215" s="854" t="str">
        <f>'Income Eligible Deemed Table'!R846</f>
        <v>per measure</v>
      </c>
      <c r="AJ215" s="68"/>
      <c r="AX215" s="1226" t="str">
        <f t="shared" si="322"/>
        <v>LED - 10.5W Downlight E26 IE DI</v>
      </c>
      <c r="AY215" s="1249"/>
      <c r="AZ215" s="1312" t="str">
        <f t="shared" si="323"/>
        <v>404450</v>
      </c>
      <c r="BA215" s="1171" t="s">
        <v>2174</v>
      </c>
      <c r="BB215" s="1171" t="s">
        <v>2174</v>
      </c>
      <c r="BC215" s="1171" t="s">
        <v>2174</v>
      </c>
      <c r="BD215" s="1171" t="s">
        <v>2174</v>
      </c>
      <c r="BE215" s="1176"/>
      <c r="BF215" s="1171" t="s">
        <v>2174</v>
      </c>
      <c r="BG215" s="1171" t="s">
        <v>2174</v>
      </c>
      <c r="BH215" s="1171" t="s">
        <v>2174</v>
      </c>
      <c r="BI215" s="1172" t="s">
        <v>2174</v>
      </c>
      <c r="BJ215" s="1176"/>
      <c r="BK215" s="1171" t="s">
        <v>2174</v>
      </c>
      <c r="BL215" s="1172" t="s">
        <v>2174</v>
      </c>
      <c r="BM215" s="1171" t="s">
        <v>2174</v>
      </c>
      <c r="BN215" s="1172" t="s">
        <v>2174</v>
      </c>
    </row>
    <row r="216" spans="1:66" x14ac:dyDescent="0.25">
      <c r="A216" s="49" t="str">
        <f t="shared" si="302"/>
        <v>404500</v>
      </c>
      <c r="B216" s="1307" t="str">
        <f>'Income Eligible Deemed Table'!C847</f>
        <v>404500_2024_12_</v>
      </c>
      <c r="C216" s="1249" t="str">
        <f>'Income Eligible Deemed Table'!G847</f>
        <v>Lighting RES</v>
      </c>
      <c r="D216" s="1249"/>
      <c r="E216" s="1249"/>
      <c r="F216" s="1249"/>
      <c r="G216" s="1249" t="str">
        <f>'Income Eligible Deemed Table'!E847</f>
        <v>LED - 10W (750-899 lumens) IEDI</v>
      </c>
      <c r="H216" s="18" t="str">
        <f>'Income Eligible Deemed Table'!D847</f>
        <v>PAYS / IE</v>
      </c>
      <c r="I216" s="737">
        <f>'Income Eligible Deemed Table'!F847</f>
        <v>22.22</v>
      </c>
      <c r="J216" s="737"/>
      <c r="K216" s="185"/>
      <c r="L216" s="185"/>
      <c r="M216" s="185"/>
      <c r="N216" s="185"/>
      <c r="O216" s="738">
        <f>'Income Eligible Deemed Table'!M847</f>
        <v>3.3159999999999999E-3</v>
      </c>
      <c r="P216" s="738"/>
      <c r="Q216" s="739"/>
      <c r="R216" s="739"/>
      <c r="S216" s="739"/>
      <c r="T216" s="739"/>
      <c r="U216" s="740">
        <f t="shared" si="329"/>
        <v>3.3159999999999999E-3</v>
      </c>
      <c r="V216" s="740">
        <f t="shared" si="330"/>
        <v>0</v>
      </c>
      <c r="W216" s="740">
        <f t="shared" si="331"/>
        <v>0</v>
      </c>
      <c r="X216" s="22">
        <f>'Income Eligible Deemed Table'!N847</f>
        <v>8</v>
      </c>
      <c r="Y216" s="22"/>
      <c r="Z216" s="22">
        <f t="shared" si="303"/>
        <v>8</v>
      </c>
      <c r="AA216" s="17">
        <f>'Income Eligible Deemed Table'!DG847</f>
        <v>6.1165682705717206</v>
      </c>
      <c r="AB216" s="241">
        <f>'Income Eligible Deemed Table'!P847</f>
        <v>1.45</v>
      </c>
      <c r="AC216" s="845">
        <f t="shared" si="304"/>
        <v>8.8690239923289944</v>
      </c>
      <c r="AD216" s="845">
        <f t="shared" si="328"/>
        <v>0</v>
      </c>
      <c r="AE216" s="580">
        <f>'Income Eligible Deemed Table'!DI847</f>
        <v>8.8690239923289944</v>
      </c>
      <c r="AF216" s="191"/>
      <c r="AG216" s="191"/>
      <c r="AH216" s="191"/>
      <c r="AI216" s="854" t="str">
        <f>'Income Eligible Deemed Table'!R847</f>
        <v>per measure</v>
      </c>
      <c r="AJ216" s="68"/>
      <c r="AX216" s="1226" t="str">
        <f t="shared" si="322"/>
        <v>LED - 10W (750-899 lumens) IEDI</v>
      </c>
      <c r="AY216" s="1249"/>
      <c r="AZ216" s="1312" t="str">
        <f t="shared" si="323"/>
        <v>404500</v>
      </c>
      <c r="BA216" s="1171" t="s">
        <v>2174</v>
      </c>
      <c r="BB216" s="1171" t="s">
        <v>2174</v>
      </c>
      <c r="BC216" s="1171" t="s">
        <v>2174</v>
      </c>
      <c r="BD216" s="1171" t="s">
        <v>2174</v>
      </c>
      <c r="BE216" s="1176"/>
      <c r="BF216" s="1171" t="s">
        <v>2174</v>
      </c>
      <c r="BG216" s="1171" t="s">
        <v>2174</v>
      </c>
      <c r="BH216" s="1171" t="s">
        <v>2174</v>
      </c>
      <c r="BI216" s="1172" t="s">
        <v>2174</v>
      </c>
      <c r="BJ216" s="1176"/>
      <c r="BK216" s="1171" t="s">
        <v>2174</v>
      </c>
      <c r="BL216" s="1172" t="s">
        <v>2174</v>
      </c>
      <c r="BM216" s="1171" t="s">
        <v>2174</v>
      </c>
      <c r="BN216" s="1172" t="s">
        <v>2174</v>
      </c>
    </row>
    <row r="217" spans="1:66" s="39" customFormat="1" x14ac:dyDescent="0.25">
      <c r="A217" s="49" t="str">
        <f t="shared" si="302"/>
        <v>404600</v>
      </c>
      <c r="B217" s="1307" t="str">
        <f>'Income Eligible Deemed Table'!C848</f>
        <v>404600_2024_12_</v>
      </c>
      <c r="C217" s="1249" t="str">
        <f>'Income Eligible Deemed Table'!G848</f>
        <v>Lighting RES</v>
      </c>
      <c r="D217" s="1249"/>
      <c r="E217" s="1249"/>
      <c r="F217" s="1249"/>
      <c r="G217" s="1249" t="str">
        <f>'Income Eligible Deemed Table'!E848</f>
        <v>LED - 12W Dimmable Light Bulb IE DI</v>
      </c>
      <c r="H217" s="18" t="str">
        <f>'Income Eligible Deemed Table'!D848</f>
        <v>PAYS / IE</v>
      </c>
      <c r="I217" s="737">
        <f>'Income Eligible Deemed Table'!F848</f>
        <v>58.33</v>
      </c>
      <c r="J217" s="737"/>
      <c r="K217" s="185"/>
      <c r="L217" s="185"/>
      <c r="M217" s="185"/>
      <c r="N217" s="185"/>
      <c r="O217" s="738">
        <f>'Income Eligible Deemed Table'!M848</f>
        <v>8.7049999999999992E-3</v>
      </c>
      <c r="P217" s="738"/>
      <c r="Q217" s="739"/>
      <c r="R217" s="739"/>
      <c r="S217" s="739"/>
      <c r="T217" s="739"/>
      <c r="U217" s="740">
        <f t="shared" si="329"/>
        <v>8.7049999999999992E-3</v>
      </c>
      <c r="V217" s="740">
        <f t="shared" si="330"/>
        <v>0</v>
      </c>
      <c r="W217" s="740">
        <f t="shared" si="331"/>
        <v>0</v>
      </c>
      <c r="X217" s="22">
        <f>'Income Eligible Deemed Table'!N848</f>
        <v>8</v>
      </c>
      <c r="Y217" s="22"/>
      <c r="Z217" s="22">
        <f t="shared" si="303"/>
        <v>8</v>
      </c>
      <c r="AA217" s="17">
        <f>'Income Eligible Deemed Table'!DG848</f>
        <v>14.025413159547739</v>
      </c>
      <c r="AB217" s="241">
        <f>'Income Eligible Deemed Table'!P848</f>
        <v>1.66</v>
      </c>
      <c r="AC217" s="845">
        <f t="shared" si="304"/>
        <v>23.282185844849245</v>
      </c>
      <c r="AD217" s="845">
        <f t="shared" si="328"/>
        <v>0</v>
      </c>
      <c r="AE217" s="580">
        <f>'Income Eligible Deemed Table'!DI848</f>
        <v>23.282185844849245</v>
      </c>
      <c r="AF217" s="191"/>
      <c r="AG217" s="191"/>
      <c r="AH217" s="191"/>
      <c r="AI217" s="854" t="str">
        <f>'Income Eligible Deemed Table'!R848</f>
        <v>per measure</v>
      </c>
      <c r="AJ217" s="68"/>
      <c r="AK217"/>
      <c r="AL217"/>
      <c r="AM217"/>
      <c r="AN217"/>
      <c r="AO217"/>
      <c r="AP217"/>
      <c r="AQ217"/>
      <c r="AR217"/>
      <c r="AS217"/>
      <c r="AT217"/>
      <c r="AU217"/>
      <c r="AV217"/>
      <c r="AW217"/>
      <c r="AX217" s="1226" t="str">
        <f t="shared" si="322"/>
        <v>LED - 12W Dimmable Light Bulb IE DI</v>
      </c>
      <c r="AY217" s="1249"/>
      <c r="AZ217" s="1312" t="str">
        <f t="shared" si="323"/>
        <v>404600</v>
      </c>
      <c r="BA217" s="1171" t="s">
        <v>2174</v>
      </c>
      <c r="BB217" s="1171" t="s">
        <v>2174</v>
      </c>
      <c r="BC217" s="1171" t="s">
        <v>2174</v>
      </c>
      <c r="BD217" s="1171" t="s">
        <v>2174</v>
      </c>
      <c r="BE217" s="1177"/>
      <c r="BF217" s="1171" t="s">
        <v>2174</v>
      </c>
      <c r="BG217" s="1171" t="s">
        <v>2174</v>
      </c>
      <c r="BH217" s="1171" t="s">
        <v>2174</v>
      </c>
      <c r="BI217" s="1172" t="s">
        <v>2174</v>
      </c>
      <c r="BJ217" s="1176"/>
      <c r="BK217" s="1171" t="s">
        <v>2174</v>
      </c>
      <c r="BL217" s="1172" t="s">
        <v>2174</v>
      </c>
      <c r="BM217" s="1171" t="s">
        <v>2174</v>
      </c>
      <c r="BN217" s="1172" t="s">
        <v>2174</v>
      </c>
    </row>
    <row r="218" spans="1:66" x14ac:dyDescent="0.25">
      <c r="A218" s="49" t="str">
        <f t="shared" si="302"/>
        <v>404650</v>
      </c>
      <c r="B218" s="1307" t="str">
        <f>'Income Eligible Deemed Table'!C849</f>
        <v>404650_2024_12_</v>
      </c>
      <c r="C218" s="1249" t="str">
        <f>'Income Eligible Deemed Table'!G849</f>
        <v>Lighting RES</v>
      </c>
      <c r="D218" s="1249"/>
      <c r="E218" s="1249"/>
      <c r="F218" s="1249"/>
      <c r="G218" s="1249" t="str">
        <f>'Income Eligible Deemed Table'!E849</f>
        <v>LED - 15W (900-1399 lumens) IEDI</v>
      </c>
      <c r="H218" s="18" t="str">
        <f>'Income Eligible Deemed Table'!D849</f>
        <v>PAYS / IE</v>
      </c>
      <c r="I218" s="737">
        <f>'Income Eligible Deemed Table'!F849</f>
        <v>27.79</v>
      </c>
      <c r="J218" s="737"/>
      <c r="K218" s="185"/>
      <c r="L218" s="185"/>
      <c r="M218" s="185"/>
      <c r="N218" s="185"/>
      <c r="O218" s="738">
        <f>'Income Eligible Deemed Table'!M849</f>
        <v>4.1469999999999996E-3</v>
      </c>
      <c r="P218" s="738"/>
      <c r="Q218" s="739"/>
      <c r="R218" s="739"/>
      <c r="S218" s="739"/>
      <c r="T218" s="739"/>
      <c r="U218" s="740">
        <f t="shared" si="329"/>
        <v>4.1469999999999996E-3</v>
      </c>
      <c r="V218" s="740">
        <f t="shared" si="330"/>
        <v>0</v>
      </c>
      <c r="W218" s="740">
        <f t="shared" si="331"/>
        <v>0</v>
      </c>
      <c r="X218" s="22">
        <f>'Income Eligible Deemed Table'!N849</f>
        <v>8</v>
      </c>
      <c r="Y218" s="22"/>
      <c r="Z218" s="22">
        <f t="shared" si="303"/>
        <v>8</v>
      </c>
      <c r="AA218" s="17">
        <f>'Income Eligible Deemed Table'!DG849</f>
        <v>7.6498394347069363</v>
      </c>
      <c r="AB218" s="241">
        <f>'Income Eligible Deemed Table'!P849</f>
        <v>1.45</v>
      </c>
      <c r="AC218" s="845">
        <f t="shared" si="304"/>
        <v>11.092267180325058</v>
      </c>
      <c r="AD218" s="845">
        <f t="shared" si="328"/>
        <v>0</v>
      </c>
      <c r="AE218" s="580">
        <f>'Income Eligible Deemed Table'!DI849</f>
        <v>11.092267180325058</v>
      </c>
      <c r="AF218" s="191"/>
      <c r="AG218" s="191"/>
      <c r="AH218" s="191"/>
      <c r="AI218" s="854" t="str">
        <f>'Income Eligible Deemed Table'!R849</f>
        <v>per measure</v>
      </c>
      <c r="AJ218" s="68"/>
      <c r="AX218" s="1226" t="str">
        <f t="shared" si="322"/>
        <v>LED - 15W (900-1399 lumens) IEDI</v>
      </c>
      <c r="AY218" s="1249"/>
      <c r="AZ218" s="1312" t="str">
        <f t="shared" si="323"/>
        <v>404650</v>
      </c>
      <c r="BA218" s="1171" t="s">
        <v>2174</v>
      </c>
      <c r="BB218" s="1171" t="s">
        <v>2174</v>
      </c>
      <c r="BC218" s="1171" t="s">
        <v>2174</v>
      </c>
      <c r="BD218" s="1171" t="s">
        <v>2174</v>
      </c>
      <c r="BE218" s="1176"/>
      <c r="BF218" s="1171" t="s">
        <v>2174</v>
      </c>
      <c r="BG218" s="1171" t="s">
        <v>2174</v>
      </c>
      <c r="BH218" s="1171" t="s">
        <v>2174</v>
      </c>
      <c r="BI218" s="1172" t="s">
        <v>2174</v>
      </c>
      <c r="BJ218" s="1176"/>
      <c r="BK218" s="1171" t="s">
        <v>2174</v>
      </c>
      <c r="BL218" s="1172" t="s">
        <v>2174</v>
      </c>
      <c r="BM218" s="1171" t="s">
        <v>2174</v>
      </c>
      <c r="BN218" s="1172" t="s">
        <v>2174</v>
      </c>
    </row>
    <row r="219" spans="1:66" x14ac:dyDescent="0.25">
      <c r="A219" s="49" t="str">
        <f t="shared" si="302"/>
        <v>404651</v>
      </c>
      <c r="B219" s="1307" t="str">
        <f>'Income Eligible Deemed Table'!C850</f>
        <v>404651_2024_12_</v>
      </c>
      <c r="C219" s="1249" t="str">
        <f>'Income Eligible Deemed Table'!G850</f>
        <v>Lighting RES</v>
      </c>
      <c r="D219" s="1249"/>
      <c r="E219" s="1249"/>
      <c r="F219" s="1249"/>
      <c r="G219" s="1249" t="str">
        <f>'Income Eligible Deemed Table'!E850</f>
        <v>LED - 11W Flood Light BR30 Bulb IE DI</v>
      </c>
      <c r="H219" s="18" t="str">
        <f>'Income Eligible Deemed Table'!D850</f>
        <v>PAYS / IE</v>
      </c>
      <c r="I219" s="737">
        <f>'Income Eligible Deemed Table'!F850</f>
        <v>41.94</v>
      </c>
      <c r="J219" s="737"/>
      <c r="K219" s="185"/>
      <c r="L219" s="185"/>
      <c r="M219" s="185"/>
      <c r="N219" s="185"/>
      <c r="O219" s="738">
        <f>'Income Eligible Deemed Table'!M850</f>
        <v>6.2599999999999999E-3</v>
      </c>
      <c r="P219" s="738"/>
      <c r="Q219" s="739"/>
      <c r="R219" s="739"/>
      <c r="S219" s="739"/>
      <c r="T219" s="739"/>
      <c r="U219" s="740">
        <f t="shared" si="329"/>
        <v>6.2599999999999999E-3</v>
      </c>
      <c r="V219" s="740">
        <f t="shared" si="330"/>
        <v>0</v>
      </c>
      <c r="W219" s="740">
        <f t="shared" si="331"/>
        <v>0</v>
      </c>
      <c r="X219" s="22">
        <f>'Income Eligible Deemed Table'!N850</f>
        <v>8</v>
      </c>
      <c r="Y219" s="22"/>
      <c r="Z219" s="22">
        <f t="shared" si="303"/>
        <v>8</v>
      </c>
      <c r="AA219" s="17">
        <f>'Income Eligible Deemed Table'!DG850</f>
        <v>10.084447589772537</v>
      </c>
      <c r="AB219" s="241">
        <f>'Income Eligible Deemed Table'!P850</f>
        <v>1.66</v>
      </c>
      <c r="AC219" s="845">
        <f t="shared" si="304"/>
        <v>16.740182999022412</v>
      </c>
      <c r="AD219" s="845">
        <f t="shared" si="328"/>
        <v>0</v>
      </c>
      <c r="AE219" s="580">
        <f>'Income Eligible Deemed Table'!DI850</f>
        <v>16.740182999022412</v>
      </c>
      <c r="AF219" s="191"/>
      <c r="AG219" s="191"/>
      <c r="AH219" s="191"/>
      <c r="AI219" s="854" t="str">
        <f>'Income Eligible Deemed Table'!R850</f>
        <v>per measure</v>
      </c>
      <c r="AJ219" s="644"/>
      <c r="AK219" s="39"/>
      <c r="AL219" s="39"/>
      <c r="AX219" s="1226" t="str">
        <f t="shared" si="322"/>
        <v>LED - 11W Flood Light BR30 Bulb IE DI</v>
      </c>
      <c r="AY219" s="1249"/>
      <c r="AZ219" s="1312" t="str">
        <f t="shared" si="323"/>
        <v>404651</v>
      </c>
      <c r="BA219" s="1171" t="s">
        <v>2174</v>
      </c>
      <c r="BB219" s="1171" t="s">
        <v>2174</v>
      </c>
      <c r="BC219" s="1171" t="s">
        <v>2174</v>
      </c>
      <c r="BD219" s="1171" t="s">
        <v>2174</v>
      </c>
      <c r="BE219" s="1176"/>
      <c r="BF219" s="1171" t="s">
        <v>2174</v>
      </c>
      <c r="BG219" s="1171" t="s">
        <v>2174</v>
      </c>
      <c r="BH219" s="1171" t="s">
        <v>2174</v>
      </c>
      <c r="BI219" s="1172" t="s">
        <v>2174</v>
      </c>
      <c r="BJ219" s="1176"/>
      <c r="BK219" s="1171" t="s">
        <v>2174</v>
      </c>
      <c r="BL219" s="1172" t="s">
        <v>2174</v>
      </c>
      <c r="BM219" s="1171" t="s">
        <v>2174</v>
      </c>
      <c r="BN219" s="1172" t="s">
        <v>2174</v>
      </c>
    </row>
    <row r="220" spans="1:66" x14ac:dyDescent="0.25">
      <c r="A220" s="49" t="str">
        <f t="shared" si="302"/>
        <v>404700</v>
      </c>
      <c r="B220" s="1307" t="str">
        <f>'Income Eligible Deemed Table'!C851</f>
        <v>404700_2024_12_</v>
      </c>
      <c r="C220" s="1249" t="str">
        <f>'Income Eligible Deemed Table'!G851</f>
        <v>Lighting RES</v>
      </c>
      <c r="D220" s="1249"/>
      <c r="E220" s="1249"/>
      <c r="F220" s="1249"/>
      <c r="G220" s="1249" t="str">
        <f>'Income Eligible Deemed Table'!E851</f>
        <v>LED - 15W Flood Light PAR30 Bulb IE DI</v>
      </c>
      <c r="H220" s="18" t="str">
        <f>'Income Eligible Deemed Table'!D851</f>
        <v>PAYS / IE</v>
      </c>
      <c r="I220" s="737">
        <f>'Income Eligible Deemed Table'!F851</f>
        <v>69.47</v>
      </c>
      <c r="J220" s="737"/>
      <c r="K220" s="185"/>
      <c r="L220" s="185"/>
      <c r="M220" s="185"/>
      <c r="N220" s="185"/>
      <c r="O220" s="738">
        <f>'Income Eligible Deemed Table'!M851</f>
        <v>1.0368E-2</v>
      </c>
      <c r="P220" s="738"/>
      <c r="Q220" s="739"/>
      <c r="R220" s="739"/>
      <c r="S220" s="739"/>
      <c r="T220" s="739"/>
      <c r="U220" s="740">
        <f t="shared" si="329"/>
        <v>1.0368E-2</v>
      </c>
      <c r="V220" s="740">
        <f t="shared" si="330"/>
        <v>0</v>
      </c>
      <c r="W220" s="740">
        <f t="shared" si="331"/>
        <v>0</v>
      </c>
      <c r="X220" s="22">
        <f>'Income Eligible Deemed Table'!N851</f>
        <v>8</v>
      </c>
      <c r="Y220" s="22"/>
      <c r="Z220" s="22">
        <f t="shared" si="303"/>
        <v>8</v>
      </c>
      <c r="AA220" s="17">
        <f>'Income Eligible Deemed Table'!DG851</f>
        <v>16.704019410145406</v>
      </c>
      <c r="AB220" s="241">
        <f>'Income Eligible Deemed Table'!P851</f>
        <v>1.66</v>
      </c>
      <c r="AC220" s="845">
        <f t="shared" si="304"/>
        <v>27.728672220841371</v>
      </c>
      <c r="AD220" s="845">
        <f t="shared" si="328"/>
        <v>0</v>
      </c>
      <c r="AE220" s="580">
        <f>'Income Eligible Deemed Table'!DI851</f>
        <v>27.728672220841371</v>
      </c>
      <c r="AF220" s="191"/>
      <c r="AG220" s="191"/>
      <c r="AH220" s="191"/>
      <c r="AI220" s="854" t="str">
        <f>'Income Eligible Deemed Table'!R851</f>
        <v>per measure</v>
      </c>
      <c r="AJ220" s="68"/>
      <c r="AX220" s="1226" t="str">
        <f t="shared" si="322"/>
        <v>LED - 15W Flood Light PAR30 Bulb IE DI</v>
      </c>
      <c r="AY220" s="1249"/>
      <c r="AZ220" s="1312" t="str">
        <f t="shared" si="323"/>
        <v>404700</v>
      </c>
      <c r="BA220" s="1171" t="s">
        <v>2174</v>
      </c>
      <c r="BB220" s="1171" t="s">
        <v>2174</v>
      </c>
      <c r="BC220" s="1171" t="s">
        <v>2174</v>
      </c>
      <c r="BD220" s="1171" t="s">
        <v>2174</v>
      </c>
      <c r="BE220" s="1176"/>
      <c r="BF220" s="1171" t="s">
        <v>2174</v>
      </c>
      <c r="BG220" s="1171" t="s">
        <v>2174</v>
      </c>
      <c r="BH220" s="1171" t="s">
        <v>2174</v>
      </c>
      <c r="BI220" s="1172" t="s">
        <v>2174</v>
      </c>
      <c r="BJ220" s="1176"/>
      <c r="BK220" s="1171" t="s">
        <v>2174</v>
      </c>
      <c r="BL220" s="1172" t="s">
        <v>2174</v>
      </c>
      <c r="BM220" s="1171" t="s">
        <v>2174</v>
      </c>
      <c r="BN220" s="1172" t="s">
        <v>2174</v>
      </c>
    </row>
    <row r="221" spans="1:66" x14ac:dyDescent="0.25">
      <c r="A221" s="49" t="str">
        <f t="shared" si="302"/>
        <v>404750</v>
      </c>
      <c r="B221" s="1307" t="str">
        <f>'Income Eligible Deemed Table'!C852</f>
        <v>404750_2024_12_</v>
      </c>
      <c r="C221" s="1249" t="str">
        <f>'Income Eligible Deemed Table'!G852</f>
        <v>Lighting RES</v>
      </c>
      <c r="D221" s="1249"/>
      <c r="E221" s="1249"/>
      <c r="F221" s="1249"/>
      <c r="G221" s="1249" t="str">
        <f>'Income Eligible Deemed Table'!E852</f>
        <v>LED - 18W Flood Light PAR38 Bulb IE DI</v>
      </c>
      <c r="H221" s="18" t="str">
        <f>'Income Eligible Deemed Table'!D852</f>
        <v>PAYS / IE</v>
      </c>
      <c r="I221" s="737">
        <f>'Income Eligible Deemed Table'!F852</f>
        <v>87.16</v>
      </c>
      <c r="J221" s="737"/>
      <c r="K221" s="185"/>
      <c r="L221" s="185"/>
      <c r="M221" s="185"/>
      <c r="N221" s="185"/>
      <c r="O221" s="738">
        <f>'Income Eligible Deemed Table'!M852</f>
        <v>1.3009E-2</v>
      </c>
      <c r="P221" s="738"/>
      <c r="Q221" s="739"/>
      <c r="R221" s="739"/>
      <c r="S221" s="739"/>
      <c r="T221" s="739"/>
      <c r="U221" s="740">
        <f t="shared" si="329"/>
        <v>1.3009E-2</v>
      </c>
      <c r="V221" s="740">
        <f t="shared" si="330"/>
        <v>0</v>
      </c>
      <c r="W221" s="740">
        <f t="shared" si="331"/>
        <v>0</v>
      </c>
      <c r="X221" s="22">
        <f>'Income Eligible Deemed Table'!N852</f>
        <v>8</v>
      </c>
      <c r="Y221" s="22"/>
      <c r="Z221" s="22">
        <f t="shared" si="303"/>
        <v>8</v>
      </c>
      <c r="AA221" s="17">
        <f>'Income Eligible Deemed Table'!DG852</f>
        <v>20.957569192288378</v>
      </c>
      <c r="AB221" s="241">
        <f>'Income Eligible Deemed Table'!P852</f>
        <v>1.66</v>
      </c>
      <c r="AC221" s="845">
        <f t="shared" si="304"/>
        <v>34.789564859198705</v>
      </c>
      <c r="AD221" s="845">
        <f t="shared" si="328"/>
        <v>0</v>
      </c>
      <c r="AE221" s="580">
        <f>'Income Eligible Deemed Table'!DI852</f>
        <v>34.789564859198705</v>
      </c>
      <c r="AF221" s="191"/>
      <c r="AG221" s="191"/>
      <c r="AH221" s="191"/>
      <c r="AI221" s="854" t="str">
        <f>'Income Eligible Deemed Table'!R852</f>
        <v>per measure</v>
      </c>
      <c r="AJ221" s="68"/>
      <c r="AX221" s="1226" t="str">
        <f t="shared" si="322"/>
        <v>LED - 18W Flood Light PAR38 Bulb IE DI</v>
      </c>
      <c r="AY221" s="1249"/>
      <c r="AZ221" s="1312" t="str">
        <f t="shared" si="323"/>
        <v>404750</v>
      </c>
      <c r="BA221" s="1171" t="s">
        <v>2174</v>
      </c>
      <c r="BB221" s="1171" t="s">
        <v>2174</v>
      </c>
      <c r="BC221" s="1171" t="s">
        <v>2174</v>
      </c>
      <c r="BD221" s="1171" t="s">
        <v>2174</v>
      </c>
      <c r="BE221" s="1176"/>
      <c r="BF221" s="1171" t="s">
        <v>2174</v>
      </c>
      <c r="BG221" s="1171" t="s">
        <v>2174</v>
      </c>
      <c r="BH221" s="1171" t="s">
        <v>2174</v>
      </c>
      <c r="BI221" s="1172" t="s">
        <v>2174</v>
      </c>
      <c r="BJ221" s="1176"/>
      <c r="BK221" s="1171" t="s">
        <v>2174</v>
      </c>
      <c r="BL221" s="1172" t="s">
        <v>2174</v>
      </c>
      <c r="BM221" s="1171" t="s">
        <v>2174</v>
      </c>
      <c r="BN221" s="1172" t="s">
        <v>2174</v>
      </c>
    </row>
    <row r="222" spans="1:66" x14ac:dyDescent="0.25">
      <c r="A222" s="49" t="str">
        <f t="shared" si="302"/>
        <v>404800</v>
      </c>
      <c r="B222" s="1307" t="str">
        <f>'Income Eligible Deemed Table'!C853</f>
        <v>404800_2024_12_</v>
      </c>
      <c r="C222" s="1249" t="str">
        <f>'Income Eligible Deemed Table'!G853</f>
        <v>Lighting RES</v>
      </c>
      <c r="D222" s="1249"/>
      <c r="E222" s="1249"/>
      <c r="F222" s="1249"/>
      <c r="G222" s="1249" t="str">
        <f>'Income Eligible Deemed Table'!E853</f>
        <v>LED - 20W (1400-1999 lumens) IEDI</v>
      </c>
      <c r="H222" s="18" t="str">
        <f>'Income Eligible Deemed Table'!D853</f>
        <v>PAYS / IE</v>
      </c>
      <c r="I222" s="737">
        <f>'Income Eligible Deemed Table'!F853</f>
        <v>37.35</v>
      </c>
      <c r="J222" s="737"/>
      <c r="K222" s="185"/>
      <c r="L222" s="185"/>
      <c r="M222" s="185"/>
      <c r="N222" s="185"/>
      <c r="O222" s="738">
        <f>'Income Eligible Deemed Table'!M853</f>
        <v>5.5750000000000001E-3</v>
      </c>
      <c r="P222" s="738"/>
      <c r="Q222" s="739"/>
      <c r="R222" s="739"/>
      <c r="S222" s="739"/>
      <c r="T222" s="739"/>
      <c r="U222" s="740">
        <f t="shared" si="329"/>
        <v>5.5750000000000001E-3</v>
      </c>
      <c r="V222" s="740">
        <f t="shared" si="330"/>
        <v>0</v>
      </c>
      <c r="W222" s="740">
        <f t="shared" si="331"/>
        <v>0</v>
      </c>
      <c r="X222" s="22">
        <f>'Income Eligible Deemed Table'!N853</f>
        <v>8</v>
      </c>
      <c r="Y222" s="22"/>
      <c r="Z222" s="22">
        <f t="shared" si="303"/>
        <v>8</v>
      </c>
      <c r="AA222" s="17">
        <f>'Income Eligible Deemed Table'!DG853</f>
        <v>10.281450265789999</v>
      </c>
      <c r="AB222" s="241">
        <f>'Income Eligible Deemed Table'!P853</f>
        <v>1.45</v>
      </c>
      <c r="AC222" s="845">
        <f t="shared" si="304"/>
        <v>14.908102885395499</v>
      </c>
      <c r="AD222" s="845">
        <f t="shared" si="328"/>
        <v>0</v>
      </c>
      <c r="AE222" s="580">
        <f>'Income Eligible Deemed Table'!DI853</f>
        <v>14.908102885395499</v>
      </c>
      <c r="AF222" s="191"/>
      <c r="AG222" s="191"/>
      <c r="AH222" s="191"/>
      <c r="AI222" s="854" t="str">
        <f>'Income Eligible Deemed Table'!R853</f>
        <v>per measure</v>
      </c>
      <c r="AJ222" s="68"/>
      <c r="AX222" s="1226" t="str">
        <f t="shared" si="322"/>
        <v>LED - 20W (1400-1999 lumens) IEDI</v>
      </c>
      <c r="AY222" s="1249"/>
      <c r="AZ222" s="1312" t="str">
        <f t="shared" si="323"/>
        <v>404800</v>
      </c>
      <c r="BA222" s="1171" t="s">
        <v>2174</v>
      </c>
      <c r="BB222" s="1171" t="s">
        <v>2174</v>
      </c>
      <c r="BC222" s="1171" t="s">
        <v>2174</v>
      </c>
      <c r="BD222" s="1171" t="s">
        <v>2174</v>
      </c>
      <c r="BE222" s="1176"/>
      <c r="BF222" s="1171" t="s">
        <v>2174</v>
      </c>
      <c r="BG222" s="1171" t="s">
        <v>2174</v>
      </c>
      <c r="BH222" s="1171" t="s">
        <v>2174</v>
      </c>
      <c r="BI222" s="1172" t="s">
        <v>2174</v>
      </c>
      <c r="BJ222" s="1176"/>
      <c r="BK222" s="1171" t="s">
        <v>2174</v>
      </c>
      <c r="BL222" s="1172" t="s">
        <v>2174</v>
      </c>
      <c r="BM222" s="1171" t="s">
        <v>2174</v>
      </c>
      <c r="BN222" s="1172" t="s">
        <v>2174</v>
      </c>
    </row>
    <row r="223" spans="1:66" x14ac:dyDescent="0.25">
      <c r="A223" s="49" t="str">
        <f t="shared" si="302"/>
        <v>404850</v>
      </c>
      <c r="B223" s="1307" t="str">
        <f>'Income Eligible Deemed Table'!C854</f>
        <v>404850_2024_12_</v>
      </c>
      <c r="C223" s="1249" t="str">
        <f>'Income Eligible Deemed Table'!G854</f>
        <v>Lighting RES</v>
      </c>
      <c r="D223" s="1249"/>
      <c r="E223" s="1249"/>
      <c r="F223" s="1249"/>
      <c r="G223" s="1249" t="str">
        <f>'Income Eligible Deemed Table'!E854</f>
        <v>LED - 4W Candelabra Specialty IE DI</v>
      </c>
      <c r="H223" s="18" t="str">
        <f>'Income Eligible Deemed Table'!D854</f>
        <v>PAYS / IE</v>
      </c>
      <c r="I223" s="737">
        <f>'Income Eligible Deemed Table'!F854</f>
        <v>23.26</v>
      </c>
      <c r="J223" s="737"/>
      <c r="K223" s="185"/>
      <c r="L223" s="185"/>
      <c r="M223" s="185"/>
      <c r="N223" s="185"/>
      <c r="O223" s="738">
        <f>'Income Eligible Deemed Table'!M854</f>
        <v>3.4719999999999998E-3</v>
      </c>
      <c r="P223" s="738"/>
      <c r="Q223" s="739"/>
      <c r="R223" s="739"/>
      <c r="S223" s="739"/>
      <c r="T223" s="739"/>
      <c r="U223" s="740">
        <f t="shared" si="329"/>
        <v>3.4719999999999998E-3</v>
      </c>
      <c r="V223" s="740">
        <f t="shared" si="330"/>
        <v>0</v>
      </c>
      <c r="W223" s="740">
        <f t="shared" si="331"/>
        <v>0</v>
      </c>
      <c r="X223" s="22">
        <f>'Income Eligible Deemed Table'!N854</f>
        <v>8</v>
      </c>
      <c r="Y223" s="22"/>
      <c r="Z223" s="22">
        <f t="shared" si="303"/>
        <v>8</v>
      </c>
      <c r="AA223" s="17">
        <f>'Income Eligible Deemed Table'!DG854</f>
        <v>5.592852907441805</v>
      </c>
      <c r="AB223" s="241">
        <f>'Income Eligible Deemed Table'!P854</f>
        <v>1.66</v>
      </c>
      <c r="AC223" s="845">
        <f t="shared" si="304"/>
        <v>9.2841358263533955</v>
      </c>
      <c r="AD223" s="845">
        <f t="shared" si="328"/>
        <v>0</v>
      </c>
      <c r="AE223" s="580">
        <f>'Income Eligible Deemed Table'!DI854</f>
        <v>9.2841358263533955</v>
      </c>
      <c r="AF223" s="191"/>
      <c r="AG223" s="191"/>
      <c r="AH223" s="191"/>
      <c r="AI223" s="854" t="str">
        <f>'Income Eligible Deemed Table'!R854</f>
        <v>per measure</v>
      </c>
      <c r="AJ223" s="68"/>
      <c r="AX223" s="1226" t="str">
        <f t="shared" si="322"/>
        <v>LED - 4W Candelabra Specialty IE DI</v>
      </c>
      <c r="AY223" s="1249"/>
      <c r="AZ223" s="1312" t="str">
        <f t="shared" si="323"/>
        <v>404850</v>
      </c>
      <c r="BA223" s="1171" t="s">
        <v>2174</v>
      </c>
      <c r="BB223" s="1171" t="s">
        <v>2174</v>
      </c>
      <c r="BC223" s="1171" t="s">
        <v>2174</v>
      </c>
      <c r="BD223" s="1171" t="s">
        <v>2174</v>
      </c>
      <c r="BE223" s="1176"/>
      <c r="BF223" s="1171" t="s">
        <v>2174</v>
      </c>
      <c r="BG223" s="1171" t="s">
        <v>2174</v>
      </c>
      <c r="BH223" s="1171" t="s">
        <v>2174</v>
      </c>
      <c r="BI223" s="1172" t="s">
        <v>2174</v>
      </c>
      <c r="BJ223" s="1176"/>
      <c r="BK223" s="1171" t="s">
        <v>2174</v>
      </c>
      <c r="BL223" s="1172" t="s">
        <v>2174</v>
      </c>
      <c r="BM223" s="1171" t="s">
        <v>2174</v>
      </c>
      <c r="BN223" s="1172" t="s">
        <v>2174</v>
      </c>
    </row>
    <row r="224" spans="1:66" x14ac:dyDescent="0.25">
      <c r="A224" s="49" t="str">
        <f t="shared" si="302"/>
        <v>404950</v>
      </c>
      <c r="B224" s="1307" t="str">
        <f>'Income Eligible Deemed Table'!C855</f>
        <v>404950_2024_12_</v>
      </c>
      <c r="C224" s="1249" t="str">
        <f>'Income Eligible Deemed Table'!G855</f>
        <v>Lighting RES</v>
      </c>
      <c r="D224" s="1249"/>
      <c r="E224" s="1249"/>
      <c r="F224" s="1249"/>
      <c r="G224" s="1249" t="str">
        <f>'Income Eligible Deemed Table'!E855</f>
        <v>LED - 8W Globe Light G25 Bulb Specialty IE DI</v>
      </c>
      <c r="H224" s="18" t="str">
        <f>'Income Eligible Deemed Table'!D855</f>
        <v>PAYS / IE</v>
      </c>
      <c r="I224" s="737">
        <f>'Income Eligible Deemed Table'!F855</f>
        <v>60.95</v>
      </c>
      <c r="J224" s="737"/>
      <c r="K224" s="185"/>
      <c r="L224" s="185"/>
      <c r="M224" s="185"/>
      <c r="N224" s="185"/>
      <c r="O224" s="738">
        <f>'Income Eligible Deemed Table'!M855</f>
        <v>9.0969999999999992E-3</v>
      </c>
      <c r="P224" s="738"/>
      <c r="Q224" s="739"/>
      <c r="R224" s="739"/>
      <c r="S224" s="739"/>
      <c r="T224" s="739"/>
      <c r="U224" s="740">
        <f t="shared" si="329"/>
        <v>9.0969999999999992E-3</v>
      </c>
      <c r="V224" s="740">
        <f t="shared" si="330"/>
        <v>0</v>
      </c>
      <c r="W224" s="740">
        <f t="shared" si="331"/>
        <v>0</v>
      </c>
      <c r="X224" s="22">
        <f>'Income Eligible Deemed Table'!N855</f>
        <v>8</v>
      </c>
      <c r="Y224" s="22"/>
      <c r="Z224" s="22">
        <f t="shared" si="303"/>
        <v>8</v>
      </c>
      <c r="AA224" s="17">
        <f>'Income Eligible Deemed Table'!DG855</f>
        <v>14.655390572165864</v>
      </c>
      <c r="AB224" s="241">
        <f>'Income Eligible Deemed Table'!P855</f>
        <v>1.66</v>
      </c>
      <c r="AC224" s="845">
        <f t="shared" si="304"/>
        <v>24.327948349795331</v>
      </c>
      <c r="AD224" s="845">
        <f t="shared" si="328"/>
        <v>0</v>
      </c>
      <c r="AE224" s="580">
        <f>'Income Eligible Deemed Table'!DI855</f>
        <v>24.327948349795331</v>
      </c>
      <c r="AF224" s="191"/>
      <c r="AG224" s="191"/>
      <c r="AH224" s="191"/>
      <c r="AI224" s="854" t="str">
        <f>'Income Eligible Deemed Table'!R855</f>
        <v>per measure</v>
      </c>
      <c r="AJ224" s="68"/>
      <c r="AX224" s="1226" t="str">
        <f t="shared" si="322"/>
        <v>LED - 8W Globe Light G25 Bulb Specialty IE DI</v>
      </c>
      <c r="AY224" s="1249"/>
      <c r="AZ224" s="1312" t="str">
        <f t="shared" si="323"/>
        <v>404950</v>
      </c>
      <c r="BA224" s="1171" t="s">
        <v>2174</v>
      </c>
      <c r="BB224" s="1171" t="s">
        <v>2174</v>
      </c>
      <c r="BC224" s="1171" t="s">
        <v>2174</v>
      </c>
      <c r="BD224" s="1171" t="s">
        <v>2174</v>
      </c>
      <c r="BE224" s="1176"/>
      <c r="BF224" s="1171" t="s">
        <v>2174</v>
      </c>
      <c r="BG224" s="1171" t="s">
        <v>2174</v>
      </c>
      <c r="BH224" s="1171" t="s">
        <v>2174</v>
      </c>
      <c r="BI224" s="1172" t="s">
        <v>2174</v>
      </c>
      <c r="BJ224" s="1176"/>
      <c r="BK224" s="1171" t="s">
        <v>2174</v>
      </c>
      <c r="BL224" s="1172" t="s">
        <v>2174</v>
      </c>
      <c r="BM224" s="1171" t="s">
        <v>2174</v>
      </c>
      <c r="BN224" s="1172" t="s">
        <v>2174</v>
      </c>
    </row>
    <row r="225" spans="1:66" x14ac:dyDescent="0.25">
      <c r="A225" s="49" t="str">
        <f t="shared" ref="A225:A232" si="332">LEFT(B225,6)</f>
        <v>405410</v>
      </c>
      <c r="B225" s="1307" t="str">
        <f>'Income Eligible Deemed Table'!C856</f>
        <v>405410_2024_12_</v>
      </c>
      <c r="C225" s="1249" t="str">
        <f>'Income Eligible Deemed Table'!G856</f>
        <v>Lighting RES</v>
      </c>
      <c r="D225" s="1249"/>
      <c r="E225" s="1249"/>
      <c r="F225" s="1249"/>
      <c r="G225" s="1249" t="str">
        <f>'Income Eligible Deemed Table'!E856</f>
        <v>LED - 6W (400-749 lumens) IEDI</v>
      </c>
      <c r="H225" s="18" t="str">
        <f>'Income Eligible Deemed Table'!D856</f>
        <v>PAYS / IE</v>
      </c>
      <c r="I225" s="737">
        <f>'Income Eligible Deemed Table'!F856</f>
        <v>15.07</v>
      </c>
      <c r="J225" s="737"/>
      <c r="K225" s="185"/>
      <c r="L225" s="185"/>
      <c r="M225" s="185"/>
      <c r="N225" s="185"/>
      <c r="O225" s="738">
        <f>'Income Eligible Deemed Table'!M856</f>
        <v>2.2499999999999998E-3</v>
      </c>
      <c r="P225" s="738"/>
      <c r="Q225" s="739"/>
      <c r="R225" s="739"/>
      <c r="S225" s="739"/>
      <c r="T225" s="739"/>
      <c r="U225" s="740">
        <f t="shared" si="329"/>
        <v>2.2499999999999998E-3</v>
      </c>
      <c r="V225" s="740">
        <f t="shared" si="330"/>
        <v>0</v>
      </c>
      <c r="W225" s="740">
        <f t="shared" si="331"/>
        <v>0</v>
      </c>
      <c r="X225" s="22">
        <f>'Income Eligible Deemed Table'!N856</f>
        <v>8</v>
      </c>
      <c r="Y225" s="22"/>
      <c r="Z225" s="22">
        <f t="shared" ref="Z225:Z232" si="333">Y225+X225</f>
        <v>8</v>
      </c>
      <c r="AA225" s="17">
        <f>'Income Eligible Deemed Table'!DG856</f>
        <v>4.1483656092491374</v>
      </c>
      <c r="AB225" s="241">
        <f>'Income Eligible Deemed Table'!P856</f>
        <v>1.45</v>
      </c>
      <c r="AC225" s="845">
        <f t="shared" ref="AC225:AC232" si="334">AE225+AF225</f>
        <v>6.0151301334112492</v>
      </c>
      <c r="AD225" s="845">
        <f t="shared" si="328"/>
        <v>0</v>
      </c>
      <c r="AE225" s="580">
        <f>'Income Eligible Deemed Table'!DI856</f>
        <v>6.0151301334112492</v>
      </c>
      <c r="AF225" s="191"/>
      <c r="AG225" s="191"/>
      <c r="AH225" s="191"/>
      <c r="AI225" s="854" t="str">
        <f>'Income Eligible Deemed Table'!R856</f>
        <v>per measure</v>
      </c>
      <c r="AJ225" s="644"/>
      <c r="AK225" s="39"/>
      <c r="AL225" s="39"/>
      <c r="AX225" s="1226" t="str">
        <f t="shared" si="322"/>
        <v>LED - 6W (400-749 lumens) IEDI</v>
      </c>
      <c r="AY225" s="1249"/>
      <c r="AZ225" s="1312" t="str">
        <f t="shared" si="323"/>
        <v>405410</v>
      </c>
      <c r="BA225" s="1171" t="s">
        <v>2174</v>
      </c>
      <c r="BB225" s="1171" t="s">
        <v>2174</v>
      </c>
      <c r="BC225" s="1171" t="s">
        <v>2174</v>
      </c>
      <c r="BD225" s="1171" t="s">
        <v>2174</v>
      </c>
      <c r="BE225" s="1176"/>
      <c r="BF225" s="1171" t="s">
        <v>2174</v>
      </c>
      <c r="BG225" s="1171" t="s">
        <v>2174</v>
      </c>
      <c r="BH225" s="1171" t="s">
        <v>2174</v>
      </c>
      <c r="BI225" s="1172" t="s">
        <v>2174</v>
      </c>
      <c r="BJ225" s="1176"/>
      <c r="BK225" s="1171" t="s">
        <v>2174</v>
      </c>
      <c r="BL225" s="1172" t="s">
        <v>2174</v>
      </c>
      <c r="BM225" s="1171" t="s">
        <v>2174</v>
      </c>
      <c r="BN225" s="1172" t="s">
        <v>2174</v>
      </c>
    </row>
    <row r="226" spans="1:66" s="39" customFormat="1" x14ac:dyDescent="0.25">
      <c r="A226" s="49" t="str">
        <f t="shared" si="332"/>
        <v>405430</v>
      </c>
      <c r="B226" s="1307" t="str">
        <f>'Income Eligible Deemed Table'!C857</f>
        <v>405430_2024_12_</v>
      </c>
      <c r="C226" s="1249" t="str">
        <f>'Income Eligible Deemed Table'!G857</f>
        <v>Lighting RES</v>
      </c>
      <c r="D226" s="1249"/>
      <c r="E226" s="1249"/>
      <c r="F226" s="1249"/>
      <c r="G226" s="1249" t="str">
        <f>'Income Eligible Deemed Table'!E857</f>
        <v>LED Nightlights</v>
      </c>
      <c r="H226" s="18" t="str">
        <f>'Income Eligible Deemed Table'!D857</f>
        <v>IE</v>
      </c>
      <c r="I226" s="737">
        <f>'Income Eligible Deemed Table'!F857</f>
        <v>28.53</v>
      </c>
      <c r="J226" s="737"/>
      <c r="K226" s="185"/>
      <c r="L226" s="185"/>
      <c r="M226" s="185"/>
      <c r="N226" s="185"/>
      <c r="O226" s="738">
        <f>'Income Eligible Deemed Table'!M857</f>
        <v>4.2579999999999996E-3</v>
      </c>
      <c r="P226" s="738"/>
      <c r="Q226" s="739"/>
      <c r="R226" s="739"/>
      <c r="S226" s="739"/>
      <c r="T226" s="739"/>
      <c r="U226" s="740">
        <f t="shared" si="329"/>
        <v>4.2579999999999996E-3</v>
      </c>
      <c r="V226" s="740">
        <f t="shared" si="330"/>
        <v>0</v>
      </c>
      <c r="W226" s="740">
        <f t="shared" si="331"/>
        <v>0</v>
      </c>
      <c r="X226" s="22">
        <f>'Income Eligible Deemed Table'!N857</f>
        <v>8</v>
      </c>
      <c r="Y226" s="22"/>
      <c r="Z226" s="22">
        <f t="shared" si="333"/>
        <v>8</v>
      </c>
      <c r="AA226" s="17">
        <f>'Income Eligible Deemed Table'!DG857</f>
        <v>3.3992940943502052</v>
      </c>
      <c r="AB226" s="241">
        <f>'Income Eligible Deemed Table'!P857</f>
        <v>3.35</v>
      </c>
      <c r="AC226" s="845">
        <f t="shared" si="334"/>
        <v>11.387635216073187</v>
      </c>
      <c r="AD226" s="845">
        <f t="shared" si="328"/>
        <v>0</v>
      </c>
      <c r="AE226" s="580">
        <f>'Income Eligible Deemed Table'!DI857</f>
        <v>11.387635216073187</v>
      </c>
      <c r="AF226" s="191"/>
      <c r="AG226" s="191"/>
      <c r="AH226" s="191"/>
      <c r="AI226" s="854" t="str">
        <f>'Income Eligible Deemed Table'!R857</f>
        <v>per measure</v>
      </c>
      <c r="AJ226" s="644"/>
      <c r="AM226"/>
      <c r="AN226"/>
      <c r="AO226"/>
      <c r="AP226"/>
      <c r="AQ226"/>
      <c r="AR226"/>
      <c r="AS226"/>
      <c r="AT226"/>
      <c r="AU226"/>
      <c r="AV226"/>
      <c r="AW226"/>
      <c r="AX226" s="1226" t="str">
        <f t="shared" si="322"/>
        <v>LED Nightlights</v>
      </c>
      <c r="AY226" s="1249"/>
      <c r="AZ226" s="1312" t="str">
        <f t="shared" si="323"/>
        <v>405430</v>
      </c>
      <c r="BA226" s="1171" t="s">
        <v>2174</v>
      </c>
      <c r="BB226" s="1171" t="s">
        <v>2174</v>
      </c>
      <c r="BC226" s="1171" t="s">
        <v>2174</v>
      </c>
      <c r="BD226" s="1171" t="s">
        <v>2174</v>
      </c>
      <c r="BE226" s="1177"/>
      <c r="BF226" s="1171" t="s">
        <v>2174</v>
      </c>
      <c r="BG226" s="1171" t="s">
        <v>2174</v>
      </c>
      <c r="BH226" s="1171" t="s">
        <v>2174</v>
      </c>
      <c r="BI226" s="1172" t="s">
        <v>2174</v>
      </c>
      <c r="BJ226" s="1176"/>
      <c r="BK226" s="1171" t="s">
        <v>2174</v>
      </c>
      <c r="BL226" s="1172" t="s">
        <v>2174</v>
      </c>
      <c r="BM226" s="1171" t="s">
        <v>2174</v>
      </c>
      <c r="BN226" s="1172" t="s">
        <v>2174</v>
      </c>
    </row>
    <row r="227" spans="1:66" x14ac:dyDescent="0.25">
      <c r="A227" s="49" t="str">
        <f t="shared" si="332"/>
        <v>405750</v>
      </c>
      <c r="B227" s="1307" t="str">
        <f>'Income Eligible Deemed Table'!C923</f>
        <v>405750_2024_12_</v>
      </c>
      <c r="C227" s="1249" t="str">
        <f>'Income Eligible Deemed Table'!G923</f>
        <v>Miscellaneous RES</v>
      </c>
      <c r="D227" s="1249"/>
      <c r="E227" s="1249"/>
      <c r="F227" s="1249"/>
      <c r="G227" s="1249" t="str">
        <f>'Income Eligible Deemed Table'!E923</f>
        <v>Advanced Tier 2 Power Strips: Infrared ,TOS/NC</v>
      </c>
      <c r="H227" s="18" t="str">
        <f>'Income Eligible Deemed Table'!D923</f>
        <v>IE</v>
      </c>
      <c r="I227" s="737">
        <f>'Income Eligible Deemed Table'!F923</f>
        <v>177.07999999999998</v>
      </c>
      <c r="J227" s="737"/>
      <c r="K227" s="185"/>
      <c r="L227" s="185"/>
      <c r="M227" s="185"/>
      <c r="N227" s="185"/>
      <c r="O227" s="738">
        <f>'Income Eligible Deemed Table'!I923</f>
        <v>2.0333E-2</v>
      </c>
      <c r="P227" s="738"/>
      <c r="Q227" s="739"/>
      <c r="R227" s="739"/>
      <c r="S227" s="739"/>
      <c r="T227" s="739"/>
      <c r="U227" s="740">
        <f t="shared" si="329"/>
        <v>0</v>
      </c>
      <c r="V227" s="740">
        <f t="shared" si="330"/>
        <v>2.0333E-2</v>
      </c>
      <c r="W227" s="740">
        <f t="shared" si="331"/>
        <v>0</v>
      </c>
      <c r="X227" s="22">
        <f>'Income Eligible Deemed Table'!J923</f>
        <v>10</v>
      </c>
      <c r="Y227" s="22"/>
      <c r="Z227" s="22">
        <f t="shared" si="333"/>
        <v>10</v>
      </c>
      <c r="AA227" s="17">
        <f>'Income Eligible Deemed Table'!DG923</f>
        <v>1.4787956550776207</v>
      </c>
      <c r="AB227" s="241">
        <f>'Income Eligible Deemed Table'!K923</f>
        <v>60</v>
      </c>
      <c r="AC227" s="845">
        <f t="shared" si="334"/>
        <v>88.727739304657234</v>
      </c>
      <c r="AD227" s="845">
        <f t="shared" si="328"/>
        <v>0</v>
      </c>
      <c r="AE227" s="580">
        <f>'Income Eligible Deemed Table'!DI923</f>
        <v>88.727739304657234</v>
      </c>
      <c r="AF227" s="191"/>
      <c r="AG227" s="191"/>
      <c r="AH227" s="191"/>
      <c r="AI227" s="1307" t="str">
        <f>'Income Eligible Deemed Table'!L923</f>
        <v>per measure</v>
      </c>
      <c r="AJ227" s="68"/>
      <c r="AX227" s="1226" t="str">
        <f t="shared" ref="AX227:AX232" si="335">G227</f>
        <v>Advanced Tier 2 Power Strips: Infrared ,TOS/NC</v>
      </c>
      <c r="AY227" s="1249"/>
      <c r="AZ227" s="1312" t="str">
        <f t="shared" ref="AZ227:AZ232" si="336">A227</f>
        <v>405750</v>
      </c>
      <c r="BA227" s="1171" t="s">
        <v>2174</v>
      </c>
      <c r="BB227" s="1171" t="s">
        <v>2174</v>
      </c>
      <c r="BC227" s="1171" t="s">
        <v>2174</v>
      </c>
      <c r="BD227" s="1171" t="s">
        <v>2174</v>
      </c>
      <c r="BE227" s="1176"/>
      <c r="BF227" s="1171" t="s">
        <v>2174</v>
      </c>
      <c r="BG227" s="1171" t="s">
        <v>2174</v>
      </c>
      <c r="BH227" s="1171" t="s">
        <v>2174</v>
      </c>
      <c r="BI227" s="1172" t="s">
        <v>2174</v>
      </c>
      <c r="BJ227" s="1176"/>
      <c r="BK227" s="1171" t="s">
        <v>2174</v>
      </c>
      <c r="BL227" s="1172" t="s">
        <v>2174</v>
      </c>
      <c r="BM227" s="1171" t="s">
        <v>2174</v>
      </c>
      <c r="BN227" s="1172" t="s">
        <v>2174</v>
      </c>
    </row>
    <row r="228" spans="1:66" x14ac:dyDescent="0.25">
      <c r="A228" s="49" t="str">
        <f t="shared" si="332"/>
        <v>405751</v>
      </c>
      <c r="B228" s="1307" t="str">
        <f>'Income Eligible Deemed Table'!C924</f>
        <v>405751_2024_12_</v>
      </c>
      <c r="C228" s="1249" t="str">
        <f>'Income Eligible Deemed Table'!G924</f>
        <v>Miscellaneous RES</v>
      </c>
      <c r="D228" s="1249"/>
      <c r="E228" s="1249"/>
      <c r="F228" s="1249"/>
      <c r="G228" s="1249" t="str">
        <f>'Income Eligible Deemed Table'!E924</f>
        <v>Advanced Tier 2 Power Strips: Infrared DI</v>
      </c>
      <c r="H228" s="18" t="str">
        <f>'Income Eligible Deemed Table'!D924</f>
        <v>IE</v>
      </c>
      <c r="I228" s="737">
        <f>'Income Eligible Deemed Table'!F924</f>
        <v>177.07999999999998</v>
      </c>
      <c r="J228" s="737"/>
      <c r="K228" s="185"/>
      <c r="L228" s="185"/>
      <c r="M228" s="185"/>
      <c r="N228" s="185"/>
      <c r="O228" s="738">
        <f>'Income Eligible Deemed Table'!I924</f>
        <v>2.0333E-2</v>
      </c>
      <c r="P228" s="738"/>
      <c r="Q228" s="739"/>
      <c r="R228" s="739"/>
      <c r="S228" s="739"/>
      <c r="T228" s="739"/>
      <c r="U228" s="740">
        <f t="shared" si="329"/>
        <v>0</v>
      </c>
      <c r="V228" s="740">
        <f t="shared" si="330"/>
        <v>2.0333E-2</v>
      </c>
      <c r="W228" s="740">
        <f t="shared" si="331"/>
        <v>0</v>
      </c>
      <c r="X228" s="22">
        <f>'Income Eligible Deemed Table'!J924</f>
        <v>10</v>
      </c>
      <c r="Y228" s="22"/>
      <c r="Z228" s="22">
        <f t="shared" si="333"/>
        <v>10</v>
      </c>
      <c r="AA228" s="17">
        <f>'Income Eligible Deemed Table'!DG924</f>
        <v>1.4787956550776207</v>
      </c>
      <c r="AB228" s="241">
        <f>'Income Eligible Deemed Table'!K924</f>
        <v>60</v>
      </c>
      <c r="AC228" s="845">
        <f t="shared" si="334"/>
        <v>88.727739304657234</v>
      </c>
      <c r="AD228" s="845">
        <f t="shared" si="328"/>
        <v>0</v>
      </c>
      <c r="AE228" s="580">
        <f>'Income Eligible Deemed Table'!DI924</f>
        <v>88.727739304657234</v>
      </c>
      <c r="AF228" s="191"/>
      <c r="AG228" s="191"/>
      <c r="AH228" s="191"/>
      <c r="AI228" s="1307" t="str">
        <f>'Income Eligible Deemed Table'!L924</f>
        <v>per measure</v>
      </c>
      <c r="AJ228" s="644"/>
      <c r="AK228" s="39"/>
      <c r="AL228" s="39"/>
      <c r="AX228" s="1226" t="str">
        <f t="shared" si="335"/>
        <v>Advanced Tier 2 Power Strips: Infrared DI</v>
      </c>
      <c r="AY228" s="1249"/>
      <c r="AZ228" s="1312" t="str">
        <f t="shared" si="336"/>
        <v>405751</v>
      </c>
      <c r="BA228" s="1171" t="s">
        <v>2174</v>
      </c>
      <c r="BB228" s="1171" t="s">
        <v>2174</v>
      </c>
      <c r="BC228" s="1171" t="s">
        <v>2174</v>
      </c>
      <c r="BD228" s="1171" t="s">
        <v>2174</v>
      </c>
      <c r="BE228" s="1176"/>
      <c r="BF228" s="1171" t="s">
        <v>2174</v>
      </c>
      <c r="BG228" s="1171" t="s">
        <v>2174</v>
      </c>
      <c r="BH228" s="1171" t="s">
        <v>2174</v>
      </c>
      <c r="BI228" s="1172" t="s">
        <v>2174</v>
      </c>
      <c r="BJ228" s="1176"/>
      <c r="BK228" s="1171" t="s">
        <v>2174</v>
      </c>
      <c r="BL228" s="1172" t="s">
        <v>2174</v>
      </c>
      <c r="BM228" s="1171" t="s">
        <v>2174</v>
      </c>
      <c r="BN228" s="1172" t="s">
        <v>2174</v>
      </c>
    </row>
    <row r="229" spans="1:66" x14ac:dyDescent="0.25">
      <c r="A229" s="49" t="str">
        <f t="shared" si="332"/>
        <v>405800</v>
      </c>
      <c r="B229" s="1307" t="str">
        <f>'Income Eligible Deemed Table'!C940</f>
        <v>405800_2024_12_</v>
      </c>
      <c r="C229" s="1249" t="str">
        <f>'Income Eligible Deemed Table'!G940</f>
        <v>Refrigeration RES</v>
      </c>
      <c r="D229" s="1249" t="str">
        <f>'Income Eligible Deemed Table'!G941</f>
        <v>Refrigeration RES ER2</v>
      </c>
      <c r="E229" s="1249"/>
      <c r="F229" s="1249"/>
      <c r="G229" s="1249" t="str">
        <f>'Income Eligible Deemed Table'!E940</f>
        <v>Refrigerator - early replacement ER1</v>
      </c>
      <c r="H229" s="18" t="str">
        <f>'Income Eligible Deemed Table'!D940</f>
        <v>IE</v>
      </c>
      <c r="I229" s="737">
        <f>'Income Eligible Deemed Table'!F940</f>
        <v>643.5</v>
      </c>
      <c r="J229" s="737">
        <f>'Income Eligible Deemed Table'!F941</f>
        <v>41.53</v>
      </c>
      <c r="K229" s="185"/>
      <c r="L229" s="185"/>
      <c r="M229" s="185"/>
      <c r="N229" s="185"/>
      <c r="O229" s="738">
        <f>'Income Eligible Deemed Table'!I940</f>
        <v>8.2706000000000002E-2</v>
      </c>
      <c r="P229" s="738">
        <f>'Income Eligible Deemed Table'!I941</f>
        <v>5.3379999999999999E-3</v>
      </c>
      <c r="Q229" s="739"/>
      <c r="R229" s="739"/>
      <c r="S229" s="739"/>
      <c r="T229" s="739"/>
      <c r="U229" s="740">
        <f t="shared" si="329"/>
        <v>0</v>
      </c>
      <c r="V229" s="740">
        <f t="shared" si="330"/>
        <v>0</v>
      </c>
      <c r="W229" s="740">
        <f t="shared" si="331"/>
        <v>8.2706000000000002E-2</v>
      </c>
      <c r="X229" s="22">
        <f>'Income Eligible Deemed Table'!J940</f>
        <v>5</v>
      </c>
      <c r="Y229" s="22">
        <f>'Income Eligible Deemed Table'!J941</f>
        <v>10</v>
      </c>
      <c r="Z229" s="22">
        <f t="shared" si="333"/>
        <v>15</v>
      </c>
      <c r="AA229" s="17">
        <f>'Income Eligible Deemed Table'!DG940</f>
        <v>7.0802679163207047</v>
      </c>
      <c r="AB229" s="241">
        <f>'Income Eligible Deemed Table'!K940</f>
        <v>28</v>
      </c>
      <c r="AC229" s="845">
        <f t="shared" si="334"/>
        <v>182.88494132325033</v>
      </c>
      <c r="AD229" s="845">
        <f t="shared" si="328"/>
        <v>15.362560333729393</v>
      </c>
      <c r="AE229" s="580">
        <f>'Income Eligible Deemed Table'!DI940</f>
        <v>182.88494132325033</v>
      </c>
      <c r="AF229" s="191"/>
      <c r="AG229" s="848">
        <f>'Income Eligible Deemed Table'!DI941</f>
        <v>15.362560333729393</v>
      </c>
      <c r="AH229" s="191"/>
      <c r="AI229" s="1307" t="str">
        <f>'Income Eligible Deemed Table'!L940</f>
        <v>per measure</v>
      </c>
      <c r="AJ229" s="68"/>
      <c r="AX229" s="1226" t="str">
        <f t="shared" si="335"/>
        <v>Refrigerator - early replacement ER1</v>
      </c>
      <c r="AY229" s="1249"/>
      <c r="AZ229" s="1312" t="str">
        <f t="shared" si="336"/>
        <v>405800</v>
      </c>
      <c r="BA229" s="1171" t="s">
        <v>2174</v>
      </c>
      <c r="BB229" s="1171" t="s">
        <v>2174</v>
      </c>
      <c r="BC229" s="1171" t="s">
        <v>2174</v>
      </c>
      <c r="BD229" s="1171" t="s">
        <v>2174</v>
      </c>
      <c r="BE229" s="1176"/>
      <c r="BF229" s="1171" t="s">
        <v>2174</v>
      </c>
      <c r="BG229" s="1171" t="s">
        <v>2174</v>
      </c>
      <c r="BH229" s="1171" t="s">
        <v>2174</v>
      </c>
      <c r="BI229" s="1172" t="s">
        <v>2174</v>
      </c>
      <c r="BJ229" s="1176"/>
      <c r="BK229" s="1171" t="s">
        <v>2174</v>
      </c>
      <c r="BL229" s="1172" t="s">
        <v>2174</v>
      </c>
      <c r="BM229" s="1171" t="s">
        <v>2174</v>
      </c>
      <c r="BN229" s="1172" t="s">
        <v>2174</v>
      </c>
    </row>
    <row r="230" spans="1:66" x14ac:dyDescent="0.25">
      <c r="A230" s="49" t="str">
        <f t="shared" si="332"/>
        <v>405825</v>
      </c>
      <c r="B230" s="1307" t="str">
        <f>'Income Eligible Deemed Table'!C942</f>
        <v>405825_2024_12_</v>
      </c>
      <c r="C230" s="1249" t="str">
        <f>'Income Eligible Deemed Table'!G942</f>
        <v>Refrigeration RES</v>
      </c>
      <c r="D230" s="1249" t="str">
        <f>'Income Eligible Deemed Table'!G943</f>
        <v>Refrigeration RES ER2</v>
      </c>
      <c r="E230" s="1249"/>
      <c r="F230" s="1249"/>
      <c r="G230" s="1249" t="str">
        <f>'Income Eligible Deemed Table'!E942</f>
        <v>Refrigerator - Pre 1993 - ER1</v>
      </c>
      <c r="H230" s="18" t="str">
        <f>'Income Eligible Deemed Table'!D942</f>
        <v>IE</v>
      </c>
      <c r="I230" s="737">
        <f>'Income Eligible Deemed Table'!F942</f>
        <v>1298.5452350427352</v>
      </c>
      <c r="J230" s="737">
        <f>'Income Eligible Deemed Table'!F943</f>
        <v>41.53</v>
      </c>
      <c r="K230" s="185"/>
      <c r="L230" s="185"/>
      <c r="M230" s="185"/>
      <c r="N230" s="185"/>
      <c r="O230" s="738">
        <f>'Income Eligible Deemed Table'!I942</f>
        <v>0.16689599999999999</v>
      </c>
      <c r="P230" s="738">
        <f>'Income Eligible Deemed Table'!I943</f>
        <v>5.3379999999999999E-3</v>
      </c>
      <c r="Q230" s="739"/>
      <c r="R230" s="739"/>
      <c r="S230" s="739"/>
      <c r="T230" s="739"/>
      <c r="U230" s="740">
        <f t="shared" si="329"/>
        <v>0</v>
      </c>
      <c r="V230" s="740">
        <f t="shared" si="330"/>
        <v>0</v>
      </c>
      <c r="W230" s="740">
        <f t="shared" si="331"/>
        <v>0.16689599999999999</v>
      </c>
      <c r="X230" s="22">
        <f>'Income Eligible Deemed Table'!J942</f>
        <v>5</v>
      </c>
      <c r="Y230" s="22">
        <f>'Income Eligible Deemed Table'!J943</f>
        <v>10</v>
      </c>
      <c r="Z230" s="22">
        <f t="shared" si="333"/>
        <v>15</v>
      </c>
      <c r="AA230" s="17">
        <f>'Income Eligible Deemed Table'!DG942</f>
        <v>13.729058535416348</v>
      </c>
      <c r="AB230" s="241">
        <f>'Income Eligible Deemed Table'!K942</f>
        <v>28</v>
      </c>
      <c r="AC230" s="845">
        <f t="shared" si="334"/>
        <v>369.05107865792837</v>
      </c>
      <c r="AD230" s="845">
        <f t="shared" si="328"/>
        <v>15.362560333729393</v>
      </c>
      <c r="AE230" s="580">
        <f>'Income Eligible Deemed Table'!DI942</f>
        <v>369.05107865792837</v>
      </c>
      <c r="AF230" s="191"/>
      <c r="AG230" s="848">
        <f>'Income Eligible Deemed Table'!DI943</f>
        <v>15.362560333729393</v>
      </c>
      <c r="AH230" s="191"/>
      <c r="AI230" s="1307" t="str">
        <f>'Income Eligible Deemed Table'!L942</f>
        <v>per measure</v>
      </c>
      <c r="AJ230" s="68"/>
      <c r="AX230" s="1226" t="str">
        <f t="shared" si="335"/>
        <v>Refrigerator - Pre 1993 - ER1</v>
      </c>
      <c r="AY230" s="1249"/>
      <c r="AZ230" s="1312" t="str">
        <f t="shared" si="336"/>
        <v>405825</v>
      </c>
      <c r="BA230" s="1171" t="s">
        <v>2174</v>
      </c>
      <c r="BB230" s="1171" t="s">
        <v>2174</v>
      </c>
      <c r="BC230" s="1171" t="s">
        <v>2174</v>
      </c>
      <c r="BD230" s="1171" t="s">
        <v>2174</v>
      </c>
      <c r="BE230" s="1176"/>
      <c r="BF230" s="1171" t="s">
        <v>2174</v>
      </c>
      <c r="BG230" s="1171" t="s">
        <v>2174</v>
      </c>
      <c r="BH230" s="1171" t="s">
        <v>2174</v>
      </c>
      <c r="BI230" s="1172" t="s">
        <v>2174</v>
      </c>
      <c r="BJ230" s="1176"/>
      <c r="BK230" s="1171" t="s">
        <v>2174</v>
      </c>
      <c r="BL230" s="1172" t="s">
        <v>2174</v>
      </c>
      <c r="BM230" s="1171" t="s">
        <v>2174</v>
      </c>
      <c r="BN230" s="1172" t="s">
        <v>2174</v>
      </c>
    </row>
    <row r="231" spans="1:66" x14ac:dyDescent="0.25">
      <c r="A231" s="49" t="str">
        <f t="shared" si="332"/>
        <v>406000</v>
      </c>
      <c r="B231" s="1307" t="str">
        <f>'Income Eligible Deemed Table'!C976</f>
        <v>406000_2024_12_</v>
      </c>
      <c r="C231" s="1249" t="str">
        <f>'Income Eligible Deemed Table'!G976</f>
        <v>Cooling RES</v>
      </c>
      <c r="D231" s="1249"/>
      <c r="E231" s="1249"/>
      <c r="F231" s="1249"/>
      <c r="G231" s="1249" t="str">
        <f>'Income Eligible Deemed Table'!E976</f>
        <v>Room Air Conditioner - Energy Star Room _unknown size_SF</v>
      </c>
      <c r="H231" s="18" t="str">
        <f>'Income Eligible Deemed Table'!D976</f>
        <v>IE</v>
      </c>
      <c r="I231" s="737">
        <f t="shared" ref="I231:I232" si="337">K231+L231</f>
        <v>400.38</v>
      </c>
      <c r="J231" s="737">
        <f t="shared" ref="J231:J232" si="338">M231+N231</f>
        <v>0</v>
      </c>
      <c r="K231" s="185">
        <f>'Income Eligible Deemed Table'!F976</f>
        <v>400.38</v>
      </c>
      <c r="L231" s="185"/>
      <c r="M231" s="185"/>
      <c r="N231" s="185"/>
      <c r="O231" s="738">
        <f t="shared" ref="O231:O232" si="339">Q231+R231</f>
        <v>0.37932700000000003</v>
      </c>
      <c r="P231" s="738">
        <f t="shared" ref="P231:P232" si="340">S231+T231</f>
        <v>0</v>
      </c>
      <c r="Q231" s="739">
        <f>'Income Eligible Deemed Table'!I976</f>
        <v>0.37932700000000003</v>
      </c>
      <c r="R231" s="739"/>
      <c r="S231" s="739"/>
      <c r="T231" s="739"/>
      <c r="U231" s="740">
        <f t="shared" ref="U231:U241" si="341">IFERROR(IF(V231+W231&gt;0,0,IF(Z231&gt;0,O231,0)),0)</f>
        <v>0</v>
      </c>
      <c r="V231" s="740">
        <f t="shared" ref="V231:V241" si="342">IF(W231&gt;0,0,IF(Z231&gt;9,O231,0))</f>
        <v>0.37932700000000003</v>
      </c>
      <c r="W231" s="740">
        <f t="shared" ref="W231:W241" si="343">IF(Z231&gt;14,O231,0)</f>
        <v>0</v>
      </c>
      <c r="X231" s="22">
        <f>'Income Eligible Deemed Table'!J976</f>
        <v>12</v>
      </c>
      <c r="Y231" s="22"/>
      <c r="Z231" s="22">
        <f t="shared" si="333"/>
        <v>12</v>
      </c>
      <c r="AA231" s="17">
        <f>'Income Eligible Deemed Table'!DG976</f>
        <v>2.3173724487870828</v>
      </c>
      <c r="AB231" s="241">
        <f>'Income Eligible Deemed Table'!K976</f>
        <v>300</v>
      </c>
      <c r="AC231" s="845">
        <f t="shared" si="334"/>
        <v>695.2117346361249</v>
      </c>
      <c r="AD231" s="845">
        <f t="shared" ref="AD231:AD232" si="344">AG231+AH231</f>
        <v>0</v>
      </c>
      <c r="AE231" s="580">
        <f>'Income Eligible Deemed Table'!DI976</f>
        <v>695.2117346361249</v>
      </c>
      <c r="AF231" s="191"/>
      <c r="AG231" s="191"/>
      <c r="AH231" s="191"/>
      <c r="AI231" s="1307" t="str">
        <f>'Income Eligible Deemed Table'!L976</f>
        <v>per measure</v>
      </c>
      <c r="AJ231" s="68"/>
      <c r="AX231" s="1226" t="str">
        <f t="shared" si="335"/>
        <v>Room Air Conditioner - Energy Star Room _unknown size_SF</v>
      </c>
      <c r="AY231" s="1249"/>
      <c r="AZ231" s="1312" t="str">
        <f t="shared" si="336"/>
        <v>406000</v>
      </c>
      <c r="BA231" s="1171" t="s">
        <v>2174</v>
      </c>
      <c r="BB231" s="1171" t="s">
        <v>2174</v>
      </c>
      <c r="BC231" s="1171" t="s">
        <v>2174</v>
      </c>
      <c r="BD231" s="1171" t="s">
        <v>2174</v>
      </c>
      <c r="BE231" s="1176"/>
      <c r="BF231" s="1171" t="s">
        <v>2174</v>
      </c>
      <c r="BG231" s="1171" t="s">
        <v>2174</v>
      </c>
      <c r="BH231" s="1171" t="s">
        <v>2174</v>
      </c>
      <c r="BI231" s="1172" t="s">
        <v>2174</v>
      </c>
      <c r="BJ231" s="1176"/>
      <c r="BK231" s="1171" t="s">
        <v>2174</v>
      </c>
      <c r="BL231" s="1172" t="s">
        <v>2174</v>
      </c>
      <c r="BM231" s="1171" t="s">
        <v>2174</v>
      </c>
      <c r="BN231" s="1172" t="s">
        <v>2174</v>
      </c>
    </row>
    <row r="232" spans="1:66" s="39" customFormat="1" x14ac:dyDescent="0.25">
      <c r="A232" s="49" t="str">
        <f t="shared" si="332"/>
        <v>406004</v>
      </c>
      <c r="B232" s="1307" t="str">
        <f>'Income Eligible Deemed Table'!C977</f>
        <v>406004_2024_12_</v>
      </c>
      <c r="C232" s="1249" t="str">
        <f>'Income Eligible Deemed Table'!G977</f>
        <v>Cooling RES</v>
      </c>
      <c r="D232" s="1249"/>
      <c r="E232" s="1249"/>
      <c r="F232" s="1249"/>
      <c r="G232" s="1249" t="str">
        <f>'Income Eligible Deemed Table'!E977</f>
        <v>Room Air Conditioner - Energy Star Room_12kBtu_SF</v>
      </c>
      <c r="H232" s="18" t="str">
        <f>'Income Eligible Deemed Table'!D977</f>
        <v>IE</v>
      </c>
      <c r="I232" s="737">
        <f t="shared" si="337"/>
        <v>465.46</v>
      </c>
      <c r="J232" s="737">
        <f t="shared" si="338"/>
        <v>0</v>
      </c>
      <c r="K232" s="185">
        <f>'Income Eligible Deemed Table'!F977</f>
        <v>465.46</v>
      </c>
      <c r="L232" s="185"/>
      <c r="M232" s="185"/>
      <c r="N232" s="185"/>
      <c r="O232" s="738">
        <f t="shared" si="339"/>
        <v>0.44098500000000002</v>
      </c>
      <c r="P232" s="738">
        <f t="shared" si="340"/>
        <v>0</v>
      </c>
      <c r="Q232" s="739">
        <f>'Income Eligible Deemed Table'!I977</f>
        <v>0.44098500000000002</v>
      </c>
      <c r="R232" s="739"/>
      <c r="S232" s="739"/>
      <c r="T232" s="739"/>
      <c r="U232" s="740">
        <f t="shared" si="341"/>
        <v>0</v>
      </c>
      <c r="V232" s="740">
        <f t="shared" si="342"/>
        <v>0.44098500000000002</v>
      </c>
      <c r="W232" s="740">
        <f t="shared" si="343"/>
        <v>0</v>
      </c>
      <c r="X232" s="22">
        <f>'Income Eligible Deemed Table'!J977</f>
        <v>12</v>
      </c>
      <c r="Y232" s="22"/>
      <c r="Z232" s="22">
        <f t="shared" si="333"/>
        <v>12</v>
      </c>
      <c r="AA232" s="17">
        <f>'Income Eligible Deemed Table'!DG977</f>
        <v>2.6940511014846789</v>
      </c>
      <c r="AB232" s="241">
        <f>'Income Eligible Deemed Table'!K977</f>
        <v>300</v>
      </c>
      <c r="AC232" s="845">
        <f t="shared" si="334"/>
        <v>808.21533044540365</v>
      </c>
      <c r="AD232" s="845">
        <f t="shared" si="344"/>
        <v>0</v>
      </c>
      <c r="AE232" s="580">
        <f>'Income Eligible Deemed Table'!DI977</f>
        <v>808.21533044540365</v>
      </c>
      <c r="AF232" s="191"/>
      <c r="AG232" s="191"/>
      <c r="AH232" s="191"/>
      <c r="AI232" s="1307" t="str">
        <f>'Income Eligible Deemed Table'!L977</f>
        <v>per measure</v>
      </c>
      <c r="AJ232" s="68"/>
      <c r="AK232"/>
      <c r="AL232"/>
      <c r="AM232"/>
      <c r="AN232"/>
      <c r="AO232"/>
      <c r="AP232"/>
      <c r="AQ232"/>
      <c r="AR232"/>
      <c r="AS232"/>
      <c r="AT232"/>
      <c r="AU232"/>
      <c r="AV232"/>
      <c r="AW232"/>
      <c r="AX232" s="1226" t="str">
        <f t="shared" si="335"/>
        <v>Room Air Conditioner - Energy Star Room_12kBtu_SF</v>
      </c>
      <c r="AY232" s="1249"/>
      <c r="AZ232" s="1312" t="str">
        <f t="shared" si="336"/>
        <v>406004</v>
      </c>
      <c r="BA232" s="1171" t="s">
        <v>2174</v>
      </c>
      <c r="BB232" s="1171" t="s">
        <v>2174</v>
      </c>
      <c r="BC232" s="1171" t="s">
        <v>2174</v>
      </c>
      <c r="BD232" s="1171" t="s">
        <v>2174</v>
      </c>
      <c r="BE232" s="1177"/>
      <c r="BF232" s="1171" t="s">
        <v>2174</v>
      </c>
      <c r="BG232" s="1171" t="s">
        <v>2174</v>
      </c>
      <c r="BH232" s="1171" t="s">
        <v>2174</v>
      </c>
      <c r="BI232" s="1172" t="s">
        <v>2174</v>
      </c>
      <c r="BJ232" s="1176"/>
      <c r="BK232" s="1171" t="s">
        <v>2174</v>
      </c>
      <c r="BL232" s="1172" t="s">
        <v>2174</v>
      </c>
      <c r="BM232" s="1171" t="s">
        <v>2174</v>
      </c>
      <c r="BN232" s="1172" t="s">
        <v>2174</v>
      </c>
    </row>
    <row r="233" spans="1:66" x14ac:dyDescent="0.25">
      <c r="A233" s="49" t="str">
        <f t="shared" ref="A233:A241" si="345">LEFT(B233,6)</f>
        <v>406804</v>
      </c>
      <c r="B233" s="1307" t="str">
        <f>'Income Eligible Deemed Table'!C1001</f>
        <v>406804_2024_12_</v>
      </c>
      <c r="C233" s="1249" t="str">
        <f>'Income Eligible Deemed Table'!G1001</f>
        <v>Building Shell RES</v>
      </c>
      <c r="D233" s="1249"/>
      <c r="E233" s="1249"/>
      <c r="F233" s="1249"/>
      <c r="G233" s="1249" t="str">
        <f>'Income Eligible Deemed Table'!E1001</f>
        <v>Cool Roof: Multi-Family Vintage Up to 1979-Non-Electric Heating</v>
      </c>
      <c r="H233" s="18" t="str">
        <f>'Income Eligible Deemed Table'!D1001</f>
        <v>IE</v>
      </c>
      <c r="I233" s="737">
        <f>'Income Eligible Deemed Table'!F1001</f>
        <v>114</v>
      </c>
      <c r="J233" s="737"/>
      <c r="K233" s="185"/>
      <c r="L233" s="185"/>
      <c r="M233" s="185"/>
      <c r="N233" s="185"/>
      <c r="O233" s="738">
        <f>'Income Eligible Deemed Table'!I1001</f>
        <v>5.3133E-2</v>
      </c>
      <c r="P233" s="738"/>
      <c r="Q233" s="739"/>
      <c r="R233" s="739"/>
      <c r="S233" s="739"/>
      <c r="T233" s="739"/>
      <c r="U233" s="740">
        <f t="shared" si="341"/>
        <v>0</v>
      </c>
      <c r="V233" s="740">
        <f t="shared" si="342"/>
        <v>0</v>
      </c>
      <c r="W233" s="740">
        <f t="shared" si="343"/>
        <v>5.3133E-2</v>
      </c>
      <c r="X233" s="22">
        <f>'Income Eligible Deemed Table'!J1001</f>
        <v>15</v>
      </c>
      <c r="Y233" s="22"/>
      <c r="Z233" s="22">
        <f t="shared" ref="Z233:Z241" si="346">Y233+X233</f>
        <v>15</v>
      </c>
      <c r="AA233" s="17">
        <f>'Income Eligible Deemed Table'!DG1001</f>
        <v>18.440136967110668</v>
      </c>
      <c r="AB233" s="241">
        <f>'Income Eligible Deemed Table'!K1001</f>
        <v>7.84</v>
      </c>
      <c r="AC233" s="845">
        <f t="shared" ref="AC233:AC241" si="347">AE233+AF233</f>
        <v>144.57067382214763</v>
      </c>
      <c r="AD233" s="845">
        <f t="shared" ref="AD233:AD241" si="348">AG233+AH233</f>
        <v>0</v>
      </c>
      <c r="AE233" s="190">
        <f>'Income Eligible Deemed Table'!DI1001</f>
        <v>144.57067382214763</v>
      </c>
      <c r="AF233" s="191"/>
      <c r="AG233" s="191"/>
      <c r="AH233" s="191"/>
      <c r="AI233" s="1307" t="str">
        <f>'Income Eligible Deemed Table'!L1001</f>
        <v>per sq ft</v>
      </c>
      <c r="AJ233" s="644"/>
      <c r="AK233" s="39"/>
      <c r="AL233" s="39"/>
      <c r="AX233" s="1226" t="str">
        <f t="shared" ref="AX233:AX241" si="349">G233</f>
        <v>Cool Roof: Multi-Family Vintage Up to 1979-Non-Electric Heating</v>
      </c>
      <c r="AY233" s="1249"/>
      <c r="AZ233" s="1312" t="str">
        <f t="shared" ref="AZ233:AZ241" si="350">A233</f>
        <v>406804</v>
      </c>
      <c r="BA233" s="1171" t="s">
        <v>2174</v>
      </c>
      <c r="BB233" s="1171" t="s">
        <v>2174</v>
      </c>
      <c r="BC233" s="1171" t="s">
        <v>2174</v>
      </c>
      <c r="BD233" s="1171" t="s">
        <v>2174</v>
      </c>
      <c r="BE233" s="1176"/>
      <c r="BF233" s="1171" t="s">
        <v>2174</v>
      </c>
      <c r="BG233" s="1171" t="s">
        <v>2174</v>
      </c>
      <c r="BH233" s="1171" t="s">
        <v>2174</v>
      </c>
      <c r="BI233" s="1172" t="s">
        <v>2174</v>
      </c>
      <c r="BJ233" s="1176"/>
      <c r="BK233" s="1171" t="s">
        <v>2174</v>
      </c>
      <c r="BL233" s="1172" t="s">
        <v>2174</v>
      </c>
      <c r="BM233" s="1171" t="s">
        <v>2174</v>
      </c>
      <c r="BN233" s="1172" t="s">
        <v>2174</v>
      </c>
    </row>
    <row r="234" spans="1:66" x14ac:dyDescent="0.25">
      <c r="A234" s="49" t="str">
        <f t="shared" si="345"/>
        <v>406805</v>
      </c>
      <c r="B234" s="1307" t="str">
        <f>'Income Eligible Deemed Table'!C1002</f>
        <v>406805_2024_12_</v>
      </c>
      <c r="C234" s="1249" t="str">
        <f>'Income Eligible Deemed Table'!G1002</f>
        <v>Building Shell RES</v>
      </c>
      <c r="D234" s="1249"/>
      <c r="E234" s="1249"/>
      <c r="F234" s="1249"/>
      <c r="G234" s="1249" t="str">
        <f>'Income Eligible Deemed Table'!E1002</f>
        <v>Cool Roof: Multi-Family Vintage 1980-1999-Non-Electric Heating</v>
      </c>
      <c r="H234" s="18" t="str">
        <f>'Income Eligible Deemed Table'!D1002</f>
        <v>IE</v>
      </c>
      <c r="I234" s="737">
        <f>'Income Eligible Deemed Table'!F1002</f>
        <v>58.1</v>
      </c>
      <c r="J234" s="737"/>
      <c r="K234" s="185"/>
      <c r="L234" s="185"/>
      <c r="M234" s="185"/>
      <c r="N234" s="185"/>
      <c r="O234" s="738">
        <f>'Income Eligible Deemed Table'!I1002</f>
        <v>2.7078999999999999E-2</v>
      </c>
      <c r="P234" s="738"/>
      <c r="Q234" s="739"/>
      <c r="R234" s="739"/>
      <c r="S234" s="739"/>
      <c r="T234" s="739"/>
      <c r="U234" s="740">
        <f t="shared" si="341"/>
        <v>0</v>
      </c>
      <c r="V234" s="740">
        <f t="shared" si="342"/>
        <v>0</v>
      </c>
      <c r="W234" s="740">
        <f t="shared" si="343"/>
        <v>2.7078999999999999E-2</v>
      </c>
      <c r="X234" s="22">
        <f>'Income Eligible Deemed Table'!J1002</f>
        <v>15</v>
      </c>
      <c r="Y234" s="22"/>
      <c r="Z234" s="22">
        <f t="shared" si="346"/>
        <v>15</v>
      </c>
      <c r="AA234" s="17">
        <f>'Income Eligible Deemed Table'!DG1002</f>
        <v>9.3979996297292079</v>
      </c>
      <c r="AB234" s="241">
        <f>'Income Eligible Deemed Table'!K1002</f>
        <v>7.84</v>
      </c>
      <c r="AC234" s="845">
        <f t="shared" si="347"/>
        <v>73.680317097076994</v>
      </c>
      <c r="AD234" s="845">
        <f t="shared" si="348"/>
        <v>0</v>
      </c>
      <c r="AE234" s="190">
        <f>'Income Eligible Deemed Table'!DI1002</f>
        <v>73.680317097076994</v>
      </c>
      <c r="AF234" s="191"/>
      <c r="AG234" s="191"/>
      <c r="AH234" s="191"/>
      <c r="AI234" s="1307" t="str">
        <f>'Income Eligible Deemed Table'!L1002</f>
        <v>per sq ft</v>
      </c>
      <c r="AJ234" s="644"/>
      <c r="AK234" s="39"/>
      <c r="AL234" s="39"/>
      <c r="AX234" s="1226" t="str">
        <f t="shared" si="349"/>
        <v>Cool Roof: Multi-Family Vintage 1980-1999-Non-Electric Heating</v>
      </c>
      <c r="AY234" s="1249"/>
      <c r="AZ234" s="1312" t="str">
        <f t="shared" si="350"/>
        <v>406805</v>
      </c>
      <c r="BA234" s="1171" t="s">
        <v>2174</v>
      </c>
      <c r="BB234" s="1171" t="s">
        <v>2174</v>
      </c>
      <c r="BC234" s="1171" t="s">
        <v>2174</v>
      </c>
      <c r="BD234" s="1171" t="s">
        <v>2174</v>
      </c>
      <c r="BE234" s="1176"/>
      <c r="BF234" s="1171" t="s">
        <v>2174</v>
      </c>
      <c r="BG234" s="1171" t="s">
        <v>2174</v>
      </c>
      <c r="BH234" s="1171" t="s">
        <v>2174</v>
      </c>
      <c r="BI234" s="1172" t="s">
        <v>2174</v>
      </c>
      <c r="BJ234" s="1176"/>
      <c r="BK234" s="1171" t="s">
        <v>2174</v>
      </c>
      <c r="BL234" s="1172" t="s">
        <v>2174</v>
      </c>
      <c r="BM234" s="1171" t="s">
        <v>2174</v>
      </c>
      <c r="BN234" s="1172" t="s">
        <v>2174</v>
      </c>
    </row>
    <row r="235" spans="1:66" x14ac:dyDescent="0.25">
      <c r="A235" s="49" t="str">
        <f t="shared" si="345"/>
        <v>406806</v>
      </c>
      <c r="B235" s="1307" t="str">
        <f>'Income Eligible Deemed Table'!C1003</f>
        <v>406806_2024_12_</v>
      </c>
      <c r="C235" s="1249" t="str">
        <f>'Income Eligible Deemed Table'!G1003</f>
        <v>Building Shell RES</v>
      </c>
      <c r="D235" s="1249"/>
      <c r="E235" s="1249"/>
      <c r="F235" s="1249"/>
      <c r="G235" s="1249" t="str">
        <f>'Income Eligible Deemed Table'!E1003</f>
        <v>Cool Roof: Multi-Family Vintage 2000-2009-Non-Electric Heating</v>
      </c>
      <c r="H235" s="18" t="str">
        <f>'Income Eligible Deemed Table'!D1003</f>
        <v>IE</v>
      </c>
      <c r="I235" s="737">
        <f>'Income Eligible Deemed Table'!F1003</f>
        <v>24.9</v>
      </c>
      <c r="J235" s="737"/>
      <c r="K235" s="185"/>
      <c r="L235" s="185"/>
      <c r="M235" s="185"/>
      <c r="N235" s="185"/>
      <c r="O235" s="738">
        <f>'Income Eligible Deemed Table'!I1003</f>
        <v>1.1605000000000001E-2</v>
      </c>
      <c r="P235" s="738"/>
      <c r="Q235" s="739"/>
      <c r="R235" s="739"/>
      <c r="S235" s="739"/>
      <c r="T235" s="739"/>
      <c r="U235" s="740">
        <f t="shared" si="341"/>
        <v>0</v>
      </c>
      <c r="V235" s="740">
        <f t="shared" si="342"/>
        <v>0</v>
      </c>
      <c r="W235" s="740">
        <f t="shared" si="343"/>
        <v>1.1605000000000001E-2</v>
      </c>
      <c r="X235" s="22">
        <f>'Income Eligible Deemed Table'!J1003</f>
        <v>15</v>
      </c>
      <c r="Y235" s="22"/>
      <c r="Z235" s="22">
        <f t="shared" si="346"/>
        <v>15</v>
      </c>
      <c r="AA235" s="17">
        <f>'Income Eligible Deemed Table'!DG1003</f>
        <v>4.0277141270268038</v>
      </c>
      <c r="AB235" s="241">
        <f>'Income Eligible Deemed Table'!K1003</f>
        <v>7.84</v>
      </c>
      <c r="AC235" s="845">
        <f t="shared" si="347"/>
        <v>31.577278755890138</v>
      </c>
      <c r="AD235" s="845">
        <f t="shared" si="348"/>
        <v>0</v>
      </c>
      <c r="AE235" s="190">
        <f>'Income Eligible Deemed Table'!DI1003</f>
        <v>31.577278755890138</v>
      </c>
      <c r="AF235" s="191"/>
      <c r="AG235" s="191"/>
      <c r="AH235" s="191"/>
      <c r="AI235" s="1307" t="str">
        <f>'Income Eligible Deemed Table'!L1003</f>
        <v>per sq ft</v>
      </c>
      <c r="AJ235" s="644"/>
      <c r="AK235" s="39"/>
      <c r="AL235" s="39"/>
      <c r="AX235" s="1226" t="str">
        <f t="shared" si="349"/>
        <v>Cool Roof: Multi-Family Vintage 2000-2009-Non-Electric Heating</v>
      </c>
      <c r="AY235" s="1249"/>
      <c r="AZ235" s="1312" t="str">
        <f t="shared" si="350"/>
        <v>406806</v>
      </c>
      <c r="BA235" s="1171" t="s">
        <v>2174</v>
      </c>
      <c r="BB235" s="1171" t="s">
        <v>2174</v>
      </c>
      <c r="BC235" s="1171" t="s">
        <v>2174</v>
      </c>
      <c r="BD235" s="1171" t="s">
        <v>2174</v>
      </c>
      <c r="BE235" s="1176"/>
      <c r="BF235" s="1171" t="s">
        <v>2174</v>
      </c>
      <c r="BG235" s="1171" t="s">
        <v>2174</v>
      </c>
      <c r="BH235" s="1171" t="s">
        <v>2174</v>
      </c>
      <c r="BI235" s="1172" t="s">
        <v>2174</v>
      </c>
      <c r="BJ235" s="1176"/>
      <c r="BK235" s="1171" t="s">
        <v>2174</v>
      </c>
      <c r="BL235" s="1172" t="s">
        <v>2174</v>
      </c>
      <c r="BM235" s="1171" t="s">
        <v>2174</v>
      </c>
      <c r="BN235" s="1172" t="s">
        <v>2174</v>
      </c>
    </row>
    <row r="236" spans="1:66" x14ac:dyDescent="0.25">
      <c r="A236" s="49" t="str">
        <f t="shared" si="345"/>
        <v>406807</v>
      </c>
      <c r="B236" s="1307" t="str">
        <f>'Income Eligible Deemed Table'!C1004</f>
        <v>406807_2024_12_</v>
      </c>
      <c r="C236" s="1249" t="str">
        <f>'Income Eligible Deemed Table'!G1004</f>
        <v>Building Shell RES</v>
      </c>
      <c r="D236" s="1249"/>
      <c r="E236" s="1249"/>
      <c r="F236" s="1249"/>
      <c r="G236" s="1249" t="str">
        <f>'Income Eligible Deemed Table'!E1004</f>
        <v>Cool Roof: Multi-Family Vintage 2010-2015-Non-Electric Heating</v>
      </c>
      <c r="H236" s="18" t="str">
        <f>'Income Eligible Deemed Table'!D1004</f>
        <v>IE</v>
      </c>
      <c r="I236" s="737">
        <f>'Income Eligible Deemed Table'!F1004</f>
        <v>19.5</v>
      </c>
      <c r="J236" s="737"/>
      <c r="K236" s="185"/>
      <c r="L236" s="185"/>
      <c r="M236" s="185"/>
      <c r="N236" s="185"/>
      <c r="O236" s="738">
        <f>'Income Eligible Deemed Table'!I1004</f>
        <v>9.0889999999999999E-3</v>
      </c>
      <c r="P236" s="738"/>
      <c r="Q236" s="739"/>
      <c r="R236" s="739"/>
      <c r="S236" s="739"/>
      <c r="T236" s="739"/>
      <c r="U236" s="740">
        <f t="shared" si="341"/>
        <v>0</v>
      </c>
      <c r="V236" s="740">
        <f t="shared" si="342"/>
        <v>0</v>
      </c>
      <c r="W236" s="740">
        <f t="shared" si="343"/>
        <v>9.0889999999999999E-3</v>
      </c>
      <c r="X236" s="22">
        <f>'Income Eligible Deemed Table'!J1004</f>
        <v>15</v>
      </c>
      <c r="Y236" s="22"/>
      <c r="Z236" s="22">
        <f t="shared" si="346"/>
        <v>15</v>
      </c>
      <c r="AA236" s="17">
        <f>'Income Eligible Deemed Table'!DG1004</f>
        <v>3.154233954900509</v>
      </c>
      <c r="AB236" s="241">
        <f>'Income Eligible Deemed Table'!K1004</f>
        <v>7.84</v>
      </c>
      <c r="AC236" s="845">
        <f t="shared" si="347"/>
        <v>24.72919420641999</v>
      </c>
      <c r="AD236" s="845">
        <f t="shared" si="348"/>
        <v>0</v>
      </c>
      <c r="AE236" s="190">
        <f>'Income Eligible Deemed Table'!DI1004</f>
        <v>24.72919420641999</v>
      </c>
      <c r="AF236" s="191"/>
      <c r="AG236" s="191"/>
      <c r="AH236" s="191"/>
      <c r="AI236" s="1307" t="str">
        <f>'Income Eligible Deemed Table'!L1004</f>
        <v>per sq ft</v>
      </c>
      <c r="AJ236" s="644"/>
      <c r="AK236" s="39"/>
      <c r="AL236" s="39"/>
      <c r="AX236" s="1226" t="str">
        <f t="shared" si="349"/>
        <v>Cool Roof: Multi-Family Vintage 2010-2015-Non-Electric Heating</v>
      </c>
      <c r="AY236" s="1249"/>
      <c r="AZ236" s="1312" t="str">
        <f t="shared" si="350"/>
        <v>406807</v>
      </c>
      <c r="BA236" s="1171" t="s">
        <v>2174</v>
      </c>
      <c r="BB236" s="1171" t="s">
        <v>2174</v>
      </c>
      <c r="BC236" s="1171" t="s">
        <v>2174</v>
      </c>
      <c r="BD236" s="1171" t="s">
        <v>2174</v>
      </c>
      <c r="BE236" s="1176"/>
      <c r="BF236" s="1171" t="s">
        <v>2174</v>
      </c>
      <c r="BG236" s="1171" t="s">
        <v>2174</v>
      </c>
      <c r="BH236" s="1171" t="s">
        <v>2174</v>
      </c>
      <c r="BI236" s="1172" t="s">
        <v>2174</v>
      </c>
      <c r="BJ236" s="1176"/>
      <c r="BK236" s="1171" t="s">
        <v>2174</v>
      </c>
      <c r="BL236" s="1172" t="s">
        <v>2174</v>
      </c>
      <c r="BM236" s="1171" t="s">
        <v>2174</v>
      </c>
      <c r="BN236" s="1172" t="s">
        <v>2174</v>
      </c>
    </row>
    <row r="237" spans="1:66" x14ac:dyDescent="0.25">
      <c r="A237" s="49" t="str">
        <f t="shared" si="345"/>
        <v>406812</v>
      </c>
      <c r="B237" s="1307" t="str">
        <f>'Income Eligible Deemed Table'!C1005</f>
        <v>406812_2024_12_</v>
      </c>
      <c r="C237" s="1249" t="str">
        <f>'Income Eligible Deemed Table'!G1005</f>
        <v>Building Shell RES</v>
      </c>
      <c r="D237" s="1249"/>
      <c r="E237" s="1249"/>
      <c r="F237" s="1249"/>
      <c r="G237" s="1249" t="str">
        <f>'Income Eligible Deemed Table'!E1005</f>
        <v>Cool Roof: Multi-Family Vintage Up to 1979-Heat Pump Heating</v>
      </c>
      <c r="H237" s="18" t="str">
        <f>'Income Eligible Deemed Table'!D1005</f>
        <v>IE</v>
      </c>
      <c r="I237" s="737">
        <f>'Income Eligible Deemed Table'!F1005</f>
        <v>47.88</v>
      </c>
      <c r="J237" s="737"/>
      <c r="K237" s="185"/>
      <c r="L237" s="185"/>
      <c r="M237" s="185"/>
      <c r="N237" s="185"/>
      <c r="O237" s="738">
        <f>'Income Eligible Deemed Table'!I1005</f>
        <v>2.2315999999999999E-2</v>
      </c>
      <c r="P237" s="738"/>
      <c r="Q237" s="739"/>
      <c r="R237" s="739"/>
      <c r="S237" s="739"/>
      <c r="T237" s="739"/>
      <c r="U237" s="740">
        <f t="shared" si="341"/>
        <v>0</v>
      </c>
      <c r="V237" s="740">
        <f t="shared" si="342"/>
        <v>0</v>
      </c>
      <c r="W237" s="740">
        <f t="shared" si="343"/>
        <v>2.2315999999999999E-2</v>
      </c>
      <c r="X237" s="22">
        <f>'Income Eligible Deemed Table'!J1005</f>
        <v>15</v>
      </c>
      <c r="Y237" s="22"/>
      <c r="Z237" s="22">
        <f t="shared" si="346"/>
        <v>15</v>
      </c>
      <c r="AA237" s="17">
        <f>'Income Eligible Deemed Table'!DG1005</f>
        <v>7.7448575261864807</v>
      </c>
      <c r="AB237" s="241">
        <f>'Income Eligible Deemed Table'!K1005</f>
        <v>7.84</v>
      </c>
      <c r="AC237" s="845">
        <f t="shared" si="347"/>
        <v>60.719683005302009</v>
      </c>
      <c r="AD237" s="845">
        <f t="shared" si="348"/>
        <v>0</v>
      </c>
      <c r="AE237" s="190">
        <f>'Income Eligible Deemed Table'!DI1005</f>
        <v>60.719683005302009</v>
      </c>
      <c r="AF237" s="191"/>
      <c r="AG237" s="191"/>
      <c r="AH237" s="191"/>
      <c r="AI237" s="1307" t="str">
        <f>'Income Eligible Deemed Table'!L1005</f>
        <v>per sq ft</v>
      </c>
      <c r="AJ237" s="644"/>
      <c r="AK237" s="39"/>
      <c r="AL237" s="39"/>
      <c r="AX237" s="1226" t="str">
        <f t="shared" si="349"/>
        <v>Cool Roof: Multi-Family Vintage Up to 1979-Heat Pump Heating</v>
      </c>
      <c r="AY237" s="1249"/>
      <c r="AZ237" s="1312" t="str">
        <f t="shared" si="350"/>
        <v>406812</v>
      </c>
      <c r="BA237" s="1171" t="s">
        <v>2174</v>
      </c>
      <c r="BB237" s="1171" t="s">
        <v>2174</v>
      </c>
      <c r="BC237" s="1171" t="s">
        <v>2174</v>
      </c>
      <c r="BD237" s="1171" t="s">
        <v>2174</v>
      </c>
      <c r="BE237" s="1176"/>
      <c r="BF237" s="1171" t="s">
        <v>2174</v>
      </c>
      <c r="BG237" s="1171" t="s">
        <v>2174</v>
      </c>
      <c r="BH237" s="1171" t="s">
        <v>2174</v>
      </c>
      <c r="BI237" s="1172" t="s">
        <v>2174</v>
      </c>
      <c r="BJ237" s="1176"/>
      <c r="BK237" s="1171" t="s">
        <v>2174</v>
      </c>
      <c r="BL237" s="1172" t="s">
        <v>2174</v>
      </c>
      <c r="BM237" s="1171" t="s">
        <v>2174</v>
      </c>
      <c r="BN237" s="1172" t="s">
        <v>2174</v>
      </c>
    </row>
    <row r="238" spans="1:66" x14ac:dyDescent="0.25">
      <c r="A238" s="49" t="str">
        <f t="shared" si="345"/>
        <v>406813</v>
      </c>
      <c r="B238" s="1307" t="str">
        <f>'Income Eligible Deemed Table'!C1006</f>
        <v>406813_2024_12_</v>
      </c>
      <c r="C238" s="1249" t="str">
        <f>'Income Eligible Deemed Table'!G1006</f>
        <v>Building Shell RES</v>
      </c>
      <c r="D238" s="1249"/>
      <c r="E238" s="1249"/>
      <c r="F238" s="1249"/>
      <c r="G238" s="1249" t="str">
        <f>'Income Eligible Deemed Table'!E1006</f>
        <v>Cool Roof: Multi-Family Vintage 1980-1999-Heat Pump Heating</v>
      </c>
      <c r="H238" s="18" t="str">
        <f>'Income Eligible Deemed Table'!D1006</f>
        <v>IE</v>
      </c>
      <c r="I238" s="737">
        <f>'Income Eligible Deemed Table'!F1006</f>
        <v>24.4</v>
      </c>
      <c r="J238" s="737"/>
      <c r="K238" s="185"/>
      <c r="L238" s="185"/>
      <c r="M238" s="185"/>
      <c r="N238" s="185"/>
      <c r="O238" s="738">
        <f>'Income Eligible Deemed Table'!I1006</f>
        <v>1.1372E-2</v>
      </c>
      <c r="P238" s="738"/>
      <c r="Q238" s="739"/>
      <c r="R238" s="739"/>
      <c r="S238" s="739"/>
      <c r="T238" s="739"/>
      <c r="U238" s="740">
        <f t="shared" si="341"/>
        <v>0</v>
      </c>
      <c r="V238" s="740">
        <f t="shared" si="342"/>
        <v>0</v>
      </c>
      <c r="W238" s="740">
        <f t="shared" si="343"/>
        <v>1.1372E-2</v>
      </c>
      <c r="X238" s="22">
        <f>'Income Eligible Deemed Table'!J1006</f>
        <v>15</v>
      </c>
      <c r="Y238" s="22"/>
      <c r="Z238" s="22">
        <f t="shared" si="346"/>
        <v>15</v>
      </c>
      <c r="AA238" s="17">
        <f>'Income Eligible Deemed Table'!DG1006</f>
        <v>3.9468363333114058</v>
      </c>
      <c r="AB238" s="241">
        <f>'Income Eligible Deemed Table'!K1006</f>
        <v>7.84</v>
      </c>
      <c r="AC238" s="845">
        <f t="shared" si="347"/>
        <v>30.943196853161421</v>
      </c>
      <c r="AD238" s="845">
        <f t="shared" si="348"/>
        <v>0</v>
      </c>
      <c r="AE238" s="190">
        <f>'Income Eligible Deemed Table'!DI1006</f>
        <v>30.943196853161421</v>
      </c>
      <c r="AF238" s="191"/>
      <c r="AG238" s="191"/>
      <c r="AH238" s="191"/>
      <c r="AI238" s="1307" t="str">
        <f>'Income Eligible Deemed Table'!L1006</f>
        <v>per sq ft</v>
      </c>
      <c r="AJ238" s="644"/>
      <c r="AK238" s="39"/>
      <c r="AL238" s="39"/>
      <c r="AX238" s="1226" t="str">
        <f t="shared" si="349"/>
        <v>Cool Roof: Multi-Family Vintage 1980-1999-Heat Pump Heating</v>
      </c>
      <c r="AY238" s="1249"/>
      <c r="AZ238" s="1312" t="str">
        <f t="shared" si="350"/>
        <v>406813</v>
      </c>
      <c r="BA238" s="1171" t="s">
        <v>2174</v>
      </c>
      <c r="BB238" s="1171" t="s">
        <v>2174</v>
      </c>
      <c r="BC238" s="1171" t="s">
        <v>2174</v>
      </c>
      <c r="BD238" s="1171" t="s">
        <v>2174</v>
      </c>
      <c r="BE238" s="1176"/>
      <c r="BF238" s="1171" t="s">
        <v>2174</v>
      </c>
      <c r="BG238" s="1171" t="s">
        <v>2174</v>
      </c>
      <c r="BH238" s="1171" t="s">
        <v>2174</v>
      </c>
      <c r="BI238" s="1172" t="s">
        <v>2174</v>
      </c>
      <c r="BJ238" s="1176"/>
      <c r="BK238" s="1171" t="s">
        <v>2174</v>
      </c>
      <c r="BL238" s="1172" t="s">
        <v>2174</v>
      </c>
      <c r="BM238" s="1171" t="s">
        <v>2174</v>
      </c>
      <c r="BN238" s="1172" t="s">
        <v>2174</v>
      </c>
    </row>
    <row r="239" spans="1:66" x14ac:dyDescent="0.25">
      <c r="A239" s="49" t="str">
        <f t="shared" si="345"/>
        <v>406814</v>
      </c>
      <c r="B239" s="1307" t="str">
        <f>'Income Eligible Deemed Table'!C1007</f>
        <v>406814_2024_12_</v>
      </c>
      <c r="C239" s="1249" t="str">
        <f>'Income Eligible Deemed Table'!G1007</f>
        <v>Building Shell RES</v>
      </c>
      <c r="D239" s="1249"/>
      <c r="E239" s="1249"/>
      <c r="F239" s="1249"/>
      <c r="G239" s="1249" t="str">
        <f>'Income Eligible Deemed Table'!E1007</f>
        <v>Cool Roof: Multi-Family Vintage 2000-2009-Heat Pump Heating</v>
      </c>
      <c r="H239" s="18" t="str">
        <f>'Income Eligible Deemed Table'!D1007</f>
        <v>IE</v>
      </c>
      <c r="I239" s="737">
        <f>'Income Eligible Deemed Table'!F1007</f>
        <v>10.46</v>
      </c>
      <c r="J239" s="737"/>
      <c r="K239" s="185"/>
      <c r="L239" s="185"/>
      <c r="M239" s="185"/>
      <c r="N239" s="185"/>
      <c r="O239" s="738">
        <f>'Income Eligible Deemed Table'!I1007</f>
        <v>4.875E-3</v>
      </c>
      <c r="P239" s="738"/>
      <c r="Q239" s="739"/>
      <c r="R239" s="739"/>
      <c r="S239" s="739"/>
      <c r="T239" s="739"/>
      <c r="U239" s="740">
        <f t="shared" si="341"/>
        <v>0</v>
      </c>
      <c r="V239" s="740">
        <f t="shared" si="342"/>
        <v>0</v>
      </c>
      <c r="W239" s="740">
        <f t="shared" si="343"/>
        <v>4.875E-3</v>
      </c>
      <c r="X239" s="22">
        <f>'Income Eligible Deemed Table'!J1007</f>
        <v>15</v>
      </c>
      <c r="Y239" s="22"/>
      <c r="Z239" s="22">
        <f t="shared" si="346"/>
        <v>15</v>
      </c>
      <c r="AA239" s="17">
        <f>'Income Eligible Deemed Table'!DG1007</f>
        <v>1.6919634445261194</v>
      </c>
      <c r="AB239" s="241">
        <f>'Income Eligible Deemed Table'!K1007</f>
        <v>7.84</v>
      </c>
      <c r="AC239" s="845">
        <f t="shared" si="347"/>
        <v>13.264993405084775</v>
      </c>
      <c r="AD239" s="845">
        <f t="shared" si="348"/>
        <v>0</v>
      </c>
      <c r="AE239" s="190">
        <f>'Income Eligible Deemed Table'!DI1007</f>
        <v>13.264993405084775</v>
      </c>
      <c r="AF239" s="191"/>
      <c r="AG239" s="191"/>
      <c r="AH239" s="191"/>
      <c r="AI239" s="1307" t="str">
        <f>'Income Eligible Deemed Table'!L1007</f>
        <v>per sq ft</v>
      </c>
      <c r="AJ239" s="644"/>
      <c r="AK239" s="39"/>
      <c r="AL239" s="39"/>
      <c r="AX239" s="1226" t="str">
        <f t="shared" si="349"/>
        <v>Cool Roof: Multi-Family Vintage 2000-2009-Heat Pump Heating</v>
      </c>
      <c r="AY239" s="1249"/>
      <c r="AZ239" s="1312" t="str">
        <f t="shared" si="350"/>
        <v>406814</v>
      </c>
      <c r="BA239" s="1171" t="s">
        <v>2174</v>
      </c>
      <c r="BB239" s="1171" t="s">
        <v>2174</v>
      </c>
      <c r="BC239" s="1171" t="s">
        <v>2174</v>
      </c>
      <c r="BD239" s="1171" t="s">
        <v>2174</v>
      </c>
      <c r="BE239" s="1176"/>
      <c r="BF239" s="1171" t="s">
        <v>2174</v>
      </c>
      <c r="BG239" s="1171" t="s">
        <v>2174</v>
      </c>
      <c r="BH239" s="1171" t="s">
        <v>2174</v>
      </c>
      <c r="BI239" s="1172" t="s">
        <v>2174</v>
      </c>
      <c r="BJ239" s="1176"/>
      <c r="BK239" s="1171" t="s">
        <v>2174</v>
      </c>
      <c r="BL239" s="1172" t="s">
        <v>2174</v>
      </c>
      <c r="BM239" s="1171" t="s">
        <v>2174</v>
      </c>
      <c r="BN239" s="1172" t="s">
        <v>2174</v>
      </c>
    </row>
    <row r="240" spans="1:66" x14ac:dyDescent="0.25">
      <c r="A240" s="49" t="str">
        <f t="shared" si="345"/>
        <v>406815</v>
      </c>
      <c r="B240" s="1307" t="str">
        <f>'Income Eligible Deemed Table'!C1008</f>
        <v>406815_2024_12_</v>
      </c>
      <c r="C240" s="1249" t="str">
        <f>'Income Eligible Deemed Table'!G1008</f>
        <v>Building Shell RES</v>
      </c>
      <c r="D240" s="1249"/>
      <c r="E240" s="1249"/>
      <c r="F240" s="1249"/>
      <c r="G240" s="1249" t="str">
        <f>'Income Eligible Deemed Table'!E1008</f>
        <v>Cool Roof: Multi-Family Vintage 2010-2015-Heat Pump Heating</v>
      </c>
      <c r="H240" s="18" t="str">
        <f>'Income Eligible Deemed Table'!D1008</f>
        <v>IE</v>
      </c>
      <c r="I240" s="737">
        <f>'Income Eligible Deemed Table'!F1008</f>
        <v>8.19</v>
      </c>
      <c r="J240" s="737"/>
      <c r="K240" s="185"/>
      <c r="L240" s="185"/>
      <c r="M240" s="185"/>
      <c r="N240" s="185"/>
      <c r="O240" s="738">
        <f>'Income Eligible Deemed Table'!I1008</f>
        <v>3.8170000000000001E-3</v>
      </c>
      <c r="P240" s="738"/>
      <c r="Q240" s="739"/>
      <c r="R240" s="739"/>
      <c r="S240" s="739"/>
      <c r="T240" s="739"/>
      <c r="U240" s="740">
        <f t="shared" si="341"/>
        <v>0</v>
      </c>
      <c r="V240" s="740">
        <f t="shared" si="342"/>
        <v>0</v>
      </c>
      <c r="W240" s="740">
        <f t="shared" si="343"/>
        <v>3.8170000000000001E-3</v>
      </c>
      <c r="X240" s="22">
        <f>'Income Eligible Deemed Table'!J1008</f>
        <v>15</v>
      </c>
      <c r="Y240" s="22"/>
      <c r="Z240" s="22">
        <f t="shared" si="346"/>
        <v>15</v>
      </c>
      <c r="AA240" s="17">
        <f>'Income Eligible Deemed Table'!DG1008</f>
        <v>1.3247782610582135</v>
      </c>
      <c r="AB240" s="241">
        <f>'Income Eligible Deemed Table'!K1008</f>
        <v>7.84</v>
      </c>
      <c r="AC240" s="845">
        <f t="shared" si="347"/>
        <v>10.386261566696394</v>
      </c>
      <c r="AD240" s="845">
        <f t="shared" si="348"/>
        <v>0</v>
      </c>
      <c r="AE240" s="190">
        <f>'Income Eligible Deemed Table'!DI1008</f>
        <v>10.386261566696394</v>
      </c>
      <c r="AF240" s="191"/>
      <c r="AG240" s="191"/>
      <c r="AH240" s="191"/>
      <c r="AI240" s="1307" t="str">
        <f>'Income Eligible Deemed Table'!L1008</f>
        <v>per sq ft</v>
      </c>
      <c r="AJ240" s="644"/>
      <c r="AK240" s="39"/>
      <c r="AL240" s="39"/>
      <c r="AX240" s="1226" t="str">
        <f t="shared" si="349"/>
        <v>Cool Roof: Multi-Family Vintage 2010-2015-Heat Pump Heating</v>
      </c>
      <c r="AY240" s="1249"/>
      <c r="AZ240" s="1312" t="str">
        <f t="shared" si="350"/>
        <v>406815</v>
      </c>
      <c r="BA240" s="1171" t="s">
        <v>2174</v>
      </c>
      <c r="BB240" s="1171" t="s">
        <v>2174</v>
      </c>
      <c r="BC240" s="1171" t="s">
        <v>2174</v>
      </c>
      <c r="BD240" s="1171" t="s">
        <v>2174</v>
      </c>
      <c r="BE240" s="1176"/>
      <c r="BF240" s="1171" t="s">
        <v>2174</v>
      </c>
      <c r="BG240" s="1171" t="s">
        <v>2174</v>
      </c>
      <c r="BH240" s="1171" t="s">
        <v>2174</v>
      </c>
      <c r="BI240" s="1172" t="s">
        <v>2174</v>
      </c>
      <c r="BJ240" s="1176"/>
      <c r="BK240" s="1171" t="s">
        <v>2174</v>
      </c>
      <c r="BL240" s="1172" t="s">
        <v>2174</v>
      </c>
      <c r="BM240" s="1171" t="s">
        <v>2174</v>
      </c>
      <c r="BN240" s="1172" t="s">
        <v>2174</v>
      </c>
    </row>
    <row r="241" spans="1:66" s="39" customFormat="1" x14ac:dyDescent="0.25">
      <c r="A241" s="659" t="str">
        <f t="shared" si="345"/>
        <v>450100</v>
      </c>
      <c r="B241" s="645" t="str">
        <f>'PAYS Deemed Table'!C7</f>
        <v>450100_2024_12_</v>
      </c>
      <c r="C241" s="644" t="str">
        <f>'PAYS Deemed Table'!H7</f>
        <v>Lighting RES</v>
      </c>
      <c r="D241" s="644"/>
      <c r="E241" s="644"/>
      <c r="F241" s="644"/>
      <c r="G241" s="644" t="str">
        <f>'PAYS Deemed Table'!E7</f>
        <v>LED - 10W (750-899 lumens) DI</v>
      </c>
      <c r="H241" s="650" t="str">
        <f>'PAYS Deemed Table'!D7</f>
        <v>PAYS</v>
      </c>
      <c r="I241" s="648">
        <f>'PAYS Deemed Table'!F7</f>
        <v>29.57</v>
      </c>
      <c r="J241" s="648"/>
      <c r="K241" s="646"/>
      <c r="L241" s="646"/>
      <c r="M241" s="646"/>
      <c r="N241" s="646"/>
      <c r="O241" s="649">
        <f>'PAYS Deemed Table'!G7</f>
        <v>4.4140000000000004E-3</v>
      </c>
      <c r="P241" s="649"/>
      <c r="Q241" s="651"/>
      <c r="R241" s="651"/>
      <c r="S241" s="651"/>
      <c r="T241" s="651"/>
      <c r="U241" s="740">
        <f t="shared" si="341"/>
        <v>4.4140000000000004E-3</v>
      </c>
      <c r="V241" s="740">
        <f t="shared" si="342"/>
        <v>0</v>
      </c>
      <c r="W241" s="740">
        <f t="shared" si="343"/>
        <v>0</v>
      </c>
      <c r="X241" s="642">
        <f>'PAYS Deemed Table'!P7</f>
        <v>2</v>
      </c>
      <c r="Y241" s="642"/>
      <c r="Z241" s="642">
        <f t="shared" si="346"/>
        <v>2</v>
      </c>
      <c r="AA241" s="112">
        <f>'PAYS Deemed Table'!DG7</f>
        <v>2.4846833571625995</v>
      </c>
      <c r="AB241" s="733">
        <f>'PAYS Deemed Table'!DJ7</f>
        <v>1.45</v>
      </c>
      <c r="AC241" s="735">
        <f t="shared" si="347"/>
        <v>3.6027908678857692</v>
      </c>
      <c r="AD241" s="735">
        <f t="shared" si="348"/>
        <v>0</v>
      </c>
      <c r="AE241" s="1123">
        <f>'PAYS Deemed Table'!DI7</f>
        <v>3.6027908678857692</v>
      </c>
      <c r="AF241" s="862"/>
      <c r="AG241" s="652"/>
      <c r="AH241" s="652"/>
      <c r="AI241" s="46" t="str">
        <f>'PAYS Deemed Table'!S7</f>
        <v xml:space="preserve">  per bulb</v>
      </c>
      <c r="AJ241" s="644"/>
      <c r="AM241"/>
      <c r="AN241"/>
      <c r="AO241"/>
      <c r="AP241"/>
      <c r="AQ241"/>
      <c r="AR241"/>
      <c r="AS241"/>
      <c r="AT241"/>
      <c r="AU241"/>
      <c r="AV241"/>
      <c r="AW241"/>
      <c r="AX241" s="1226" t="str">
        <f t="shared" si="349"/>
        <v>LED - 10W (750-899 lumens) DI</v>
      </c>
      <c r="AY241" s="1249"/>
      <c r="AZ241" s="1312" t="str">
        <f t="shared" si="350"/>
        <v>450100</v>
      </c>
      <c r="BA241" s="1171" t="s">
        <v>2174</v>
      </c>
      <c r="BB241" s="1171" t="s">
        <v>2174</v>
      </c>
      <c r="BC241" s="1171" t="s">
        <v>2174</v>
      </c>
      <c r="BD241" s="1171" t="s">
        <v>2174</v>
      </c>
      <c r="BE241" s="1177"/>
      <c r="BF241" s="1171" t="s">
        <v>2174</v>
      </c>
      <c r="BG241" s="1171" t="s">
        <v>2174</v>
      </c>
      <c r="BH241" s="1171" t="s">
        <v>2174</v>
      </c>
      <c r="BI241" s="1172" t="s">
        <v>2174</v>
      </c>
      <c r="BJ241" s="1176"/>
      <c r="BK241" s="1171" t="s">
        <v>2174</v>
      </c>
      <c r="BL241" s="1172" t="s">
        <v>2174</v>
      </c>
      <c r="BM241" s="1171" t="s">
        <v>2174</v>
      </c>
      <c r="BN241" s="1172" t="s">
        <v>2174</v>
      </c>
    </row>
    <row r="242" spans="1:66" s="2143" customFormat="1" x14ac:dyDescent="0.25">
      <c r="A242" s="2274" t="str">
        <f t="shared" ref="A242" si="351">LEFT(B242,6)</f>
        <v>450700</v>
      </c>
      <c r="B242" s="2275" t="str">
        <f>'PAYS Deemed Table'!C38</f>
        <v>450700_2024_12_</v>
      </c>
      <c r="C242" s="2276" t="str">
        <f>'PAYS Deemed Table'!G38</f>
        <v>Miscellaneous RES</v>
      </c>
      <c r="D242" s="2276"/>
      <c r="E242" s="2276"/>
      <c r="F242" s="2276"/>
      <c r="G242" s="2276" t="str">
        <f>'PAYS Deemed Table'!E38</f>
        <v>Advanced Tier 1 Power Strips DI - Home Office</v>
      </c>
      <c r="H242" s="2277" t="str">
        <f>'PAYS Deemed Table'!D38</f>
        <v>PAYS</v>
      </c>
      <c r="I242" s="2278">
        <f>'PAYS Deemed Table'!F38</f>
        <v>23.03</v>
      </c>
      <c r="J242" s="2278"/>
      <c r="K242" s="2279"/>
      <c r="L242" s="2279"/>
      <c r="M242" s="2279"/>
      <c r="N242" s="2279"/>
      <c r="O242" s="2280">
        <f>'PAYS Deemed Table'!I38</f>
        <v>2.6440000000000001E-3</v>
      </c>
      <c r="P242" s="2280"/>
      <c r="Q242" s="2281"/>
      <c r="R242" s="2281"/>
      <c r="S242" s="2281"/>
      <c r="T242" s="2281"/>
      <c r="U242" s="2282">
        <f t="shared" ref="U242" si="352">IFERROR(IF(V242+W242&gt;0,0,IF(Z242&gt;0,O242,0)),0)</f>
        <v>0</v>
      </c>
      <c r="V242" s="2282">
        <f t="shared" ref="V242" si="353">IF(W242&gt;0,0,IF(Z242&gt;9,O242,0))</f>
        <v>2.6440000000000001E-3</v>
      </c>
      <c r="W242" s="2282">
        <f t="shared" ref="W242" si="354">IF(Z242&gt;14,O242,0)</f>
        <v>0</v>
      </c>
      <c r="X242" s="2283">
        <f>'PAYS Deemed Table'!J38</f>
        <v>10</v>
      </c>
      <c r="Y242" s="2283"/>
      <c r="Z242" s="2283">
        <f t="shared" ref="Z242" si="355">Y242+X242</f>
        <v>10</v>
      </c>
      <c r="AA242" s="2284">
        <f>'PAYS Deemed Table'!DG38</f>
        <v>0.38464720958253451</v>
      </c>
      <c r="AB242" s="2285">
        <f>'PAYS Deemed Table'!DJ38</f>
        <v>30</v>
      </c>
      <c r="AC242" s="2286">
        <f t="shared" ref="AC242" si="356">AE242+AF242</f>
        <v>11.539416287476035</v>
      </c>
      <c r="AD242" s="2286">
        <f t="shared" ref="AD242" si="357">AG242+AH242</f>
        <v>0</v>
      </c>
      <c r="AE242" s="2287">
        <f>'PAYS Deemed Table'!DI38</f>
        <v>11.539416287476035</v>
      </c>
      <c r="AF242" s="2288"/>
      <c r="AG242" s="2289"/>
      <c r="AH242" s="2289"/>
      <c r="AI242" s="2275" t="str">
        <f>'PAYS Deemed Table'!L38</f>
        <v>per measure</v>
      </c>
      <c r="AJ242" s="2276"/>
      <c r="AM242" s="2190"/>
      <c r="AN242" s="2190"/>
      <c r="AO242" s="2190"/>
      <c r="AP242" s="2190"/>
      <c r="AQ242" s="2190"/>
      <c r="AR242" s="2190"/>
      <c r="AS242" s="2190"/>
      <c r="AT242" s="2190"/>
      <c r="AU242" s="2190"/>
      <c r="AV242" s="2190"/>
      <c r="AW242" s="2190"/>
      <c r="AX242" s="2290" t="str">
        <f t="shared" ref="AX242" si="358">G242</f>
        <v>Advanced Tier 1 Power Strips DI - Home Office</v>
      </c>
      <c r="AY242" s="2291"/>
      <c r="AZ242" s="2292" t="str">
        <f t="shared" ref="AZ242" si="359">A242</f>
        <v>450700</v>
      </c>
      <c r="BA242" s="2293" t="s">
        <v>2174</v>
      </c>
      <c r="BB242" s="2293" t="s">
        <v>2174</v>
      </c>
      <c r="BC242" s="2293" t="s">
        <v>2174</v>
      </c>
      <c r="BD242" s="2293" t="s">
        <v>2174</v>
      </c>
      <c r="BE242" s="2294"/>
      <c r="BF242" s="2293" t="s">
        <v>2174</v>
      </c>
      <c r="BG242" s="2293" t="s">
        <v>2174</v>
      </c>
      <c r="BH242" s="2293" t="s">
        <v>2174</v>
      </c>
      <c r="BI242" s="2295" t="s">
        <v>2174</v>
      </c>
      <c r="BJ242" s="2296"/>
      <c r="BK242" s="2293" t="s">
        <v>2174</v>
      </c>
      <c r="BL242" s="2295" t="s">
        <v>2174</v>
      </c>
      <c r="BM242" s="2293" t="s">
        <v>2174</v>
      </c>
      <c r="BN242" s="2295" t="s">
        <v>2174</v>
      </c>
    </row>
    <row r="243" spans="1:66" s="39" customFormat="1" x14ac:dyDescent="0.25">
      <c r="A243" s="659" t="str">
        <f t="shared" ref="A243" si="360">LEFT(B243,6)</f>
        <v>459999</v>
      </c>
      <c r="B243" s="645" t="str">
        <f>'PAYS Deemed Table'!C56</f>
        <v>459999_2025_12</v>
      </c>
      <c r="C243" s="644" t="str">
        <f>'PAYS Deemed Table'!G56</f>
        <v>Variable</v>
      </c>
      <c r="D243" s="644"/>
      <c r="E243" s="644"/>
      <c r="F243" s="644"/>
      <c r="G243" s="644" t="str">
        <f>'PAYS Deemed Table'!E56</f>
        <v>Custom</v>
      </c>
      <c r="H243" s="650" t="str">
        <f>'PAYS Deemed Table'!D56</f>
        <v>PAYS</v>
      </c>
      <c r="I243" s="648" t="str">
        <f>'PAYS Deemed Table'!F56</f>
        <v>Custom</v>
      </c>
      <c r="J243" s="648"/>
      <c r="K243" s="646"/>
      <c r="L243" s="646"/>
      <c r="M243" s="646"/>
      <c r="N243" s="646"/>
      <c r="O243" s="649" t="str">
        <f>'PAYS Deemed Table'!I56</f>
        <v>Custom</v>
      </c>
      <c r="P243" s="649"/>
      <c r="Q243" s="651"/>
      <c r="R243" s="651"/>
      <c r="S243" s="651"/>
      <c r="T243" s="651"/>
      <c r="U243" s="740">
        <f t="shared" ref="U243" si="361">IFERROR(IF(V243+W243&gt;0,0,IF(Z243&gt;0,O243,0)),0)</f>
        <v>0</v>
      </c>
      <c r="V243" s="740">
        <f t="shared" ref="V243" si="362">IF(W243&gt;0,0,IF(Z243&gt;9,O243,0))</f>
        <v>0</v>
      </c>
      <c r="W243" s="740" t="str">
        <f t="shared" ref="W243" si="363">IF(Z243&gt;14,O243,0)</f>
        <v>Custom</v>
      </c>
      <c r="X243" s="642" t="str">
        <f>'PAYS Deemed Table'!J56</f>
        <v>Custom</v>
      </c>
      <c r="Y243" s="642"/>
      <c r="Z243" s="22" t="s">
        <v>2384</v>
      </c>
      <c r="AA243" s="17" t="s">
        <v>2384</v>
      </c>
      <c r="AB243" s="241" t="s">
        <v>2384</v>
      </c>
      <c r="AC243" s="860" t="s">
        <v>2384</v>
      </c>
      <c r="AD243" s="742" t="s">
        <v>2384</v>
      </c>
      <c r="AE243" s="1123"/>
      <c r="AF243" s="862"/>
      <c r="AG243" s="652"/>
      <c r="AH243" s="652"/>
      <c r="AI243" s="974" t="str">
        <f>'PAYS Deemed Table'!L56</f>
        <v>Custom</v>
      </c>
      <c r="AJ243" s="644"/>
      <c r="AM243"/>
      <c r="AN243"/>
      <c r="AO243"/>
      <c r="AP243"/>
      <c r="AQ243"/>
      <c r="AR243"/>
      <c r="AS243"/>
      <c r="AT243"/>
      <c r="AU243"/>
      <c r="AV243"/>
      <c r="AW243"/>
      <c r="AX243" s="1226" t="str">
        <f t="shared" ref="AX243" si="364">G243</f>
        <v>Custom</v>
      </c>
      <c r="AY243" s="1249"/>
      <c r="AZ243" s="1312" t="str">
        <f t="shared" ref="AZ243" si="365">A243</f>
        <v>459999</v>
      </c>
      <c r="BA243" s="1171" t="s">
        <v>2174</v>
      </c>
      <c r="BB243" s="1171" t="s">
        <v>2174</v>
      </c>
      <c r="BC243" s="1171" t="s">
        <v>2174</v>
      </c>
      <c r="BD243" s="1171" t="s">
        <v>2174</v>
      </c>
      <c r="BE243" s="1177"/>
      <c r="BF243" s="1171" t="s">
        <v>2174</v>
      </c>
      <c r="BG243" s="1171" t="s">
        <v>2174</v>
      </c>
      <c r="BH243" s="1171" t="s">
        <v>2174</v>
      </c>
      <c r="BI243" s="1172" t="s">
        <v>2174</v>
      </c>
      <c r="BJ243" s="1176"/>
      <c r="BK243" s="1171" t="s">
        <v>2174</v>
      </c>
      <c r="BL243" s="1172" t="s">
        <v>2174</v>
      </c>
      <c r="BM243" s="1171" t="s">
        <v>2174</v>
      </c>
      <c r="BN243" s="1172" t="s">
        <v>2174</v>
      </c>
    </row>
    <row r="244" spans="1:66" x14ac:dyDescent="0.25">
      <c r="A244" s="49" t="str">
        <f t="shared" ref="A244:A278" si="366">LEFT(B244,6)</f>
        <v>600050</v>
      </c>
      <c r="B244" s="1307" t="str">
        <f>'Demand Response Deemed Table'!C7</f>
        <v>600050_2024_12_</v>
      </c>
      <c r="C244" s="1249" t="str">
        <f>'Demand Response Deemed Table'!E7</f>
        <v>Summer Demand Response SmartAdvanced Thermostat - with Program-driven Optimization</v>
      </c>
      <c r="D244" s="1249"/>
      <c r="E244" s="1249"/>
      <c r="F244" s="1249"/>
      <c r="G244" s="1249" t="str">
        <f>'Demand Response Deemed Table'!E7</f>
        <v>Summer Demand Response SmartAdvanced Thermostat - with Program-driven Optimization</v>
      </c>
      <c r="H244" s="18" t="str">
        <f>'Demand Response Deemed Table'!D7</f>
        <v>DR</v>
      </c>
      <c r="I244" s="737">
        <f>'Demand Response Deemed Table'!F7</f>
        <v>0</v>
      </c>
      <c r="J244" s="737"/>
      <c r="K244" s="185"/>
      <c r="L244" s="185"/>
      <c r="M244" s="185"/>
      <c r="N244" s="185"/>
      <c r="O244" s="738" t="str">
        <f>'Demand Response Deemed Table'!I7</f>
        <v>-</v>
      </c>
      <c r="P244" s="738"/>
      <c r="Q244" s="739"/>
      <c r="R244" s="739"/>
      <c r="S244" s="739"/>
      <c r="T244" s="739"/>
      <c r="U244" s="740" t="str">
        <f t="shared" ref="U244:U268" si="367">IFERROR(IF(V244+W244&gt;0,0,IF(Z244&gt;0,O244,0)),0)</f>
        <v>-</v>
      </c>
      <c r="V244" s="740">
        <f t="shared" ref="V244:V268" si="368">IF(W244&gt;0,0,IF(Z244&gt;9,O244,0))</f>
        <v>0</v>
      </c>
      <c r="W244" s="740">
        <f t="shared" ref="W244:W268" si="369">IF(Z244&gt;14,O244,0)</f>
        <v>0</v>
      </c>
      <c r="X244" s="22">
        <f>'Demand Response Deemed Table'!K7</f>
        <v>1</v>
      </c>
      <c r="Y244" s="22"/>
      <c r="Z244" s="22">
        <f t="shared" ref="Z244:Z278" si="370">Y244+X244</f>
        <v>1</v>
      </c>
      <c r="AA244" s="855" t="str">
        <f>'Demand Response Deemed Table'!DG7</f>
        <v/>
      </c>
      <c r="AB244" s="241">
        <f>'Demand Response Deemed Table'!L7</f>
        <v>0</v>
      </c>
      <c r="AC244" s="846">
        <f t="shared" ref="AC244:AC278" si="371">AE244+AF244</f>
        <v>0</v>
      </c>
      <c r="AD244" s="846">
        <f t="shared" ref="AD244:AD278" si="372">AG244+AH244</f>
        <v>0</v>
      </c>
      <c r="AE244" s="856">
        <f>'Demand Response Deemed Table'!DI7</f>
        <v>0</v>
      </c>
      <c r="AF244" s="191"/>
      <c r="AG244" s="191"/>
      <c r="AH244" s="191"/>
      <c r="AI244" s="1307" t="str">
        <f>'Demand Response Deemed Table'!M7</f>
        <v>per thermostat</v>
      </c>
      <c r="AJ244" s="68"/>
      <c r="AX244" s="1226" t="str">
        <f t="shared" ref="AX244:AX270" si="373">G244</f>
        <v>Summer Demand Response SmartAdvanced Thermostat - with Program-driven Optimization</v>
      </c>
      <c r="AY244" s="1249"/>
      <c r="AZ244" s="1312" t="str">
        <f t="shared" ref="AZ244:AZ270" si="374">A244</f>
        <v>600050</v>
      </c>
      <c r="BA244" s="1171" t="s">
        <v>2174</v>
      </c>
      <c r="BB244" s="1171" t="s">
        <v>2174</v>
      </c>
      <c r="BC244" s="1171" t="s">
        <v>2174</v>
      </c>
      <c r="BD244" s="1171" t="s">
        <v>2174</v>
      </c>
      <c r="BE244" s="1176"/>
      <c r="BF244" s="1171" t="s">
        <v>2174</v>
      </c>
      <c r="BG244" s="1171" t="s">
        <v>2174</v>
      </c>
      <c r="BH244" s="1171" t="s">
        <v>2174</v>
      </c>
      <c r="BI244" s="1172" t="s">
        <v>2174</v>
      </c>
      <c r="BJ244" s="1176"/>
      <c r="BK244" s="1171" t="s">
        <v>2174</v>
      </c>
      <c r="BL244" s="1172" t="s">
        <v>2174</v>
      </c>
      <c r="BM244" s="1171" t="s">
        <v>2174</v>
      </c>
      <c r="BN244" s="1172" t="s">
        <v>2174</v>
      </c>
    </row>
    <row r="245" spans="1:66" s="39" customFormat="1" x14ac:dyDescent="0.25">
      <c r="A245" s="659" t="str">
        <f>LEFT(B245,6)</f>
        <v>600060</v>
      </c>
      <c r="B245" s="645" t="str">
        <f>'Demand Response Deemed Table'!C8</f>
        <v>600060_2023_12_</v>
      </c>
      <c r="C245" s="644" t="str">
        <f>'Demand Response Deemed Table'!E8</f>
        <v>Winter Demand Response Smart Advanced Thermostat - with Program-driven Optimization</v>
      </c>
      <c r="D245" s="644"/>
      <c r="E245" s="644"/>
      <c r="F245" s="644"/>
      <c r="G245" s="644" t="str">
        <f>'Demand Response Deemed Table'!E8</f>
        <v>Winter Demand Response Smart Advanced Thermostat - with Program-driven Optimization</v>
      </c>
      <c r="H245" s="650" t="str">
        <f>'Demand Response Deemed Table'!D8</f>
        <v>DR</v>
      </c>
      <c r="I245" s="648">
        <f>'Demand Response Deemed Table'!F8</f>
        <v>0</v>
      </c>
      <c r="J245" s="648"/>
      <c r="K245" s="646"/>
      <c r="L245" s="646"/>
      <c r="M245" s="646"/>
      <c r="N245" s="646"/>
      <c r="O245" s="649" t="str">
        <f>'Demand Response Deemed Table'!I8</f>
        <v>-</v>
      </c>
      <c r="P245" s="649"/>
      <c r="Q245" s="651"/>
      <c r="R245" s="651"/>
      <c r="S245" s="651"/>
      <c r="T245" s="651"/>
      <c r="U245" s="740" t="str">
        <f t="shared" si="367"/>
        <v>-</v>
      </c>
      <c r="V245" s="740">
        <f t="shared" si="368"/>
        <v>0</v>
      </c>
      <c r="W245" s="740">
        <f t="shared" si="369"/>
        <v>0</v>
      </c>
      <c r="X245" s="642">
        <f>'Demand Response Deemed Table'!K8</f>
        <v>1</v>
      </c>
      <c r="Y245" s="642"/>
      <c r="Z245" s="642">
        <f>Y245+X245</f>
        <v>1</v>
      </c>
      <c r="AA245" s="1161" t="str">
        <f>'Demand Response Deemed Table'!DG8</f>
        <v/>
      </c>
      <c r="AB245" s="733">
        <f>'Demand Response Deemed Table'!L8</f>
        <v>0</v>
      </c>
      <c r="AC245" s="736">
        <f>AE245+AF245</f>
        <v>0</v>
      </c>
      <c r="AD245" s="736">
        <f>AG245+AH245</f>
        <v>0</v>
      </c>
      <c r="AE245" s="1032">
        <f>'Demand Response Deemed Table'!DI8</f>
        <v>0</v>
      </c>
      <c r="AF245" s="652"/>
      <c r="AG245" s="652"/>
      <c r="AH245" s="652"/>
      <c r="AI245" s="645" t="str">
        <f>'Demand Response Deemed Table'!M8</f>
        <v>per thermostat</v>
      </c>
      <c r="AJ245" s="644"/>
      <c r="AM245"/>
      <c r="AN245"/>
      <c r="AO245"/>
      <c r="AP245"/>
      <c r="AQ245"/>
      <c r="AR245"/>
      <c r="AS245"/>
      <c r="AT245"/>
      <c r="AU245"/>
      <c r="AV245"/>
      <c r="AW245"/>
      <c r="AX245" s="1226" t="str">
        <f t="shared" si="373"/>
        <v>Winter Demand Response Smart Advanced Thermostat - with Program-driven Optimization</v>
      </c>
      <c r="AY245" s="1249"/>
      <c r="AZ245" s="1312" t="str">
        <f t="shared" si="374"/>
        <v>600060</v>
      </c>
      <c r="BA245" s="1171" t="s">
        <v>2174</v>
      </c>
      <c r="BB245" s="1171" t="s">
        <v>2174</v>
      </c>
      <c r="BC245" s="1171" t="s">
        <v>2174</v>
      </c>
      <c r="BD245" s="1171" t="s">
        <v>2174</v>
      </c>
      <c r="BE245" s="1177"/>
      <c r="BF245" s="1171" t="s">
        <v>2174</v>
      </c>
      <c r="BG245" s="1171" t="s">
        <v>2174</v>
      </c>
      <c r="BH245" s="1171" t="s">
        <v>2174</v>
      </c>
      <c r="BI245" s="1172" t="s">
        <v>2174</v>
      </c>
      <c r="BJ245" s="1176"/>
      <c r="BK245" s="1171" t="s">
        <v>2174</v>
      </c>
      <c r="BL245" s="1172" t="s">
        <v>2174</v>
      </c>
      <c r="BM245" s="1171" t="s">
        <v>2174</v>
      </c>
      <c r="BN245" s="1172" t="s">
        <v>2174</v>
      </c>
    </row>
    <row r="246" spans="1:66" x14ac:dyDescent="0.25">
      <c r="A246" s="49" t="str">
        <f t="shared" si="366"/>
        <v>600100</v>
      </c>
      <c r="B246" s="1307" t="str">
        <f>'Demand Response Deemed Table'!C9</f>
        <v>600100_2021_12_</v>
      </c>
      <c r="C246" s="1249" t="str">
        <f>'Demand Response Deemed Table'!E9</f>
        <v>Summer Demand Response SmartAdvanced Thermostat - without Program-Driven Optimization</v>
      </c>
      <c r="D246" s="1249"/>
      <c r="E246" s="1249"/>
      <c r="F246" s="1249"/>
      <c r="G246" s="1249" t="str">
        <f>'Demand Response Deemed Table'!E9</f>
        <v>Summer Demand Response SmartAdvanced Thermostat - without Program-Driven Optimization</v>
      </c>
      <c r="H246" s="18" t="str">
        <f>'Demand Response Deemed Table'!D9</f>
        <v>DR</v>
      </c>
      <c r="I246" s="737">
        <f>'Demand Response Deemed Table'!F9</f>
        <v>0</v>
      </c>
      <c r="J246" s="737"/>
      <c r="K246" s="185"/>
      <c r="L246" s="185"/>
      <c r="M246" s="185"/>
      <c r="N246" s="185"/>
      <c r="O246" s="738" t="str">
        <f>'Demand Response Deemed Table'!I9</f>
        <v>-</v>
      </c>
      <c r="P246" s="738"/>
      <c r="Q246" s="739"/>
      <c r="R246" s="739"/>
      <c r="S246" s="739"/>
      <c r="T246" s="739"/>
      <c r="U246" s="740" t="str">
        <f t="shared" si="367"/>
        <v>-</v>
      </c>
      <c r="V246" s="740">
        <f t="shared" si="368"/>
        <v>0</v>
      </c>
      <c r="W246" s="740">
        <f t="shared" si="369"/>
        <v>0</v>
      </c>
      <c r="X246" s="22">
        <f>'Demand Response Deemed Table'!K9</f>
        <v>1</v>
      </c>
      <c r="Y246" s="22"/>
      <c r="Z246" s="22">
        <f t="shared" si="370"/>
        <v>1</v>
      </c>
      <c r="AA246" s="855" t="str">
        <f>'Demand Response Deemed Table'!DG9</f>
        <v/>
      </c>
      <c r="AB246" s="241">
        <f>'Demand Response Deemed Table'!L9</f>
        <v>0</v>
      </c>
      <c r="AC246" s="846">
        <f t="shared" si="371"/>
        <v>0</v>
      </c>
      <c r="AD246" s="846">
        <f t="shared" si="372"/>
        <v>0</v>
      </c>
      <c r="AE246" s="856">
        <f>'Demand Response Deemed Table'!DI9</f>
        <v>0</v>
      </c>
      <c r="AF246" s="191"/>
      <c r="AG246" s="191"/>
      <c r="AH246" s="191"/>
      <c r="AI246" s="1307" t="str">
        <f>'Demand Response Deemed Table'!M9</f>
        <v>per thermostat</v>
      </c>
      <c r="AJ246" s="644"/>
      <c r="AK246" s="39"/>
      <c r="AL246" s="39"/>
      <c r="AX246" s="1226" t="str">
        <f t="shared" si="373"/>
        <v>Summer Demand Response SmartAdvanced Thermostat - without Program-Driven Optimization</v>
      </c>
      <c r="AY246" s="1249"/>
      <c r="AZ246" s="1312" t="str">
        <f t="shared" si="374"/>
        <v>600100</v>
      </c>
      <c r="BA246" s="1171" t="s">
        <v>2174</v>
      </c>
      <c r="BB246" s="1171" t="s">
        <v>2174</v>
      </c>
      <c r="BC246" s="1171" t="s">
        <v>2174</v>
      </c>
      <c r="BD246" s="1171" t="s">
        <v>2174</v>
      </c>
      <c r="BE246" s="1176"/>
      <c r="BF246" s="1171" t="s">
        <v>2174</v>
      </c>
      <c r="BG246" s="1171" t="s">
        <v>2174</v>
      </c>
      <c r="BH246" s="1171" t="s">
        <v>2174</v>
      </c>
      <c r="BI246" s="1172" t="s">
        <v>2174</v>
      </c>
      <c r="BJ246" s="1176"/>
      <c r="BK246" s="1171" t="s">
        <v>2174</v>
      </c>
      <c r="BL246" s="1172" t="s">
        <v>2174</v>
      </c>
      <c r="BM246" s="1171" t="s">
        <v>2174</v>
      </c>
      <c r="BN246" s="1172" t="s">
        <v>2174</v>
      </c>
    </row>
    <row r="247" spans="1:66" s="39" customFormat="1" x14ac:dyDescent="0.25">
      <c r="A247" s="659" t="str">
        <f t="shared" si="366"/>
        <v>600110</v>
      </c>
      <c r="B247" s="645" t="str">
        <f>'Demand Response Deemed Table'!C10</f>
        <v>600110_2023_12_</v>
      </c>
      <c r="C247" s="644" t="str">
        <f>'Demand Response Deemed Table'!E10</f>
        <v>Winter Demand Response SmartAdvanced Thermostat - without Program-Driven Optimization</v>
      </c>
      <c r="D247" s="644"/>
      <c r="E247" s="644"/>
      <c r="F247" s="644"/>
      <c r="G247" s="644" t="str">
        <f>'Demand Response Deemed Table'!E10</f>
        <v>Winter Demand Response SmartAdvanced Thermostat - without Program-Driven Optimization</v>
      </c>
      <c r="H247" s="650" t="str">
        <f>'Demand Response Deemed Table'!D10</f>
        <v>DR</v>
      </c>
      <c r="I247" s="648">
        <f>'Demand Response Deemed Table'!F10</f>
        <v>0</v>
      </c>
      <c r="J247" s="648"/>
      <c r="K247" s="646"/>
      <c r="L247" s="646"/>
      <c r="M247" s="646"/>
      <c r="N247" s="646"/>
      <c r="O247" s="649" t="str">
        <f>'Demand Response Deemed Table'!I10</f>
        <v>-</v>
      </c>
      <c r="P247" s="649"/>
      <c r="Q247" s="651"/>
      <c r="R247" s="651"/>
      <c r="S247" s="651"/>
      <c r="T247" s="651"/>
      <c r="U247" s="740" t="str">
        <f t="shared" si="367"/>
        <v>-</v>
      </c>
      <c r="V247" s="740">
        <f t="shared" si="368"/>
        <v>0</v>
      </c>
      <c r="W247" s="740">
        <f t="shared" si="369"/>
        <v>0</v>
      </c>
      <c r="X247" s="642">
        <f>'Demand Response Deemed Table'!K10</f>
        <v>1</v>
      </c>
      <c r="Y247" s="642"/>
      <c r="Z247" s="642">
        <f t="shared" si="370"/>
        <v>1</v>
      </c>
      <c r="AA247" s="1161" t="str">
        <f>'Demand Response Deemed Table'!DG10</f>
        <v/>
      </c>
      <c r="AB247" s="733">
        <f>'Demand Response Deemed Table'!L10</f>
        <v>0</v>
      </c>
      <c r="AC247" s="736">
        <f t="shared" si="371"/>
        <v>0</v>
      </c>
      <c r="AD247" s="736">
        <f t="shared" si="372"/>
        <v>0</v>
      </c>
      <c r="AE247" s="1032">
        <f>'Demand Response Deemed Table'!DI10</f>
        <v>0</v>
      </c>
      <c r="AF247" s="652"/>
      <c r="AG247" s="652"/>
      <c r="AH247" s="652"/>
      <c r="AI247" s="645" t="str">
        <f>'Demand Response Deemed Table'!M10</f>
        <v>per thermostat</v>
      </c>
      <c r="AJ247" s="644"/>
      <c r="AM247"/>
      <c r="AN247"/>
      <c r="AO247"/>
      <c r="AP247"/>
      <c r="AQ247"/>
      <c r="AR247"/>
      <c r="AS247"/>
      <c r="AT247"/>
      <c r="AU247"/>
      <c r="AV247"/>
      <c r="AW247"/>
      <c r="AX247" s="1226" t="str">
        <f t="shared" si="373"/>
        <v>Winter Demand Response SmartAdvanced Thermostat - without Program-Driven Optimization</v>
      </c>
      <c r="AY247" s="1249"/>
      <c r="AZ247" s="1312" t="str">
        <f t="shared" si="374"/>
        <v>600110</v>
      </c>
      <c r="BA247" s="1171" t="s">
        <v>2174</v>
      </c>
      <c r="BB247" s="1171" t="s">
        <v>2174</v>
      </c>
      <c r="BC247" s="1171" t="s">
        <v>2174</v>
      </c>
      <c r="BD247" s="1171" t="s">
        <v>2174</v>
      </c>
      <c r="BE247" s="1177"/>
      <c r="BF247" s="1171" t="s">
        <v>2174</v>
      </c>
      <c r="BG247" s="1171" t="s">
        <v>2174</v>
      </c>
      <c r="BH247" s="1171" t="s">
        <v>2174</v>
      </c>
      <c r="BI247" s="1172" t="s">
        <v>2174</v>
      </c>
      <c r="BJ247" s="1176"/>
      <c r="BK247" s="1171" t="s">
        <v>2174</v>
      </c>
      <c r="BL247" s="1172" t="s">
        <v>2174</v>
      </c>
      <c r="BM247" s="1171" t="s">
        <v>2174</v>
      </c>
      <c r="BN247" s="1172" t="s">
        <v>2174</v>
      </c>
    </row>
    <row r="248" spans="1:66" s="39" customFormat="1" x14ac:dyDescent="0.25">
      <c r="A248" s="49" t="str">
        <f>LEFT(B248,6)</f>
        <v>600401</v>
      </c>
      <c r="B248" s="1307" t="str">
        <f>'Demand Response Deemed Table'!C28</f>
        <v>600401_2024_12_</v>
      </c>
      <c r="C248" s="1249" t="str">
        <f>'Demand Response Deemed Table'!E28</f>
        <v>Demand Response Heat Pump Water Heater Switch</v>
      </c>
      <c r="D248" s="1249"/>
      <c r="E248" s="1249"/>
      <c r="F248" s="1249"/>
      <c r="G248" s="1249" t="str">
        <f>'Demand Response Deemed Table'!E28</f>
        <v>Demand Response Heat Pump Water Heater Switch</v>
      </c>
      <c r="H248" s="18" t="str">
        <f>'Demand Response Deemed Table'!D28</f>
        <v>DR</v>
      </c>
      <c r="I248" s="737">
        <f>'Demand Response Deemed Table'!F28</f>
        <v>0</v>
      </c>
      <c r="J248" s="737"/>
      <c r="K248" s="185"/>
      <c r="L248" s="185"/>
      <c r="M248" s="185"/>
      <c r="N248" s="185"/>
      <c r="O248" s="738">
        <f>'Demand Response Deemed Table'!I28</f>
        <v>0.27</v>
      </c>
      <c r="P248" s="738"/>
      <c r="Q248" s="739"/>
      <c r="R248" s="739"/>
      <c r="S248" s="739"/>
      <c r="T248" s="739"/>
      <c r="U248" s="740">
        <f t="shared" si="367"/>
        <v>0.27</v>
      </c>
      <c r="V248" s="740">
        <f t="shared" si="368"/>
        <v>0</v>
      </c>
      <c r="W248" s="740">
        <f t="shared" si="369"/>
        <v>0</v>
      </c>
      <c r="X248" s="22">
        <f>'Demand Response Deemed Table'!K28</f>
        <v>1</v>
      </c>
      <c r="Y248" s="22"/>
      <c r="Z248" s="22">
        <f>Y248+X248</f>
        <v>1</v>
      </c>
      <c r="AA248" s="855">
        <f>'Demand Response Deemed Table'!DG28</f>
        <v>0</v>
      </c>
      <c r="AB248" s="241">
        <f>'Demand Response Deemed Table'!L28</f>
        <v>149</v>
      </c>
      <c r="AC248" s="846">
        <f>AE248+AF248</f>
        <v>0</v>
      </c>
      <c r="AD248" s="846">
        <f>AG248+AH248</f>
        <v>0</v>
      </c>
      <c r="AE248" s="856">
        <f>'Demand Response Deemed Table'!DI28</f>
        <v>0</v>
      </c>
      <c r="AF248" s="191"/>
      <c r="AG248" s="191"/>
      <c r="AH248" s="191"/>
      <c r="AI248" s="1307" t="str">
        <f>'Demand Response Deemed Table'!M28</f>
        <v>per unit</v>
      </c>
      <c r="AJ248" s="644"/>
      <c r="AM248"/>
      <c r="AN248"/>
      <c r="AO248"/>
      <c r="AP248"/>
      <c r="AQ248"/>
      <c r="AR248"/>
      <c r="AS248"/>
      <c r="AT248"/>
      <c r="AU248"/>
      <c r="AV248"/>
      <c r="AW248"/>
      <c r="AX248" s="1226" t="str">
        <f t="shared" ref="AX248" si="375">G248</f>
        <v>Demand Response Heat Pump Water Heater Switch</v>
      </c>
      <c r="AY248" s="1249"/>
      <c r="AZ248" s="1312" t="str">
        <f t="shared" ref="AZ248" si="376">A248</f>
        <v>600401</v>
      </c>
      <c r="BA248" s="1171" t="s">
        <v>2174</v>
      </c>
      <c r="BB248" s="1171" t="s">
        <v>2174</v>
      </c>
      <c r="BC248" s="1171" t="s">
        <v>2174</v>
      </c>
      <c r="BD248" s="1171" t="s">
        <v>2174</v>
      </c>
      <c r="BE248" s="1177"/>
      <c r="BF248" s="1171" t="s">
        <v>2174</v>
      </c>
      <c r="BG248" s="1171" t="s">
        <v>2174</v>
      </c>
      <c r="BH248" s="1171" t="s">
        <v>2174</v>
      </c>
      <c r="BI248" s="1172" t="s">
        <v>2174</v>
      </c>
      <c r="BJ248" s="1176"/>
      <c r="BK248" s="1171" t="s">
        <v>2174</v>
      </c>
      <c r="BL248" s="1172" t="s">
        <v>2174</v>
      </c>
      <c r="BM248" s="1171" t="s">
        <v>2174</v>
      </c>
      <c r="BN248" s="1172" t="s">
        <v>2174</v>
      </c>
    </row>
    <row r="249" spans="1:66" s="39" customFormat="1" x14ac:dyDescent="0.25">
      <c r="A249" s="49" t="str">
        <f>LEFT(B249,6)</f>
        <v>600402</v>
      </c>
      <c r="B249" s="1307" t="str">
        <f>'Demand Response Deemed Table'!C29</f>
        <v>600402_2024_12_</v>
      </c>
      <c r="C249" s="1249" t="str">
        <f>'Demand Response Deemed Table'!E29</f>
        <v>Demand Response Electric Resistance Water Heater Switch</v>
      </c>
      <c r="D249" s="1249"/>
      <c r="E249" s="1249"/>
      <c r="F249" s="1249"/>
      <c r="G249" s="1249" t="str">
        <f>'Demand Response Deemed Table'!E29</f>
        <v>Demand Response Electric Resistance Water Heater Switch</v>
      </c>
      <c r="H249" s="18" t="str">
        <f>'Demand Response Deemed Table'!D29</f>
        <v>DR</v>
      </c>
      <c r="I249" s="737">
        <f>'Demand Response Deemed Table'!F29</f>
        <v>0</v>
      </c>
      <c r="J249" s="737"/>
      <c r="K249" s="185"/>
      <c r="L249" s="185"/>
      <c r="M249" s="185"/>
      <c r="N249" s="185"/>
      <c r="O249" s="738">
        <f>'Demand Response Deemed Table'!I29</f>
        <v>0.22</v>
      </c>
      <c r="P249" s="738"/>
      <c r="Q249" s="739"/>
      <c r="R249" s="739"/>
      <c r="S249" s="739"/>
      <c r="T249" s="739"/>
      <c r="U249" s="740">
        <f t="shared" si="367"/>
        <v>0.22</v>
      </c>
      <c r="V249" s="740">
        <f t="shared" si="368"/>
        <v>0</v>
      </c>
      <c r="W249" s="740">
        <f t="shared" si="369"/>
        <v>0</v>
      </c>
      <c r="X249" s="22">
        <f>'Demand Response Deemed Table'!K29</f>
        <v>1</v>
      </c>
      <c r="Y249" s="22"/>
      <c r="Z249" s="22">
        <f>Y249+X249</f>
        <v>1</v>
      </c>
      <c r="AA249" s="855">
        <f>'Demand Response Deemed Table'!DG29</f>
        <v>0</v>
      </c>
      <c r="AB249" s="241">
        <f>'Demand Response Deemed Table'!L29</f>
        <v>149</v>
      </c>
      <c r="AC249" s="846">
        <f>AE249+AF249</f>
        <v>0</v>
      </c>
      <c r="AD249" s="846">
        <f>AG249+AH249</f>
        <v>0</v>
      </c>
      <c r="AE249" s="856">
        <f>'Demand Response Deemed Table'!DI29</f>
        <v>0</v>
      </c>
      <c r="AF249" s="191"/>
      <c r="AG249" s="191"/>
      <c r="AH249" s="191"/>
      <c r="AI249" s="1307" t="str">
        <f>'Demand Response Deemed Table'!M29</f>
        <v>per unit</v>
      </c>
      <c r="AJ249" s="644"/>
      <c r="AM249"/>
      <c r="AN249"/>
      <c r="AO249"/>
      <c r="AP249"/>
      <c r="AQ249"/>
      <c r="AR249"/>
      <c r="AS249"/>
      <c r="AT249"/>
      <c r="AU249"/>
      <c r="AV249"/>
      <c r="AW249"/>
      <c r="AX249" s="1226" t="str">
        <f t="shared" ref="AX249" si="377">G249</f>
        <v>Demand Response Electric Resistance Water Heater Switch</v>
      </c>
      <c r="AY249" s="1249"/>
      <c r="AZ249" s="1312" t="str">
        <f t="shared" ref="AZ249" si="378">A249</f>
        <v>600402</v>
      </c>
      <c r="BA249" s="1171" t="s">
        <v>2174</v>
      </c>
      <c r="BB249" s="1171" t="s">
        <v>2174</v>
      </c>
      <c r="BC249" s="1171" t="s">
        <v>2174</v>
      </c>
      <c r="BD249" s="1171" t="s">
        <v>2174</v>
      </c>
      <c r="BE249" s="1177"/>
      <c r="BF249" s="1171" t="s">
        <v>2174</v>
      </c>
      <c r="BG249" s="1171" t="s">
        <v>2174</v>
      </c>
      <c r="BH249" s="1171" t="s">
        <v>2174</v>
      </c>
      <c r="BI249" s="1172" t="s">
        <v>2174</v>
      </c>
      <c r="BJ249" s="1176"/>
      <c r="BK249" s="1171" t="s">
        <v>2174</v>
      </c>
      <c r="BL249" s="1172" t="s">
        <v>2174</v>
      </c>
      <c r="BM249" s="1171" t="s">
        <v>2174</v>
      </c>
      <c r="BN249" s="1172" t="s">
        <v>2174</v>
      </c>
    </row>
    <row r="250" spans="1:66" s="39" customFormat="1" x14ac:dyDescent="0.25">
      <c r="A250" s="659" t="str">
        <f>LEFT(B250,6)</f>
        <v>600500</v>
      </c>
      <c r="B250" s="645" t="str">
        <f>'Demand Response Deemed Table'!C38</f>
        <v>600500_2024_12_</v>
      </c>
      <c r="C250" s="644" t="str">
        <f>'Demand Response Deemed Table'!E38</f>
        <v>Demand Response Electric Vehicle Charging</v>
      </c>
      <c r="D250" s="644"/>
      <c r="E250" s="644"/>
      <c r="F250" s="644"/>
      <c r="G250" s="644" t="str">
        <f>'Demand Response Deemed Table'!E38</f>
        <v>Demand Response Electric Vehicle Charging</v>
      </c>
      <c r="H250" s="650" t="str">
        <f>'Demand Response Deemed Table'!D38</f>
        <v>DR</v>
      </c>
      <c r="I250" s="648">
        <f>'Demand Response Deemed Table'!F38</f>
        <v>0</v>
      </c>
      <c r="J250" s="648"/>
      <c r="K250" s="646"/>
      <c r="L250" s="646"/>
      <c r="M250" s="646"/>
      <c r="N250" s="646"/>
      <c r="O250" s="649">
        <f>'Demand Response Deemed Table'!I38</f>
        <v>0.16</v>
      </c>
      <c r="P250" s="649"/>
      <c r="Q250" s="651"/>
      <c r="R250" s="651"/>
      <c r="S250" s="651"/>
      <c r="T250" s="651"/>
      <c r="U250" s="2117">
        <f t="shared" ref="U250" si="379">IFERROR(IF(V250+W250&gt;0,0,IF(Z250&gt;0,O250,0)),0)</f>
        <v>0.16</v>
      </c>
      <c r="V250" s="2117">
        <f t="shared" ref="V250" si="380">IF(W250&gt;0,0,IF(Z250&gt;9,O250,0))</f>
        <v>0</v>
      </c>
      <c r="W250" s="2117">
        <f t="shared" ref="W250" si="381">IF(Z250&gt;14,O250,0)</f>
        <v>0</v>
      </c>
      <c r="X250" s="642">
        <f>'Demand Response Deemed Table'!K38</f>
        <v>1</v>
      </c>
      <c r="Y250" s="642"/>
      <c r="Z250" s="642">
        <f>Y250+X250</f>
        <v>1</v>
      </c>
      <c r="AA250" s="1161" t="str">
        <f>'Demand Response Deemed Table'!DG38</f>
        <v/>
      </c>
      <c r="AB250" s="733">
        <f>'Demand Response Deemed Table'!L38</f>
        <v>0</v>
      </c>
      <c r="AC250" s="736">
        <f>AE250+AF250</f>
        <v>0</v>
      </c>
      <c r="AD250" s="736">
        <f>AG250+AH250</f>
        <v>0</v>
      </c>
      <c r="AE250" s="1032">
        <f>'Demand Response Deemed Table'!DI38</f>
        <v>0</v>
      </c>
      <c r="AF250" s="652"/>
      <c r="AG250" s="652"/>
      <c r="AH250" s="652"/>
      <c r="AI250" s="645" t="str">
        <f>'Demand Response Deemed Table'!M38</f>
        <v>per unit</v>
      </c>
      <c r="AJ250" s="644"/>
      <c r="AM250"/>
      <c r="AN250"/>
      <c r="AO250"/>
      <c r="AP250"/>
      <c r="AQ250"/>
      <c r="AR250"/>
      <c r="AS250"/>
      <c r="AT250"/>
      <c r="AU250"/>
      <c r="AV250"/>
      <c r="AW250"/>
      <c r="AX250" s="1226" t="str">
        <f t="shared" ref="AX250" si="382">G250</f>
        <v>Demand Response Electric Vehicle Charging</v>
      </c>
      <c r="AY250" s="1249"/>
      <c r="AZ250" s="1312" t="str">
        <f t="shared" ref="AZ250" si="383">A250</f>
        <v>600500</v>
      </c>
      <c r="BA250" s="1171" t="s">
        <v>2174</v>
      </c>
      <c r="BB250" s="1171" t="s">
        <v>2174</v>
      </c>
      <c r="BC250" s="1171" t="s">
        <v>2174</v>
      </c>
      <c r="BD250" s="1171" t="s">
        <v>2174</v>
      </c>
      <c r="BE250" s="1177"/>
      <c r="BF250" s="1171" t="s">
        <v>2174</v>
      </c>
      <c r="BG250" s="1171" t="s">
        <v>2174</v>
      </c>
      <c r="BH250" s="1171" t="s">
        <v>2174</v>
      </c>
      <c r="BI250" s="1172" t="s">
        <v>2174</v>
      </c>
      <c r="BJ250" s="1176"/>
      <c r="BK250" s="1171" t="s">
        <v>2174</v>
      </c>
      <c r="BL250" s="1172" t="s">
        <v>2174</v>
      </c>
      <c r="BM250" s="1171" t="s">
        <v>2174</v>
      </c>
      <c r="BN250" s="1172" t="s">
        <v>2174</v>
      </c>
    </row>
    <row r="251" spans="1:66" x14ac:dyDescent="0.25">
      <c r="A251" s="49" t="str">
        <f t="shared" si="366"/>
        <v>800050</v>
      </c>
      <c r="B251" s="1307" t="str">
        <f>'BUS Deemed Savings Table'!C9</f>
        <v>800050_2024_12_</v>
      </c>
      <c r="C251" s="1249" t="str">
        <f>'BUS Deemed Savings Table'!G9</f>
        <v>Lighting BUS</v>
      </c>
      <c r="D251" s="1249"/>
      <c r="E251" s="1249"/>
      <c r="F251" s="1249"/>
      <c r="G251" s="1249" t="str">
        <f>'BUS Deemed Savings Table'!E9</f>
        <v>LED &lt;=11 Watt Lamp Replacing Interior Halogen A 28-52 Watt Lamp</v>
      </c>
      <c r="H251" s="18" t="str">
        <f>'BUS Deemed Savings Table'!D9</f>
        <v>C&amp;I</v>
      </c>
      <c r="I251" s="737">
        <f>'BUS Deemed Savings Table'!F9</f>
        <v>20.75</v>
      </c>
      <c r="J251" s="737"/>
      <c r="K251" s="185"/>
      <c r="L251" s="185"/>
      <c r="M251" s="185"/>
      <c r="N251" s="185"/>
      <c r="O251" s="738">
        <f>'BUS Deemed Savings Table'!I9</f>
        <v>4.0679999999999996E-3</v>
      </c>
      <c r="P251" s="738"/>
      <c r="Q251" s="739"/>
      <c r="R251" s="739"/>
      <c r="S251" s="739"/>
      <c r="T251" s="739"/>
      <c r="U251" s="740">
        <f t="shared" si="367"/>
        <v>0</v>
      </c>
      <c r="V251" s="740">
        <f t="shared" si="368"/>
        <v>4.0679999999999996E-3</v>
      </c>
      <c r="W251" s="740">
        <f t="shared" si="369"/>
        <v>0</v>
      </c>
      <c r="X251" s="22">
        <f>'BUS Deemed Savings Table'!J9</f>
        <v>10</v>
      </c>
      <c r="Y251" s="22"/>
      <c r="Z251" s="22">
        <f t="shared" si="370"/>
        <v>10</v>
      </c>
      <c r="AA251" s="17">
        <f>'BUS Deemed Savings Table'!DK9</f>
        <v>3.6574447966762897</v>
      </c>
      <c r="AB251" s="241">
        <f>'BUS Deemed Savings Table'!K9</f>
        <v>3.26</v>
      </c>
      <c r="AC251" s="742">
        <f t="shared" si="371"/>
        <v>11.923270037164704</v>
      </c>
      <c r="AD251" s="742">
        <f t="shared" si="372"/>
        <v>0</v>
      </c>
      <c r="AE251" s="580">
        <f>'BUS Deemed Savings Table'!DM9</f>
        <v>11.923270037164704</v>
      </c>
      <c r="AF251" s="191"/>
      <c r="AG251" s="191"/>
      <c r="AH251" s="191"/>
      <c r="AI251" s="1307" t="str">
        <f>'BUS Deemed Savings Table'!L9</f>
        <v>per measure</v>
      </c>
      <c r="AJ251" s="68"/>
      <c r="AX251" s="1226" t="str">
        <f t="shared" si="373"/>
        <v>LED &lt;=11 Watt Lamp Replacing Interior Halogen A 28-52 Watt Lamp</v>
      </c>
      <c r="AY251" s="1249"/>
      <c r="AZ251" s="1312" t="str">
        <f t="shared" si="374"/>
        <v>800050</v>
      </c>
      <c r="BA251" s="1171" t="s">
        <v>2174</v>
      </c>
      <c r="BB251" s="1171" t="s">
        <v>2174</v>
      </c>
      <c r="BC251" s="1171" t="s">
        <v>2174</v>
      </c>
      <c r="BD251" s="1171" t="s">
        <v>2174</v>
      </c>
      <c r="BE251" s="1176"/>
      <c r="BF251" s="1171" t="s">
        <v>2174</v>
      </c>
      <c r="BG251" s="1171" t="s">
        <v>2174</v>
      </c>
      <c r="BH251" s="1171" t="s">
        <v>2174</v>
      </c>
      <c r="BI251" s="1172" t="s">
        <v>2174</v>
      </c>
      <c r="BJ251" s="1176"/>
      <c r="BK251" s="1171" t="s">
        <v>2174</v>
      </c>
      <c r="BL251" s="1172" t="s">
        <v>2174</v>
      </c>
      <c r="BM251" s="1171" t="s">
        <v>2174</v>
      </c>
      <c r="BN251" s="1172" t="s">
        <v>2174</v>
      </c>
    </row>
    <row r="252" spans="1:66" x14ac:dyDescent="0.25">
      <c r="A252" s="49" t="str">
        <f t="shared" si="366"/>
        <v>800100</v>
      </c>
      <c r="B252" s="1307" t="str">
        <f>'BUS Deemed Savings Table'!C10</f>
        <v>800100_2024_12_</v>
      </c>
      <c r="C252" s="1249" t="str">
        <f>'BUS Deemed Savings Table'!G10</f>
        <v>Lighting BUS</v>
      </c>
      <c r="D252" s="1249"/>
      <c r="E252" s="1249"/>
      <c r="F252" s="1249"/>
      <c r="G252" s="1249" t="str">
        <f>'BUS Deemed Savings Table'!E10</f>
        <v>LED 7-20 Watt Lamp Replacing Interior Halogen 53-70 Watt Lamp</v>
      </c>
      <c r="H252" s="18" t="str">
        <f>'BUS Deemed Savings Table'!D10</f>
        <v>C&amp;I</v>
      </c>
      <c r="I252" s="737">
        <f>'BUS Deemed Savings Table'!F10</f>
        <v>77.77</v>
      </c>
      <c r="J252" s="737"/>
      <c r="K252" s="185"/>
      <c r="L252" s="185"/>
      <c r="M252" s="185"/>
      <c r="N252" s="185"/>
      <c r="O252" s="738">
        <f>'BUS Deemed Savings Table'!I10</f>
        <v>1.5245999999999999E-2</v>
      </c>
      <c r="P252" s="738"/>
      <c r="Q252" s="739"/>
      <c r="R252" s="739"/>
      <c r="S252" s="739"/>
      <c r="T252" s="739"/>
      <c r="U252" s="740">
        <f t="shared" si="367"/>
        <v>0</v>
      </c>
      <c r="V252" s="740">
        <f t="shared" si="368"/>
        <v>1.5245999999999999E-2</v>
      </c>
      <c r="W252" s="740">
        <f t="shared" si="369"/>
        <v>0</v>
      </c>
      <c r="X252" s="22">
        <f>'BUS Deemed Savings Table'!J10</f>
        <v>10</v>
      </c>
      <c r="Y252" s="22"/>
      <c r="Z252" s="22">
        <f t="shared" si="370"/>
        <v>10</v>
      </c>
      <c r="AA252" s="17">
        <f>'BUS Deemed Savings Table'!DK10</f>
        <v>13.707926835542892</v>
      </c>
      <c r="AB252" s="241">
        <f>'BUS Deemed Savings Table'!K10</f>
        <v>3.26</v>
      </c>
      <c r="AC252" s="742">
        <f t="shared" si="371"/>
        <v>44.687841483869825</v>
      </c>
      <c r="AD252" s="742">
        <f t="shared" si="372"/>
        <v>0</v>
      </c>
      <c r="AE252" s="580">
        <f>'BUS Deemed Savings Table'!DM10</f>
        <v>44.687841483869825</v>
      </c>
      <c r="AF252" s="191"/>
      <c r="AG252" s="191"/>
      <c r="AH252" s="191"/>
      <c r="AI252" s="1307" t="str">
        <f>'BUS Deemed Savings Table'!L10</f>
        <v>per measure</v>
      </c>
      <c r="AJ252" s="68"/>
      <c r="AX252" s="1226" t="str">
        <f t="shared" si="373"/>
        <v>LED 7-20 Watt Lamp Replacing Interior Halogen 53-70 Watt Lamp</v>
      </c>
      <c r="AY252" s="1249"/>
      <c r="AZ252" s="1312" t="str">
        <f t="shared" si="374"/>
        <v>800100</v>
      </c>
      <c r="BA252" s="1171" t="s">
        <v>2174</v>
      </c>
      <c r="BB252" s="1171" t="s">
        <v>2174</v>
      </c>
      <c r="BC252" s="1171" t="s">
        <v>2174</v>
      </c>
      <c r="BD252" s="1171" t="s">
        <v>2174</v>
      </c>
      <c r="BE252" s="1176"/>
      <c r="BF252" s="1171" t="s">
        <v>2174</v>
      </c>
      <c r="BG252" s="1171" t="s">
        <v>2174</v>
      </c>
      <c r="BH252" s="1171" t="s">
        <v>2174</v>
      </c>
      <c r="BI252" s="1172" t="s">
        <v>2174</v>
      </c>
      <c r="BJ252" s="1176"/>
      <c r="BK252" s="1171" t="s">
        <v>2174</v>
      </c>
      <c r="BL252" s="1172" t="s">
        <v>2174</v>
      </c>
      <c r="BM252" s="1171" t="s">
        <v>2174</v>
      </c>
      <c r="BN252" s="1172" t="s">
        <v>2174</v>
      </c>
    </row>
    <row r="253" spans="1:66" x14ac:dyDescent="0.25">
      <c r="A253" s="49" t="str">
        <f t="shared" si="366"/>
        <v>800150</v>
      </c>
      <c r="B253" s="1307" t="str">
        <f>'BUS Deemed Savings Table'!C11</f>
        <v>800150_2024_12_</v>
      </c>
      <c r="C253" s="1249" t="str">
        <f>'BUS Deemed Savings Table'!G11</f>
        <v>Lighting BUS</v>
      </c>
      <c r="D253" s="1249"/>
      <c r="E253" s="1249"/>
      <c r="F253" s="1249"/>
      <c r="G253" s="1249" t="str">
        <f>'BUS Deemed Savings Table'!E11</f>
        <v>LED &lt;=14 Watt Lamp Replacing Interior Halogen BR/R 45-65 Watt Lamp</v>
      </c>
      <c r="H253" s="18" t="str">
        <f>'BUS Deemed Savings Table'!D11</f>
        <v>C&amp;I</v>
      </c>
      <c r="I253" s="737">
        <f>'BUS Deemed Savings Table'!F11</f>
        <v>27.67</v>
      </c>
      <c r="J253" s="737"/>
      <c r="K253" s="185"/>
      <c r="L253" s="185"/>
      <c r="M253" s="185"/>
      <c r="N253" s="185"/>
      <c r="O253" s="738">
        <f>'BUS Deemed Savings Table'!I11</f>
        <v>5.424E-3</v>
      </c>
      <c r="P253" s="738"/>
      <c r="Q253" s="739"/>
      <c r="R253" s="739"/>
      <c r="S253" s="739"/>
      <c r="T253" s="739"/>
      <c r="U253" s="740">
        <f t="shared" si="367"/>
        <v>0</v>
      </c>
      <c r="V253" s="740">
        <f t="shared" si="368"/>
        <v>5.424E-3</v>
      </c>
      <c r="W253" s="740">
        <f t="shared" si="369"/>
        <v>0</v>
      </c>
      <c r="X253" s="22">
        <f>'BUS Deemed Savings Table'!J11</f>
        <v>10</v>
      </c>
      <c r="Y253" s="22"/>
      <c r="Z253" s="22">
        <f t="shared" si="370"/>
        <v>10</v>
      </c>
      <c r="AA253" s="17">
        <f>'BUS Deemed Savings Table'!DK11</f>
        <v>4.8771806035678527</v>
      </c>
      <c r="AB253" s="241">
        <f>'BUS Deemed Savings Table'!K11</f>
        <v>3.26</v>
      </c>
      <c r="AC253" s="742">
        <f t="shared" si="371"/>
        <v>15.899608767631198</v>
      </c>
      <c r="AD253" s="742">
        <f t="shared" si="372"/>
        <v>0</v>
      </c>
      <c r="AE253" s="580">
        <f>'BUS Deemed Savings Table'!DM11</f>
        <v>15.899608767631198</v>
      </c>
      <c r="AF253" s="191"/>
      <c r="AG253" s="191"/>
      <c r="AH253" s="191"/>
      <c r="AI253" s="1307" t="str">
        <f>'BUS Deemed Savings Table'!L11</f>
        <v>per measure</v>
      </c>
      <c r="AJ253" s="68"/>
      <c r="AX253" s="1226" t="str">
        <f t="shared" si="373"/>
        <v>LED &lt;=14 Watt Lamp Replacing Interior Halogen BR/R 45-65 Watt Lamp</v>
      </c>
      <c r="AY253" s="1249"/>
      <c r="AZ253" s="1312" t="str">
        <f t="shared" si="374"/>
        <v>800150</v>
      </c>
      <c r="BA253" s="1171" t="s">
        <v>2174</v>
      </c>
      <c r="BB253" s="1171" t="s">
        <v>2174</v>
      </c>
      <c r="BC253" s="1171" t="s">
        <v>2174</v>
      </c>
      <c r="BD253" s="1171" t="s">
        <v>2174</v>
      </c>
      <c r="BE253" s="1176"/>
      <c r="BF253" s="1171" t="s">
        <v>2174</v>
      </c>
      <c r="BG253" s="1171" t="s">
        <v>2174</v>
      </c>
      <c r="BH253" s="1171" t="s">
        <v>2174</v>
      </c>
      <c r="BI253" s="1172" t="s">
        <v>2174</v>
      </c>
      <c r="BJ253" s="1176"/>
      <c r="BK253" s="1171" t="s">
        <v>2174</v>
      </c>
      <c r="BL253" s="1172" t="s">
        <v>2174</v>
      </c>
      <c r="BM253" s="1171" t="s">
        <v>2174</v>
      </c>
      <c r="BN253" s="1172" t="s">
        <v>2174</v>
      </c>
    </row>
    <row r="254" spans="1:66" x14ac:dyDescent="0.25">
      <c r="A254" s="49" t="str">
        <f t="shared" si="366"/>
        <v>800200</v>
      </c>
      <c r="B254" s="1307" t="str">
        <f>'BUS Deemed Savings Table'!C12</f>
        <v>800200_2024_12_</v>
      </c>
      <c r="C254" s="1249" t="str">
        <f>'BUS Deemed Savings Table'!G12</f>
        <v>Lighting BUS</v>
      </c>
      <c r="D254" s="1249"/>
      <c r="E254" s="1249"/>
      <c r="F254" s="1249"/>
      <c r="G254" s="1249" t="str">
        <f>'BUS Deemed Savings Table'!E12</f>
        <v>LED &lt;=13 Watt Lamp Replacing Interior Halogen MR-16 35-50 Watt Lamp</v>
      </c>
      <c r="H254" s="18" t="str">
        <f>'BUS Deemed Savings Table'!D12</f>
        <v>C&amp;I</v>
      </c>
      <c r="I254" s="737">
        <f>'BUS Deemed Savings Table'!F12</f>
        <v>175.07</v>
      </c>
      <c r="J254" s="737"/>
      <c r="K254" s="185"/>
      <c r="L254" s="185"/>
      <c r="M254" s="185"/>
      <c r="N254" s="185"/>
      <c r="O254" s="738">
        <f>'BUS Deemed Savings Table'!I12</f>
        <v>3.4320999999999997E-2</v>
      </c>
      <c r="P254" s="738"/>
      <c r="Q254" s="739"/>
      <c r="R254" s="739"/>
      <c r="S254" s="739"/>
      <c r="T254" s="739"/>
      <c r="U254" s="740">
        <f t="shared" si="367"/>
        <v>0</v>
      </c>
      <c r="V254" s="740">
        <f t="shared" si="368"/>
        <v>3.4320999999999997E-2</v>
      </c>
      <c r="W254" s="740">
        <f t="shared" si="369"/>
        <v>0</v>
      </c>
      <c r="X254" s="22">
        <f>'BUS Deemed Savings Table'!J12</f>
        <v>10</v>
      </c>
      <c r="Y254" s="22"/>
      <c r="Z254" s="22">
        <f t="shared" si="370"/>
        <v>10</v>
      </c>
      <c r="AA254" s="17">
        <f>'BUS Deemed Savings Table'!DK12</f>
        <v>30.858258339957494</v>
      </c>
      <c r="AB254" s="241">
        <f>'BUS Deemed Savings Table'!K12</f>
        <v>3.26</v>
      </c>
      <c r="AC254" s="742">
        <f t="shared" si="371"/>
        <v>100.59792218826142</v>
      </c>
      <c r="AD254" s="742">
        <f t="shared" si="372"/>
        <v>0</v>
      </c>
      <c r="AE254" s="580">
        <f>'BUS Deemed Savings Table'!DM12</f>
        <v>100.59792218826142</v>
      </c>
      <c r="AF254" s="191"/>
      <c r="AG254" s="191"/>
      <c r="AH254" s="191"/>
      <c r="AI254" s="1307" t="str">
        <f>'BUS Deemed Savings Table'!L12</f>
        <v>per measure</v>
      </c>
      <c r="AJ254" s="68"/>
      <c r="AX254" s="1226" t="str">
        <f t="shared" si="373"/>
        <v>LED &lt;=13 Watt Lamp Replacing Interior Halogen MR-16 35-50 Watt Lamp</v>
      </c>
      <c r="AY254" s="1249"/>
      <c r="AZ254" s="1312" t="str">
        <f t="shared" si="374"/>
        <v>800200</v>
      </c>
      <c r="BA254" s="1171" t="s">
        <v>2174</v>
      </c>
      <c r="BB254" s="1171" t="s">
        <v>2174</v>
      </c>
      <c r="BC254" s="1171" t="s">
        <v>2174</v>
      </c>
      <c r="BD254" s="1171" t="s">
        <v>2174</v>
      </c>
      <c r="BE254" s="1176"/>
      <c r="BF254" s="1171" t="s">
        <v>2174</v>
      </c>
      <c r="BG254" s="1171" t="s">
        <v>2174</v>
      </c>
      <c r="BH254" s="1171" t="s">
        <v>2174</v>
      </c>
      <c r="BI254" s="1172" t="s">
        <v>2174</v>
      </c>
      <c r="BJ254" s="1176"/>
      <c r="BK254" s="1171" t="s">
        <v>2174</v>
      </c>
      <c r="BL254" s="1172" t="s">
        <v>2174</v>
      </c>
      <c r="BM254" s="1171" t="s">
        <v>2174</v>
      </c>
      <c r="BN254" s="1172" t="s">
        <v>2174</v>
      </c>
    </row>
    <row r="255" spans="1:66" x14ac:dyDescent="0.25">
      <c r="A255" s="49" t="str">
        <f t="shared" si="366"/>
        <v>800250</v>
      </c>
      <c r="B255" s="1307" t="str">
        <f>'BUS Deemed Savings Table'!C13</f>
        <v>800250_2024_12_</v>
      </c>
      <c r="C255" s="1249" t="str">
        <f>'BUS Deemed Savings Table'!G13</f>
        <v>Lighting BUS</v>
      </c>
      <c r="D255" s="1249"/>
      <c r="E255" s="1249"/>
      <c r="F255" s="1249"/>
      <c r="G255" s="1249" t="str">
        <f>'BUS Deemed Savings Table'!E13</f>
        <v xml:space="preserve">LED &lt;=20 Watt Lamp Replacing Interior Halogen PAR 48-90 Watt Lamp  </v>
      </c>
      <c r="H255" s="18" t="str">
        <f>'BUS Deemed Savings Table'!D13</f>
        <v>C&amp;I</v>
      </c>
      <c r="I255" s="737">
        <f>'BUS Deemed Savings Table'!F13</f>
        <v>40.340000000000003</v>
      </c>
      <c r="J255" s="737"/>
      <c r="K255" s="185"/>
      <c r="L255" s="185"/>
      <c r="M255" s="185"/>
      <c r="N255" s="185"/>
      <c r="O255" s="738">
        <f>'BUS Deemed Savings Table'!I13</f>
        <v>7.9080000000000001E-3</v>
      </c>
      <c r="P255" s="738"/>
      <c r="Q255" s="739"/>
      <c r="R255" s="739"/>
      <c r="S255" s="739"/>
      <c r="T255" s="739"/>
      <c r="U255" s="740">
        <f t="shared" si="367"/>
        <v>0</v>
      </c>
      <c r="V255" s="740">
        <f t="shared" si="368"/>
        <v>7.9080000000000001E-3</v>
      </c>
      <c r="W255" s="740">
        <f t="shared" si="369"/>
        <v>0</v>
      </c>
      <c r="X255" s="22">
        <f>'BUS Deemed Savings Table'!J13</f>
        <v>10</v>
      </c>
      <c r="Y255" s="22"/>
      <c r="Z255" s="22">
        <f t="shared" si="370"/>
        <v>10</v>
      </c>
      <c r="AA255" s="17">
        <f>'BUS Deemed Savings Table'!DK13</f>
        <v>7.1104252095383877</v>
      </c>
      <c r="AB255" s="241">
        <f>'BUS Deemed Savings Table'!K13</f>
        <v>3.26</v>
      </c>
      <c r="AC255" s="742">
        <f t="shared" si="371"/>
        <v>23.179986183095142</v>
      </c>
      <c r="AD255" s="742">
        <f t="shared" si="372"/>
        <v>0</v>
      </c>
      <c r="AE255" s="580">
        <f>'BUS Deemed Savings Table'!DM13</f>
        <v>23.179986183095142</v>
      </c>
      <c r="AF255" s="191"/>
      <c r="AG255" s="191"/>
      <c r="AH255" s="191"/>
      <c r="AI255" s="1307" t="str">
        <f>'BUS Deemed Savings Table'!L13</f>
        <v>per measure</v>
      </c>
      <c r="AJ255" s="68"/>
      <c r="AX255" s="1226" t="str">
        <f t="shared" si="373"/>
        <v xml:space="preserve">LED &lt;=20 Watt Lamp Replacing Interior Halogen PAR 48-90 Watt Lamp  </v>
      </c>
      <c r="AY255" s="1249"/>
      <c r="AZ255" s="1312" t="str">
        <f t="shared" si="374"/>
        <v>800250</v>
      </c>
      <c r="BA255" s="1171" t="s">
        <v>2174</v>
      </c>
      <c r="BB255" s="1171" t="s">
        <v>2174</v>
      </c>
      <c r="BC255" s="1171" t="s">
        <v>2174</v>
      </c>
      <c r="BD255" s="1171" t="s">
        <v>2174</v>
      </c>
      <c r="BE255" s="1176"/>
      <c r="BF255" s="1171" t="s">
        <v>2174</v>
      </c>
      <c r="BG255" s="1171" t="s">
        <v>2174</v>
      </c>
      <c r="BH255" s="1171" t="s">
        <v>2174</v>
      </c>
      <c r="BI255" s="1172" t="s">
        <v>2174</v>
      </c>
      <c r="BJ255" s="1176"/>
      <c r="BK255" s="1171" t="s">
        <v>2174</v>
      </c>
      <c r="BL255" s="1172" t="s">
        <v>2174</v>
      </c>
      <c r="BM255" s="1171" t="s">
        <v>2174</v>
      </c>
      <c r="BN255" s="1172" t="s">
        <v>2174</v>
      </c>
    </row>
    <row r="256" spans="1:66" x14ac:dyDescent="0.25">
      <c r="A256" s="49" t="str">
        <f t="shared" si="366"/>
        <v>800300</v>
      </c>
      <c r="B256" s="1307" t="str">
        <f>'BUS Deemed Savings Table'!C14</f>
        <v>800300_2025_12_</v>
      </c>
      <c r="C256" s="1249" t="str">
        <f>'BUS Deemed Savings Table'!G14</f>
        <v>Lighting BUS</v>
      </c>
      <c r="D256" s="1249"/>
      <c r="E256" s="1249"/>
      <c r="F256" s="1249"/>
      <c r="G256" s="1249" t="str">
        <f>'BUS Deemed Savings Table'!E14</f>
        <v>LED &lt;=80 Watt Lamp or Fixture Replacing Interior HID 100-175 Watt Lamp or Fixture</v>
      </c>
      <c r="H256" s="18" t="str">
        <f>'BUS Deemed Savings Table'!D14</f>
        <v>C&amp;I</v>
      </c>
      <c r="I256" s="737">
        <f>'BUS Deemed Savings Table'!F14</f>
        <v>790.22</v>
      </c>
      <c r="J256" s="737"/>
      <c r="K256" s="185"/>
      <c r="L256" s="185"/>
      <c r="M256" s="185"/>
      <c r="N256" s="185"/>
      <c r="O256" s="738">
        <f>'BUS Deemed Savings Table'!I14</f>
        <v>0.154917</v>
      </c>
      <c r="P256" s="738"/>
      <c r="Q256" s="739"/>
      <c r="R256" s="739"/>
      <c r="S256" s="739"/>
      <c r="T256" s="739"/>
      <c r="U256" s="740">
        <f t="shared" si="367"/>
        <v>0</v>
      </c>
      <c r="V256" s="740">
        <f t="shared" si="368"/>
        <v>0</v>
      </c>
      <c r="W256" s="740">
        <f t="shared" si="369"/>
        <v>0.154917</v>
      </c>
      <c r="X256" s="22">
        <f>'BUS Deemed Savings Table'!J14</f>
        <v>15</v>
      </c>
      <c r="Y256" s="22"/>
      <c r="Z256" s="22">
        <f t="shared" si="370"/>
        <v>15</v>
      </c>
      <c r="AA256" s="17">
        <f>'BUS Deemed Savings Table'!DK14</f>
        <v>8.9334824376771991</v>
      </c>
      <c r="AB256" s="241">
        <f>'BUS Deemed Savings Table'!K14</f>
        <v>68</v>
      </c>
      <c r="AC256" s="742">
        <f t="shared" si="371"/>
        <v>607.47680576204959</v>
      </c>
      <c r="AD256" s="742">
        <f t="shared" si="372"/>
        <v>0</v>
      </c>
      <c r="AE256" s="580">
        <f>'BUS Deemed Savings Table'!DM14</f>
        <v>607.47680576204959</v>
      </c>
      <c r="AF256" s="191"/>
      <c r="AG256" s="191"/>
      <c r="AH256" s="191"/>
      <c r="AI256" s="1307" t="str">
        <f>'BUS Deemed Savings Table'!L14</f>
        <v>per measure</v>
      </c>
      <c r="AJ256" s="68"/>
      <c r="AX256" s="1226" t="str">
        <f t="shared" si="373"/>
        <v>LED &lt;=80 Watt Lamp or Fixture Replacing Interior HID 100-175 Watt Lamp or Fixture</v>
      </c>
      <c r="AY256" s="1249"/>
      <c r="AZ256" s="1312" t="str">
        <f t="shared" si="374"/>
        <v>800300</v>
      </c>
      <c r="BA256" s="1171" t="s">
        <v>2174</v>
      </c>
      <c r="BB256" s="1171" t="s">
        <v>2174</v>
      </c>
      <c r="BC256" s="1171" t="s">
        <v>2174</v>
      </c>
      <c r="BD256" s="1171" t="s">
        <v>2174</v>
      </c>
      <c r="BE256" s="1176"/>
      <c r="BF256" s="1171" t="s">
        <v>2174</v>
      </c>
      <c r="BG256" s="1171" t="s">
        <v>2174</v>
      </c>
      <c r="BH256" s="1171" t="s">
        <v>2174</v>
      </c>
      <c r="BI256" s="1172" t="s">
        <v>2174</v>
      </c>
      <c r="BJ256" s="1176"/>
      <c r="BK256" s="1171" t="s">
        <v>2174</v>
      </c>
      <c r="BL256" s="1172" t="s">
        <v>2174</v>
      </c>
      <c r="BM256" s="1171" t="s">
        <v>2174</v>
      </c>
      <c r="BN256" s="1172" t="s">
        <v>2174</v>
      </c>
    </row>
    <row r="257" spans="1:66" x14ac:dyDescent="0.25">
      <c r="A257" s="49" t="str">
        <f t="shared" si="366"/>
        <v>800350</v>
      </c>
      <c r="B257" s="1307" t="str">
        <f>'BUS Deemed Savings Table'!C15</f>
        <v>800350_2025_12_</v>
      </c>
      <c r="C257" s="1249" t="str">
        <f>'BUS Deemed Savings Table'!G15</f>
        <v>Lighting BUS</v>
      </c>
      <c r="D257" s="1249"/>
      <c r="E257" s="1249"/>
      <c r="F257" s="1249"/>
      <c r="G257" s="1249" t="str">
        <f>'BUS Deemed Savings Table'!E15</f>
        <v>LED 62 - 130 Watt Lamp or Fixture Replacing Interior HID 176-300 Watt Lamp or Fixture</v>
      </c>
      <c r="H257" s="18" t="str">
        <f>'BUS Deemed Savings Table'!D15</f>
        <v>C&amp;I</v>
      </c>
      <c r="I257" s="737">
        <f>'BUS Deemed Savings Table'!F15</f>
        <v>587.19000000000005</v>
      </c>
      <c r="J257" s="737"/>
      <c r="K257" s="185"/>
      <c r="L257" s="185"/>
      <c r="M257" s="185"/>
      <c r="N257" s="185"/>
      <c r="O257" s="738">
        <f>'BUS Deemed Savings Table'!I15</f>
        <v>0.11511399999999999</v>
      </c>
      <c r="P257" s="738"/>
      <c r="Q257" s="739"/>
      <c r="R257" s="739"/>
      <c r="S257" s="739"/>
      <c r="T257" s="739"/>
      <c r="U257" s="740">
        <f t="shared" si="367"/>
        <v>0</v>
      </c>
      <c r="V257" s="740">
        <f t="shared" si="368"/>
        <v>0</v>
      </c>
      <c r="W257" s="740">
        <f t="shared" si="369"/>
        <v>0.11511399999999999</v>
      </c>
      <c r="X257" s="22">
        <f>'BUS Deemed Savings Table'!J15</f>
        <v>15</v>
      </c>
      <c r="Y257" s="22"/>
      <c r="Z257" s="22">
        <f t="shared" si="370"/>
        <v>15</v>
      </c>
      <c r="AA257" s="17">
        <f>'BUS Deemed Savings Table'!DK15</f>
        <v>7.5233121910231313</v>
      </c>
      <c r="AB257" s="241">
        <f>'BUS Deemed Savings Table'!K15</f>
        <v>60</v>
      </c>
      <c r="AC257" s="742">
        <f t="shared" si="371"/>
        <v>451.39873146138785</v>
      </c>
      <c r="AD257" s="742">
        <f t="shared" si="372"/>
        <v>0</v>
      </c>
      <c r="AE257" s="580">
        <f>'BUS Deemed Savings Table'!DM15</f>
        <v>451.39873146138785</v>
      </c>
      <c r="AF257" s="191"/>
      <c r="AG257" s="191"/>
      <c r="AH257" s="191"/>
      <c r="AI257" s="1307" t="str">
        <f>'BUS Deemed Savings Table'!L15</f>
        <v>per measure</v>
      </c>
      <c r="AJ257" s="68"/>
      <c r="AX257" s="1226" t="str">
        <f t="shared" si="373"/>
        <v>LED 62 - 130 Watt Lamp or Fixture Replacing Interior HID 176-300 Watt Lamp or Fixture</v>
      </c>
      <c r="AY257" s="1249"/>
      <c r="AZ257" s="1312" t="str">
        <f t="shared" si="374"/>
        <v>800350</v>
      </c>
      <c r="BA257" s="1171" t="s">
        <v>2174</v>
      </c>
      <c r="BB257" s="1171" t="s">
        <v>2174</v>
      </c>
      <c r="BC257" s="1171" t="s">
        <v>2174</v>
      </c>
      <c r="BD257" s="1171" t="s">
        <v>2174</v>
      </c>
      <c r="BE257" s="1176"/>
      <c r="BF257" s="1171" t="s">
        <v>2174</v>
      </c>
      <c r="BG257" s="1171" t="s">
        <v>2174</v>
      </c>
      <c r="BH257" s="1171" t="s">
        <v>2174</v>
      </c>
      <c r="BI257" s="1172" t="s">
        <v>2174</v>
      </c>
      <c r="BJ257" s="1176"/>
      <c r="BK257" s="1171" t="s">
        <v>2174</v>
      </c>
      <c r="BL257" s="1172" t="s">
        <v>2174</v>
      </c>
      <c r="BM257" s="1171" t="s">
        <v>2174</v>
      </c>
      <c r="BN257" s="1172" t="s">
        <v>2174</v>
      </c>
    </row>
    <row r="258" spans="1:66" x14ac:dyDescent="0.25">
      <c r="A258" s="49" t="str">
        <f t="shared" si="366"/>
        <v>800400</v>
      </c>
      <c r="B258" s="1307" t="str">
        <f>'BUS Deemed Savings Table'!C16</f>
        <v>800400_2025_12_</v>
      </c>
      <c r="C258" s="1249" t="str">
        <f>'BUS Deemed Savings Table'!G16</f>
        <v>Lighting BUS</v>
      </c>
      <c r="D258" s="1249"/>
      <c r="E258" s="1249"/>
      <c r="F258" s="1249"/>
      <c r="G258" s="1249" t="str">
        <f>'BUS Deemed Savings Table'!E16</f>
        <v>LED 85 - 225 Watt Lamp or Fixture Replacing Interior HID 301-500 Watt Lamp or Fixture</v>
      </c>
      <c r="H258" s="18" t="str">
        <f>'BUS Deemed Savings Table'!D16</f>
        <v>C&amp;I</v>
      </c>
      <c r="I258" s="737">
        <f>'BUS Deemed Savings Table'!F16</f>
        <v>1066.8699999999999</v>
      </c>
      <c r="J258" s="737"/>
      <c r="K258" s="185"/>
      <c r="L258" s="185"/>
      <c r="M258" s="185"/>
      <c r="N258" s="185"/>
      <c r="O258" s="738">
        <f>'BUS Deemed Savings Table'!I16</f>
        <v>0.209152</v>
      </c>
      <c r="P258" s="738"/>
      <c r="Q258" s="739"/>
      <c r="R258" s="739"/>
      <c r="S258" s="739"/>
      <c r="T258" s="739"/>
      <c r="U258" s="740">
        <f t="shared" si="367"/>
        <v>0</v>
      </c>
      <c r="V258" s="740">
        <f t="shared" si="368"/>
        <v>0</v>
      </c>
      <c r="W258" s="740">
        <f t="shared" si="369"/>
        <v>0.209152</v>
      </c>
      <c r="X258" s="22">
        <f>'BUS Deemed Savings Table'!J16</f>
        <v>15</v>
      </c>
      <c r="Y258" s="22"/>
      <c r="Z258" s="22">
        <f t="shared" si="370"/>
        <v>15</v>
      </c>
      <c r="AA258" s="17">
        <f>'BUS Deemed Savings Table'!DK16</f>
        <v>5.2573705518177487</v>
      </c>
      <c r="AB258" s="241">
        <f>'BUS Deemed Savings Table'!K16</f>
        <v>156</v>
      </c>
      <c r="AC258" s="742">
        <f t="shared" si="371"/>
        <v>820.14980608356882</v>
      </c>
      <c r="AD258" s="742">
        <f t="shared" si="372"/>
        <v>0</v>
      </c>
      <c r="AE258" s="580">
        <f>'BUS Deemed Savings Table'!DM16</f>
        <v>820.14980608356882</v>
      </c>
      <c r="AF258" s="191"/>
      <c r="AG258" s="191"/>
      <c r="AH258" s="191"/>
      <c r="AI258" s="1307" t="str">
        <f>'BUS Deemed Savings Table'!L16</f>
        <v>per measure</v>
      </c>
      <c r="AJ258" s="68"/>
      <c r="AX258" s="1226" t="str">
        <f t="shared" si="373"/>
        <v>LED 85 - 225 Watt Lamp or Fixture Replacing Interior HID 301-500 Watt Lamp or Fixture</v>
      </c>
      <c r="AY258" s="1249"/>
      <c r="AZ258" s="1312" t="str">
        <f t="shared" si="374"/>
        <v>800400</v>
      </c>
      <c r="BA258" s="1171" t="s">
        <v>2174</v>
      </c>
      <c r="BB258" s="1171" t="s">
        <v>2174</v>
      </c>
      <c r="BC258" s="1171" t="s">
        <v>2174</v>
      </c>
      <c r="BD258" s="1171" t="s">
        <v>2174</v>
      </c>
      <c r="BE258" s="1176"/>
      <c r="BF258" s="1171" t="s">
        <v>2174</v>
      </c>
      <c r="BG258" s="1171" t="s">
        <v>2174</v>
      </c>
      <c r="BH258" s="1171" t="s">
        <v>2174</v>
      </c>
      <c r="BI258" s="1172" t="s">
        <v>2174</v>
      </c>
      <c r="BJ258" s="1176"/>
      <c r="BK258" s="1171" t="s">
        <v>2174</v>
      </c>
      <c r="BL258" s="1172" t="s">
        <v>2174</v>
      </c>
      <c r="BM258" s="1171" t="s">
        <v>2174</v>
      </c>
      <c r="BN258" s="1172" t="s">
        <v>2174</v>
      </c>
    </row>
    <row r="259" spans="1:66" s="39" customFormat="1" x14ac:dyDescent="0.25">
      <c r="A259" s="49" t="str">
        <f t="shared" si="366"/>
        <v>800750</v>
      </c>
      <c r="B259" s="1307" t="str">
        <f>'BUS Deemed Savings Table'!C17</f>
        <v>800750_2025_12_</v>
      </c>
      <c r="C259" s="1249" t="str">
        <f>'BUS Deemed Savings Table'!G17</f>
        <v>Lighting BUS</v>
      </c>
      <c r="D259" s="1249"/>
      <c r="E259" s="1249"/>
      <c r="F259" s="1249"/>
      <c r="G259" s="1249" t="str">
        <f>'BUS Deemed Savings Table'!E17</f>
        <v>LED or Electroluminescent Replacing Interior Incandescent/CFL Exit Sign</v>
      </c>
      <c r="H259" s="18" t="str">
        <f>'BUS Deemed Savings Table'!D17</f>
        <v>C&amp;I</v>
      </c>
      <c r="I259" s="737">
        <f>'BUS Deemed Savings Table'!F17</f>
        <v>243.05</v>
      </c>
      <c r="J259" s="737"/>
      <c r="K259" s="185"/>
      <c r="L259" s="185"/>
      <c r="M259" s="185"/>
      <c r="N259" s="185"/>
      <c r="O259" s="738">
        <f>'BUS Deemed Savings Table'!I17</f>
        <v>4.7648000000000003E-2</v>
      </c>
      <c r="P259" s="738"/>
      <c r="Q259" s="739"/>
      <c r="R259" s="739"/>
      <c r="S259" s="739"/>
      <c r="T259" s="739"/>
      <c r="U259" s="740">
        <f t="shared" si="367"/>
        <v>4.7648000000000003E-2</v>
      </c>
      <c r="V259" s="740">
        <f t="shared" si="368"/>
        <v>0</v>
      </c>
      <c r="W259" s="740">
        <f t="shared" si="369"/>
        <v>0</v>
      </c>
      <c r="X259" s="22">
        <f>'BUS Deemed Savings Table'!J17</f>
        <v>7</v>
      </c>
      <c r="Y259" s="22"/>
      <c r="Z259" s="22">
        <f t="shared" si="370"/>
        <v>7</v>
      </c>
      <c r="AA259" s="17">
        <f>'BUS Deemed Savings Table'!DK17</f>
        <v>2.3217663376575004</v>
      </c>
      <c r="AB259" s="241">
        <f>'BUS Deemed Savings Table'!K17</f>
        <v>45.25</v>
      </c>
      <c r="AC259" s="742">
        <f t="shared" si="371"/>
        <v>105.05992677900188</v>
      </c>
      <c r="AD259" s="742">
        <f t="shared" si="372"/>
        <v>0</v>
      </c>
      <c r="AE259" s="580">
        <f>'BUS Deemed Savings Table'!DM17</f>
        <v>105.05992677900188</v>
      </c>
      <c r="AF259" s="191"/>
      <c r="AG259" s="191"/>
      <c r="AH259" s="191"/>
      <c r="AI259" s="1307" t="str">
        <f>'BUS Deemed Savings Table'!L17</f>
        <v>per measure</v>
      </c>
      <c r="AJ259" s="68"/>
      <c r="AK259"/>
      <c r="AL259"/>
      <c r="AM259"/>
      <c r="AN259"/>
      <c r="AO259"/>
      <c r="AP259"/>
      <c r="AQ259"/>
      <c r="AR259"/>
      <c r="AS259"/>
      <c r="AT259"/>
      <c r="AU259"/>
      <c r="AV259"/>
      <c r="AW259"/>
      <c r="AX259" s="1226" t="str">
        <f t="shared" si="373"/>
        <v>LED or Electroluminescent Replacing Interior Incandescent/CFL Exit Sign</v>
      </c>
      <c r="AY259" s="1249"/>
      <c r="AZ259" s="1312" t="str">
        <f t="shared" si="374"/>
        <v>800750</v>
      </c>
      <c r="BA259" s="1171" t="s">
        <v>2174</v>
      </c>
      <c r="BB259" s="1171" t="s">
        <v>2174</v>
      </c>
      <c r="BC259" s="1171" t="s">
        <v>2174</v>
      </c>
      <c r="BD259" s="1171" t="s">
        <v>2174</v>
      </c>
      <c r="BE259" s="1177"/>
      <c r="BF259" s="1171" t="s">
        <v>2174</v>
      </c>
      <c r="BG259" s="1171" t="s">
        <v>2174</v>
      </c>
      <c r="BH259" s="1171" t="s">
        <v>2174</v>
      </c>
      <c r="BI259" s="1172" t="s">
        <v>2174</v>
      </c>
      <c r="BJ259" s="1176"/>
      <c r="BK259" s="1171" t="s">
        <v>2174</v>
      </c>
      <c r="BL259" s="1172" t="s">
        <v>2174</v>
      </c>
      <c r="BM259" s="1171" t="s">
        <v>2174</v>
      </c>
      <c r="BN259" s="1172" t="s">
        <v>2174</v>
      </c>
    </row>
    <row r="260" spans="1:66" s="39" customFormat="1" x14ac:dyDescent="0.25">
      <c r="A260" s="49" t="str">
        <f t="shared" ref="A260:A266" si="384">LEFT(B260,6)</f>
        <v>800800</v>
      </c>
      <c r="B260" s="1307" t="str">
        <f>'BUS Deemed Savings Table'!C18</f>
        <v>800800_2025_12_</v>
      </c>
      <c r="C260" s="1249" t="str">
        <f>'BUS Deemed Savings Table'!G18</f>
        <v>Lighting BUS</v>
      </c>
      <c r="D260" s="1249"/>
      <c r="E260" s="1249"/>
      <c r="F260" s="1249"/>
      <c r="G260" s="1249" t="str">
        <f>'BUS Deemed Savings Table'!E18</f>
        <v xml:space="preserve">LED Replacing Interior T5 Fluorescent (Type A / Hybrid) </v>
      </c>
      <c r="H260" s="18" t="str">
        <f>'BUS Deemed Savings Table'!D18</f>
        <v>C&amp;I</v>
      </c>
      <c r="I260" s="737">
        <f>'BUS Deemed Savings Table'!F18</f>
        <v>226.36</v>
      </c>
      <c r="J260" s="737"/>
      <c r="K260" s="185"/>
      <c r="L260" s="185"/>
      <c r="M260" s="185"/>
      <c r="N260" s="185"/>
      <c r="O260" s="738">
        <f>'BUS Deemed Savings Table'!I18</f>
        <v>4.4375999999999999E-2</v>
      </c>
      <c r="P260" s="738"/>
      <c r="Q260" s="739"/>
      <c r="R260" s="739"/>
      <c r="S260" s="739"/>
      <c r="T260" s="739"/>
      <c r="U260" s="740">
        <f t="shared" ref="U260:U266" si="385">IFERROR(IF(V260+W260&gt;0,0,IF(Z260&gt;0,O260,0)),0)</f>
        <v>0</v>
      </c>
      <c r="V260" s="740">
        <f t="shared" ref="V260:V266" si="386">IF(W260&gt;0,0,IF(Z260&gt;9,O260,0))</f>
        <v>4.4375999999999999E-2</v>
      </c>
      <c r="W260" s="740">
        <f t="shared" ref="W260:W266" si="387">IF(Z260&gt;14,O260,0)</f>
        <v>0</v>
      </c>
      <c r="X260" s="22">
        <f>'BUS Deemed Savings Table'!J18</f>
        <v>10</v>
      </c>
      <c r="Y260" s="22"/>
      <c r="Z260" s="22">
        <f t="shared" ref="Z260:Z266" si="388">Y260+X260</f>
        <v>10</v>
      </c>
      <c r="AA260" s="17">
        <f>'BUS Deemed Savings Table'!DK18</f>
        <v>2.8744739725621806</v>
      </c>
      <c r="AB260" s="241">
        <f>'BUS Deemed Savings Table'!K18</f>
        <v>45.25</v>
      </c>
      <c r="AC260" s="742">
        <f t="shared" ref="AC260:AC266" si="389">AE260+AF260</f>
        <v>130.06994725843867</v>
      </c>
      <c r="AD260" s="742">
        <f t="shared" ref="AD260:AD266" si="390">AG260+AH260</f>
        <v>0</v>
      </c>
      <c r="AE260" s="580">
        <f>'BUS Deemed Savings Table'!DM18</f>
        <v>130.06994725843867</v>
      </c>
      <c r="AF260" s="191"/>
      <c r="AG260" s="191"/>
      <c r="AH260" s="191"/>
      <c r="AI260" s="1307" t="str">
        <f>'BUS Deemed Savings Table'!L18</f>
        <v>per measure</v>
      </c>
      <c r="AJ260" s="68"/>
      <c r="AK260"/>
      <c r="AL260"/>
      <c r="AM260"/>
      <c r="AN260"/>
      <c r="AO260"/>
      <c r="AP260"/>
      <c r="AQ260"/>
      <c r="AR260"/>
      <c r="AS260"/>
      <c r="AT260"/>
      <c r="AU260"/>
      <c r="AV260"/>
      <c r="AW260"/>
      <c r="AX260" s="1226" t="str">
        <f t="shared" ref="AX260:AX266" si="391">G260</f>
        <v xml:space="preserve">LED Replacing Interior T5 Fluorescent (Type A / Hybrid) </v>
      </c>
      <c r="AY260" s="1249"/>
      <c r="AZ260" s="1312" t="str">
        <f t="shared" ref="AZ260:AZ266" si="392">A260</f>
        <v>800800</v>
      </c>
      <c r="BA260" s="1171" t="s">
        <v>2174</v>
      </c>
      <c r="BB260" s="1171" t="s">
        <v>2174</v>
      </c>
      <c r="BC260" s="1171" t="s">
        <v>2174</v>
      </c>
      <c r="BD260" s="1171" t="s">
        <v>2174</v>
      </c>
      <c r="BE260" s="1177"/>
      <c r="BF260" s="1171" t="s">
        <v>2174</v>
      </c>
      <c r="BG260" s="1171" t="s">
        <v>2174</v>
      </c>
      <c r="BH260" s="1171" t="s">
        <v>2174</v>
      </c>
      <c r="BI260" s="1172" t="s">
        <v>2174</v>
      </c>
      <c r="BJ260" s="1176"/>
      <c r="BK260" s="1171" t="s">
        <v>2174</v>
      </c>
      <c r="BL260" s="1172" t="s">
        <v>2174</v>
      </c>
      <c r="BM260" s="1171" t="s">
        <v>2174</v>
      </c>
      <c r="BN260" s="1172" t="s">
        <v>2174</v>
      </c>
    </row>
    <row r="261" spans="1:66" s="39" customFormat="1" x14ac:dyDescent="0.25">
      <c r="A261" s="49" t="str">
        <f t="shared" si="384"/>
        <v>800801</v>
      </c>
      <c r="B261" s="1307" t="str">
        <f>'BUS Deemed Savings Table'!C19</f>
        <v>800801_2025_12_</v>
      </c>
      <c r="C261" s="1249" t="str">
        <f>'BUS Deemed Savings Table'!G19</f>
        <v>Lighting BUS</v>
      </c>
      <c r="D261" s="1249"/>
      <c r="E261" s="1249"/>
      <c r="F261" s="1249"/>
      <c r="G261" s="1249" t="str">
        <f>'BUS Deemed Savings Table'!E19</f>
        <v>LED Replacing Interior T5 Fluorescent (Type B, Kits, and Fixtures)</v>
      </c>
      <c r="H261" s="18" t="str">
        <f>'BUS Deemed Savings Table'!D19</f>
        <v>C&amp;I</v>
      </c>
      <c r="I261" s="737">
        <f>'BUS Deemed Savings Table'!F19</f>
        <v>391.77</v>
      </c>
      <c r="J261" s="737"/>
      <c r="K261" s="185"/>
      <c r="L261" s="185"/>
      <c r="M261" s="185"/>
      <c r="N261" s="185"/>
      <c r="O261" s="738">
        <f>'BUS Deemed Savings Table'!I19</f>
        <v>7.6803999999999997E-2</v>
      </c>
      <c r="P261" s="738"/>
      <c r="Q261" s="739"/>
      <c r="R261" s="739"/>
      <c r="S261" s="739"/>
      <c r="T261" s="739"/>
      <c r="U261" s="740">
        <f t="shared" si="385"/>
        <v>0</v>
      </c>
      <c r="V261" s="740">
        <f t="shared" si="386"/>
        <v>0</v>
      </c>
      <c r="W261" s="740">
        <f t="shared" si="387"/>
        <v>7.6803999999999997E-2</v>
      </c>
      <c r="X261" s="22">
        <f>'BUS Deemed Savings Table'!J19</f>
        <v>15</v>
      </c>
      <c r="Y261" s="22"/>
      <c r="Z261" s="22">
        <f t="shared" si="388"/>
        <v>15</v>
      </c>
      <c r="AA261" s="17">
        <f>'BUS Deemed Savings Table'!DK19</f>
        <v>23.166984480796792</v>
      </c>
      <c r="AB261" s="241">
        <f>'BUS Deemed Savings Table'!K19</f>
        <v>13</v>
      </c>
      <c r="AC261" s="742">
        <f t="shared" si="389"/>
        <v>301.1707982503583</v>
      </c>
      <c r="AD261" s="742">
        <f t="shared" si="390"/>
        <v>0</v>
      </c>
      <c r="AE261" s="580">
        <f>'BUS Deemed Savings Table'!DM19</f>
        <v>301.1707982503583</v>
      </c>
      <c r="AF261" s="191"/>
      <c r="AG261" s="191"/>
      <c r="AH261" s="191"/>
      <c r="AI261" s="1307" t="str">
        <f>'BUS Deemed Savings Table'!L19</f>
        <v>per measure</v>
      </c>
      <c r="AJ261" s="68"/>
      <c r="AK261"/>
      <c r="AL261"/>
      <c r="AM261"/>
      <c r="AN261"/>
      <c r="AO261"/>
      <c r="AP261"/>
      <c r="AQ261"/>
      <c r="AR261"/>
      <c r="AS261"/>
      <c r="AT261"/>
      <c r="AU261"/>
      <c r="AV261"/>
      <c r="AW261"/>
      <c r="AX261" s="1226" t="str">
        <f t="shared" si="391"/>
        <v>LED Replacing Interior T5 Fluorescent (Type B, Kits, and Fixtures)</v>
      </c>
      <c r="AY261" s="1249"/>
      <c r="AZ261" s="1312" t="str">
        <f t="shared" si="392"/>
        <v>800801</v>
      </c>
      <c r="BA261" s="1171" t="s">
        <v>2174</v>
      </c>
      <c r="BB261" s="1171" t="s">
        <v>2174</v>
      </c>
      <c r="BC261" s="1171" t="s">
        <v>2174</v>
      </c>
      <c r="BD261" s="1171" t="s">
        <v>2174</v>
      </c>
      <c r="BE261" s="1177"/>
      <c r="BF261" s="1171" t="s">
        <v>2174</v>
      </c>
      <c r="BG261" s="1171" t="s">
        <v>2174</v>
      </c>
      <c r="BH261" s="1171" t="s">
        <v>2174</v>
      </c>
      <c r="BI261" s="1172" t="s">
        <v>2174</v>
      </c>
      <c r="BJ261" s="1176"/>
      <c r="BK261" s="1171" t="s">
        <v>2174</v>
      </c>
      <c r="BL261" s="1172" t="s">
        <v>2174</v>
      </c>
      <c r="BM261" s="1171" t="s">
        <v>2174</v>
      </c>
      <c r="BN261" s="1172" t="s">
        <v>2174</v>
      </c>
    </row>
    <row r="262" spans="1:66" s="39" customFormat="1" x14ac:dyDescent="0.25">
      <c r="A262" s="49" t="str">
        <f t="shared" si="384"/>
        <v>800850</v>
      </c>
      <c r="B262" s="1307" t="str">
        <f>'BUS Deemed Savings Table'!C20</f>
        <v>800850_2025_12_</v>
      </c>
      <c r="C262" s="1249" t="str">
        <f>'BUS Deemed Savings Table'!G20</f>
        <v>Lighting BUS</v>
      </c>
      <c r="D262" s="1249"/>
      <c r="E262" s="1249"/>
      <c r="F262" s="1249"/>
      <c r="G262" s="1249" t="str">
        <f>'BUS Deemed Savings Table'!E20</f>
        <v xml:space="preserve">LED Replacing Interior T8 Fluorescent (Type A / Hybrid) </v>
      </c>
      <c r="H262" s="18" t="str">
        <f>'BUS Deemed Savings Table'!D20</f>
        <v>C&amp;I</v>
      </c>
      <c r="I262" s="737">
        <f>'BUS Deemed Savings Table'!F20</f>
        <v>151.82</v>
      </c>
      <c r="J262" s="737"/>
      <c r="K262" s="185"/>
      <c r="L262" s="185"/>
      <c r="M262" s="185"/>
      <c r="N262" s="185"/>
      <c r="O262" s="738">
        <f>'BUS Deemed Savings Table'!I20</f>
        <v>2.9763000000000001E-2</v>
      </c>
      <c r="P262" s="738"/>
      <c r="Q262" s="739"/>
      <c r="R262" s="739"/>
      <c r="S262" s="739"/>
      <c r="T262" s="739"/>
      <c r="U262" s="740">
        <f t="shared" si="385"/>
        <v>0</v>
      </c>
      <c r="V262" s="740">
        <f t="shared" si="386"/>
        <v>2.9763000000000001E-2</v>
      </c>
      <c r="W262" s="740">
        <f t="shared" si="387"/>
        <v>0</v>
      </c>
      <c r="X262" s="22">
        <f>'BUS Deemed Savings Table'!J20</f>
        <v>10</v>
      </c>
      <c r="Y262" s="22"/>
      <c r="Z262" s="22">
        <f t="shared" si="388"/>
        <v>10</v>
      </c>
      <c r="AA262" s="17">
        <f>'BUS Deemed Savings Table'!DK20</f>
        <v>6.2312938280287264</v>
      </c>
      <c r="AB262" s="241">
        <f>'BUS Deemed Savings Table'!K20</f>
        <v>14</v>
      </c>
      <c r="AC262" s="742">
        <f t="shared" si="389"/>
        <v>87.238113592402172</v>
      </c>
      <c r="AD262" s="742">
        <f t="shared" si="390"/>
        <v>0</v>
      </c>
      <c r="AE262" s="580">
        <f>'BUS Deemed Savings Table'!DM20</f>
        <v>87.238113592402172</v>
      </c>
      <c r="AF262" s="191"/>
      <c r="AG262" s="191"/>
      <c r="AH262" s="191"/>
      <c r="AI262" s="1307" t="str">
        <f>'BUS Deemed Savings Table'!L20</f>
        <v>per measure</v>
      </c>
      <c r="AJ262" s="68"/>
      <c r="AK262"/>
      <c r="AL262"/>
      <c r="AM262"/>
      <c r="AN262"/>
      <c r="AO262"/>
      <c r="AP262"/>
      <c r="AQ262"/>
      <c r="AR262"/>
      <c r="AS262"/>
      <c r="AT262"/>
      <c r="AU262"/>
      <c r="AV262"/>
      <c r="AW262"/>
      <c r="AX262" s="1226" t="str">
        <f t="shared" si="391"/>
        <v xml:space="preserve">LED Replacing Interior T8 Fluorescent (Type A / Hybrid) </v>
      </c>
      <c r="AY262" s="1249"/>
      <c r="AZ262" s="1312" t="str">
        <f t="shared" si="392"/>
        <v>800850</v>
      </c>
      <c r="BA262" s="1171" t="s">
        <v>2174</v>
      </c>
      <c r="BB262" s="1171" t="s">
        <v>2174</v>
      </c>
      <c r="BC262" s="1171" t="s">
        <v>2174</v>
      </c>
      <c r="BD262" s="1171" t="s">
        <v>2174</v>
      </c>
      <c r="BE262" s="1177"/>
      <c r="BF262" s="1171" t="s">
        <v>2174</v>
      </c>
      <c r="BG262" s="1171" t="s">
        <v>2174</v>
      </c>
      <c r="BH262" s="1171" t="s">
        <v>2174</v>
      </c>
      <c r="BI262" s="1172" t="s">
        <v>2174</v>
      </c>
      <c r="BJ262" s="1176"/>
      <c r="BK262" s="1171" t="s">
        <v>2174</v>
      </c>
      <c r="BL262" s="1172" t="s">
        <v>2174</v>
      </c>
      <c r="BM262" s="1171" t="s">
        <v>2174</v>
      </c>
      <c r="BN262" s="1172" t="s">
        <v>2174</v>
      </c>
    </row>
    <row r="263" spans="1:66" s="39" customFormat="1" x14ac:dyDescent="0.25">
      <c r="A263" s="49" t="str">
        <f t="shared" si="384"/>
        <v>800851</v>
      </c>
      <c r="B263" s="1307" t="str">
        <f>'BUS Deemed Savings Table'!C21</f>
        <v>800851_2025_12_</v>
      </c>
      <c r="C263" s="1249" t="str">
        <f>'BUS Deemed Savings Table'!G21</f>
        <v>Lighting BUS</v>
      </c>
      <c r="D263" s="1249"/>
      <c r="E263" s="1249"/>
      <c r="F263" s="1249"/>
      <c r="G263" s="1249" t="str">
        <f>'BUS Deemed Savings Table'!E21</f>
        <v>LED Replacting Interior T8 Fluorescent (Type B, Kits, and Fixtures)</v>
      </c>
      <c r="H263" s="18" t="str">
        <f>'BUS Deemed Savings Table'!D21</f>
        <v>C&amp;I</v>
      </c>
      <c r="I263" s="737">
        <f>'BUS Deemed Savings Table'!F21</f>
        <v>186.85</v>
      </c>
      <c r="J263" s="737"/>
      <c r="K263" s="185"/>
      <c r="L263" s="185"/>
      <c r="M263" s="185"/>
      <c r="N263" s="185"/>
      <c r="O263" s="738">
        <f>'BUS Deemed Savings Table'!I21</f>
        <v>3.6630999999999997E-2</v>
      </c>
      <c r="P263" s="738"/>
      <c r="Q263" s="739"/>
      <c r="R263" s="739"/>
      <c r="S263" s="739"/>
      <c r="T263" s="739"/>
      <c r="U263" s="740">
        <f t="shared" si="385"/>
        <v>0</v>
      </c>
      <c r="V263" s="740">
        <f t="shared" si="386"/>
        <v>0</v>
      </c>
      <c r="W263" s="740">
        <f t="shared" si="387"/>
        <v>3.6630999999999997E-2</v>
      </c>
      <c r="X263" s="22">
        <f>'BUS Deemed Savings Table'!J21</f>
        <v>15</v>
      </c>
      <c r="Y263" s="22"/>
      <c r="Z263" s="22">
        <f t="shared" si="388"/>
        <v>15</v>
      </c>
      <c r="AA263" s="17">
        <f>'BUS Deemed Savings Table'!DK21</f>
        <v>9.5759865317370654</v>
      </c>
      <c r="AB263" s="241">
        <f>'BUS Deemed Savings Table'!K21</f>
        <v>15</v>
      </c>
      <c r="AC263" s="742">
        <f t="shared" si="389"/>
        <v>143.63979797605597</v>
      </c>
      <c r="AD263" s="742">
        <f t="shared" si="390"/>
        <v>0</v>
      </c>
      <c r="AE263" s="580">
        <f>'BUS Deemed Savings Table'!DM21</f>
        <v>143.63979797605597</v>
      </c>
      <c r="AF263" s="191"/>
      <c r="AG263" s="191"/>
      <c r="AH263" s="191"/>
      <c r="AI263" s="1307" t="str">
        <f>'BUS Deemed Savings Table'!L21</f>
        <v>per measure</v>
      </c>
      <c r="AJ263" s="68"/>
      <c r="AK263"/>
      <c r="AL263"/>
      <c r="AM263"/>
      <c r="AN263"/>
      <c r="AO263"/>
      <c r="AP263"/>
      <c r="AQ263"/>
      <c r="AR263"/>
      <c r="AS263"/>
      <c r="AT263"/>
      <c r="AU263"/>
      <c r="AV263"/>
      <c r="AW263"/>
      <c r="AX263" s="1226" t="str">
        <f t="shared" si="391"/>
        <v>LED Replacting Interior T8 Fluorescent (Type B, Kits, and Fixtures)</v>
      </c>
      <c r="AY263" s="1249"/>
      <c r="AZ263" s="1312" t="str">
        <f t="shared" si="392"/>
        <v>800851</v>
      </c>
      <c r="BA263" s="1171" t="s">
        <v>2174</v>
      </c>
      <c r="BB263" s="1171" t="s">
        <v>2174</v>
      </c>
      <c r="BC263" s="1171" t="s">
        <v>2174</v>
      </c>
      <c r="BD263" s="1171" t="s">
        <v>2174</v>
      </c>
      <c r="BE263" s="1177"/>
      <c r="BF263" s="1171" t="s">
        <v>2174</v>
      </c>
      <c r="BG263" s="1171" t="s">
        <v>2174</v>
      </c>
      <c r="BH263" s="1171" t="s">
        <v>2174</v>
      </c>
      <c r="BI263" s="1172" t="s">
        <v>2174</v>
      </c>
      <c r="BJ263" s="1176"/>
      <c r="BK263" s="1171" t="s">
        <v>2174</v>
      </c>
      <c r="BL263" s="1172" t="s">
        <v>2174</v>
      </c>
      <c r="BM263" s="1171" t="s">
        <v>2174</v>
      </c>
      <c r="BN263" s="1172" t="s">
        <v>2174</v>
      </c>
    </row>
    <row r="264" spans="1:66" s="39" customFormat="1" x14ac:dyDescent="0.25">
      <c r="A264" s="49" t="str">
        <f t="shared" si="384"/>
        <v>800900</v>
      </c>
      <c r="B264" s="1307" t="str">
        <f>'BUS Deemed Savings Table'!C22</f>
        <v>800900_2025_12_</v>
      </c>
      <c r="C264" s="1249" t="str">
        <f>'BUS Deemed Savings Table'!G22</f>
        <v>Lighting BUS</v>
      </c>
      <c r="D264" s="1249"/>
      <c r="E264" s="1249"/>
      <c r="F264" s="1249"/>
      <c r="G264" s="1249" t="str">
        <f>'BUS Deemed Savings Table'!E22</f>
        <v xml:space="preserve">LED Replacing Interior T12 Fluorescent (Type A / Hybrid) </v>
      </c>
      <c r="H264" s="18" t="str">
        <f>'BUS Deemed Savings Table'!D22</f>
        <v>C&amp;I</v>
      </c>
      <c r="I264" s="737">
        <f>'BUS Deemed Savings Table'!F22</f>
        <v>205.22</v>
      </c>
      <c r="J264" s="737"/>
      <c r="K264" s="185"/>
      <c r="L264" s="185"/>
      <c r="M264" s="185"/>
      <c r="N264" s="185"/>
      <c r="O264" s="738">
        <f>'BUS Deemed Savings Table'!I22</f>
        <v>4.0231999999999997E-2</v>
      </c>
      <c r="P264" s="738"/>
      <c r="Q264" s="739"/>
      <c r="R264" s="739"/>
      <c r="S264" s="739"/>
      <c r="T264" s="739"/>
      <c r="U264" s="740">
        <f t="shared" si="385"/>
        <v>0</v>
      </c>
      <c r="V264" s="740">
        <f t="shared" si="386"/>
        <v>4.0231999999999997E-2</v>
      </c>
      <c r="W264" s="740">
        <f t="shared" si="387"/>
        <v>0</v>
      </c>
      <c r="X264" s="22">
        <f>'BUS Deemed Savings Table'!J22</f>
        <v>10</v>
      </c>
      <c r="Y264" s="22"/>
      <c r="Z264" s="22">
        <f t="shared" si="388"/>
        <v>10</v>
      </c>
      <c r="AA264" s="17">
        <f>'BUS Deemed Savings Table'!DK22</f>
        <v>7.3701610753823505</v>
      </c>
      <c r="AB264" s="241">
        <f>'BUS Deemed Savings Table'!K22</f>
        <v>16</v>
      </c>
      <c r="AC264" s="742">
        <f t="shared" si="389"/>
        <v>117.92257720611761</v>
      </c>
      <c r="AD264" s="742">
        <f t="shared" si="390"/>
        <v>0</v>
      </c>
      <c r="AE264" s="580">
        <f>'BUS Deemed Savings Table'!DM22</f>
        <v>117.92257720611761</v>
      </c>
      <c r="AF264" s="191"/>
      <c r="AG264" s="191"/>
      <c r="AH264" s="191"/>
      <c r="AI264" s="1307" t="str">
        <f>'BUS Deemed Savings Table'!L22</f>
        <v>per measure</v>
      </c>
      <c r="AJ264" s="68"/>
      <c r="AK264"/>
      <c r="AL264"/>
      <c r="AM264"/>
      <c r="AN264"/>
      <c r="AO264"/>
      <c r="AP264"/>
      <c r="AQ264"/>
      <c r="AR264"/>
      <c r="AS264"/>
      <c r="AT264"/>
      <c r="AU264"/>
      <c r="AV264"/>
      <c r="AW264"/>
      <c r="AX264" s="1226" t="str">
        <f t="shared" si="391"/>
        <v xml:space="preserve">LED Replacing Interior T12 Fluorescent (Type A / Hybrid) </v>
      </c>
      <c r="AY264" s="1249"/>
      <c r="AZ264" s="1312" t="str">
        <f t="shared" si="392"/>
        <v>800900</v>
      </c>
      <c r="BA264" s="1171" t="s">
        <v>2174</v>
      </c>
      <c r="BB264" s="1171" t="s">
        <v>2174</v>
      </c>
      <c r="BC264" s="1171" t="s">
        <v>2174</v>
      </c>
      <c r="BD264" s="1171" t="s">
        <v>2174</v>
      </c>
      <c r="BE264" s="1177"/>
      <c r="BF264" s="1171" t="s">
        <v>2174</v>
      </c>
      <c r="BG264" s="1171" t="s">
        <v>2174</v>
      </c>
      <c r="BH264" s="1171" t="s">
        <v>2174</v>
      </c>
      <c r="BI264" s="1172" t="s">
        <v>2174</v>
      </c>
      <c r="BJ264" s="1176"/>
      <c r="BK264" s="1171" t="s">
        <v>2174</v>
      </c>
      <c r="BL264" s="1172" t="s">
        <v>2174</v>
      </c>
      <c r="BM264" s="1171" t="s">
        <v>2174</v>
      </c>
      <c r="BN264" s="1172" t="s">
        <v>2174</v>
      </c>
    </row>
    <row r="265" spans="1:66" s="39" customFormat="1" x14ac:dyDescent="0.25">
      <c r="A265" s="49" t="str">
        <f t="shared" si="384"/>
        <v>800901</v>
      </c>
      <c r="B265" s="1307" t="str">
        <f>'BUS Deemed Savings Table'!C23</f>
        <v>800901_2025_12_</v>
      </c>
      <c r="C265" s="1249" t="str">
        <f>'BUS Deemed Savings Table'!G23</f>
        <v>Lighting BUS</v>
      </c>
      <c r="D265" s="1249"/>
      <c r="E265" s="1249"/>
      <c r="F265" s="1249"/>
      <c r="G265" s="1249" t="str">
        <f>'BUS Deemed Savings Table'!E23</f>
        <v xml:space="preserve">LED Replacing Interior T12 Fluorescent (Type B, Kits, and Fixtures) </v>
      </c>
      <c r="H265" s="18" t="str">
        <f>'BUS Deemed Savings Table'!D23</f>
        <v>C&amp;I</v>
      </c>
      <c r="I265" s="737">
        <f>'BUS Deemed Savings Table'!F23</f>
        <v>340.55</v>
      </c>
      <c r="J265" s="737"/>
      <c r="K265" s="185"/>
      <c r="L265" s="185"/>
      <c r="M265" s="185"/>
      <c r="N265" s="185"/>
      <c r="O265" s="738">
        <f>'BUS Deemed Savings Table'!I23</f>
        <v>6.6762000000000002E-2</v>
      </c>
      <c r="P265" s="738"/>
      <c r="Q265" s="739"/>
      <c r="R265" s="739"/>
      <c r="S265" s="739"/>
      <c r="T265" s="739"/>
      <c r="U265" s="740">
        <f t="shared" si="385"/>
        <v>0</v>
      </c>
      <c r="V265" s="740">
        <f t="shared" si="386"/>
        <v>0</v>
      </c>
      <c r="W265" s="740">
        <f t="shared" si="387"/>
        <v>6.6762000000000002E-2</v>
      </c>
      <c r="X265" s="22">
        <f>'BUS Deemed Savings Table'!J23</f>
        <v>15</v>
      </c>
      <c r="Y265" s="22"/>
      <c r="Z265" s="22">
        <f t="shared" si="388"/>
        <v>15</v>
      </c>
      <c r="AA265" s="17">
        <f>'BUS Deemed Savings Table'!DK23</f>
        <v>15.399749154164514</v>
      </c>
      <c r="AB265" s="241">
        <f>'BUS Deemed Savings Table'!K23</f>
        <v>17</v>
      </c>
      <c r="AC265" s="742">
        <f t="shared" si="389"/>
        <v>261.79573562079673</v>
      </c>
      <c r="AD265" s="742">
        <f t="shared" si="390"/>
        <v>0</v>
      </c>
      <c r="AE265" s="580">
        <f>'BUS Deemed Savings Table'!DM23</f>
        <v>261.79573562079673</v>
      </c>
      <c r="AF265" s="191"/>
      <c r="AG265" s="191"/>
      <c r="AH265" s="191"/>
      <c r="AI265" s="1307" t="str">
        <f>'BUS Deemed Savings Table'!L23</f>
        <v>per measure</v>
      </c>
      <c r="AJ265" s="68"/>
      <c r="AK265"/>
      <c r="AL265"/>
      <c r="AM265"/>
      <c r="AN265"/>
      <c r="AO265"/>
      <c r="AP265"/>
      <c r="AQ265"/>
      <c r="AR265"/>
      <c r="AS265"/>
      <c r="AT265"/>
      <c r="AU265"/>
      <c r="AV265"/>
      <c r="AW265"/>
      <c r="AX265" s="1226" t="str">
        <f t="shared" si="391"/>
        <v xml:space="preserve">LED Replacing Interior T12 Fluorescent (Type B, Kits, and Fixtures) </v>
      </c>
      <c r="AY265" s="1249"/>
      <c r="AZ265" s="1312" t="str">
        <f t="shared" si="392"/>
        <v>800901</v>
      </c>
      <c r="BA265" s="1171" t="s">
        <v>2174</v>
      </c>
      <c r="BB265" s="1171" t="s">
        <v>2174</v>
      </c>
      <c r="BC265" s="1171" t="s">
        <v>2174</v>
      </c>
      <c r="BD265" s="1171" t="s">
        <v>2174</v>
      </c>
      <c r="BE265" s="1177"/>
      <c r="BF265" s="1171" t="s">
        <v>2174</v>
      </c>
      <c r="BG265" s="1171" t="s">
        <v>2174</v>
      </c>
      <c r="BH265" s="1171" t="s">
        <v>2174</v>
      </c>
      <c r="BI265" s="1172" t="s">
        <v>2174</v>
      </c>
      <c r="BJ265" s="1176"/>
      <c r="BK265" s="1171" t="s">
        <v>2174</v>
      </c>
      <c r="BL265" s="1172" t="s">
        <v>2174</v>
      </c>
      <c r="BM265" s="1171" t="s">
        <v>2174</v>
      </c>
      <c r="BN265" s="1172" t="s">
        <v>2174</v>
      </c>
    </row>
    <row r="266" spans="1:66" s="39" customFormat="1" x14ac:dyDescent="0.25">
      <c r="A266" s="49" t="str">
        <f t="shared" si="384"/>
        <v>800950</v>
      </c>
      <c r="B266" s="1307" t="str">
        <f>'BUS Deemed Savings Table'!C24</f>
        <v>800950_2024_12_</v>
      </c>
      <c r="C266" s="1249" t="str">
        <f>'BUS Deemed Savings Table'!G24</f>
        <v>Lighting BUS</v>
      </c>
      <c r="D266" s="1249"/>
      <c r="E266" s="1249"/>
      <c r="F266" s="1249"/>
      <c r="G266" s="1249" t="str">
        <f>'BUS Deemed Savings Table'!E24</f>
        <v xml:space="preserve">LED Specialty Lamp </v>
      </c>
      <c r="H266" s="18" t="str">
        <f>'BUS Deemed Savings Table'!D24</f>
        <v>C&amp;I</v>
      </c>
      <c r="I266" s="737">
        <f>'BUS Deemed Savings Table'!F24</f>
        <v>94.51</v>
      </c>
      <c r="J266" s="737"/>
      <c r="K266" s="185"/>
      <c r="L266" s="185"/>
      <c r="M266" s="185"/>
      <c r="N266" s="185"/>
      <c r="O266" s="738">
        <f>'BUS Deemed Savings Table'!I24</f>
        <v>1.8527999999999999E-2</v>
      </c>
      <c r="P266" s="738"/>
      <c r="Q266" s="739"/>
      <c r="R266" s="739"/>
      <c r="S266" s="739"/>
      <c r="T266" s="739"/>
      <c r="U266" s="740">
        <f t="shared" si="385"/>
        <v>0</v>
      </c>
      <c r="V266" s="740">
        <f t="shared" si="386"/>
        <v>1.8527999999999999E-2</v>
      </c>
      <c r="W266" s="740">
        <f t="shared" si="387"/>
        <v>0</v>
      </c>
      <c r="X266" s="22">
        <f>'BUS Deemed Savings Table'!J24</f>
        <v>10</v>
      </c>
      <c r="Y266" s="22"/>
      <c r="Z266" s="22">
        <f t="shared" si="388"/>
        <v>10</v>
      </c>
      <c r="AA266" s="17">
        <f>'BUS Deemed Savings Table'!DK24</f>
        <v>3.0170502040493603</v>
      </c>
      <c r="AB266" s="241">
        <f>'BUS Deemed Savings Table'!K24</f>
        <v>18</v>
      </c>
      <c r="AC266" s="742">
        <f t="shared" si="389"/>
        <v>54.306903672888488</v>
      </c>
      <c r="AD266" s="742">
        <f t="shared" si="390"/>
        <v>0</v>
      </c>
      <c r="AE266" s="580">
        <f>'BUS Deemed Savings Table'!DM24</f>
        <v>54.306903672888488</v>
      </c>
      <c r="AF266" s="191"/>
      <c r="AG266" s="191"/>
      <c r="AH266" s="191"/>
      <c r="AI266" s="1307" t="str">
        <f>'BUS Deemed Savings Table'!L24</f>
        <v>per measure</v>
      </c>
      <c r="AJ266" s="68"/>
      <c r="AK266"/>
      <c r="AL266"/>
      <c r="AM266"/>
      <c r="AN266"/>
      <c r="AO266"/>
      <c r="AP266"/>
      <c r="AQ266"/>
      <c r="AR266"/>
      <c r="AS266"/>
      <c r="AT266"/>
      <c r="AU266"/>
      <c r="AV266"/>
      <c r="AW266"/>
      <c r="AX266" s="1226" t="str">
        <f t="shared" si="391"/>
        <v xml:space="preserve">LED Specialty Lamp </v>
      </c>
      <c r="AY266" s="1249"/>
      <c r="AZ266" s="1312" t="str">
        <f t="shared" si="392"/>
        <v>800950</v>
      </c>
      <c r="BA266" s="1171" t="s">
        <v>2174</v>
      </c>
      <c r="BB266" s="1171" t="s">
        <v>2174</v>
      </c>
      <c r="BC266" s="1171" t="s">
        <v>2174</v>
      </c>
      <c r="BD266" s="1171" t="s">
        <v>2174</v>
      </c>
      <c r="BE266" s="1177"/>
      <c r="BF266" s="1171" t="s">
        <v>2174</v>
      </c>
      <c r="BG266" s="1171" t="s">
        <v>2174</v>
      </c>
      <c r="BH266" s="1171" t="s">
        <v>2174</v>
      </c>
      <c r="BI266" s="1172" t="s">
        <v>2174</v>
      </c>
      <c r="BJ266" s="1176"/>
      <c r="BK266" s="1171" t="s">
        <v>2174</v>
      </c>
      <c r="BL266" s="1172" t="s">
        <v>2174</v>
      </c>
      <c r="BM266" s="1171" t="s">
        <v>2174</v>
      </c>
      <c r="BN266" s="1172" t="s">
        <v>2174</v>
      </c>
    </row>
    <row r="267" spans="1:66" s="39" customFormat="1" x14ac:dyDescent="0.25">
      <c r="A267" s="49" t="str">
        <f t="shared" si="366"/>
        <v>801010</v>
      </c>
      <c r="B267" s="1307" t="str">
        <f>'BUS Deemed Savings Table'!C60</f>
        <v>801010_2024_12_</v>
      </c>
      <c r="C267" s="1249" t="str">
        <f>'BUS Deemed Savings Table'!G60</f>
        <v>Lighting BUS</v>
      </c>
      <c r="D267" s="1249"/>
      <c r="E267" s="1249"/>
      <c r="F267" s="1249"/>
      <c r="G267" s="1249" t="str">
        <f>'BUS Deemed Savings Table'!E60</f>
        <v>Fixture Mounted Occupancy Sensor Controlling &gt; 60 Watts, &lt;200 Watts</v>
      </c>
      <c r="H267" s="18" t="str">
        <f>'BUS Deemed Savings Table'!D60</f>
        <v>C&amp;I</v>
      </c>
      <c r="I267" s="737">
        <f>'BUS Deemed Savings Table'!F60</f>
        <v>150.15</v>
      </c>
      <c r="J267" s="737"/>
      <c r="K267" s="185"/>
      <c r="L267" s="185"/>
      <c r="M267" s="185"/>
      <c r="N267" s="185"/>
      <c r="O267" s="738">
        <f>'BUS Deemed Savings Table'!I60</f>
        <v>2.9436E-2</v>
      </c>
      <c r="P267" s="738"/>
      <c r="Q267" s="739"/>
      <c r="R267" s="739"/>
      <c r="S267" s="739"/>
      <c r="T267" s="739"/>
      <c r="U267" s="740">
        <f t="shared" si="367"/>
        <v>0</v>
      </c>
      <c r="V267" s="740">
        <f t="shared" si="368"/>
        <v>2.9436E-2</v>
      </c>
      <c r="W267" s="740">
        <f t="shared" si="369"/>
        <v>0</v>
      </c>
      <c r="X267" s="22">
        <f>'BUS Deemed Savings Table'!J60</f>
        <v>10</v>
      </c>
      <c r="Y267" s="22"/>
      <c r="Z267" s="22">
        <f t="shared" si="370"/>
        <v>10</v>
      </c>
      <c r="AA267" s="17">
        <f>'BUS Deemed Savings Table'!DK60</f>
        <v>1.3273616282337573</v>
      </c>
      <c r="AB267" s="241">
        <f>'BUS Deemed Savings Table'!K60</f>
        <v>65</v>
      </c>
      <c r="AC267" s="742">
        <f t="shared" si="371"/>
        <v>86.278505835194224</v>
      </c>
      <c r="AD267" s="742">
        <f t="shared" si="372"/>
        <v>0</v>
      </c>
      <c r="AE267" s="580">
        <f>'BUS Deemed Savings Table'!DM60</f>
        <v>86.278505835194224</v>
      </c>
      <c r="AF267" s="191"/>
      <c r="AG267" s="191"/>
      <c r="AH267" s="191"/>
      <c r="AI267" s="1307" t="str">
        <f>'BUS Deemed Savings Table'!L60</f>
        <v>per measure</v>
      </c>
      <c r="AJ267" s="1249"/>
      <c r="AK267" s="50"/>
      <c r="AL267" s="50"/>
      <c r="AM267"/>
      <c r="AN267"/>
      <c r="AO267"/>
      <c r="AP267"/>
      <c r="AQ267"/>
      <c r="AR267"/>
      <c r="AS267"/>
      <c r="AT267"/>
      <c r="AU267"/>
      <c r="AV267"/>
      <c r="AW267"/>
      <c r="AX267" s="1226" t="str">
        <f t="shared" si="373"/>
        <v>Fixture Mounted Occupancy Sensor Controlling &gt; 60 Watts, &lt;200 Watts</v>
      </c>
      <c r="AY267" s="1249"/>
      <c r="AZ267" s="1312" t="str">
        <f t="shared" si="374"/>
        <v>801010</v>
      </c>
      <c r="BA267" s="1171" t="s">
        <v>2174</v>
      </c>
      <c r="BB267" s="1171" t="s">
        <v>2174</v>
      </c>
      <c r="BC267" s="1171" t="s">
        <v>2174</v>
      </c>
      <c r="BD267" s="1171" t="s">
        <v>2174</v>
      </c>
      <c r="BE267" s="1177"/>
      <c r="BF267" s="1171" t="s">
        <v>2174</v>
      </c>
      <c r="BG267" s="1171" t="s">
        <v>2174</v>
      </c>
      <c r="BH267" s="1171" t="s">
        <v>2174</v>
      </c>
      <c r="BI267" s="1172" t="s">
        <v>2174</v>
      </c>
      <c r="BJ267" s="1176"/>
      <c r="BK267" s="1171" t="s">
        <v>2174</v>
      </c>
      <c r="BL267" s="1172" t="s">
        <v>2174</v>
      </c>
      <c r="BM267" s="1171" t="s">
        <v>2174</v>
      </c>
      <c r="BN267" s="1172" t="s">
        <v>2174</v>
      </c>
    </row>
    <row r="268" spans="1:66" s="39" customFormat="1" x14ac:dyDescent="0.25">
      <c r="A268" s="49" t="str">
        <f t="shared" si="366"/>
        <v>801020</v>
      </c>
      <c r="B268" s="1307" t="str">
        <f>'BUS Deemed Savings Table'!C61</f>
        <v>801020_2024_12_</v>
      </c>
      <c r="C268" s="1249" t="str">
        <f>'BUS Deemed Savings Table'!G61</f>
        <v>Lighting BUS</v>
      </c>
      <c r="D268" s="1249"/>
      <c r="E268" s="1249"/>
      <c r="F268" s="1249"/>
      <c r="G268" s="1249" t="str">
        <f>'BUS Deemed Savings Table'!E61</f>
        <v>Remote Mounted Occupancy Sensor Controlling &gt; 150 Watts</v>
      </c>
      <c r="H268" s="18" t="str">
        <f>'BUS Deemed Savings Table'!D61</f>
        <v>C&amp;I</v>
      </c>
      <c r="I268" s="737">
        <f>'BUS Deemed Savings Table'!F61</f>
        <v>545.92999999999995</v>
      </c>
      <c r="J268" s="737"/>
      <c r="K268" s="185"/>
      <c r="L268" s="185"/>
      <c r="M268" s="185"/>
      <c r="N268" s="185"/>
      <c r="O268" s="738">
        <f>'BUS Deemed Savings Table'!I61</f>
        <v>0.107025</v>
      </c>
      <c r="P268" s="738"/>
      <c r="Q268" s="739"/>
      <c r="R268" s="739"/>
      <c r="S268" s="739"/>
      <c r="T268" s="739"/>
      <c r="U268" s="740">
        <f t="shared" si="367"/>
        <v>0</v>
      </c>
      <c r="V268" s="740">
        <f t="shared" si="368"/>
        <v>0.107025</v>
      </c>
      <c r="W268" s="740">
        <f t="shared" si="369"/>
        <v>0</v>
      </c>
      <c r="X268" s="22">
        <f>'BUS Deemed Savings Table'!J61</f>
        <v>10</v>
      </c>
      <c r="Y268" s="22"/>
      <c r="Z268" s="22">
        <f t="shared" si="370"/>
        <v>10</v>
      </c>
      <c r="AA268" s="17">
        <f>'BUS Deemed Savings Table'!DK61</f>
        <v>2.9876171251356629</v>
      </c>
      <c r="AB268" s="241">
        <f>'BUS Deemed Savings Table'!K61</f>
        <v>105</v>
      </c>
      <c r="AC268" s="742">
        <f t="shared" si="371"/>
        <v>313.69979813924459</v>
      </c>
      <c r="AD268" s="742">
        <f t="shared" si="372"/>
        <v>0</v>
      </c>
      <c r="AE268" s="580">
        <f>'BUS Deemed Savings Table'!DM61</f>
        <v>313.69979813924459</v>
      </c>
      <c r="AF268" s="191"/>
      <c r="AG268" s="191"/>
      <c r="AH268" s="191"/>
      <c r="AI268" s="1307" t="str">
        <f>'BUS Deemed Savings Table'!L61</f>
        <v>per measure</v>
      </c>
      <c r="AJ268" s="1249"/>
      <c r="AK268" s="50"/>
      <c r="AL268" s="50"/>
      <c r="AM268"/>
      <c r="AN268"/>
      <c r="AO268"/>
      <c r="AP268"/>
      <c r="AQ268"/>
      <c r="AR268"/>
      <c r="AS268"/>
      <c r="AT268"/>
      <c r="AU268"/>
      <c r="AV268"/>
      <c r="AW268"/>
      <c r="AX268" s="1226" t="str">
        <f t="shared" si="373"/>
        <v>Remote Mounted Occupancy Sensor Controlling &gt; 150 Watts</v>
      </c>
      <c r="AY268" s="1249"/>
      <c r="AZ268" s="1312" t="str">
        <f t="shared" si="374"/>
        <v>801020</v>
      </c>
      <c r="BA268" s="1171" t="s">
        <v>2174</v>
      </c>
      <c r="BB268" s="1171" t="s">
        <v>2174</v>
      </c>
      <c r="BC268" s="1171" t="s">
        <v>2174</v>
      </c>
      <c r="BD268" s="1171" t="s">
        <v>2174</v>
      </c>
      <c r="BE268" s="1177"/>
      <c r="BF268" s="1171" t="s">
        <v>2174</v>
      </c>
      <c r="BG268" s="1171" t="s">
        <v>2174</v>
      </c>
      <c r="BH268" s="1171" t="s">
        <v>2174</v>
      </c>
      <c r="BI268" s="1172" t="s">
        <v>2174</v>
      </c>
      <c r="BJ268" s="1176"/>
      <c r="BK268" s="1171" t="s">
        <v>2174</v>
      </c>
      <c r="BL268" s="1172" t="s">
        <v>2174</v>
      </c>
      <c r="BM268" s="1171" t="s">
        <v>2174</v>
      </c>
      <c r="BN268" s="1172" t="s">
        <v>2174</v>
      </c>
    </row>
    <row r="269" spans="1:66" x14ac:dyDescent="0.25">
      <c r="A269" s="49" t="str">
        <f t="shared" si="366"/>
        <v>801250</v>
      </c>
      <c r="B269" s="1307" t="str">
        <f>'BUS Deemed Savings Table'!C82</f>
        <v>801250_2024_12_</v>
      </c>
      <c r="C269" s="1249" t="str">
        <f>'BUS Deemed Savings Table'!G82</f>
        <v>Refrigeration BUS</v>
      </c>
      <c r="D269" s="1249"/>
      <c r="E269" s="1249"/>
      <c r="F269" s="1249"/>
      <c r="G269" s="1249" t="str">
        <f>'BUS Deemed Savings Table'!E82</f>
        <v>0 &lt; V &lt; 15 - Vertical Closed - Solid Door Refrigerator</v>
      </c>
      <c r="H269" s="18" t="str">
        <f>'BUS Deemed Savings Table'!D82</f>
        <v>C&amp;I</v>
      </c>
      <c r="I269" s="737">
        <f>'BUS Deemed Savings Table'!F82</f>
        <v>329.82</v>
      </c>
      <c r="J269" s="737"/>
      <c r="K269" s="185"/>
      <c r="L269" s="185"/>
      <c r="M269" s="185"/>
      <c r="N269" s="185"/>
      <c r="O269" s="738">
        <f>'BUS Deemed Savings Table'!I82</f>
        <v>4.4769000000000003E-2</v>
      </c>
      <c r="P269" s="738"/>
      <c r="Q269" s="739"/>
      <c r="R269" s="739"/>
      <c r="S269" s="739"/>
      <c r="T269" s="739"/>
      <c r="U269" s="740">
        <f t="shared" ref="U269:U302" si="393">IFERROR(IF(V269+W269&gt;0,0,IF(Z269&gt;0,O269,0)),0)</f>
        <v>0</v>
      </c>
      <c r="V269" s="740">
        <f t="shared" ref="V269:V302" si="394">IF(W269&gt;0,0,IF(Z269&gt;9,O269,0))</f>
        <v>4.4769000000000003E-2</v>
      </c>
      <c r="W269" s="740">
        <f t="shared" ref="W269:W302" si="395">IF(Z269&gt;14,O269,0)</f>
        <v>0</v>
      </c>
      <c r="X269" s="22">
        <f>'BUS Deemed Savings Table'!J82</f>
        <v>12</v>
      </c>
      <c r="Y269" s="22"/>
      <c r="Z269" s="22">
        <f t="shared" si="370"/>
        <v>12</v>
      </c>
      <c r="AA269" s="17">
        <f>'BUS Deemed Savings Table'!DK82</f>
        <v>1.3324016354481989</v>
      </c>
      <c r="AB269" s="241">
        <f>'BUS Deemed Savings Table'!K82</f>
        <v>150</v>
      </c>
      <c r="AC269" s="742">
        <f t="shared" si="371"/>
        <v>199.86024531722984</v>
      </c>
      <c r="AD269" s="742">
        <f t="shared" si="372"/>
        <v>0</v>
      </c>
      <c r="AE269" s="580">
        <f>'BUS Deemed Savings Table'!DM82</f>
        <v>199.86024531722984</v>
      </c>
      <c r="AF269" s="191"/>
      <c r="AG269" s="191"/>
      <c r="AH269" s="191"/>
      <c r="AI269" s="1307" t="str">
        <f>'BUS Deemed Savings Table'!L82</f>
        <v>per measure</v>
      </c>
      <c r="AJ269" s="68"/>
      <c r="AX269" s="1226" t="str">
        <f t="shared" si="373"/>
        <v>0 &lt; V &lt; 15 - Vertical Closed - Solid Door Refrigerator</v>
      </c>
      <c r="AY269" s="1249"/>
      <c r="AZ269" s="1312" t="str">
        <f t="shared" si="374"/>
        <v>801250</v>
      </c>
      <c r="BA269" s="1171" t="s">
        <v>2174</v>
      </c>
      <c r="BB269" s="1171" t="s">
        <v>2174</v>
      </c>
      <c r="BC269" s="1171" t="s">
        <v>2174</v>
      </c>
      <c r="BD269" s="1171" t="s">
        <v>2174</v>
      </c>
      <c r="BE269" s="1176"/>
      <c r="BF269" s="1171" t="s">
        <v>2174</v>
      </c>
      <c r="BG269" s="1171" t="s">
        <v>2174</v>
      </c>
      <c r="BH269" s="1171" t="s">
        <v>2174</v>
      </c>
      <c r="BI269" s="1172" t="s">
        <v>2174</v>
      </c>
      <c r="BJ269" s="1176"/>
      <c r="BK269" s="1171" t="s">
        <v>2174</v>
      </c>
      <c r="BL269" s="1172" t="s">
        <v>2174</v>
      </c>
      <c r="BM269" s="1171" t="s">
        <v>2174</v>
      </c>
      <c r="BN269" s="1172" t="s">
        <v>2174</v>
      </c>
    </row>
    <row r="270" spans="1:66" x14ac:dyDescent="0.25">
      <c r="A270" s="49" t="str">
        <f t="shared" si="366"/>
        <v>801750</v>
      </c>
      <c r="B270" s="1307" t="str">
        <f>'BUS Deemed Savings Table'!C83</f>
        <v>801750_2024_12_</v>
      </c>
      <c r="C270" s="1249" t="str">
        <f>'BUS Deemed Savings Table'!G83</f>
        <v>Refrigeration BUS</v>
      </c>
      <c r="D270" s="1249"/>
      <c r="E270" s="1249"/>
      <c r="F270" s="1249"/>
      <c r="G270" s="1249" t="str">
        <f>'BUS Deemed Savings Table'!E83</f>
        <v>15 ≤ V &lt; 30 - Vertical Closed - Solid Door Freezer</v>
      </c>
      <c r="H270" s="18" t="str">
        <f>'BUS Deemed Savings Table'!D83</f>
        <v>C&amp;I</v>
      </c>
      <c r="I270" s="737">
        <f>'BUS Deemed Savings Table'!F83</f>
        <v>575.27</v>
      </c>
      <c r="J270" s="737"/>
      <c r="K270" s="185"/>
      <c r="L270" s="185"/>
      <c r="M270" s="185"/>
      <c r="N270" s="185"/>
      <c r="O270" s="738">
        <f>'BUS Deemed Savings Table'!I83</f>
        <v>7.8086000000000003E-2</v>
      </c>
      <c r="P270" s="738"/>
      <c r="Q270" s="739"/>
      <c r="R270" s="739"/>
      <c r="S270" s="739"/>
      <c r="T270" s="739"/>
      <c r="U270" s="740">
        <f t="shared" si="393"/>
        <v>0</v>
      </c>
      <c r="V270" s="740">
        <f t="shared" si="394"/>
        <v>7.8086000000000003E-2</v>
      </c>
      <c r="W270" s="740">
        <f t="shared" si="395"/>
        <v>0</v>
      </c>
      <c r="X270" s="22">
        <f>'BUS Deemed Savings Table'!J83</f>
        <v>12</v>
      </c>
      <c r="Y270" s="22"/>
      <c r="Z270" s="22">
        <f t="shared" si="370"/>
        <v>12</v>
      </c>
      <c r="AA270" s="17">
        <f>'BUS Deemed Savings Table'!DK83</f>
        <v>0.99598571795561908</v>
      </c>
      <c r="AB270" s="241">
        <f>'BUS Deemed Savings Table'!K83</f>
        <v>350</v>
      </c>
      <c r="AC270" s="742">
        <f t="shared" si="371"/>
        <v>348.59500128446666</v>
      </c>
      <c r="AD270" s="742">
        <f t="shared" si="372"/>
        <v>0</v>
      </c>
      <c r="AE270" s="580">
        <f>'BUS Deemed Savings Table'!DM83</f>
        <v>348.59500128446666</v>
      </c>
      <c r="AF270" s="191"/>
      <c r="AG270" s="191"/>
      <c r="AH270" s="191"/>
      <c r="AI270" s="1307" t="str">
        <f>'BUS Deemed Savings Table'!L83</f>
        <v>per measure</v>
      </c>
      <c r="AJ270" s="68"/>
      <c r="AX270" s="1226" t="str">
        <f t="shared" si="373"/>
        <v>15 ≤ V &lt; 30 - Vertical Closed - Solid Door Freezer</v>
      </c>
      <c r="AY270" s="1249"/>
      <c r="AZ270" s="1312" t="str">
        <f t="shared" si="374"/>
        <v>801750</v>
      </c>
      <c r="BA270" s="1171" t="s">
        <v>2174</v>
      </c>
      <c r="BB270" s="1171" t="s">
        <v>2174</v>
      </c>
      <c r="BC270" s="1171" t="s">
        <v>2174</v>
      </c>
      <c r="BD270" s="1171" t="s">
        <v>2174</v>
      </c>
      <c r="BE270" s="1176"/>
      <c r="BF270" s="1171" t="s">
        <v>2174</v>
      </c>
      <c r="BG270" s="1171" t="s">
        <v>2174</v>
      </c>
      <c r="BH270" s="1171" t="s">
        <v>2174</v>
      </c>
      <c r="BI270" s="1172" t="s">
        <v>2174</v>
      </c>
      <c r="BJ270" s="1176"/>
      <c r="BK270" s="1171" t="s">
        <v>2174</v>
      </c>
      <c r="BL270" s="1172" t="s">
        <v>2174</v>
      </c>
      <c r="BM270" s="1171" t="s">
        <v>2174</v>
      </c>
      <c r="BN270" s="1172" t="s">
        <v>2174</v>
      </c>
    </row>
    <row r="271" spans="1:66" x14ac:dyDescent="0.25">
      <c r="A271" s="49" t="str">
        <f t="shared" si="366"/>
        <v>801800</v>
      </c>
      <c r="B271" s="1307" t="str">
        <f>'BUS Deemed Savings Table'!C84</f>
        <v>801800_2024_12_</v>
      </c>
      <c r="C271" s="1249" t="str">
        <f>'BUS Deemed Savings Table'!G84</f>
        <v>Refrigeration BUS</v>
      </c>
      <c r="D271" s="1249"/>
      <c r="E271" s="1249"/>
      <c r="F271" s="1249"/>
      <c r="G271" s="1249" t="str">
        <f>'BUS Deemed Savings Table'!E84</f>
        <v>30 ≤ V &lt; 50 - Vertical Closed - Solid Door Freezer</v>
      </c>
      <c r="H271" s="18" t="str">
        <f>'BUS Deemed Savings Table'!D84</f>
        <v>C&amp;I</v>
      </c>
      <c r="I271" s="737">
        <f>'BUS Deemed Savings Table'!F84</f>
        <v>1117.67</v>
      </c>
      <c r="J271" s="737"/>
      <c r="K271" s="185"/>
      <c r="L271" s="185"/>
      <c r="M271" s="185"/>
      <c r="N271" s="185"/>
      <c r="O271" s="738">
        <f>'BUS Deemed Savings Table'!I84</f>
        <v>0.15171100000000001</v>
      </c>
      <c r="P271" s="738"/>
      <c r="Q271" s="739"/>
      <c r="R271" s="739"/>
      <c r="S271" s="739"/>
      <c r="T271" s="739"/>
      <c r="U271" s="740">
        <f t="shared" si="393"/>
        <v>0</v>
      </c>
      <c r="V271" s="740">
        <f t="shared" si="394"/>
        <v>0.15171100000000001</v>
      </c>
      <c r="W271" s="740">
        <f t="shared" si="395"/>
        <v>0</v>
      </c>
      <c r="X271" s="22">
        <f>'BUS Deemed Savings Table'!J84</f>
        <v>12</v>
      </c>
      <c r="Y271" s="22"/>
      <c r="Z271" s="22">
        <f t="shared" si="370"/>
        <v>12</v>
      </c>
      <c r="AA271" s="17">
        <f>'BUS Deemed Savings Table'!DK84</f>
        <v>1.3545436928246213</v>
      </c>
      <c r="AB271" s="241">
        <f>'BUS Deemed Savings Table'!K84</f>
        <v>500</v>
      </c>
      <c r="AC271" s="742">
        <f t="shared" si="371"/>
        <v>677.27184641231065</v>
      </c>
      <c r="AD271" s="742">
        <f t="shared" si="372"/>
        <v>0</v>
      </c>
      <c r="AE271" s="580">
        <f>'BUS Deemed Savings Table'!DM84</f>
        <v>677.27184641231065</v>
      </c>
      <c r="AF271" s="191"/>
      <c r="AG271" s="191"/>
      <c r="AH271" s="191"/>
      <c r="AI271" s="1307" t="str">
        <f>'BUS Deemed Savings Table'!L84</f>
        <v>per measure</v>
      </c>
      <c r="AJ271" s="68"/>
      <c r="AX271" s="1226" t="str">
        <f t="shared" ref="AX271:AX327" si="396">G271</f>
        <v>30 ≤ V &lt; 50 - Vertical Closed - Solid Door Freezer</v>
      </c>
      <c r="AY271" s="1249"/>
      <c r="AZ271" s="1312" t="str">
        <f t="shared" ref="AZ271:AZ327" si="397">A271</f>
        <v>801800</v>
      </c>
      <c r="BA271" s="1171" t="s">
        <v>2174</v>
      </c>
      <c r="BB271" s="1171" t="s">
        <v>2174</v>
      </c>
      <c r="BC271" s="1171" t="s">
        <v>2174</v>
      </c>
      <c r="BD271" s="1171" t="s">
        <v>2174</v>
      </c>
      <c r="BE271" s="1176"/>
      <c r="BF271" s="1171" t="s">
        <v>2174</v>
      </c>
      <c r="BG271" s="1171" t="s">
        <v>2174</v>
      </c>
      <c r="BH271" s="1171" t="s">
        <v>2174</v>
      </c>
      <c r="BI271" s="1172" t="s">
        <v>2174</v>
      </c>
      <c r="BJ271" s="1176"/>
      <c r="BK271" s="1171" t="s">
        <v>2174</v>
      </c>
      <c r="BL271" s="1172" t="s">
        <v>2174</v>
      </c>
      <c r="BM271" s="1171" t="s">
        <v>2174</v>
      </c>
      <c r="BN271" s="1172" t="s">
        <v>2174</v>
      </c>
    </row>
    <row r="272" spans="1:66" x14ac:dyDescent="0.25">
      <c r="A272" s="49" t="str">
        <f t="shared" si="366"/>
        <v>801850</v>
      </c>
      <c r="B272" s="1307" t="str">
        <f>'BUS Deemed Savings Table'!C85</f>
        <v>801850_2024_12_</v>
      </c>
      <c r="C272" s="1249" t="str">
        <f>'BUS Deemed Savings Table'!G85</f>
        <v>Refrigeration BUS</v>
      </c>
      <c r="D272" s="1249"/>
      <c r="E272" s="1249"/>
      <c r="F272" s="1249"/>
      <c r="G272" s="1249" t="str">
        <f>'BUS Deemed Savings Table'!E85</f>
        <v>V ≥ 50 - Vertical Closed - Solid Door Freezer</v>
      </c>
      <c r="H272" s="18" t="str">
        <f>'BUS Deemed Savings Table'!D85</f>
        <v>C&amp;I</v>
      </c>
      <c r="I272" s="737">
        <f>'BUS Deemed Savings Table'!F85</f>
        <v>1504.46</v>
      </c>
      <c r="J272" s="737"/>
      <c r="K272" s="185"/>
      <c r="L272" s="185"/>
      <c r="M272" s="185"/>
      <c r="N272" s="185"/>
      <c r="O272" s="738">
        <f>'BUS Deemed Savings Table'!I85</f>
        <v>0.20421300000000001</v>
      </c>
      <c r="P272" s="738"/>
      <c r="Q272" s="739"/>
      <c r="R272" s="739"/>
      <c r="S272" s="739"/>
      <c r="T272" s="739"/>
      <c r="U272" s="740">
        <f t="shared" si="393"/>
        <v>0</v>
      </c>
      <c r="V272" s="740">
        <f t="shared" si="394"/>
        <v>0.20421300000000001</v>
      </c>
      <c r="W272" s="740">
        <f t="shared" si="395"/>
        <v>0</v>
      </c>
      <c r="X272" s="22">
        <f>'BUS Deemed Savings Table'!J85</f>
        <v>12</v>
      </c>
      <c r="Y272" s="22"/>
      <c r="Z272" s="22">
        <f t="shared" si="370"/>
        <v>12</v>
      </c>
      <c r="AA272" s="17">
        <f>'BUS Deemed Savings Table'!DK85</f>
        <v>1.5194234464756515</v>
      </c>
      <c r="AB272" s="241">
        <f>'BUS Deemed Savings Table'!K85</f>
        <v>600</v>
      </c>
      <c r="AC272" s="742">
        <f t="shared" si="371"/>
        <v>911.65406788539087</v>
      </c>
      <c r="AD272" s="742">
        <f t="shared" si="372"/>
        <v>0</v>
      </c>
      <c r="AE272" s="580">
        <f>'BUS Deemed Savings Table'!DM85</f>
        <v>911.65406788539087</v>
      </c>
      <c r="AF272" s="191"/>
      <c r="AG272" s="191"/>
      <c r="AH272" s="191"/>
      <c r="AI272" s="1307" t="str">
        <f>'BUS Deemed Savings Table'!L85</f>
        <v>per measure</v>
      </c>
      <c r="AJ272" s="68"/>
      <c r="AX272" s="1226" t="str">
        <f t="shared" si="396"/>
        <v>V ≥ 50 - Vertical Closed - Solid Door Freezer</v>
      </c>
      <c r="AY272" s="1249"/>
      <c r="AZ272" s="1312" t="str">
        <f t="shared" si="397"/>
        <v>801850</v>
      </c>
      <c r="BA272" s="1171" t="s">
        <v>2174</v>
      </c>
      <c r="BB272" s="1171" t="s">
        <v>2174</v>
      </c>
      <c r="BC272" s="1171" t="s">
        <v>2174</v>
      </c>
      <c r="BD272" s="1171" t="s">
        <v>2174</v>
      </c>
      <c r="BE272" s="1176"/>
      <c r="BF272" s="1171" t="s">
        <v>2174</v>
      </c>
      <c r="BG272" s="1171" t="s">
        <v>2174</v>
      </c>
      <c r="BH272" s="1171" t="s">
        <v>2174</v>
      </c>
      <c r="BI272" s="1172" t="s">
        <v>2174</v>
      </c>
      <c r="BJ272" s="1176"/>
      <c r="BK272" s="1171" t="s">
        <v>2174</v>
      </c>
      <c r="BL272" s="1172" t="s">
        <v>2174</v>
      </c>
      <c r="BM272" s="1171" t="s">
        <v>2174</v>
      </c>
      <c r="BN272" s="1172" t="s">
        <v>2174</v>
      </c>
    </row>
    <row r="273" spans="1:66" x14ac:dyDescent="0.25">
      <c r="A273" s="49" t="str">
        <f t="shared" si="366"/>
        <v>801900</v>
      </c>
      <c r="B273" s="1307" t="str">
        <f>'BUS Deemed Savings Table'!C86</f>
        <v>801900_2024_12_</v>
      </c>
      <c r="C273" s="1249" t="str">
        <f>'BUS Deemed Savings Table'!G86</f>
        <v>Refrigeration BUS</v>
      </c>
      <c r="D273" s="1249"/>
      <c r="E273" s="1249"/>
      <c r="F273" s="1249"/>
      <c r="G273" s="1249" t="str">
        <f>'BUS Deemed Savings Table'!E86</f>
        <v>0 &lt; V &lt; 15 - Vertical Closed - Glass Door Freezer</v>
      </c>
      <c r="H273" s="18" t="str">
        <f>'BUS Deemed Savings Table'!D86</f>
        <v>C&amp;I</v>
      </c>
      <c r="I273" s="737">
        <f>'BUS Deemed Savings Table'!F86</f>
        <v>558.83000000000004</v>
      </c>
      <c r="J273" s="737"/>
      <c r="K273" s="185"/>
      <c r="L273" s="185"/>
      <c r="M273" s="185"/>
      <c r="N273" s="185"/>
      <c r="O273" s="738">
        <f>'BUS Deemed Savings Table'!I86</f>
        <v>7.5855000000000006E-2</v>
      </c>
      <c r="P273" s="738"/>
      <c r="Q273" s="739"/>
      <c r="R273" s="739"/>
      <c r="S273" s="739"/>
      <c r="T273" s="739"/>
      <c r="U273" s="740">
        <f t="shared" si="393"/>
        <v>0</v>
      </c>
      <c r="V273" s="740">
        <f t="shared" si="394"/>
        <v>7.5855000000000006E-2</v>
      </c>
      <c r="W273" s="740">
        <f t="shared" si="395"/>
        <v>0</v>
      </c>
      <c r="X273" s="22">
        <f>'BUS Deemed Savings Table'!J86</f>
        <v>12</v>
      </c>
      <c r="Y273" s="22"/>
      <c r="Z273" s="22">
        <f t="shared" si="370"/>
        <v>12</v>
      </c>
      <c r="AA273" s="17">
        <f>'BUS Deemed Savings Table'!DK86</f>
        <v>6.7726578673596238</v>
      </c>
      <c r="AB273" s="241">
        <f>'BUS Deemed Savings Table'!K86</f>
        <v>50</v>
      </c>
      <c r="AC273" s="742">
        <f t="shared" si="371"/>
        <v>338.63289336798118</v>
      </c>
      <c r="AD273" s="742">
        <f t="shared" si="372"/>
        <v>0</v>
      </c>
      <c r="AE273" s="580">
        <f>'BUS Deemed Savings Table'!DM86</f>
        <v>338.63289336798118</v>
      </c>
      <c r="AF273" s="191"/>
      <c r="AG273" s="191"/>
      <c r="AH273" s="191"/>
      <c r="AI273" s="1307" t="str">
        <f>'BUS Deemed Savings Table'!L86</f>
        <v>per measure</v>
      </c>
      <c r="AJ273" s="68"/>
      <c r="AX273" s="1226" t="str">
        <f t="shared" si="396"/>
        <v>0 &lt; V &lt; 15 - Vertical Closed - Glass Door Freezer</v>
      </c>
      <c r="AY273" s="1249"/>
      <c r="AZ273" s="1312" t="str">
        <f t="shared" si="397"/>
        <v>801900</v>
      </c>
      <c r="BA273" s="1171" t="s">
        <v>2174</v>
      </c>
      <c r="BB273" s="1171" t="s">
        <v>2174</v>
      </c>
      <c r="BC273" s="1171" t="s">
        <v>2174</v>
      </c>
      <c r="BD273" s="1171" t="s">
        <v>2174</v>
      </c>
      <c r="BE273" s="1176"/>
      <c r="BF273" s="1171" t="s">
        <v>2174</v>
      </c>
      <c r="BG273" s="1171" t="s">
        <v>2174</v>
      </c>
      <c r="BH273" s="1171" t="s">
        <v>2174</v>
      </c>
      <c r="BI273" s="1172" t="s">
        <v>2174</v>
      </c>
      <c r="BJ273" s="1176"/>
      <c r="BK273" s="1171" t="s">
        <v>2174</v>
      </c>
      <c r="BL273" s="1172" t="s">
        <v>2174</v>
      </c>
      <c r="BM273" s="1171" t="s">
        <v>2174</v>
      </c>
      <c r="BN273" s="1172" t="s">
        <v>2174</v>
      </c>
    </row>
    <row r="274" spans="1:66" x14ac:dyDescent="0.25">
      <c r="A274" s="49" t="str">
        <f t="shared" si="366"/>
        <v>801950</v>
      </c>
      <c r="B274" s="1307" t="str">
        <f>'BUS Deemed Savings Table'!C87</f>
        <v>801950_2024_12_</v>
      </c>
      <c r="C274" s="1249" t="str">
        <f>'BUS Deemed Savings Table'!G87</f>
        <v>Refrigeration BUS</v>
      </c>
      <c r="D274" s="1249"/>
      <c r="E274" s="1249"/>
      <c r="F274" s="1249"/>
      <c r="G274" s="1249" t="str">
        <f>'BUS Deemed Savings Table'!E87</f>
        <v>15 ≤ V &lt; 30 - Vertical Closed - Glass Door Freezer</v>
      </c>
      <c r="H274" s="18" t="str">
        <f>'BUS Deemed Savings Table'!D87</f>
        <v>C&amp;I</v>
      </c>
      <c r="I274" s="737">
        <f>'BUS Deemed Savings Table'!F87</f>
        <v>974.85</v>
      </c>
      <c r="J274" s="737"/>
      <c r="K274" s="185"/>
      <c r="L274" s="185"/>
      <c r="M274" s="185"/>
      <c r="N274" s="185"/>
      <c r="O274" s="738">
        <f>'BUS Deemed Savings Table'!I87</f>
        <v>0.132324</v>
      </c>
      <c r="P274" s="738"/>
      <c r="Q274" s="739"/>
      <c r="R274" s="739"/>
      <c r="S274" s="739"/>
      <c r="T274" s="739"/>
      <c r="U274" s="740">
        <f t="shared" si="393"/>
        <v>0</v>
      </c>
      <c r="V274" s="740">
        <f t="shared" si="394"/>
        <v>0.132324</v>
      </c>
      <c r="W274" s="740">
        <f t="shared" si="395"/>
        <v>0</v>
      </c>
      <c r="X274" s="22">
        <f>'BUS Deemed Savings Table'!J87</f>
        <v>12</v>
      </c>
      <c r="Y274" s="22"/>
      <c r="Z274" s="22">
        <f t="shared" si="370"/>
        <v>12</v>
      </c>
      <c r="AA274" s="17">
        <f>'BUS Deemed Savings Table'!DK87</f>
        <v>5.9072754880692955</v>
      </c>
      <c r="AB274" s="241">
        <f>'BUS Deemed Savings Table'!K87</f>
        <v>100</v>
      </c>
      <c r="AC274" s="742">
        <f t="shared" si="371"/>
        <v>590.72754880692958</v>
      </c>
      <c r="AD274" s="742">
        <f t="shared" si="372"/>
        <v>0</v>
      </c>
      <c r="AE274" s="580">
        <f>'BUS Deemed Savings Table'!DM87</f>
        <v>590.72754880692958</v>
      </c>
      <c r="AF274" s="191"/>
      <c r="AG274" s="191"/>
      <c r="AH274" s="191"/>
      <c r="AI274" s="1307" t="str">
        <f>'BUS Deemed Savings Table'!L87</f>
        <v>per measure</v>
      </c>
      <c r="AJ274" s="68"/>
      <c r="AX274" s="1226" t="str">
        <f t="shared" si="396"/>
        <v>15 ≤ V &lt; 30 - Vertical Closed - Glass Door Freezer</v>
      </c>
      <c r="AY274" s="1249"/>
      <c r="AZ274" s="1312" t="str">
        <f t="shared" si="397"/>
        <v>801950</v>
      </c>
      <c r="BA274" s="1171" t="s">
        <v>2174</v>
      </c>
      <c r="BB274" s="1171" t="s">
        <v>2174</v>
      </c>
      <c r="BC274" s="1171" t="s">
        <v>2174</v>
      </c>
      <c r="BD274" s="1171" t="s">
        <v>2174</v>
      </c>
      <c r="BE274" s="1176"/>
      <c r="BF274" s="1171" t="s">
        <v>2174</v>
      </c>
      <c r="BG274" s="1171" t="s">
        <v>2174</v>
      </c>
      <c r="BH274" s="1171" t="s">
        <v>2174</v>
      </c>
      <c r="BI274" s="1172" t="s">
        <v>2174</v>
      </c>
      <c r="BJ274" s="1176"/>
      <c r="BK274" s="1171" t="s">
        <v>2174</v>
      </c>
      <c r="BL274" s="1172" t="s">
        <v>2174</v>
      </c>
      <c r="BM274" s="1171" t="s">
        <v>2174</v>
      </c>
      <c r="BN274" s="1172" t="s">
        <v>2174</v>
      </c>
    </row>
    <row r="275" spans="1:66" x14ac:dyDescent="0.25">
      <c r="A275" s="49" t="str">
        <f t="shared" si="366"/>
        <v>802000</v>
      </c>
      <c r="B275" s="1307" t="str">
        <f>'BUS Deemed Savings Table'!C88</f>
        <v>802000_2024_12_</v>
      </c>
      <c r="C275" s="1249" t="str">
        <f>'BUS Deemed Savings Table'!G88</f>
        <v>Refrigeration BUS</v>
      </c>
      <c r="D275" s="1249"/>
      <c r="E275" s="1249"/>
      <c r="F275" s="1249"/>
      <c r="G275" s="1249" t="str">
        <f>'BUS Deemed Savings Table'!E88</f>
        <v>30 ≤ V &lt; 50 - Vertical Closed - Glass Door Freezer</v>
      </c>
      <c r="H275" s="18" t="str">
        <f>'BUS Deemed Savings Table'!D88</f>
        <v>C&amp;I</v>
      </c>
      <c r="I275" s="737">
        <f>'BUS Deemed Savings Table'!F88</f>
        <v>1579.34</v>
      </c>
      <c r="J275" s="737"/>
      <c r="K275" s="185"/>
      <c r="L275" s="185"/>
      <c r="M275" s="185"/>
      <c r="N275" s="185"/>
      <c r="O275" s="738">
        <f>'BUS Deemed Savings Table'!I88</f>
        <v>0.21437700000000001</v>
      </c>
      <c r="P275" s="738"/>
      <c r="Q275" s="739"/>
      <c r="R275" s="739"/>
      <c r="S275" s="739"/>
      <c r="T275" s="739"/>
      <c r="U275" s="740">
        <f t="shared" si="393"/>
        <v>0</v>
      </c>
      <c r="V275" s="740">
        <f t="shared" si="394"/>
        <v>0.21437700000000001</v>
      </c>
      <c r="W275" s="740">
        <f t="shared" si="395"/>
        <v>0</v>
      </c>
      <c r="X275" s="22">
        <f>'BUS Deemed Savings Table'!J88</f>
        <v>12</v>
      </c>
      <c r="Y275" s="22"/>
      <c r="Z275" s="22">
        <f t="shared" si="370"/>
        <v>12</v>
      </c>
      <c r="AA275" s="17">
        <f>'BUS Deemed Savings Table'!DK88</f>
        <v>3.1900964146030537</v>
      </c>
      <c r="AB275" s="241">
        <f>'BUS Deemed Savings Table'!K88</f>
        <v>300</v>
      </c>
      <c r="AC275" s="742">
        <f t="shared" si="371"/>
        <v>957.02892438091612</v>
      </c>
      <c r="AD275" s="742">
        <f t="shared" si="372"/>
        <v>0</v>
      </c>
      <c r="AE275" s="580">
        <f>'BUS Deemed Savings Table'!DM88</f>
        <v>957.02892438091612</v>
      </c>
      <c r="AF275" s="191"/>
      <c r="AG275" s="191"/>
      <c r="AH275" s="191"/>
      <c r="AI275" s="1307" t="str">
        <f>'BUS Deemed Savings Table'!L88</f>
        <v>per measure</v>
      </c>
      <c r="AJ275" s="68"/>
      <c r="AX275" s="1226" t="str">
        <f t="shared" si="396"/>
        <v>30 ≤ V &lt; 50 - Vertical Closed - Glass Door Freezer</v>
      </c>
      <c r="AY275" s="1249"/>
      <c r="AZ275" s="1312" t="str">
        <f t="shared" si="397"/>
        <v>802000</v>
      </c>
      <c r="BA275" s="1171" t="s">
        <v>2174</v>
      </c>
      <c r="BB275" s="1171" t="s">
        <v>2174</v>
      </c>
      <c r="BC275" s="1171" t="s">
        <v>2174</v>
      </c>
      <c r="BD275" s="1171" t="s">
        <v>2174</v>
      </c>
      <c r="BE275" s="1176"/>
      <c r="BF275" s="1171" t="s">
        <v>2174</v>
      </c>
      <c r="BG275" s="1171" t="s">
        <v>2174</v>
      </c>
      <c r="BH275" s="1171" t="s">
        <v>2174</v>
      </c>
      <c r="BI275" s="1172" t="s">
        <v>2174</v>
      </c>
      <c r="BJ275" s="1176"/>
      <c r="BK275" s="1171" t="s">
        <v>2174</v>
      </c>
      <c r="BL275" s="1172" t="s">
        <v>2174</v>
      </c>
      <c r="BM275" s="1171" t="s">
        <v>2174</v>
      </c>
      <c r="BN275" s="1172" t="s">
        <v>2174</v>
      </c>
    </row>
    <row r="276" spans="1:66" x14ac:dyDescent="0.25">
      <c r="A276" s="49" t="str">
        <f t="shared" si="366"/>
        <v>802050</v>
      </c>
      <c r="B276" s="1307" t="str">
        <f>'BUS Deemed Savings Table'!C89</f>
        <v>802050_2024_12_</v>
      </c>
      <c r="C276" s="1249" t="str">
        <f>'BUS Deemed Savings Table'!G89</f>
        <v>Refrigeration BUS</v>
      </c>
      <c r="D276" s="1249"/>
      <c r="E276" s="1249"/>
      <c r="F276" s="1249"/>
      <c r="G276" s="1249" t="str">
        <f>'BUS Deemed Savings Table'!E89</f>
        <v>V ≥ 50 - Vertical Closed - Glass Door Freezer</v>
      </c>
      <c r="H276" s="18" t="str">
        <f>'BUS Deemed Savings Table'!D89</f>
        <v>C&amp;I</v>
      </c>
      <c r="I276" s="737">
        <f>'BUS Deemed Savings Table'!F89</f>
        <v>3149.19</v>
      </c>
      <c r="J276" s="737"/>
      <c r="K276" s="185"/>
      <c r="L276" s="185"/>
      <c r="M276" s="185"/>
      <c r="N276" s="185"/>
      <c r="O276" s="738">
        <f>'BUS Deemed Savings Table'!I89</f>
        <v>0.42746600000000001</v>
      </c>
      <c r="P276" s="738"/>
      <c r="Q276" s="739"/>
      <c r="R276" s="739"/>
      <c r="S276" s="739"/>
      <c r="T276" s="739"/>
      <c r="U276" s="740">
        <f t="shared" si="393"/>
        <v>0</v>
      </c>
      <c r="V276" s="740">
        <f t="shared" si="394"/>
        <v>0.42746600000000001</v>
      </c>
      <c r="W276" s="740">
        <f t="shared" si="395"/>
        <v>0</v>
      </c>
      <c r="X276" s="22">
        <f>'BUS Deemed Savings Table'!J89</f>
        <v>12</v>
      </c>
      <c r="Y276" s="22"/>
      <c r="Z276" s="22">
        <f t="shared" si="370"/>
        <v>12</v>
      </c>
      <c r="AA276" s="17">
        <f>'BUS Deemed Savings Table'!DK89</f>
        <v>3.8166144318147293</v>
      </c>
      <c r="AB276" s="241">
        <f>'BUS Deemed Savings Table'!K89</f>
        <v>500</v>
      </c>
      <c r="AC276" s="742">
        <f t="shared" si="371"/>
        <v>1908.3072159073647</v>
      </c>
      <c r="AD276" s="742">
        <f t="shared" si="372"/>
        <v>0</v>
      </c>
      <c r="AE276" s="580">
        <f>'BUS Deemed Savings Table'!DM89</f>
        <v>1908.3072159073647</v>
      </c>
      <c r="AF276" s="191"/>
      <c r="AG276" s="191"/>
      <c r="AH276" s="191"/>
      <c r="AI276" s="1307" t="str">
        <f>'BUS Deemed Savings Table'!L89</f>
        <v>per measure</v>
      </c>
      <c r="AJ276" s="68"/>
      <c r="AX276" s="1226" t="str">
        <f t="shared" si="396"/>
        <v>V ≥ 50 - Vertical Closed - Glass Door Freezer</v>
      </c>
      <c r="AY276" s="1249"/>
      <c r="AZ276" s="1312" t="str">
        <f t="shared" si="397"/>
        <v>802050</v>
      </c>
      <c r="BA276" s="1171" t="s">
        <v>2174</v>
      </c>
      <c r="BB276" s="1171" t="s">
        <v>2174</v>
      </c>
      <c r="BC276" s="1171" t="s">
        <v>2174</v>
      </c>
      <c r="BD276" s="1171" t="s">
        <v>2174</v>
      </c>
      <c r="BE276" s="1176"/>
      <c r="BF276" s="1171" t="s">
        <v>2174</v>
      </c>
      <c r="BG276" s="1171" t="s">
        <v>2174</v>
      </c>
      <c r="BH276" s="1171" t="s">
        <v>2174</v>
      </c>
      <c r="BI276" s="1172" t="s">
        <v>2174</v>
      </c>
      <c r="BJ276" s="1176"/>
      <c r="BK276" s="1171" t="s">
        <v>2174</v>
      </c>
      <c r="BL276" s="1172" t="s">
        <v>2174</v>
      </c>
      <c r="BM276" s="1171" t="s">
        <v>2174</v>
      </c>
      <c r="BN276" s="1172" t="s">
        <v>2174</v>
      </c>
    </row>
    <row r="277" spans="1:66" x14ac:dyDescent="0.25">
      <c r="A277" s="49" t="str">
        <f t="shared" ref="A277" si="398">LEFT(B277,6)</f>
        <v>801650</v>
      </c>
      <c r="B277" s="1307" t="str">
        <f>'BUS Deemed Savings Table'!C90</f>
        <v>801650_2024_12_</v>
      </c>
      <c r="C277" s="1249" t="str">
        <f>'BUS Deemed Savings Table'!G90</f>
        <v>Refrigeration BUS</v>
      </c>
      <c r="D277" s="1249"/>
      <c r="E277" s="1249"/>
      <c r="F277" s="1249"/>
      <c r="G277" s="1249" t="str">
        <f>'BUS Deemed Savings Table'!E90</f>
        <v>Horizontal Closed - Solid Door Refrigerator  - All Volumes</v>
      </c>
      <c r="H277" s="18" t="str">
        <f>'BUS Deemed Savings Table'!D90</f>
        <v>C&amp;I</v>
      </c>
      <c r="I277" s="737">
        <f>'BUS Deemed Savings Table'!F90</f>
        <v>290.01</v>
      </c>
      <c r="J277" s="737"/>
      <c r="K277" s="185"/>
      <c r="L277" s="185"/>
      <c r="M277" s="185"/>
      <c r="N277" s="185"/>
      <c r="O277" s="738">
        <f>'BUS Deemed Savings Table'!I90</f>
        <v>3.9364999999999997E-2</v>
      </c>
      <c r="P277" s="738"/>
      <c r="Q277" s="739"/>
      <c r="R277" s="739"/>
      <c r="S277" s="739"/>
      <c r="T277" s="739"/>
      <c r="U277" s="740">
        <f t="shared" si="393"/>
        <v>0</v>
      </c>
      <c r="V277" s="740">
        <f t="shared" si="394"/>
        <v>3.9364999999999997E-2</v>
      </c>
      <c r="W277" s="740">
        <f t="shared" si="395"/>
        <v>0</v>
      </c>
      <c r="X277" s="22">
        <f>'BUS Deemed Savings Table'!J90</f>
        <v>12</v>
      </c>
      <c r="Y277" s="22"/>
      <c r="Z277" s="22">
        <f t="shared" ref="Z277" si="399">Y277+X277</f>
        <v>12</v>
      </c>
      <c r="AA277" s="17" t="str">
        <f>'BUS Deemed Savings Table'!DK90</f>
        <v>n/a</v>
      </c>
      <c r="AB277" s="241">
        <f>'BUS Deemed Savings Table'!K90</f>
        <v>0</v>
      </c>
      <c r="AC277" s="742">
        <f t="shared" ref="AC277" si="400">AE277+AF277</f>
        <v>175.73667377493732</v>
      </c>
      <c r="AD277" s="742">
        <f t="shared" ref="AD277" si="401">AG277+AH277</f>
        <v>0</v>
      </c>
      <c r="AE277" s="580">
        <f>'BUS Deemed Savings Table'!DM90</f>
        <v>175.73667377493732</v>
      </c>
      <c r="AF277" s="191"/>
      <c r="AG277" s="191"/>
      <c r="AH277" s="191"/>
      <c r="AI277" s="1307" t="str">
        <f>'BUS Deemed Savings Table'!L90</f>
        <v>per measure</v>
      </c>
      <c r="AJ277" s="68"/>
      <c r="AX277" s="1226" t="str">
        <f t="shared" ref="AX277" si="402">G277</f>
        <v>Horizontal Closed - Solid Door Refrigerator  - All Volumes</v>
      </c>
      <c r="AY277" s="1249"/>
      <c r="AZ277" s="1312" t="str">
        <f t="shared" ref="AZ277" si="403">A277</f>
        <v>801650</v>
      </c>
      <c r="BA277" s="1171" t="s">
        <v>2174</v>
      </c>
      <c r="BB277" s="1171" t="s">
        <v>2174</v>
      </c>
      <c r="BC277" s="1171" t="s">
        <v>2174</v>
      </c>
      <c r="BD277" s="1171" t="s">
        <v>2174</v>
      </c>
      <c r="BE277" s="1176"/>
      <c r="BF277" s="1171" t="s">
        <v>2174</v>
      </c>
      <c r="BG277" s="1171" t="s">
        <v>2174</v>
      </c>
      <c r="BH277" s="1171" t="s">
        <v>2174</v>
      </c>
      <c r="BI277" s="1172" t="s">
        <v>2174</v>
      </c>
      <c r="BJ277" s="1176"/>
      <c r="BK277" s="1171" t="s">
        <v>2174</v>
      </c>
      <c r="BL277" s="1172" t="s">
        <v>2174</v>
      </c>
      <c r="BM277" s="1171" t="s">
        <v>2174</v>
      </c>
      <c r="BN277" s="1172" t="s">
        <v>2174</v>
      </c>
    </row>
    <row r="278" spans="1:66" x14ac:dyDescent="0.25">
      <c r="A278" s="49" t="str">
        <f t="shared" si="366"/>
        <v>801655</v>
      </c>
      <c r="B278" s="1307" t="str">
        <f>'BUS Deemed Savings Table'!C91</f>
        <v>801655_2024_12_</v>
      </c>
      <c r="C278" s="1249" t="str">
        <f>'BUS Deemed Savings Table'!G91</f>
        <v>Refrigeration BUS</v>
      </c>
      <c r="D278" s="1249"/>
      <c r="E278" s="1249"/>
      <c r="F278" s="1249"/>
      <c r="G278" s="1249" t="str">
        <f>'BUS Deemed Savings Table'!E91</f>
        <v>Horizontal Closed - Glass Door Refrigerator  - All Volumes</v>
      </c>
      <c r="H278" s="18" t="str">
        <f>'BUS Deemed Savings Table'!D91</f>
        <v>C&amp;I</v>
      </c>
      <c r="I278" s="737">
        <f>'BUS Deemed Savings Table'!F91</f>
        <v>172.4</v>
      </c>
      <c r="J278" s="737"/>
      <c r="K278" s="185"/>
      <c r="L278" s="185"/>
      <c r="M278" s="185"/>
      <c r="N278" s="185"/>
      <c r="O278" s="738">
        <f>'BUS Deemed Savings Table'!I91</f>
        <v>2.3401000000000002E-2</v>
      </c>
      <c r="P278" s="738"/>
      <c r="Q278" s="739"/>
      <c r="R278" s="739"/>
      <c r="S278" s="739"/>
      <c r="T278" s="739"/>
      <c r="U278" s="740">
        <f t="shared" si="393"/>
        <v>0</v>
      </c>
      <c r="V278" s="740">
        <f t="shared" si="394"/>
        <v>2.3401000000000002E-2</v>
      </c>
      <c r="W278" s="740">
        <f t="shared" si="395"/>
        <v>0</v>
      </c>
      <c r="X278" s="22">
        <f>'BUS Deemed Savings Table'!J91</f>
        <v>12</v>
      </c>
      <c r="Y278" s="22"/>
      <c r="Z278" s="22">
        <f t="shared" si="370"/>
        <v>12</v>
      </c>
      <c r="AA278" s="17" t="str">
        <f>'BUS Deemed Savings Table'!DK91</f>
        <v>n/a</v>
      </c>
      <c r="AB278" s="241">
        <f>'BUS Deemed Savings Table'!K91</f>
        <v>0</v>
      </c>
      <c r="AC278" s="742">
        <f t="shared" si="371"/>
        <v>104.46882024343709</v>
      </c>
      <c r="AD278" s="742">
        <f t="shared" si="372"/>
        <v>0</v>
      </c>
      <c r="AE278" s="580">
        <f>'BUS Deemed Savings Table'!DM91</f>
        <v>104.46882024343709</v>
      </c>
      <c r="AF278" s="191"/>
      <c r="AG278" s="191"/>
      <c r="AH278" s="191"/>
      <c r="AI278" s="1307" t="str">
        <f>'BUS Deemed Savings Table'!L91</f>
        <v>per measure</v>
      </c>
      <c r="AJ278" s="68"/>
      <c r="AX278" s="1226" t="str">
        <f t="shared" si="396"/>
        <v>Horizontal Closed - Glass Door Refrigerator  - All Volumes</v>
      </c>
      <c r="AY278" s="1249"/>
      <c r="AZ278" s="1312" t="str">
        <f t="shared" si="397"/>
        <v>801655</v>
      </c>
      <c r="BA278" s="1171" t="s">
        <v>2174</v>
      </c>
      <c r="BB278" s="1171" t="s">
        <v>2174</v>
      </c>
      <c r="BC278" s="1171" t="s">
        <v>2174</v>
      </c>
      <c r="BD278" s="1171" t="s">
        <v>2174</v>
      </c>
      <c r="BE278" s="1176"/>
      <c r="BF278" s="1171" t="s">
        <v>2174</v>
      </c>
      <c r="BG278" s="1171" t="s">
        <v>2174</v>
      </c>
      <c r="BH278" s="1171" t="s">
        <v>2174</v>
      </c>
      <c r="BI278" s="1172" t="s">
        <v>2174</v>
      </c>
      <c r="BJ278" s="1176"/>
      <c r="BK278" s="1171" t="s">
        <v>2174</v>
      </c>
      <c r="BL278" s="1172" t="s">
        <v>2174</v>
      </c>
      <c r="BM278" s="1171" t="s">
        <v>2174</v>
      </c>
      <c r="BN278" s="1172" t="s">
        <v>2174</v>
      </c>
    </row>
    <row r="279" spans="1:66" x14ac:dyDescent="0.25">
      <c r="A279" s="49" t="str">
        <f t="shared" ref="A279" si="404">LEFT(B279,6)</f>
        <v>802100</v>
      </c>
      <c r="B279" s="1307" t="str">
        <f>'BUS Deemed Savings Table'!C92</f>
        <v>802100_2024_12_</v>
      </c>
      <c r="C279" s="1249" t="str">
        <f>'BUS Deemed Savings Table'!G92</f>
        <v>Refrigeration BUS</v>
      </c>
      <c r="D279" s="1249"/>
      <c r="E279" s="1249"/>
      <c r="F279" s="1249"/>
      <c r="G279" s="1249" t="str">
        <f>'BUS Deemed Savings Table'!E92</f>
        <v>Horizontal Closed - Solid Door Freezer  - All Volumes</v>
      </c>
      <c r="H279" s="18" t="str">
        <f>'BUS Deemed Savings Table'!D92</f>
        <v>C&amp;I</v>
      </c>
      <c r="I279" s="737">
        <f>'BUS Deemed Savings Table'!F92</f>
        <v>228.65</v>
      </c>
      <c r="J279" s="737"/>
      <c r="K279" s="185"/>
      <c r="L279" s="185"/>
      <c r="M279" s="185"/>
      <c r="N279" s="185"/>
      <c r="O279" s="738">
        <f>'BUS Deemed Savings Table'!I92</f>
        <v>3.1036999999999999E-2</v>
      </c>
      <c r="P279" s="738"/>
      <c r="Q279" s="739"/>
      <c r="R279" s="739"/>
      <c r="S279" s="739"/>
      <c r="T279" s="739"/>
      <c r="U279" s="740">
        <f t="shared" si="393"/>
        <v>0</v>
      </c>
      <c r="V279" s="740">
        <f t="shared" si="394"/>
        <v>3.1036999999999999E-2</v>
      </c>
      <c r="W279" s="740">
        <f t="shared" si="395"/>
        <v>0</v>
      </c>
      <c r="X279" s="22">
        <f>'BUS Deemed Savings Table'!J92</f>
        <v>12</v>
      </c>
      <c r="Y279" s="22"/>
      <c r="Z279" s="22">
        <f t="shared" ref="Z279" si="405">Y279+X279</f>
        <v>12</v>
      </c>
      <c r="AA279" s="17" t="str">
        <f>'BUS Deemed Savings Table'!DK92</f>
        <v>n/a</v>
      </c>
      <c r="AB279" s="241">
        <f>'BUS Deemed Savings Table'!K92</f>
        <v>0</v>
      </c>
      <c r="AC279" s="742">
        <f t="shared" ref="AC279" si="406">AE279+AF279</f>
        <v>138.55449970221517</v>
      </c>
      <c r="AD279" s="742">
        <f t="shared" ref="AD279" si="407">AG279+AH279</f>
        <v>0</v>
      </c>
      <c r="AE279" s="580">
        <f>'BUS Deemed Savings Table'!DM92</f>
        <v>138.55449970221517</v>
      </c>
      <c r="AF279" s="191"/>
      <c r="AG279" s="191"/>
      <c r="AH279" s="191"/>
      <c r="AI279" s="1307" t="str">
        <f>'BUS Deemed Savings Table'!L92</f>
        <v>per measure</v>
      </c>
      <c r="AJ279" s="68"/>
      <c r="AX279" s="1226" t="str">
        <f t="shared" ref="AX279" si="408">G279</f>
        <v>Horizontal Closed - Solid Door Freezer  - All Volumes</v>
      </c>
      <c r="AY279" s="1249"/>
      <c r="AZ279" s="1312" t="str">
        <f t="shared" ref="AZ279" si="409">A279</f>
        <v>802100</v>
      </c>
      <c r="BA279" s="1171" t="s">
        <v>2174</v>
      </c>
      <c r="BB279" s="1171" t="s">
        <v>2174</v>
      </c>
      <c r="BC279" s="1171" t="s">
        <v>2174</v>
      </c>
      <c r="BD279" s="1171" t="s">
        <v>2174</v>
      </c>
      <c r="BE279" s="1176"/>
      <c r="BF279" s="1171" t="s">
        <v>2174</v>
      </c>
      <c r="BG279" s="1171" t="s">
        <v>2174</v>
      </c>
      <c r="BH279" s="1171" t="s">
        <v>2174</v>
      </c>
      <c r="BI279" s="1172" t="s">
        <v>2174</v>
      </c>
      <c r="BJ279" s="1176"/>
      <c r="BK279" s="1171" t="s">
        <v>2174</v>
      </c>
      <c r="BL279" s="1172" t="s">
        <v>2174</v>
      </c>
      <c r="BM279" s="1171" t="s">
        <v>2174</v>
      </c>
      <c r="BN279" s="1172" t="s">
        <v>2174</v>
      </c>
    </row>
    <row r="280" spans="1:66" x14ac:dyDescent="0.25">
      <c r="A280" s="49" t="str">
        <f t="shared" ref="A280:A333" si="410">LEFT(B280,6)</f>
        <v>802150</v>
      </c>
      <c r="B280" s="1307" t="str">
        <f>'BUS Deemed Savings Table'!C120</f>
        <v>802150_2024_12_</v>
      </c>
      <c r="C280" s="1249" t="str">
        <f>'BUS Deemed Savings Table'!G120</f>
        <v>Refrigeration BUS</v>
      </c>
      <c r="D280" s="1249"/>
      <c r="E280" s="1249"/>
      <c r="F280" s="1249"/>
      <c r="G280" s="1249" t="str">
        <f>'BUS Deemed Savings Table'!E120</f>
        <v>Anti-Sweat Heater Controls Refrigerator</v>
      </c>
      <c r="H280" s="18" t="str">
        <f>'BUS Deemed Savings Table'!D120</f>
        <v>C&amp;I</v>
      </c>
      <c r="I280" s="737">
        <f>'BUS Deemed Savings Table'!F120</f>
        <v>668.14</v>
      </c>
      <c r="J280" s="737"/>
      <c r="K280" s="185"/>
      <c r="L280" s="185"/>
      <c r="M280" s="185"/>
      <c r="N280" s="185"/>
      <c r="O280" s="738">
        <f>'BUS Deemed Savings Table'!I120</f>
        <v>9.0691999999999995E-2</v>
      </c>
      <c r="P280" s="738"/>
      <c r="Q280" s="739"/>
      <c r="R280" s="739"/>
      <c r="S280" s="739"/>
      <c r="T280" s="739"/>
      <c r="U280" s="740">
        <f t="shared" si="393"/>
        <v>0</v>
      </c>
      <c r="V280" s="740">
        <f t="shared" si="394"/>
        <v>9.0691999999999995E-2</v>
      </c>
      <c r="W280" s="740">
        <f t="shared" si="395"/>
        <v>0</v>
      </c>
      <c r="X280" s="22">
        <f>'BUS Deemed Savings Table'!J120</f>
        <v>12</v>
      </c>
      <c r="Y280" s="22"/>
      <c r="Z280" s="22">
        <f t="shared" ref="Z280:Z333" si="411">Y280+X280</f>
        <v>12</v>
      </c>
      <c r="AA280" s="17">
        <f>'BUS Deemed Savings Table'!DK120</f>
        <v>2.6991414368696853</v>
      </c>
      <c r="AB280" s="241">
        <f>'BUS Deemed Savings Table'!K120</f>
        <v>150</v>
      </c>
      <c r="AC280" s="742">
        <f t="shared" ref="AC280:AC333" si="412">AE280+AF280</f>
        <v>404.87121553045279</v>
      </c>
      <c r="AD280" s="742">
        <f t="shared" ref="AD280:AD333" si="413">AG280+AH280</f>
        <v>0</v>
      </c>
      <c r="AE280" s="580">
        <f>'BUS Deemed Savings Table'!DM120</f>
        <v>404.87121553045279</v>
      </c>
      <c r="AF280" s="191"/>
      <c r="AG280" s="191"/>
      <c r="AH280" s="191"/>
      <c r="AI280" s="1307" t="str">
        <f>'BUS Deemed Savings Table'!L120</f>
        <v>per door</v>
      </c>
      <c r="AJ280" s="68"/>
      <c r="AX280" s="1226" t="str">
        <f t="shared" si="396"/>
        <v>Anti-Sweat Heater Controls Refrigerator</v>
      </c>
      <c r="AY280" s="1249"/>
      <c r="AZ280" s="1312" t="str">
        <f t="shared" si="397"/>
        <v>802150</v>
      </c>
      <c r="BA280" s="1171" t="s">
        <v>2174</v>
      </c>
      <c r="BB280" s="1171" t="s">
        <v>2174</v>
      </c>
      <c r="BC280" s="1171" t="s">
        <v>2174</v>
      </c>
      <c r="BD280" s="1171" t="s">
        <v>2174</v>
      </c>
      <c r="BE280" s="1176"/>
      <c r="BF280" s="1171" t="s">
        <v>2174</v>
      </c>
      <c r="BG280" s="1171" t="s">
        <v>2174</v>
      </c>
      <c r="BH280" s="1171" t="s">
        <v>2174</v>
      </c>
      <c r="BI280" s="1172" t="s">
        <v>2174</v>
      </c>
      <c r="BJ280" s="1176"/>
      <c r="BK280" s="1171" t="s">
        <v>2174</v>
      </c>
      <c r="BL280" s="1172" t="s">
        <v>2174</v>
      </c>
      <c r="BM280" s="1171" t="s">
        <v>2174</v>
      </c>
      <c r="BN280" s="1172" t="s">
        <v>2174</v>
      </c>
    </row>
    <row r="281" spans="1:66" x14ac:dyDescent="0.25">
      <c r="A281" s="49" t="str">
        <f t="shared" si="410"/>
        <v>802200</v>
      </c>
      <c r="B281" s="1307" t="str">
        <f>'BUS Deemed Savings Table'!C121</f>
        <v>802200_2024_12_</v>
      </c>
      <c r="C281" s="1249" t="str">
        <f>'BUS Deemed Savings Table'!G121</f>
        <v>Refrigeration BUS</v>
      </c>
      <c r="D281" s="1249"/>
      <c r="E281" s="1249"/>
      <c r="F281" s="1249"/>
      <c r="G281" s="1249" t="str">
        <f>'BUS Deemed Savings Table'!E121</f>
        <v>Anti-Sweat Heater Controls Freezer</v>
      </c>
      <c r="H281" s="18" t="str">
        <f>'BUS Deemed Savings Table'!D121</f>
        <v>C&amp;I</v>
      </c>
      <c r="I281" s="737">
        <f>'BUS Deemed Savings Table'!F121</f>
        <v>770.93</v>
      </c>
      <c r="J281" s="737"/>
      <c r="K281" s="185"/>
      <c r="L281" s="185"/>
      <c r="M281" s="185"/>
      <c r="N281" s="185"/>
      <c r="O281" s="738">
        <f>'BUS Deemed Savings Table'!I121</f>
        <v>0.104645</v>
      </c>
      <c r="P281" s="738"/>
      <c r="Q281" s="739"/>
      <c r="R281" s="739"/>
      <c r="S281" s="739"/>
      <c r="T281" s="739"/>
      <c r="U281" s="740">
        <f t="shared" si="393"/>
        <v>0</v>
      </c>
      <c r="V281" s="740">
        <f t="shared" si="394"/>
        <v>0.104645</v>
      </c>
      <c r="W281" s="740">
        <f t="shared" si="395"/>
        <v>0</v>
      </c>
      <c r="X281" s="22">
        <f>'BUS Deemed Savings Table'!J121</f>
        <v>12</v>
      </c>
      <c r="Y281" s="22"/>
      <c r="Z281" s="22">
        <f t="shared" si="411"/>
        <v>12</v>
      </c>
      <c r="AA281" s="17">
        <f>'BUS Deemed Savings Table'!DK121</f>
        <v>3.114390858092535</v>
      </c>
      <c r="AB281" s="241">
        <f>'BUS Deemed Savings Table'!K121</f>
        <v>150</v>
      </c>
      <c r="AC281" s="742">
        <f t="shared" si="412"/>
        <v>467.15862871388026</v>
      </c>
      <c r="AD281" s="742">
        <f t="shared" si="413"/>
        <v>0</v>
      </c>
      <c r="AE281" s="580">
        <f>'BUS Deemed Savings Table'!DM121</f>
        <v>467.15862871388026</v>
      </c>
      <c r="AF281" s="191"/>
      <c r="AG281" s="191"/>
      <c r="AH281" s="191"/>
      <c r="AI281" s="1307" t="str">
        <f>'BUS Deemed Savings Table'!L121</f>
        <v>per door</v>
      </c>
      <c r="AJ281" s="68"/>
      <c r="AX281" s="1226" t="str">
        <f t="shared" si="396"/>
        <v>Anti-Sweat Heater Controls Freezer</v>
      </c>
      <c r="AY281" s="1249"/>
      <c r="AZ281" s="1312" t="str">
        <f t="shared" si="397"/>
        <v>802200</v>
      </c>
      <c r="BA281" s="1171" t="s">
        <v>2174</v>
      </c>
      <c r="BB281" s="1171" t="s">
        <v>2174</v>
      </c>
      <c r="BC281" s="1171" t="s">
        <v>2174</v>
      </c>
      <c r="BD281" s="1171" t="s">
        <v>2174</v>
      </c>
      <c r="BE281" s="1176"/>
      <c r="BF281" s="1171" t="s">
        <v>2174</v>
      </c>
      <c r="BG281" s="1171" t="s">
        <v>2174</v>
      </c>
      <c r="BH281" s="1171" t="s">
        <v>2174</v>
      </c>
      <c r="BI281" s="1172" t="s">
        <v>2174</v>
      </c>
      <c r="BJ281" s="1176"/>
      <c r="BK281" s="1171" t="s">
        <v>2174</v>
      </c>
      <c r="BL281" s="1172" t="s">
        <v>2174</v>
      </c>
      <c r="BM281" s="1171" t="s">
        <v>2174</v>
      </c>
      <c r="BN281" s="1172" t="s">
        <v>2174</v>
      </c>
    </row>
    <row r="282" spans="1:66" x14ac:dyDescent="0.25">
      <c r="A282" s="49" t="str">
        <f t="shared" si="410"/>
        <v>802250</v>
      </c>
      <c r="B282" s="1307" t="str">
        <f>'BUS Deemed Savings Table'!C139</f>
        <v>802250_2024_12_</v>
      </c>
      <c r="C282" s="1249" t="str">
        <f>'BUS Deemed Savings Table'!G139</f>
        <v>Water Heating BUS</v>
      </c>
      <c r="D282" s="1249"/>
      <c r="E282" s="1249"/>
      <c r="F282" s="1249"/>
      <c r="G282" s="1249" t="str">
        <f>'BUS Deemed Savings Table'!E139</f>
        <v>Heat Pump Water Heater replacing 98% Efficiency 2.9-14.6 kW (10 to 50 MBH)</v>
      </c>
      <c r="H282" s="18" t="str">
        <f>'BUS Deemed Savings Table'!D139</f>
        <v>C&amp;I</v>
      </c>
      <c r="I282" s="737">
        <f>'BUS Deemed Savings Table'!F139</f>
        <v>18785.38</v>
      </c>
      <c r="J282" s="737"/>
      <c r="K282" s="185"/>
      <c r="L282" s="185"/>
      <c r="M282" s="185"/>
      <c r="N282" s="185"/>
      <c r="O282" s="738">
        <f>'BUS Deemed Savings Table'!I139</f>
        <v>3.4030559999999999</v>
      </c>
      <c r="P282" s="738"/>
      <c r="Q282" s="739"/>
      <c r="R282" s="739"/>
      <c r="S282" s="739"/>
      <c r="T282" s="739"/>
      <c r="U282" s="740">
        <f t="shared" si="393"/>
        <v>0</v>
      </c>
      <c r="V282" s="740">
        <f t="shared" si="394"/>
        <v>0</v>
      </c>
      <c r="W282" s="740">
        <f t="shared" si="395"/>
        <v>3.4030559999999999</v>
      </c>
      <c r="X282" s="22">
        <f>'BUS Deemed Savings Table'!J139</f>
        <v>15</v>
      </c>
      <c r="Y282" s="22"/>
      <c r="Z282" s="22">
        <f t="shared" si="411"/>
        <v>15</v>
      </c>
      <c r="AA282" s="17">
        <f>'BUS Deemed Savings Table'!DK139</f>
        <v>3.9210604174884565</v>
      </c>
      <c r="AB282" s="241">
        <f>'BUS Deemed Savings Table'!K139</f>
        <v>4000</v>
      </c>
      <c r="AC282" s="742">
        <f t="shared" si="412"/>
        <v>15684.241669953826</v>
      </c>
      <c r="AD282" s="742">
        <f t="shared" si="413"/>
        <v>0</v>
      </c>
      <c r="AE282" s="580">
        <f>'BUS Deemed Savings Table'!DM139</f>
        <v>15684.241669953826</v>
      </c>
      <c r="AF282" s="191"/>
      <c r="AG282" s="191"/>
      <c r="AH282" s="191"/>
      <c r="AI282" s="1307" t="str">
        <f>'BUS Deemed Savings Table'!L139</f>
        <v>per measure</v>
      </c>
      <c r="AJ282" s="68"/>
      <c r="AX282" s="1226" t="str">
        <f t="shared" si="396"/>
        <v>Heat Pump Water Heater replacing 98% Efficiency 2.9-14.6 kW (10 to 50 MBH)</v>
      </c>
      <c r="AY282" s="1249"/>
      <c r="AZ282" s="1312" t="str">
        <f t="shared" si="397"/>
        <v>802250</v>
      </c>
      <c r="BA282" s="1171" t="s">
        <v>2174</v>
      </c>
      <c r="BB282" s="1171" t="s">
        <v>2174</v>
      </c>
      <c r="BC282" s="1171" t="s">
        <v>2174</v>
      </c>
      <c r="BD282" s="1171" t="s">
        <v>2174</v>
      </c>
      <c r="BE282" s="1176"/>
      <c r="BF282" s="1171" t="s">
        <v>2174</v>
      </c>
      <c r="BG282" s="1171" t="s">
        <v>2174</v>
      </c>
      <c r="BH282" s="1171" t="s">
        <v>2174</v>
      </c>
      <c r="BI282" s="1172" t="s">
        <v>2174</v>
      </c>
      <c r="BJ282" s="1176"/>
      <c r="BK282" s="1171" t="s">
        <v>2174</v>
      </c>
      <c r="BL282" s="1172" t="s">
        <v>2174</v>
      </c>
      <c r="BM282" s="1171" t="s">
        <v>2174</v>
      </c>
      <c r="BN282" s="1172" t="s">
        <v>2174</v>
      </c>
    </row>
    <row r="283" spans="1:66" x14ac:dyDescent="0.25">
      <c r="A283" s="49" t="str">
        <f t="shared" si="410"/>
        <v>802300</v>
      </c>
      <c r="B283" s="1307" t="str">
        <f>'BUS Deemed Savings Table'!C140</f>
        <v>802300_2024_12_</v>
      </c>
      <c r="C283" s="1249" t="str">
        <f>'BUS Deemed Savings Table'!G140</f>
        <v>Water Heating BUS</v>
      </c>
      <c r="D283" s="1249"/>
      <c r="E283" s="1249"/>
      <c r="F283" s="1249"/>
      <c r="G283" s="1249" t="str">
        <f>'BUS Deemed Savings Table'!E140</f>
        <v>Heat Pump Water Heater replacing 98% Efficiency 14.7-29.3 kW (50 to 100 MBH)</v>
      </c>
      <c r="H283" s="18" t="str">
        <f>'BUS Deemed Savings Table'!D140</f>
        <v>C&amp;I</v>
      </c>
      <c r="I283" s="737">
        <f>'BUS Deemed Savings Table'!F140</f>
        <v>48912.79</v>
      </c>
      <c r="J283" s="737"/>
      <c r="K283" s="185"/>
      <c r="L283" s="185"/>
      <c r="M283" s="185"/>
      <c r="N283" s="185"/>
      <c r="O283" s="738">
        <f>'BUS Deemed Savings Table'!I140</f>
        <v>8.8607720000000008</v>
      </c>
      <c r="P283" s="738"/>
      <c r="Q283" s="739"/>
      <c r="R283" s="739"/>
      <c r="S283" s="739"/>
      <c r="T283" s="739"/>
      <c r="U283" s="740">
        <f t="shared" si="393"/>
        <v>0</v>
      </c>
      <c r="V283" s="740">
        <f t="shared" si="394"/>
        <v>0</v>
      </c>
      <c r="W283" s="740">
        <f t="shared" si="395"/>
        <v>8.8607720000000008</v>
      </c>
      <c r="X283" s="22">
        <f>'BUS Deemed Savings Table'!J140</f>
        <v>15</v>
      </c>
      <c r="Y283" s="22"/>
      <c r="Z283" s="22">
        <f t="shared" si="411"/>
        <v>15</v>
      </c>
      <c r="AA283" s="17">
        <f>'BUS Deemed Savings Table'!DK140</f>
        <v>5.8340203096519048</v>
      </c>
      <c r="AB283" s="241">
        <f>'BUS Deemed Savings Table'!K140</f>
        <v>7000</v>
      </c>
      <c r="AC283" s="742">
        <f t="shared" si="412"/>
        <v>40838.142167563332</v>
      </c>
      <c r="AD283" s="742">
        <f t="shared" si="413"/>
        <v>0</v>
      </c>
      <c r="AE283" s="580">
        <f>'BUS Deemed Savings Table'!DM140</f>
        <v>40838.142167563332</v>
      </c>
      <c r="AF283" s="191"/>
      <c r="AG283" s="191"/>
      <c r="AH283" s="191"/>
      <c r="AI283" s="1307" t="str">
        <f>'BUS Deemed Savings Table'!L140</f>
        <v>per measure</v>
      </c>
      <c r="AJ283" s="68"/>
      <c r="AX283" s="1226" t="str">
        <f t="shared" si="396"/>
        <v>Heat Pump Water Heater replacing 98% Efficiency 14.7-29.3 kW (50 to 100 MBH)</v>
      </c>
      <c r="AY283" s="1249"/>
      <c r="AZ283" s="1312" t="str">
        <f t="shared" si="397"/>
        <v>802300</v>
      </c>
      <c r="BA283" s="1171" t="s">
        <v>2174</v>
      </c>
      <c r="BB283" s="1171" t="s">
        <v>2174</v>
      </c>
      <c r="BC283" s="1171" t="s">
        <v>2174</v>
      </c>
      <c r="BD283" s="1171" t="s">
        <v>2174</v>
      </c>
      <c r="BE283" s="1176"/>
      <c r="BF283" s="1171" t="s">
        <v>2174</v>
      </c>
      <c r="BG283" s="1171" t="s">
        <v>2174</v>
      </c>
      <c r="BH283" s="1171" t="s">
        <v>2174</v>
      </c>
      <c r="BI283" s="1172" t="s">
        <v>2174</v>
      </c>
      <c r="BJ283" s="1176"/>
      <c r="BK283" s="1171" t="s">
        <v>2174</v>
      </c>
      <c r="BL283" s="1172" t="s">
        <v>2174</v>
      </c>
      <c r="BM283" s="1171" t="s">
        <v>2174</v>
      </c>
      <c r="BN283" s="1172" t="s">
        <v>2174</v>
      </c>
    </row>
    <row r="284" spans="1:66" x14ac:dyDescent="0.25">
      <c r="A284" s="49" t="str">
        <f t="shared" si="410"/>
        <v>802350</v>
      </c>
      <c r="B284" s="1307" t="str">
        <f>'BUS Deemed Savings Table'!C141</f>
        <v>802350_2024_12_</v>
      </c>
      <c r="C284" s="1249" t="str">
        <f>'BUS Deemed Savings Table'!G141</f>
        <v>Water Heating BUS</v>
      </c>
      <c r="D284" s="1249"/>
      <c r="E284" s="1249"/>
      <c r="F284" s="1249"/>
      <c r="G284" s="1249" t="str">
        <f>'BUS Deemed Savings Table'!E141</f>
        <v>Heat Pump Water Heater replacing 98% Efficiency 29.4-87.9 kW (100 to 300 MBH)</v>
      </c>
      <c r="H284" s="18" t="str">
        <f>'BUS Deemed Savings Table'!D141</f>
        <v>C&amp;I</v>
      </c>
      <c r="I284" s="737">
        <f>'BUS Deemed Savings Table'!F141</f>
        <v>129087.64</v>
      </c>
      <c r="J284" s="737"/>
      <c r="K284" s="185"/>
      <c r="L284" s="185"/>
      <c r="M284" s="185"/>
      <c r="N284" s="185"/>
      <c r="O284" s="738">
        <f>'BUS Deemed Savings Table'!I141</f>
        <v>23.384806999999999</v>
      </c>
      <c r="P284" s="738"/>
      <c r="Q284" s="739"/>
      <c r="R284" s="739"/>
      <c r="S284" s="739"/>
      <c r="T284" s="739"/>
      <c r="U284" s="740">
        <f t="shared" si="393"/>
        <v>0</v>
      </c>
      <c r="V284" s="740">
        <f t="shared" si="394"/>
        <v>0</v>
      </c>
      <c r="W284" s="740">
        <f t="shared" si="395"/>
        <v>23.384806999999999</v>
      </c>
      <c r="X284" s="22">
        <f>'BUS Deemed Savings Table'!J141</f>
        <v>15</v>
      </c>
      <c r="Y284" s="22"/>
      <c r="Z284" s="22">
        <f t="shared" si="411"/>
        <v>15</v>
      </c>
      <c r="AA284" s="17">
        <f>'BUS Deemed Savings Table'!DK141</f>
        <v>10.777752392360433</v>
      </c>
      <c r="AB284" s="241">
        <f>'BUS Deemed Savings Table'!K141</f>
        <v>10000</v>
      </c>
      <c r="AC284" s="742">
        <f t="shared" si="412"/>
        <v>107777.52392360433</v>
      </c>
      <c r="AD284" s="742">
        <f t="shared" si="413"/>
        <v>0</v>
      </c>
      <c r="AE284" s="580">
        <f>'BUS Deemed Savings Table'!DM141</f>
        <v>107777.52392360433</v>
      </c>
      <c r="AF284" s="191"/>
      <c r="AG284" s="191"/>
      <c r="AH284" s="191"/>
      <c r="AI284" s="1307" t="str">
        <f>'BUS Deemed Savings Table'!L141</f>
        <v>per measure</v>
      </c>
      <c r="AJ284" s="68"/>
      <c r="AX284" s="1226" t="str">
        <f t="shared" si="396"/>
        <v>Heat Pump Water Heater replacing 98% Efficiency 29.4-87.9 kW (100 to 300 MBH)</v>
      </c>
      <c r="AY284" s="1249"/>
      <c r="AZ284" s="1312" t="str">
        <f t="shared" si="397"/>
        <v>802350</v>
      </c>
      <c r="BA284" s="1171" t="s">
        <v>2174</v>
      </c>
      <c r="BB284" s="1171" t="s">
        <v>2174</v>
      </c>
      <c r="BC284" s="1171" t="s">
        <v>2174</v>
      </c>
      <c r="BD284" s="1171" t="s">
        <v>2174</v>
      </c>
      <c r="BE284" s="1176"/>
      <c r="BF284" s="1171" t="s">
        <v>2174</v>
      </c>
      <c r="BG284" s="1171" t="s">
        <v>2174</v>
      </c>
      <c r="BH284" s="1171" t="s">
        <v>2174</v>
      </c>
      <c r="BI284" s="1172" t="s">
        <v>2174</v>
      </c>
      <c r="BJ284" s="1176"/>
      <c r="BK284" s="1171" t="s">
        <v>2174</v>
      </c>
      <c r="BL284" s="1172" t="s">
        <v>2174</v>
      </c>
      <c r="BM284" s="1171" t="s">
        <v>2174</v>
      </c>
      <c r="BN284" s="1172" t="s">
        <v>2174</v>
      </c>
    </row>
    <row r="285" spans="1:66" x14ac:dyDescent="0.25">
      <c r="A285" s="49" t="str">
        <f t="shared" si="410"/>
        <v>802400</v>
      </c>
      <c r="B285" s="1307" t="str">
        <f>'BUS Deemed Savings Table'!C142</f>
        <v>802400_2024_12_</v>
      </c>
      <c r="C285" s="1249" t="str">
        <f>'BUS Deemed Savings Table'!G142</f>
        <v>Water Heating BUS</v>
      </c>
      <c r="D285" s="1249"/>
      <c r="E285" s="1249"/>
      <c r="F285" s="1249"/>
      <c r="G285" s="1249" t="str">
        <f>'BUS Deemed Savings Table'!E142</f>
        <v>Heat Pump Water Heater replacing 98% Efficiency 88-146.5 kW (300 to 500 MBH)</v>
      </c>
      <c r="H285" s="18" t="str">
        <f>'BUS Deemed Savings Table'!D142</f>
        <v>C&amp;I</v>
      </c>
      <c r="I285" s="737">
        <f>'BUS Deemed Savings Table'!F142</f>
        <v>255265</v>
      </c>
      <c r="J285" s="737"/>
      <c r="K285" s="185"/>
      <c r="L285" s="185"/>
      <c r="M285" s="185"/>
      <c r="N285" s="185"/>
      <c r="O285" s="738">
        <f>'BUS Deemed Savings Table'!I142</f>
        <v>46.242403000000003</v>
      </c>
      <c r="P285" s="738"/>
      <c r="Q285" s="739"/>
      <c r="R285" s="739"/>
      <c r="S285" s="739"/>
      <c r="T285" s="739"/>
      <c r="U285" s="740">
        <f t="shared" si="393"/>
        <v>0</v>
      </c>
      <c r="V285" s="740">
        <f t="shared" si="394"/>
        <v>0</v>
      </c>
      <c r="W285" s="740">
        <f t="shared" si="395"/>
        <v>46.242403000000003</v>
      </c>
      <c r="X285" s="22">
        <f>'BUS Deemed Savings Table'!J142</f>
        <v>15</v>
      </c>
      <c r="Y285" s="22"/>
      <c r="Z285" s="22">
        <f t="shared" si="411"/>
        <v>15</v>
      </c>
      <c r="AA285" s="17">
        <f>'BUS Deemed Savings Table'!DK142</f>
        <v>15.223228876775309</v>
      </c>
      <c r="AB285" s="241">
        <f>'BUS Deemed Savings Table'!K142</f>
        <v>14000</v>
      </c>
      <c r="AC285" s="742">
        <f t="shared" si="412"/>
        <v>213125.20427485433</v>
      </c>
      <c r="AD285" s="742">
        <f t="shared" si="413"/>
        <v>0</v>
      </c>
      <c r="AE285" s="580">
        <f>'BUS Deemed Savings Table'!DM142</f>
        <v>213125.20427485433</v>
      </c>
      <c r="AF285" s="191"/>
      <c r="AG285" s="191"/>
      <c r="AH285" s="191"/>
      <c r="AI285" s="1307" t="str">
        <f>'BUS Deemed Savings Table'!L142</f>
        <v>per measure</v>
      </c>
      <c r="AJ285" s="68"/>
      <c r="AX285" s="1226" t="str">
        <f t="shared" si="396"/>
        <v>Heat Pump Water Heater replacing 98% Efficiency 88-146.5 kW (300 to 500 MBH)</v>
      </c>
      <c r="AY285" s="1249"/>
      <c r="AZ285" s="1312" t="str">
        <f t="shared" si="397"/>
        <v>802400</v>
      </c>
      <c r="BA285" s="1171" t="s">
        <v>2174</v>
      </c>
      <c r="BB285" s="1171" t="s">
        <v>2174</v>
      </c>
      <c r="BC285" s="1171" t="s">
        <v>2174</v>
      </c>
      <c r="BD285" s="1171" t="s">
        <v>2174</v>
      </c>
      <c r="BE285" s="1176"/>
      <c r="BF285" s="1171" t="s">
        <v>2174</v>
      </c>
      <c r="BG285" s="1171" t="s">
        <v>2174</v>
      </c>
      <c r="BH285" s="1171" t="s">
        <v>2174</v>
      </c>
      <c r="BI285" s="1172" t="s">
        <v>2174</v>
      </c>
      <c r="BJ285" s="1176"/>
      <c r="BK285" s="1171" t="s">
        <v>2174</v>
      </c>
      <c r="BL285" s="1172" t="s">
        <v>2174</v>
      </c>
      <c r="BM285" s="1171" t="s">
        <v>2174</v>
      </c>
      <c r="BN285" s="1172" t="s">
        <v>2174</v>
      </c>
    </row>
    <row r="286" spans="1:66" x14ac:dyDescent="0.25">
      <c r="A286" s="49" t="str">
        <f t="shared" si="410"/>
        <v>802450</v>
      </c>
      <c r="B286" s="1307" t="str">
        <f>'BUS Deemed Savings Table'!C143</f>
        <v>802450_2024_12_</v>
      </c>
      <c r="C286" s="1249" t="str">
        <f>'BUS Deemed Savings Table'!G143</f>
        <v>Water Heating BUS</v>
      </c>
      <c r="D286" s="1249"/>
      <c r="E286" s="1249"/>
      <c r="F286" s="1249"/>
      <c r="G286" s="1249" t="str">
        <f>'BUS Deemed Savings Table'!E143</f>
        <v>Heat Pump Water Heater replacing 98% Efficiency &gt;146.6 kW (above 500 MBH)</v>
      </c>
      <c r="H286" s="18" t="str">
        <f>'BUS Deemed Savings Table'!D143</f>
        <v>C&amp;I</v>
      </c>
      <c r="I286" s="737">
        <f>'BUS Deemed Savings Table'!F143</f>
        <v>382897.95</v>
      </c>
      <c r="J286" s="737"/>
      <c r="K286" s="185"/>
      <c r="L286" s="185"/>
      <c r="M286" s="185"/>
      <c r="N286" s="185"/>
      <c r="O286" s="738">
        <f>'BUS Deemed Savings Table'!I143</f>
        <v>69.363686999999999</v>
      </c>
      <c r="P286" s="738"/>
      <c r="Q286" s="739"/>
      <c r="R286" s="739"/>
      <c r="S286" s="739"/>
      <c r="T286" s="739"/>
      <c r="U286" s="740">
        <f t="shared" si="393"/>
        <v>0</v>
      </c>
      <c r="V286" s="740">
        <f t="shared" si="394"/>
        <v>0</v>
      </c>
      <c r="W286" s="740">
        <f t="shared" si="395"/>
        <v>69.363686999999999</v>
      </c>
      <c r="X286" s="22">
        <f>'BUS Deemed Savings Table'!J143</f>
        <v>15</v>
      </c>
      <c r="Y286" s="22"/>
      <c r="Z286" s="22">
        <f t="shared" si="411"/>
        <v>15</v>
      </c>
      <c r="AA286" s="17">
        <f>'BUS Deemed Savings Table'!DK143</f>
        <v>17.760454562507583</v>
      </c>
      <c r="AB286" s="241">
        <f>'BUS Deemed Savings Table'!K143</f>
        <v>18000</v>
      </c>
      <c r="AC286" s="742">
        <f t="shared" si="412"/>
        <v>319688.18212513649</v>
      </c>
      <c r="AD286" s="742">
        <f t="shared" si="413"/>
        <v>0</v>
      </c>
      <c r="AE286" s="580">
        <f>'BUS Deemed Savings Table'!DM143</f>
        <v>319688.18212513649</v>
      </c>
      <c r="AF286" s="191"/>
      <c r="AG286" s="191"/>
      <c r="AH286" s="191"/>
      <c r="AI286" s="1307" t="str">
        <f>'BUS Deemed Savings Table'!L143</f>
        <v>per measure</v>
      </c>
      <c r="AJ286" s="68"/>
      <c r="AX286" s="1226" t="str">
        <f t="shared" si="396"/>
        <v>Heat Pump Water Heater replacing 98% Efficiency &gt;146.6 kW (above 500 MBH)</v>
      </c>
      <c r="AY286" s="1249"/>
      <c r="AZ286" s="1312" t="str">
        <f t="shared" si="397"/>
        <v>802450</v>
      </c>
      <c r="BA286" s="1171" t="s">
        <v>2174</v>
      </c>
      <c r="BB286" s="1171" t="s">
        <v>2174</v>
      </c>
      <c r="BC286" s="1171" t="s">
        <v>2174</v>
      </c>
      <c r="BD286" s="1171" t="s">
        <v>2174</v>
      </c>
      <c r="BE286" s="1176"/>
      <c r="BF286" s="1171" t="s">
        <v>2174</v>
      </c>
      <c r="BG286" s="1171" t="s">
        <v>2174</v>
      </c>
      <c r="BH286" s="1171" t="s">
        <v>2174</v>
      </c>
      <c r="BI286" s="1172" t="s">
        <v>2174</v>
      </c>
      <c r="BJ286" s="1176"/>
      <c r="BK286" s="1171" t="s">
        <v>2174</v>
      </c>
      <c r="BL286" s="1172" t="s">
        <v>2174</v>
      </c>
      <c r="BM286" s="1171" t="s">
        <v>2174</v>
      </c>
      <c r="BN286" s="1172" t="s">
        <v>2174</v>
      </c>
    </row>
    <row r="287" spans="1:66" x14ac:dyDescent="0.25">
      <c r="A287" s="49" t="str">
        <f t="shared" ref="A287:A288" si="414">LEFT(B287,6)</f>
        <v>802455</v>
      </c>
      <c r="B287" s="1307" t="str">
        <f>'BUS Deemed Savings Table'!C144</f>
        <v>802455_2024_12_</v>
      </c>
      <c r="C287" s="1249" t="str">
        <f>'BUS Deemed Savings Table'!G144</f>
        <v>Water Heating BUS</v>
      </c>
      <c r="D287" s="1249"/>
      <c r="E287" s="1249"/>
      <c r="F287" s="1249"/>
      <c r="G287" s="1249" t="str">
        <f>'BUS Deemed Savings Table'!E144</f>
        <v>Heat Pump Water Heater replacing 98% Efficiency, ≤55 gal, medium draw</v>
      </c>
      <c r="H287" s="18" t="str">
        <f>'BUS Deemed Savings Table'!D144</f>
        <v>C&amp;I</v>
      </c>
      <c r="I287" s="737">
        <f>'BUS Deemed Savings Table'!F144</f>
        <v>3363.29</v>
      </c>
      <c r="J287" s="737"/>
      <c r="K287" s="185"/>
      <c r="L287" s="185"/>
      <c r="M287" s="185"/>
      <c r="N287" s="185"/>
      <c r="O287" s="738">
        <f>'BUS Deemed Savings Table'!I144</f>
        <v>0.60927500000000001</v>
      </c>
      <c r="P287" s="738"/>
      <c r="Q287" s="739"/>
      <c r="R287" s="739"/>
      <c r="S287" s="739"/>
      <c r="T287" s="739"/>
      <c r="U287" s="740">
        <f t="shared" si="393"/>
        <v>0</v>
      </c>
      <c r="V287" s="740">
        <f t="shared" si="394"/>
        <v>0</v>
      </c>
      <c r="W287" s="740">
        <f t="shared" si="395"/>
        <v>0.60927500000000001</v>
      </c>
      <c r="X287" s="22">
        <f>'BUS Deemed Savings Table'!J144</f>
        <v>15</v>
      </c>
      <c r="Y287" s="22"/>
      <c r="Z287" s="22">
        <f t="shared" ref="Z287:Z288" si="415">Y287+X287</f>
        <v>15</v>
      </c>
      <c r="AA287" s="17">
        <f>'BUS Deemed Savings Table'!DK144</f>
        <v>2.4333358135740162</v>
      </c>
      <c r="AB287" s="241">
        <f>'BUS Deemed Savings Table'!K144</f>
        <v>1154</v>
      </c>
      <c r="AC287" s="742">
        <f t="shared" ref="AC287:AC288" si="416">AE287+AF287</f>
        <v>2808.0695288644147</v>
      </c>
      <c r="AD287" s="742">
        <f t="shared" ref="AD287:AD288" si="417">AG287+AH287</f>
        <v>0</v>
      </c>
      <c r="AE287" s="580">
        <f>'BUS Deemed Savings Table'!DM144</f>
        <v>2808.0695288644147</v>
      </c>
      <c r="AF287" s="191"/>
      <c r="AG287" s="191"/>
      <c r="AH287" s="191"/>
      <c r="AI287" s="1307" t="str">
        <f>'BUS Deemed Savings Table'!L144</f>
        <v>per measure</v>
      </c>
      <c r="AJ287" s="68"/>
      <c r="AX287" s="1226" t="str">
        <f t="shared" ref="AX287:AX288" si="418">G287</f>
        <v>Heat Pump Water Heater replacing 98% Efficiency, ≤55 gal, medium draw</v>
      </c>
      <c r="AY287" s="1249"/>
      <c r="AZ287" s="1312" t="str">
        <f t="shared" ref="AZ287:AZ288" si="419">A287</f>
        <v>802455</v>
      </c>
      <c r="BA287" s="1171" t="s">
        <v>2174</v>
      </c>
      <c r="BB287" s="1171" t="s">
        <v>2174</v>
      </c>
      <c r="BC287" s="1171" t="s">
        <v>2174</v>
      </c>
      <c r="BD287" s="1171" t="s">
        <v>2174</v>
      </c>
      <c r="BE287" s="1176"/>
      <c r="BF287" s="1171" t="s">
        <v>2174</v>
      </c>
      <c r="BG287" s="1171" t="s">
        <v>2174</v>
      </c>
      <c r="BH287" s="1171" t="s">
        <v>2174</v>
      </c>
      <c r="BI287" s="1172" t="s">
        <v>2174</v>
      </c>
      <c r="BJ287" s="1176"/>
      <c r="BK287" s="1171" t="s">
        <v>2174</v>
      </c>
      <c r="BL287" s="1172" t="s">
        <v>2174</v>
      </c>
      <c r="BM287" s="1171" t="s">
        <v>2174</v>
      </c>
      <c r="BN287" s="1172" t="s">
        <v>2174</v>
      </c>
    </row>
    <row r="288" spans="1:66" x14ac:dyDescent="0.25">
      <c r="A288" s="49" t="str">
        <f t="shared" si="414"/>
        <v>802460</v>
      </c>
      <c r="B288" s="1307" t="str">
        <f>'BUS Deemed Savings Table'!C145</f>
        <v>802460_2024_12_</v>
      </c>
      <c r="C288" s="1249" t="str">
        <f>'BUS Deemed Savings Table'!G145</f>
        <v>Water Heating BUS</v>
      </c>
      <c r="D288" s="1249"/>
      <c r="E288" s="1249"/>
      <c r="F288" s="1249"/>
      <c r="G288" s="1249" t="str">
        <f>'BUS Deemed Savings Table'!E145</f>
        <v>Heat Pump Water Heater replacing 98% Efficiency, &gt;55 gal and ≤ 120 gal, medium draw</v>
      </c>
      <c r="H288" s="18" t="str">
        <f>'BUS Deemed Savings Table'!D145</f>
        <v>C&amp;I</v>
      </c>
      <c r="I288" s="737">
        <f>'BUS Deemed Savings Table'!F145</f>
        <v>5044.93</v>
      </c>
      <c r="J288" s="737"/>
      <c r="K288" s="185"/>
      <c r="L288" s="185"/>
      <c r="M288" s="185"/>
      <c r="N288" s="185"/>
      <c r="O288" s="738">
        <f>'BUS Deemed Savings Table'!I145</f>
        <v>0.91391199999999995</v>
      </c>
      <c r="P288" s="738"/>
      <c r="Q288" s="739"/>
      <c r="R288" s="739"/>
      <c r="S288" s="739"/>
      <c r="T288" s="739"/>
      <c r="U288" s="740">
        <f t="shared" si="393"/>
        <v>0</v>
      </c>
      <c r="V288" s="740">
        <f t="shared" si="394"/>
        <v>0</v>
      </c>
      <c r="W288" s="740">
        <f t="shared" si="395"/>
        <v>0.91391199999999995</v>
      </c>
      <c r="X288" s="22">
        <f>'BUS Deemed Savings Table'!J145</f>
        <v>15</v>
      </c>
      <c r="Y288" s="22"/>
      <c r="Z288" s="22">
        <f t="shared" si="415"/>
        <v>15</v>
      </c>
      <c r="AA288" s="17">
        <f>'BUS Deemed Savings Table'!DK145</f>
        <v>2.558991566652093</v>
      </c>
      <c r="AB288" s="241">
        <f>'BUS Deemed Savings Table'!K145</f>
        <v>1646</v>
      </c>
      <c r="AC288" s="742">
        <f t="shared" si="416"/>
        <v>4212.1001187093452</v>
      </c>
      <c r="AD288" s="742">
        <f t="shared" si="417"/>
        <v>0</v>
      </c>
      <c r="AE288" s="580">
        <f>'BUS Deemed Savings Table'!DM145</f>
        <v>4212.1001187093452</v>
      </c>
      <c r="AF288" s="191"/>
      <c r="AG288" s="191"/>
      <c r="AH288" s="191"/>
      <c r="AI288" s="1307" t="str">
        <f>'BUS Deemed Savings Table'!L145</f>
        <v>per measure</v>
      </c>
      <c r="AJ288" s="68"/>
      <c r="AX288" s="1226" t="str">
        <f t="shared" si="418"/>
        <v>Heat Pump Water Heater replacing 98% Efficiency, &gt;55 gal and ≤ 120 gal, medium draw</v>
      </c>
      <c r="AY288" s="1249"/>
      <c r="AZ288" s="1312" t="str">
        <f t="shared" si="419"/>
        <v>802460</v>
      </c>
      <c r="BA288" s="1171" t="s">
        <v>2174</v>
      </c>
      <c r="BB288" s="1171" t="s">
        <v>2174</v>
      </c>
      <c r="BC288" s="1171" t="s">
        <v>2174</v>
      </c>
      <c r="BD288" s="1171" t="s">
        <v>2174</v>
      </c>
      <c r="BE288" s="1176"/>
      <c r="BF288" s="1171" t="s">
        <v>2174</v>
      </c>
      <c r="BG288" s="1171" t="s">
        <v>2174</v>
      </c>
      <c r="BH288" s="1171" t="s">
        <v>2174</v>
      </c>
      <c r="BI288" s="1172" t="s">
        <v>2174</v>
      </c>
      <c r="BJ288" s="1176"/>
      <c r="BK288" s="1171" t="s">
        <v>2174</v>
      </c>
      <c r="BL288" s="1172" t="s">
        <v>2174</v>
      </c>
      <c r="BM288" s="1171" t="s">
        <v>2174</v>
      </c>
      <c r="BN288" s="1172" t="s">
        <v>2174</v>
      </c>
    </row>
    <row r="289" spans="1:66" x14ac:dyDescent="0.25">
      <c r="A289" s="49" t="str">
        <f t="shared" si="410"/>
        <v>802600</v>
      </c>
      <c r="B289" s="1307" t="str">
        <f>'BUS Deemed Savings Table'!C167</f>
        <v>802600_2019_12_</v>
      </c>
      <c r="C289" s="1249" t="str">
        <f>'BUS Deemed Savings Table'!G167</f>
        <v>Motors BUS</v>
      </c>
      <c r="D289" s="1249"/>
      <c r="E289" s="1249"/>
      <c r="F289" s="1249"/>
      <c r="G289" s="1249" t="str">
        <f>'BUS Deemed Savings Table'!E167</f>
        <v>Pool Pump w/ Variable Frequency Drive per HP</v>
      </c>
      <c r="H289" s="18" t="str">
        <f>'BUS Deemed Savings Table'!D167</f>
        <v>C&amp;I</v>
      </c>
      <c r="I289" s="737">
        <f>'BUS Deemed Savings Table'!F167</f>
        <v>1747</v>
      </c>
      <c r="J289" s="737"/>
      <c r="K289" s="185"/>
      <c r="L289" s="185"/>
      <c r="M289" s="185"/>
      <c r="N289" s="185"/>
      <c r="O289" s="738">
        <f>'BUS Deemed Savings Table'!I167</f>
        <v>0.24098800000000001</v>
      </c>
      <c r="P289" s="738"/>
      <c r="Q289" s="739"/>
      <c r="R289" s="739"/>
      <c r="S289" s="739"/>
      <c r="T289" s="739"/>
      <c r="U289" s="740">
        <f t="shared" si="393"/>
        <v>0</v>
      </c>
      <c r="V289" s="740">
        <f t="shared" si="394"/>
        <v>0.24098800000000001</v>
      </c>
      <c r="W289" s="740">
        <f t="shared" si="395"/>
        <v>0</v>
      </c>
      <c r="X289" s="22">
        <f>'BUS Deemed Savings Table'!J167</f>
        <v>10</v>
      </c>
      <c r="Y289" s="22"/>
      <c r="Z289" s="22">
        <f t="shared" si="411"/>
        <v>10</v>
      </c>
      <c r="AA289" s="17">
        <f>'BUS Deemed Savings Table'!DK167</f>
        <v>3.786650095230387</v>
      </c>
      <c r="AB289" s="241">
        <f>'BUS Deemed Savings Table'!K167</f>
        <v>246</v>
      </c>
      <c r="AC289" s="742">
        <f t="shared" si="412"/>
        <v>931.51592342667516</v>
      </c>
      <c r="AD289" s="742">
        <f t="shared" si="413"/>
        <v>0</v>
      </c>
      <c r="AE289" s="580">
        <f>'BUS Deemed Savings Table'!DM167</f>
        <v>931.51592342667516</v>
      </c>
      <c r="AF289" s="191"/>
      <c r="AG289" s="191"/>
      <c r="AH289" s="191"/>
      <c r="AI289" s="1307" t="str">
        <f>'BUS Deemed Savings Table'!L167</f>
        <v>per HP</v>
      </c>
      <c r="AJ289" s="68"/>
      <c r="AX289" s="1226" t="str">
        <f t="shared" si="396"/>
        <v>Pool Pump w/ Variable Frequency Drive per HP</v>
      </c>
      <c r="AY289" s="1249"/>
      <c r="AZ289" s="1312" t="str">
        <f t="shared" si="397"/>
        <v>802600</v>
      </c>
      <c r="BA289" s="1171" t="s">
        <v>2174</v>
      </c>
      <c r="BB289" s="1171" t="s">
        <v>2174</v>
      </c>
      <c r="BC289" s="1171" t="s">
        <v>2174</v>
      </c>
      <c r="BD289" s="1171" t="s">
        <v>2174</v>
      </c>
      <c r="BE289" s="1176"/>
      <c r="BF289" s="1171" t="s">
        <v>2174</v>
      </c>
      <c r="BG289" s="1171" t="s">
        <v>2174</v>
      </c>
      <c r="BH289" s="1171" t="s">
        <v>2174</v>
      </c>
      <c r="BI289" s="1172" t="s">
        <v>2174</v>
      </c>
      <c r="BJ289" s="1176"/>
      <c r="BK289" s="1171" t="s">
        <v>2174</v>
      </c>
      <c r="BL289" s="1172" t="s">
        <v>2174</v>
      </c>
      <c r="BM289" s="1171" t="s">
        <v>2174</v>
      </c>
      <c r="BN289" s="1172" t="s">
        <v>2174</v>
      </c>
    </row>
    <row r="290" spans="1:66" x14ac:dyDescent="0.25">
      <c r="A290" s="49" t="str">
        <f t="shared" si="410"/>
        <v>802700</v>
      </c>
      <c r="B290" s="1307" t="str">
        <f>'BUS Deemed Savings Table'!C183</f>
        <v>802700_2024_12_</v>
      </c>
      <c r="C290" s="1249" t="str">
        <f>'BUS Deemed Savings Table'!G183</f>
        <v>Cooking BUS</v>
      </c>
      <c r="D290" s="1249"/>
      <c r="E290" s="1249"/>
      <c r="F290" s="1249"/>
      <c r="G290" s="1249" t="str">
        <f>'BUS Deemed Savings Table'!E183</f>
        <v>3 Pan ENERGY STAR Steam Cooker</v>
      </c>
      <c r="H290" s="18" t="str">
        <f>'BUS Deemed Savings Table'!D183</f>
        <v>C&amp;I</v>
      </c>
      <c r="I290" s="737">
        <f>'BUS Deemed Savings Table'!F183</f>
        <v>7383.26</v>
      </c>
      <c r="J290" s="737"/>
      <c r="K290" s="185"/>
      <c r="L290" s="185"/>
      <c r="M290" s="185"/>
      <c r="N290" s="185"/>
      <c r="O290" s="738">
        <f>'BUS Deemed Savings Table'!I183</f>
        <v>1.475876</v>
      </c>
      <c r="P290" s="738"/>
      <c r="Q290" s="739"/>
      <c r="R290" s="739"/>
      <c r="S290" s="739"/>
      <c r="T290" s="739"/>
      <c r="U290" s="740">
        <f t="shared" si="393"/>
        <v>0</v>
      </c>
      <c r="V290" s="740">
        <f t="shared" si="394"/>
        <v>1.475876</v>
      </c>
      <c r="W290" s="740">
        <f t="shared" si="395"/>
        <v>0</v>
      </c>
      <c r="X290" s="22">
        <f>'BUS Deemed Savings Table'!J183</f>
        <v>12</v>
      </c>
      <c r="Y290" s="22"/>
      <c r="Z290" s="22">
        <f t="shared" si="411"/>
        <v>12</v>
      </c>
      <c r="AA290" s="17">
        <f>'BUS Deemed Savings Table'!DK183</f>
        <v>2.6007745812285687</v>
      </c>
      <c r="AB290" s="241">
        <f>'BUS Deemed Savings Table'!K183</f>
        <v>2000</v>
      </c>
      <c r="AC290" s="742">
        <f t="shared" si="412"/>
        <v>5201.5491624571378</v>
      </c>
      <c r="AD290" s="742">
        <f t="shared" si="413"/>
        <v>0</v>
      </c>
      <c r="AE290" s="580">
        <f>'BUS Deemed Savings Table'!DM183</f>
        <v>5201.5491624571378</v>
      </c>
      <c r="AF290" s="191"/>
      <c r="AG290" s="191"/>
      <c r="AH290" s="191"/>
      <c r="AI290" s="1307" t="str">
        <f>'BUS Deemed Savings Table'!L183</f>
        <v>per measure</v>
      </c>
      <c r="AJ290" s="68"/>
      <c r="AX290" s="1226" t="str">
        <f t="shared" si="396"/>
        <v>3 Pan ENERGY STAR Steam Cooker</v>
      </c>
      <c r="AY290" s="1249"/>
      <c r="AZ290" s="1312" t="str">
        <f t="shared" si="397"/>
        <v>802700</v>
      </c>
      <c r="BA290" s="1171" t="s">
        <v>2174</v>
      </c>
      <c r="BB290" s="1171" t="s">
        <v>2174</v>
      </c>
      <c r="BC290" s="1171" t="s">
        <v>2174</v>
      </c>
      <c r="BD290" s="1171" t="s">
        <v>2174</v>
      </c>
      <c r="BE290" s="1176"/>
      <c r="BF290" s="1171" t="s">
        <v>2174</v>
      </c>
      <c r="BG290" s="1171" t="s">
        <v>2174</v>
      </c>
      <c r="BH290" s="1171" t="s">
        <v>2174</v>
      </c>
      <c r="BI290" s="1172" t="s">
        <v>2174</v>
      </c>
      <c r="BJ290" s="1176"/>
      <c r="BK290" s="1171" t="s">
        <v>2174</v>
      </c>
      <c r="BL290" s="1172" t="s">
        <v>2174</v>
      </c>
      <c r="BM290" s="1171" t="s">
        <v>2174</v>
      </c>
      <c r="BN290" s="1172" t="s">
        <v>2174</v>
      </c>
    </row>
    <row r="291" spans="1:66" x14ac:dyDescent="0.25">
      <c r="A291" s="49" t="str">
        <f t="shared" si="410"/>
        <v>802750</v>
      </c>
      <c r="B291" s="1307" t="str">
        <f>'BUS Deemed Savings Table'!C184</f>
        <v>802750_2024_12_</v>
      </c>
      <c r="C291" s="1249" t="str">
        <f>'BUS Deemed Savings Table'!G184</f>
        <v>Cooking BUS</v>
      </c>
      <c r="D291" s="1249"/>
      <c r="E291" s="1249"/>
      <c r="F291" s="1249"/>
      <c r="G291" s="1249" t="str">
        <f>'BUS Deemed Savings Table'!E184</f>
        <v>4 Pan ENERGY STAR Steam Cooker</v>
      </c>
      <c r="H291" s="18" t="str">
        <f>'BUS Deemed Savings Table'!D184</f>
        <v>C&amp;I</v>
      </c>
      <c r="I291" s="737">
        <f>'BUS Deemed Savings Table'!F184</f>
        <v>8568.5499999999993</v>
      </c>
      <c r="J291" s="737"/>
      <c r="K291" s="185"/>
      <c r="L291" s="185"/>
      <c r="M291" s="185"/>
      <c r="N291" s="185"/>
      <c r="O291" s="738">
        <f>'BUS Deemed Savings Table'!I184</f>
        <v>1.712809</v>
      </c>
      <c r="P291" s="738"/>
      <c r="Q291" s="739"/>
      <c r="R291" s="739"/>
      <c r="S291" s="739"/>
      <c r="T291" s="739"/>
      <c r="U291" s="740">
        <f t="shared" si="393"/>
        <v>0</v>
      </c>
      <c r="V291" s="740">
        <f t="shared" si="394"/>
        <v>1.712809</v>
      </c>
      <c r="W291" s="740">
        <f t="shared" si="395"/>
        <v>0</v>
      </c>
      <c r="X291" s="22">
        <f>'BUS Deemed Savings Table'!J184</f>
        <v>12</v>
      </c>
      <c r="Y291" s="22"/>
      <c r="Z291" s="22">
        <f t="shared" si="411"/>
        <v>12</v>
      </c>
      <c r="AA291" s="17">
        <f>'BUS Deemed Savings Table'!DK184</f>
        <v>3.0182963945446932</v>
      </c>
      <c r="AB291" s="241">
        <f>'BUS Deemed Savings Table'!K184</f>
        <v>2000</v>
      </c>
      <c r="AC291" s="742">
        <f t="shared" si="412"/>
        <v>6036.5927890893863</v>
      </c>
      <c r="AD291" s="742">
        <f t="shared" si="413"/>
        <v>0</v>
      </c>
      <c r="AE291" s="580">
        <f>'BUS Deemed Savings Table'!DM184</f>
        <v>6036.5927890893863</v>
      </c>
      <c r="AF291" s="191"/>
      <c r="AG291" s="191"/>
      <c r="AH291" s="191"/>
      <c r="AI291" s="1307" t="str">
        <f>'BUS Deemed Savings Table'!L184</f>
        <v>per measure</v>
      </c>
      <c r="AJ291" s="68"/>
      <c r="AX291" s="1226" t="str">
        <f t="shared" si="396"/>
        <v>4 Pan ENERGY STAR Steam Cooker</v>
      </c>
      <c r="AY291" s="1249"/>
      <c r="AZ291" s="1312" t="str">
        <f t="shared" si="397"/>
        <v>802750</v>
      </c>
      <c r="BA291" s="1171" t="s">
        <v>2174</v>
      </c>
      <c r="BB291" s="1171" t="s">
        <v>2174</v>
      </c>
      <c r="BC291" s="1171" t="s">
        <v>2174</v>
      </c>
      <c r="BD291" s="1171" t="s">
        <v>2174</v>
      </c>
      <c r="BE291" s="1176"/>
      <c r="BF291" s="1171" t="s">
        <v>2174</v>
      </c>
      <c r="BG291" s="1171" t="s">
        <v>2174</v>
      </c>
      <c r="BH291" s="1171" t="s">
        <v>2174</v>
      </c>
      <c r="BI291" s="1172" t="s">
        <v>2174</v>
      </c>
      <c r="BJ291" s="1176"/>
      <c r="BK291" s="1171" t="s">
        <v>2174</v>
      </c>
      <c r="BL291" s="1172" t="s">
        <v>2174</v>
      </c>
      <c r="BM291" s="1171" t="s">
        <v>2174</v>
      </c>
      <c r="BN291" s="1172" t="s">
        <v>2174</v>
      </c>
    </row>
    <row r="292" spans="1:66" x14ac:dyDescent="0.25">
      <c r="A292" s="49" t="str">
        <f t="shared" si="410"/>
        <v>802800</v>
      </c>
      <c r="B292" s="1307" t="str">
        <f>'BUS Deemed Savings Table'!C185</f>
        <v>802800_2024_12_</v>
      </c>
      <c r="C292" s="1249" t="str">
        <f>'BUS Deemed Savings Table'!G185</f>
        <v>Cooking BUS</v>
      </c>
      <c r="D292" s="1249"/>
      <c r="E292" s="1249"/>
      <c r="F292" s="1249"/>
      <c r="G292" s="1249" t="str">
        <f>'BUS Deemed Savings Table'!E185</f>
        <v>5 Pan ENERGY STAR Steam Cooker</v>
      </c>
      <c r="H292" s="18" t="str">
        <f>'BUS Deemed Savings Table'!D185</f>
        <v>C&amp;I</v>
      </c>
      <c r="I292" s="737">
        <f>'BUS Deemed Savings Table'!F185</f>
        <v>9692.98</v>
      </c>
      <c r="J292" s="737"/>
      <c r="K292" s="185"/>
      <c r="L292" s="185"/>
      <c r="M292" s="185"/>
      <c r="N292" s="185"/>
      <c r="O292" s="738">
        <f>'BUS Deemed Savings Table'!I185</f>
        <v>1.9375770000000001</v>
      </c>
      <c r="P292" s="738"/>
      <c r="Q292" s="739"/>
      <c r="R292" s="739"/>
      <c r="S292" s="739"/>
      <c r="T292" s="739"/>
      <c r="U292" s="740">
        <f t="shared" si="393"/>
        <v>0</v>
      </c>
      <c r="V292" s="740">
        <f t="shared" si="394"/>
        <v>1.9375770000000001</v>
      </c>
      <c r="W292" s="740">
        <f t="shared" si="395"/>
        <v>0</v>
      </c>
      <c r="X292" s="22">
        <f>'BUS Deemed Savings Table'!J185</f>
        <v>12</v>
      </c>
      <c r="Y292" s="22"/>
      <c r="Z292" s="22">
        <f t="shared" si="411"/>
        <v>12</v>
      </c>
      <c r="AA292" s="17">
        <f>'BUS Deemed Savings Table'!DK185</f>
        <v>3.4143800977287664</v>
      </c>
      <c r="AB292" s="241">
        <f>'BUS Deemed Savings Table'!K185</f>
        <v>2000</v>
      </c>
      <c r="AC292" s="742">
        <f t="shared" si="412"/>
        <v>6828.760195457533</v>
      </c>
      <c r="AD292" s="742">
        <f t="shared" si="413"/>
        <v>0</v>
      </c>
      <c r="AE292" s="580">
        <f>'BUS Deemed Savings Table'!DM185</f>
        <v>6828.760195457533</v>
      </c>
      <c r="AF292" s="191"/>
      <c r="AG292" s="191"/>
      <c r="AH292" s="191"/>
      <c r="AI292" s="1307" t="str">
        <f>'BUS Deemed Savings Table'!L185</f>
        <v>per measure</v>
      </c>
      <c r="AJ292" s="68"/>
      <c r="AX292" s="1226" t="str">
        <f t="shared" si="396"/>
        <v>5 Pan ENERGY STAR Steam Cooker</v>
      </c>
      <c r="AY292" s="1249"/>
      <c r="AZ292" s="1312" t="str">
        <f t="shared" si="397"/>
        <v>802800</v>
      </c>
      <c r="BA292" s="1171" t="s">
        <v>2174</v>
      </c>
      <c r="BB292" s="1171" t="s">
        <v>2174</v>
      </c>
      <c r="BC292" s="1171" t="s">
        <v>2174</v>
      </c>
      <c r="BD292" s="1171" t="s">
        <v>2174</v>
      </c>
      <c r="BE292" s="1176"/>
      <c r="BF292" s="1171" t="s">
        <v>2174</v>
      </c>
      <c r="BG292" s="1171" t="s">
        <v>2174</v>
      </c>
      <c r="BH292" s="1171" t="s">
        <v>2174</v>
      </c>
      <c r="BI292" s="1172" t="s">
        <v>2174</v>
      </c>
      <c r="BJ292" s="1176"/>
      <c r="BK292" s="1171" t="s">
        <v>2174</v>
      </c>
      <c r="BL292" s="1172" t="s">
        <v>2174</v>
      </c>
      <c r="BM292" s="1171" t="s">
        <v>2174</v>
      </c>
      <c r="BN292" s="1172" t="s">
        <v>2174</v>
      </c>
    </row>
    <row r="293" spans="1:66" x14ac:dyDescent="0.25">
      <c r="A293" s="49" t="str">
        <f t="shared" si="410"/>
        <v>802850</v>
      </c>
      <c r="B293" s="1307" t="str">
        <f>'BUS Deemed Savings Table'!C186</f>
        <v>802850_2024_12_</v>
      </c>
      <c r="C293" s="1249" t="str">
        <f>'BUS Deemed Savings Table'!G186</f>
        <v>Cooking BUS</v>
      </c>
      <c r="D293" s="1249"/>
      <c r="E293" s="1249"/>
      <c r="F293" s="1249"/>
      <c r="G293" s="1249" t="str">
        <f>'BUS Deemed Savings Table'!E186</f>
        <v>6 Pan ENERGY STAR Steam Cooker</v>
      </c>
      <c r="H293" s="18" t="str">
        <f>'BUS Deemed Savings Table'!D186</f>
        <v>C&amp;I</v>
      </c>
      <c r="I293" s="737">
        <f>'BUS Deemed Savings Table'!F186</f>
        <v>10822.05</v>
      </c>
      <c r="J293" s="737"/>
      <c r="K293" s="185"/>
      <c r="L293" s="185"/>
      <c r="M293" s="185"/>
      <c r="N293" s="185"/>
      <c r="O293" s="738">
        <f>'BUS Deemed Savings Table'!I186</f>
        <v>2.1632729999999998</v>
      </c>
      <c r="P293" s="738"/>
      <c r="Q293" s="739"/>
      <c r="R293" s="739"/>
      <c r="S293" s="739"/>
      <c r="T293" s="739"/>
      <c r="U293" s="740">
        <f t="shared" si="393"/>
        <v>0</v>
      </c>
      <c r="V293" s="740">
        <f t="shared" si="394"/>
        <v>2.1632729999999998</v>
      </c>
      <c r="W293" s="740">
        <f t="shared" si="395"/>
        <v>0</v>
      </c>
      <c r="X293" s="22">
        <f>'BUS Deemed Savings Table'!J186</f>
        <v>12</v>
      </c>
      <c r="Y293" s="22"/>
      <c r="Z293" s="22">
        <f t="shared" si="411"/>
        <v>12</v>
      </c>
      <c r="AA293" s="17">
        <f>'BUS Deemed Savings Table'!DK186</f>
        <v>3.8120982542650035</v>
      </c>
      <c r="AB293" s="241">
        <f>'BUS Deemed Savings Table'!K186</f>
        <v>2000</v>
      </c>
      <c r="AC293" s="742">
        <f t="shared" si="412"/>
        <v>7624.1965085300071</v>
      </c>
      <c r="AD293" s="742">
        <f t="shared" si="413"/>
        <v>0</v>
      </c>
      <c r="AE293" s="580">
        <f>'BUS Deemed Savings Table'!DM186</f>
        <v>7624.1965085300071</v>
      </c>
      <c r="AF293" s="191"/>
      <c r="AG293" s="191"/>
      <c r="AH293" s="191"/>
      <c r="AI293" s="1307" t="str">
        <f>'BUS Deemed Savings Table'!L186</f>
        <v>per measure</v>
      </c>
      <c r="AJ293" s="68"/>
      <c r="AX293" s="1226" t="str">
        <f t="shared" si="396"/>
        <v>6 Pan ENERGY STAR Steam Cooker</v>
      </c>
      <c r="AY293" s="1249"/>
      <c r="AZ293" s="1312" t="str">
        <f t="shared" si="397"/>
        <v>802850</v>
      </c>
      <c r="BA293" s="1171" t="s">
        <v>2174</v>
      </c>
      <c r="BB293" s="1171" t="s">
        <v>2174</v>
      </c>
      <c r="BC293" s="1171" t="s">
        <v>2174</v>
      </c>
      <c r="BD293" s="1171" t="s">
        <v>2174</v>
      </c>
      <c r="BE293" s="1176"/>
      <c r="BF293" s="1171" t="s">
        <v>2174</v>
      </c>
      <c r="BG293" s="1171" t="s">
        <v>2174</v>
      </c>
      <c r="BH293" s="1171" t="s">
        <v>2174</v>
      </c>
      <c r="BI293" s="1172" t="s">
        <v>2174</v>
      </c>
      <c r="BJ293" s="1176"/>
      <c r="BK293" s="1171" t="s">
        <v>2174</v>
      </c>
      <c r="BL293" s="1172" t="s">
        <v>2174</v>
      </c>
      <c r="BM293" s="1171" t="s">
        <v>2174</v>
      </c>
      <c r="BN293" s="1172" t="s">
        <v>2174</v>
      </c>
    </row>
    <row r="294" spans="1:66" x14ac:dyDescent="0.25">
      <c r="A294" s="49" t="str">
        <f t="shared" si="410"/>
        <v>802900</v>
      </c>
      <c r="B294" s="1307" t="str">
        <f>'BUS Deemed Savings Table'!C206</f>
        <v>802900_2024_12_</v>
      </c>
      <c r="C294" s="1249" t="str">
        <f>'BUS Deemed Savings Table'!G206</f>
        <v>Cooking BUS</v>
      </c>
      <c r="D294" s="1249"/>
      <c r="E294" s="1249"/>
      <c r="F294" s="1249"/>
      <c r="G294" s="1249" t="str">
        <f>'BUS Deemed Savings Table'!E206</f>
        <v>ENERGY STAR Hot Holding Cabinet (0 &lt; V &lt;13)</v>
      </c>
      <c r="H294" s="18" t="str">
        <f>'BUS Deemed Savings Table'!D206</f>
        <v>C&amp;I</v>
      </c>
      <c r="I294" s="737">
        <f>'BUS Deemed Savings Table'!F206</f>
        <v>325.99</v>
      </c>
      <c r="J294" s="737"/>
      <c r="K294" s="185"/>
      <c r="L294" s="185"/>
      <c r="M294" s="185"/>
      <c r="N294" s="185"/>
      <c r="O294" s="738">
        <f>'BUS Deemed Savings Table'!I206</f>
        <v>6.5164E-2</v>
      </c>
      <c r="P294" s="738"/>
      <c r="Q294" s="739"/>
      <c r="R294" s="739"/>
      <c r="S294" s="739"/>
      <c r="T294" s="739"/>
      <c r="U294" s="740">
        <f t="shared" si="393"/>
        <v>0</v>
      </c>
      <c r="V294" s="740">
        <f t="shared" si="394"/>
        <v>6.5164E-2</v>
      </c>
      <c r="W294" s="740">
        <f t="shared" si="395"/>
        <v>0</v>
      </c>
      <c r="X294" s="22">
        <f>'BUS Deemed Savings Table'!J206</f>
        <v>12</v>
      </c>
      <c r="Y294" s="22"/>
      <c r="Z294" s="22">
        <f t="shared" si="411"/>
        <v>12</v>
      </c>
      <c r="AA294" s="17">
        <f>'BUS Deemed Savings Table'!DK206</f>
        <v>0.22966183115174088</v>
      </c>
      <c r="AB294" s="241">
        <f>'BUS Deemed Savings Table'!K206</f>
        <v>1000</v>
      </c>
      <c r="AC294" s="742">
        <f t="shared" si="412"/>
        <v>229.66183115174087</v>
      </c>
      <c r="AD294" s="742">
        <f t="shared" si="413"/>
        <v>0</v>
      </c>
      <c r="AE294" s="580">
        <f>'BUS Deemed Savings Table'!DM206</f>
        <v>229.66183115174087</v>
      </c>
      <c r="AF294" s="191"/>
      <c r="AG294" s="191"/>
      <c r="AH294" s="191"/>
      <c r="AI294" s="1307" t="str">
        <f>'BUS Deemed Savings Table'!L206</f>
        <v>per measure</v>
      </c>
      <c r="AJ294" s="68"/>
      <c r="AX294" s="1226" t="str">
        <f t="shared" si="396"/>
        <v>ENERGY STAR Hot Holding Cabinet (0 &lt; V &lt;13)</v>
      </c>
      <c r="AY294" s="1249"/>
      <c r="AZ294" s="1312" t="str">
        <f t="shared" si="397"/>
        <v>802900</v>
      </c>
      <c r="BA294" s="1171" t="s">
        <v>2174</v>
      </c>
      <c r="BB294" s="1171" t="s">
        <v>2174</v>
      </c>
      <c r="BC294" s="1171" t="s">
        <v>2174</v>
      </c>
      <c r="BD294" s="1171" t="s">
        <v>2174</v>
      </c>
      <c r="BE294" s="1176"/>
      <c r="BF294" s="1171" t="s">
        <v>2174</v>
      </c>
      <c r="BG294" s="1171" t="s">
        <v>2174</v>
      </c>
      <c r="BH294" s="1171" t="s">
        <v>2174</v>
      </c>
      <c r="BI294" s="1172" t="s">
        <v>2174</v>
      </c>
      <c r="BJ294" s="1176"/>
      <c r="BK294" s="1171" t="s">
        <v>2174</v>
      </c>
      <c r="BL294" s="1172" t="s">
        <v>2174</v>
      </c>
      <c r="BM294" s="1171" t="s">
        <v>2174</v>
      </c>
      <c r="BN294" s="1172" t="s">
        <v>2174</v>
      </c>
    </row>
    <row r="295" spans="1:66" x14ac:dyDescent="0.25">
      <c r="A295" s="49" t="str">
        <f t="shared" si="410"/>
        <v>802950</v>
      </c>
      <c r="B295" s="1307" t="str">
        <f>'BUS Deemed Savings Table'!C207</f>
        <v>802950_2024_12_</v>
      </c>
      <c r="C295" s="1249" t="str">
        <f>'BUS Deemed Savings Table'!G207</f>
        <v>Cooking BUS</v>
      </c>
      <c r="D295" s="1249"/>
      <c r="E295" s="1249"/>
      <c r="F295" s="1249"/>
      <c r="G295" s="1249" t="str">
        <f>'BUS Deemed Savings Table'!E207</f>
        <v>ENERGY STAR Hot Holding Cabinet (13 ≤ V &lt;28)</v>
      </c>
      <c r="H295" s="18" t="str">
        <f>'BUS Deemed Savings Table'!D207</f>
        <v>C&amp;I</v>
      </c>
      <c r="I295" s="737">
        <f>'BUS Deemed Savings Table'!F207</f>
        <v>1676.5</v>
      </c>
      <c r="J295" s="737"/>
      <c r="K295" s="185"/>
      <c r="L295" s="185"/>
      <c r="M295" s="185"/>
      <c r="N295" s="185"/>
      <c r="O295" s="738">
        <f>'BUS Deemed Savings Table'!I207</f>
        <v>0.33512399999999998</v>
      </c>
      <c r="P295" s="738"/>
      <c r="Q295" s="739"/>
      <c r="R295" s="739"/>
      <c r="S295" s="739"/>
      <c r="T295" s="739"/>
      <c r="U295" s="740">
        <f t="shared" si="393"/>
        <v>0</v>
      </c>
      <c r="V295" s="740">
        <f t="shared" si="394"/>
        <v>0.33512399999999998</v>
      </c>
      <c r="W295" s="740">
        <f t="shared" si="395"/>
        <v>0</v>
      </c>
      <c r="X295" s="22">
        <f>'BUS Deemed Savings Table'!J207</f>
        <v>12</v>
      </c>
      <c r="Y295" s="22"/>
      <c r="Z295" s="22">
        <f t="shared" si="411"/>
        <v>12</v>
      </c>
      <c r="AA295" s="17">
        <f>'BUS Deemed Savings Table'!DK207</f>
        <v>1.1811038986652769</v>
      </c>
      <c r="AB295" s="241">
        <f>'BUS Deemed Savings Table'!K207</f>
        <v>1000</v>
      </c>
      <c r="AC295" s="742">
        <f t="shared" si="412"/>
        <v>1181.1038986652768</v>
      </c>
      <c r="AD295" s="742">
        <f t="shared" si="413"/>
        <v>0</v>
      </c>
      <c r="AE295" s="580">
        <f>'BUS Deemed Savings Table'!DM207</f>
        <v>1181.1038986652768</v>
      </c>
      <c r="AF295" s="191"/>
      <c r="AG295" s="191"/>
      <c r="AH295" s="191"/>
      <c r="AI295" s="1307" t="str">
        <f>'BUS Deemed Savings Table'!L207</f>
        <v>per measure</v>
      </c>
      <c r="AJ295" s="68"/>
      <c r="AX295" s="1226" t="str">
        <f t="shared" si="396"/>
        <v>ENERGY STAR Hot Holding Cabinet (13 ≤ V &lt;28)</v>
      </c>
      <c r="AY295" s="1249"/>
      <c r="AZ295" s="1312" t="str">
        <f t="shared" si="397"/>
        <v>802950</v>
      </c>
      <c r="BA295" s="1171" t="s">
        <v>2174</v>
      </c>
      <c r="BB295" s="1171" t="s">
        <v>2174</v>
      </c>
      <c r="BC295" s="1171" t="s">
        <v>2174</v>
      </c>
      <c r="BD295" s="1171" t="s">
        <v>2174</v>
      </c>
      <c r="BE295" s="1176"/>
      <c r="BF295" s="1171" t="s">
        <v>2174</v>
      </c>
      <c r="BG295" s="1171" t="s">
        <v>2174</v>
      </c>
      <c r="BH295" s="1171" t="s">
        <v>2174</v>
      </c>
      <c r="BI295" s="1172" t="s">
        <v>2174</v>
      </c>
      <c r="BJ295" s="1176"/>
      <c r="BK295" s="1171" t="s">
        <v>2174</v>
      </c>
      <c r="BL295" s="1172" t="s">
        <v>2174</v>
      </c>
      <c r="BM295" s="1171" t="s">
        <v>2174</v>
      </c>
      <c r="BN295" s="1172" t="s">
        <v>2174</v>
      </c>
    </row>
    <row r="296" spans="1:66" x14ac:dyDescent="0.25">
      <c r="A296" s="49" t="str">
        <f t="shared" si="410"/>
        <v>803000</v>
      </c>
      <c r="B296" s="1307" t="str">
        <f>'BUS Deemed Savings Table'!C208</f>
        <v>803000_2024_12_</v>
      </c>
      <c r="C296" s="1249" t="str">
        <f>'BUS Deemed Savings Table'!G208</f>
        <v>Cooking BUS</v>
      </c>
      <c r="D296" s="1249"/>
      <c r="E296" s="1249"/>
      <c r="F296" s="1249"/>
      <c r="G296" s="1249" t="str">
        <f>'BUS Deemed Savings Table'!E208</f>
        <v>ENERGY STAR Hot Holding Cabinet (28 ≤ V)</v>
      </c>
      <c r="H296" s="18" t="str">
        <f>'BUS Deemed Savings Table'!D208</f>
        <v>C&amp;I</v>
      </c>
      <c r="I296" s="737">
        <f>'BUS Deemed Savings Table'!F208</f>
        <v>2904.29</v>
      </c>
      <c r="J296" s="737"/>
      <c r="K296" s="185"/>
      <c r="L296" s="185"/>
      <c r="M296" s="185"/>
      <c r="N296" s="185"/>
      <c r="O296" s="738">
        <f>'BUS Deemed Savings Table'!I208</f>
        <v>0.58055299999999999</v>
      </c>
      <c r="P296" s="738"/>
      <c r="Q296" s="739"/>
      <c r="R296" s="739"/>
      <c r="S296" s="739"/>
      <c r="T296" s="739"/>
      <c r="U296" s="740">
        <f t="shared" si="393"/>
        <v>0</v>
      </c>
      <c r="V296" s="740">
        <f t="shared" si="394"/>
        <v>0.58055299999999999</v>
      </c>
      <c r="W296" s="740">
        <f t="shared" si="395"/>
        <v>0</v>
      </c>
      <c r="X296" s="22">
        <f>'BUS Deemed Savings Table'!J208</f>
        <v>12</v>
      </c>
      <c r="Y296" s="22"/>
      <c r="Z296" s="22">
        <f t="shared" si="411"/>
        <v>12</v>
      </c>
      <c r="AA296" s="17">
        <f>'BUS Deemed Savings Table'!DK208</f>
        <v>2.0460890198953634</v>
      </c>
      <c r="AB296" s="241">
        <f>'BUS Deemed Savings Table'!K208</f>
        <v>1000</v>
      </c>
      <c r="AC296" s="742">
        <f t="shared" si="412"/>
        <v>2046.0890198953634</v>
      </c>
      <c r="AD296" s="742">
        <f t="shared" si="413"/>
        <v>0</v>
      </c>
      <c r="AE296" s="580">
        <f>'BUS Deemed Savings Table'!DM208</f>
        <v>2046.0890198953634</v>
      </c>
      <c r="AF296" s="191"/>
      <c r="AG296" s="191"/>
      <c r="AH296" s="191"/>
      <c r="AI296" s="1307" t="str">
        <f>'BUS Deemed Savings Table'!L208</f>
        <v>per measure</v>
      </c>
      <c r="AJ296" s="68"/>
      <c r="AX296" s="1226" t="str">
        <f t="shared" si="396"/>
        <v>ENERGY STAR Hot Holding Cabinet (28 ≤ V)</v>
      </c>
      <c r="AY296" s="1249"/>
      <c r="AZ296" s="1312" t="str">
        <f t="shared" si="397"/>
        <v>803000</v>
      </c>
      <c r="BA296" s="1171" t="s">
        <v>2174</v>
      </c>
      <c r="BB296" s="1171" t="s">
        <v>2174</v>
      </c>
      <c r="BC296" s="1171" t="s">
        <v>2174</v>
      </c>
      <c r="BD296" s="1171" t="s">
        <v>2174</v>
      </c>
      <c r="BE296" s="1176"/>
      <c r="BF296" s="1171" t="s">
        <v>2174</v>
      </c>
      <c r="BG296" s="1171" t="s">
        <v>2174</v>
      </c>
      <c r="BH296" s="1171" t="s">
        <v>2174</v>
      </c>
      <c r="BI296" s="1172" t="s">
        <v>2174</v>
      </c>
      <c r="BJ296" s="1176"/>
      <c r="BK296" s="1171" t="s">
        <v>2174</v>
      </c>
      <c r="BL296" s="1172" t="s">
        <v>2174</v>
      </c>
      <c r="BM296" s="1171" t="s">
        <v>2174</v>
      </c>
      <c r="BN296" s="1172" t="s">
        <v>2174</v>
      </c>
    </row>
    <row r="297" spans="1:66" x14ac:dyDescent="0.25">
      <c r="A297" s="49" t="str">
        <f t="shared" si="410"/>
        <v>803050</v>
      </c>
      <c r="B297" s="1307" t="str">
        <f>'BUS Deemed Savings Table'!C226</f>
        <v>803050_2024_12_</v>
      </c>
      <c r="C297" s="1249" t="str">
        <f>'BUS Deemed Savings Table'!I226</f>
        <v>Cooling BUS</v>
      </c>
      <c r="D297" s="1249" t="str">
        <f>'BUS Deemed Savings Table'!J226</f>
        <v>Heating BUS</v>
      </c>
      <c r="E297" s="1249"/>
      <c r="F297" s="1249"/>
      <c r="G297" s="1249" t="str">
        <f>'BUS Deemed Savings Table'!E226</f>
        <v>Learning Thermostat, cooling and electric heat, per ton</v>
      </c>
      <c r="H297" s="18" t="str">
        <f>'BUS Deemed Savings Table'!D226</f>
        <v>C&amp;I</v>
      </c>
      <c r="I297" s="737">
        <f>K297+L297</f>
        <v>0</v>
      </c>
      <c r="J297" s="737">
        <f>S297+T297</f>
        <v>0</v>
      </c>
      <c r="K297" s="833">
        <f>'BUS Deemed Savings Table'!G226</f>
        <v>0</v>
      </c>
      <c r="L297" s="1249">
        <f>'BUS Deemed Savings Table'!H226</f>
        <v>0</v>
      </c>
      <c r="M297" s="185"/>
      <c r="N297" s="185"/>
      <c r="O297" s="738">
        <f>Q297+R297</f>
        <v>0</v>
      </c>
      <c r="P297" s="738">
        <f>S297+T297</f>
        <v>0</v>
      </c>
      <c r="Q297" s="739">
        <f>'BUS Deemed Savings Table'!L226</f>
        <v>0</v>
      </c>
      <c r="R297" s="739">
        <v>0</v>
      </c>
      <c r="S297" s="739"/>
      <c r="T297" s="739"/>
      <c r="U297" s="740">
        <f t="shared" si="393"/>
        <v>0</v>
      </c>
      <c r="V297" s="740">
        <f t="shared" si="394"/>
        <v>0</v>
      </c>
      <c r="W297" s="740">
        <f t="shared" si="395"/>
        <v>0</v>
      </c>
      <c r="X297" s="22">
        <f>'BUS Deemed Savings Table'!M226</f>
        <v>9</v>
      </c>
      <c r="Y297" s="22"/>
      <c r="Z297" s="22">
        <f t="shared" si="411"/>
        <v>9</v>
      </c>
      <c r="AA297" s="17">
        <f>'BUS Deemed Savings Table'!DK226</f>
        <v>0</v>
      </c>
      <c r="AB297" s="241">
        <f>'BUS Deemed Savings Table'!N226</f>
        <v>105.6</v>
      </c>
      <c r="AC297" s="742">
        <f t="shared" si="412"/>
        <v>0</v>
      </c>
      <c r="AD297" s="742">
        <f t="shared" si="413"/>
        <v>0</v>
      </c>
      <c r="AE297" s="580">
        <f>'BUS Deemed Savings Table'!DM226</f>
        <v>0</v>
      </c>
      <c r="AF297" s="191"/>
      <c r="AG297" s="191"/>
      <c r="AH297" s="191"/>
      <c r="AI297" s="851" t="str">
        <f>'BUS Deemed Savings Table'!O226</f>
        <v>per ton</v>
      </c>
      <c r="AJ297" s="68"/>
      <c r="AX297" s="1226" t="str">
        <f t="shared" si="396"/>
        <v>Learning Thermostat, cooling and electric heat, per ton</v>
      </c>
      <c r="AY297" s="1249"/>
      <c r="AZ297" s="1312" t="str">
        <f t="shared" si="397"/>
        <v>803050</v>
      </c>
      <c r="BA297" s="1171" t="s">
        <v>2174</v>
      </c>
      <c r="BB297" s="1171" t="s">
        <v>2174</v>
      </c>
      <c r="BC297" s="1171" t="s">
        <v>2174</v>
      </c>
      <c r="BD297" s="1171" t="s">
        <v>2174</v>
      </c>
      <c r="BE297" s="1176"/>
      <c r="BF297" s="1171" t="s">
        <v>2174</v>
      </c>
      <c r="BG297" s="1171" t="s">
        <v>2174</v>
      </c>
      <c r="BH297" s="1171" t="s">
        <v>2174</v>
      </c>
      <c r="BI297" s="1172" t="s">
        <v>2174</v>
      </c>
      <c r="BJ297" s="1176"/>
      <c r="BK297" s="1171" t="s">
        <v>2174</v>
      </c>
      <c r="BL297" s="1172" t="s">
        <v>2174</v>
      </c>
      <c r="BM297" s="1171" t="s">
        <v>2174</v>
      </c>
      <c r="BN297" s="1172" t="s">
        <v>2174</v>
      </c>
    </row>
    <row r="298" spans="1:66" x14ac:dyDescent="0.25">
      <c r="A298" s="49" t="str">
        <f t="shared" ref="A298" si="420">LEFT(B298,6)</f>
        <v>803060</v>
      </c>
      <c r="B298" s="1307" t="str">
        <f>'BUS Deemed Savings Table'!C227</f>
        <v>803060_2024_12_</v>
      </c>
      <c r="C298" s="1249" t="str">
        <f>'BUS Deemed Savings Table'!I227</f>
        <v>Cooling BUS</v>
      </c>
      <c r="D298" s="1249" t="str">
        <f>'BUS Deemed Savings Table'!J227</f>
        <v>Heating BUS</v>
      </c>
      <c r="E298" s="1249"/>
      <c r="F298" s="1249"/>
      <c r="G298" s="1249" t="str">
        <f>'BUS Deemed Savings Table'!E227</f>
        <v>Learning Thermostat, cooling , per ton</v>
      </c>
      <c r="H298" s="18" t="str">
        <f>'BUS Deemed Savings Table'!D227</f>
        <v>C&amp;I</v>
      </c>
      <c r="I298" s="737">
        <f>K298+L298</f>
        <v>0</v>
      </c>
      <c r="J298" s="737">
        <f>S298+T298</f>
        <v>0</v>
      </c>
      <c r="K298" s="833">
        <f>'BUS Deemed Savings Table'!G227</f>
        <v>0</v>
      </c>
      <c r="L298" s="1249">
        <f>'BUS Deemed Savings Table'!H227</f>
        <v>0</v>
      </c>
      <c r="M298" s="185"/>
      <c r="N298" s="185"/>
      <c r="O298" s="738">
        <f>Q298+R298</f>
        <v>0</v>
      </c>
      <c r="P298" s="738">
        <f>S298+T298</f>
        <v>0</v>
      </c>
      <c r="Q298" s="739">
        <f>'BUS Deemed Savings Table'!L227</f>
        <v>0</v>
      </c>
      <c r="R298" s="739">
        <v>0</v>
      </c>
      <c r="S298" s="739"/>
      <c r="T298" s="739"/>
      <c r="U298" s="740">
        <f t="shared" si="393"/>
        <v>0</v>
      </c>
      <c r="V298" s="740">
        <f t="shared" si="394"/>
        <v>0</v>
      </c>
      <c r="W298" s="740">
        <f t="shared" si="395"/>
        <v>0</v>
      </c>
      <c r="X298" s="22">
        <f>'BUS Deemed Savings Table'!M227</f>
        <v>9</v>
      </c>
      <c r="Y298" s="22"/>
      <c r="Z298" s="22">
        <f t="shared" ref="Z298" si="421">Y298+X298</f>
        <v>9</v>
      </c>
      <c r="AA298" s="17">
        <f>'BUS Deemed Savings Table'!DK227</f>
        <v>0</v>
      </c>
      <c r="AB298" s="241">
        <f>'BUS Deemed Savings Table'!N227</f>
        <v>105.6</v>
      </c>
      <c r="AC298" s="742">
        <f t="shared" ref="AC298" si="422">AE298+AF298</f>
        <v>0</v>
      </c>
      <c r="AD298" s="742">
        <f t="shared" ref="AD298" si="423">AG298+AH298</f>
        <v>0</v>
      </c>
      <c r="AE298" s="580">
        <f>'BUS Deemed Savings Table'!DM227</f>
        <v>0</v>
      </c>
      <c r="AF298" s="191"/>
      <c r="AG298" s="191"/>
      <c r="AH298" s="191"/>
      <c r="AI298" s="851" t="str">
        <f>'BUS Deemed Savings Table'!O227</f>
        <v>per ton</v>
      </c>
      <c r="AJ298" s="68"/>
      <c r="AX298" s="1226" t="str">
        <f t="shared" ref="AX298" si="424">G298</f>
        <v>Learning Thermostat, cooling , per ton</v>
      </c>
      <c r="AY298" s="1249"/>
      <c r="AZ298" s="1312" t="str">
        <f t="shared" ref="AZ298" si="425">A298</f>
        <v>803060</v>
      </c>
      <c r="BA298" s="1171" t="s">
        <v>2174</v>
      </c>
      <c r="BB298" s="1171" t="s">
        <v>2174</v>
      </c>
      <c r="BC298" s="1171" t="s">
        <v>2174</v>
      </c>
      <c r="BD298" s="1171" t="s">
        <v>2174</v>
      </c>
      <c r="BE298" s="1176"/>
      <c r="BF298" s="1171" t="s">
        <v>2174</v>
      </c>
      <c r="BG298" s="1171" t="s">
        <v>2174</v>
      </c>
      <c r="BH298" s="1171" t="s">
        <v>2174</v>
      </c>
      <c r="BI298" s="1172" t="s">
        <v>2174</v>
      </c>
      <c r="BJ298" s="1176"/>
      <c r="BK298" s="1171" t="s">
        <v>2174</v>
      </c>
      <c r="BL298" s="1172" t="s">
        <v>2174</v>
      </c>
      <c r="BM298" s="1171" t="s">
        <v>2174</v>
      </c>
      <c r="BN298" s="1172" t="s">
        <v>2174</v>
      </c>
    </row>
    <row r="299" spans="1:66" x14ac:dyDescent="0.25">
      <c r="A299" s="49" t="str">
        <f t="shared" si="410"/>
        <v>803100</v>
      </c>
      <c r="B299" s="1307" t="str">
        <f>'BUS Deemed Savings Table'!C241</f>
        <v>803100_2024_12_</v>
      </c>
      <c r="C299" s="1249" t="str">
        <f>'BUS Deemed Savings Table'!G241</f>
        <v>Cooling BUS</v>
      </c>
      <c r="D299" s="1249"/>
      <c r="E299" s="1249"/>
      <c r="F299" s="1249"/>
      <c r="G299" s="1249" t="str">
        <f>'BUS Deemed Savings Table'!E241</f>
        <v>VFD on Chilled Water Pump &gt;= 1HP, per Hp</v>
      </c>
      <c r="H299" s="18" t="str">
        <f>'BUS Deemed Savings Table'!D241</f>
        <v>C&amp;I</v>
      </c>
      <c r="I299" s="737">
        <f>'BUS Deemed Savings Table'!F241</f>
        <v>1362.32</v>
      </c>
      <c r="J299" s="737"/>
      <c r="K299" s="185"/>
      <c r="L299" s="185"/>
      <c r="M299" s="185"/>
      <c r="N299" s="185"/>
      <c r="O299" s="738">
        <f>'BUS Deemed Savings Table'!I241</f>
        <v>1.2406429999999999</v>
      </c>
      <c r="P299" s="738"/>
      <c r="Q299" s="739"/>
      <c r="R299" s="739"/>
      <c r="S299" s="739"/>
      <c r="T299" s="739"/>
      <c r="U299" s="740">
        <f t="shared" si="393"/>
        <v>0</v>
      </c>
      <c r="V299" s="740">
        <f t="shared" si="394"/>
        <v>0</v>
      </c>
      <c r="W299" s="740">
        <f t="shared" si="395"/>
        <v>1.2406429999999999</v>
      </c>
      <c r="X299" s="22">
        <f>'BUS Deemed Savings Table'!J241</f>
        <v>15</v>
      </c>
      <c r="Y299" s="22"/>
      <c r="Z299" s="22">
        <f t="shared" si="411"/>
        <v>15</v>
      </c>
      <c r="AA299" s="17">
        <f>'BUS Deemed Savings Table'!DK241</f>
        <v>7.3182991924593015</v>
      </c>
      <c r="AB299" s="241">
        <f>'BUS Deemed Savings Table'!K241</f>
        <v>360</v>
      </c>
      <c r="AC299" s="742">
        <f t="shared" si="412"/>
        <v>2634.5877092853484</v>
      </c>
      <c r="AD299" s="742">
        <f t="shared" si="413"/>
        <v>0</v>
      </c>
      <c r="AE299" s="580">
        <f>'BUS Deemed Savings Table'!DM241</f>
        <v>2634.5877092853484</v>
      </c>
      <c r="AF299" s="191"/>
      <c r="AG299" s="191"/>
      <c r="AH299" s="191"/>
      <c r="AI299" s="857" t="str">
        <f>'BUS Deemed Savings Table'!L241</f>
        <v>per Hp</v>
      </c>
      <c r="AJ299" s="68"/>
      <c r="AX299" s="1226" t="str">
        <f t="shared" si="396"/>
        <v>VFD on Chilled Water Pump &gt;= 1HP, per Hp</v>
      </c>
      <c r="AY299" s="1249"/>
      <c r="AZ299" s="1312" t="str">
        <f t="shared" si="397"/>
        <v>803100</v>
      </c>
      <c r="BA299" s="1171" t="s">
        <v>2174</v>
      </c>
      <c r="BB299" s="1171" t="s">
        <v>2174</v>
      </c>
      <c r="BC299" s="1171" t="s">
        <v>2174</v>
      </c>
      <c r="BD299" s="1171" t="s">
        <v>2174</v>
      </c>
      <c r="BE299" s="1176"/>
      <c r="BF299" s="1171" t="s">
        <v>2174</v>
      </c>
      <c r="BG299" s="1171" t="s">
        <v>2174</v>
      </c>
      <c r="BH299" s="1171" t="s">
        <v>2174</v>
      </c>
      <c r="BI299" s="1172" t="s">
        <v>2174</v>
      </c>
      <c r="BJ299" s="1176"/>
      <c r="BK299" s="1171" t="s">
        <v>2174</v>
      </c>
      <c r="BL299" s="1172" t="s">
        <v>2174</v>
      </c>
      <c r="BM299" s="1171" t="s">
        <v>2174</v>
      </c>
      <c r="BN299" s="1172" t="s">
        <v>2174</v>
      </c>
    </row>
    <row r="300" spans="1:66" x14ac:dyDescent="0.25">
      <c r="A300" s="49" t="str">
        <f t="shared" si="410"/>
        <v>803150</v>
      </c>
      <c r="B300" s="1307" t="str">
        <f>'BUS Deemed Savings Table'!C242</f>
        <v>803150_2024_12_</v>
      </c>
      <c r="C300" s="1249" t="str">
        <f>'BUS Deemed Savings Table'!G242</f>
        <v>HVAC BUS</v>
      </c>
      <c r="D300" s="1249"/>
      <c r="E300" s="1249"/>
      <c r="F300" s="1249"/>
      <c r="G300" s="1249" t="str">
        <f>'BUS Deemed Savings Table'!E242</f>
        <v>VFD on Hot Water Pump &gt;= 1HP</v>
      </c>
      <c r="H300" s="18" t="str">
        <f>'BUS Deemed Savings Table'!D242</f>
        <v>C&amp;I</v>
      </c>
      <c r="I300" s="737">
        <f>'BUS Deemed Savings Table'!F242</f>
        <v>1181.01</v>
      </c>
      <c r="J300" s="737"/>
      <c r="K300" s="185"/>
      <c r="L300" s="185"/>
      <c r="M300" s="185"/>
      <c r="N300" s="185"/>
      <c r="O300" s="738">
        <f>'BUS Deemed Savings Table'!I242</f>
        <v>0.52434800000000004</v>
      </c>
      <c r="P300" s="738"/>
      <c r="Q300" s="739"/>
      <c r="R300" s="739"/>
      <c r="S300" s="739"/>
      <c r="T300" s="739"/>
      <c r="U300" s="740">
        <f t="shared" si="393"/>
        <v>0</v>
      </c>
      <c r="V300" s="740">
        <f t="shared" si="394"/>
        <v>0</v>
      </c>
      <c r="W300" s="740">
        <f t="shared" si="395"/>
        <v>0.52434800000000004</v>
      </c>
      <c r="X300" s="22">
        <f>'BUS Deemed Savings Table'!J242</f>
        <v>15</v>
      </c>
      <c r="Y300" s="22"/>
      <c r="Z300" s="22">
        <f t="shared" si="411"/>
        <v>15</v>
      </c>
      <c r="AA300" s="17">
        <f>'BUS Deemed Savings Table'!DK242</f>
        <v>4.0001669388996595</v>
      </c>
      <c r="AB300" s="241">
        <f>'BUS Deemed Savings Table'!K242</f>
        <v>360</v>
      </c>
      <c r="AC300" s="742">
        <f t="shared" si="412"/>
        <v>1440.0600980038776</v>
      </c>
      <c r="AD300" s="742">
        <f t="shared" si="413"/>
        <v>0</v>
      </c>
      <c r="AE300" s="580">
        <f>'BUS Deemed Savings Table'!DM242</f>
        <v>1440.0600980038776</v>
      </c>
      <c r="AF300" s="191"/>
      <c r="AG300" s="191"/>
      <c r="AH300" s="191"/>
      <c r="AI300" s="857" t="str">
        <f>'BUS Deemed Savings Table'!L242</f>
        <v>per Hp</v>
      </c>
      <c r="AJ300" s="68"/>
      <c r="AX300" s="1226" t="str">
        <f t="shared" si="396"/>
        <v>VFD on Hot Water Pump &gt;= 1HP</v>
      </c>
      <c r="AY300" s="1249"/>
      <c r="AZ300" s="1312" t="str">
        <f t="shared" si="397"/>
        <v>803150</v>
      </c>
      <c r="BA300" s="1171" t="s">
        <v>2174</v>
      </c>
      <c r="BB300" s="1171" t="s">
        <v>2174</v>
      </c>
      <c r="BC300" s="1171" t="s">
        <v>2174</v>
      </c>
      <c r="BD300" s="1171" t="s">
        <v>2174</v>
      </c>
      <c r="BE300" s="1176"/>
      <c r="BF300" s="1171" t="s">
        <v>2174</v>
      </c>
      <c r="BG300" s="1171" t="s">
        <v>2174</v>
      </c>
      <c r="BH300" s="1171" t="s">
        <v>2174</v>
      </c>
      <c r="BI300" s="1172" t="s">
        <v>2174</v>
      </c>
      <c r="BJ300" s="1176"/>
      <c r="BK300" s="1171" t="s">
        <v>2174</v>
      </c>
      <c r="BL300" s="1172" t="s">
        <v>2174</v>
      </c>
      <c r="BM300" s="1171" t="s">
        <v>2174</v>
      </c>
      <c r="BN300" s="1172" t="s">
        <v>2174</v>
      </c>
    </row>
    <row r="301" spans="1:66" x14ac:dyDescent="0.25">
      <c r="A301" s="49" t="str">
        <f t="shared" si="410"/>
        <v>803155</v>
      </c>
      <c r="B301" s="1307" t="str">
        <f>'BUS Deemed Savings Table'!C243</f>
        <v>803155_2024_12_</v>
      </c>
      <c r="C301" s="1249" t="str">
        <f>'BUS Deemed Savings Table'!G243</f>
        <v>Cooling BUS</v>
      </c>
      <c r="D301" s="1249"/>
      <c r="E301" s="1249"/>
      <c r="F301" s="1249"/>
      <c r="G301" s="1249" t="str">
        <f>'BUS Deemed Savings Table'!E243</f>
        <v>VFD on Condenser Water Pump &gt;= 1HP</v>
      </c>
      <c r="H301" s="18" t="str">
        <f>'BUS Deemed Savings Table'!D243</f>
        <v>C&amp;I</v>
      </c>
      <c r="I301" s="737">
        <f>'BUS Deemed Savings Table'!F243</f>
        <v>1362.32</v>
      </c>
      <c r="J301" s="737"/>
      <c r="K301" s="185"/>
      <c r="L301" s="185"/>
      <c r="M301" s="185"/>
      <c r="N301" s="185"/>
      <c r="O301" s="738">
        <f>'BUS Deemed Savings Table'!I243</f>
        <v>1.2406429999999999</v>
      </c>
      <c r="P301" s="738"/>
      <c r="Q301" s="739"/>
      <c r="R301" s="739"/>
      <c r="S301" s="739"/>
      <c r="T301" s="739"/>
      <c r="U301" s="740">
        <f t="shared" si="393"/>
        <v>0</v>
      </c>
      <c r="V301" s="740">
        <f t="shared" si="394"/>
        <v>0</v>
      </c>
      <c r="W301" s="740">
        <f t="shared" si="395"/>
        <v>1.2406429999999999</v>
      </c>
      <c r="X301" s="22">
        <f>'BUS Deemed Savings Table'!J243</f>
        <v>15</v>
      </c>
      <c r="Y301" s="22"/>
      <c r="Z301" s="22">
        <f t="shared" si="411"/>
        <v>15</v>
      </c>
      <c r="AA301" s="17">
        <f>'BUS Deemed Savings Table'!DK243</f>
        <v>7.3182991924593015</v>
      </c>
      <c r="AB301" s="241">
        <f>'BUS Deemed Savings Table'!K243</f>
        <v>360</v>
      </c>
      <c r="AC301" s="742">
        <f t="shared" si="412"/>
        <v>2634.5877092853484</v>
      </c>
      <c r="AD301" s="742">
        <f t="shared" si="413"/>
        <v>0</v>
      </c>
      <c r="AE301" s="580">
        <f>'BUS Deemed Savings Table'!DM243</f>
        <v>2634.5877092853484</v>
      </c>
      <c r="AF301" s="191"/>
      <c r="AG301" s="191"/>
      <c r="AH301" s="191"/>
      <c r="AI301" s="857" t="str">
        <f>'BUS Deemed Savings Table'!L243</f>
        <v>per Hp</v>
      </c>
      <c r="AJ301" s="68"/>
      <c r="AX301" s="1226" t="str">
        <f t="shared" si="396"/>
        <v>VFD on Condenser Water Pump &gt;= 1HP</v>
      </c>
      <c r="AY301" s="1249"/>
      <c r="AZ301" s="1312" t="str">
        <f t="shared" si="397"/>
        <v>803155</v>
      </c>
      <c r="BA301" s="1171" t="s">
        <v>2174</v>
      </c>
      <c r="BB301" s="1171" t="s">
        <v>2174</v>
      </c>
      <c r="BC301" s="1171" t="s">
        <v>2174</v>
      </c>
      <c r="BD301" s="1171" t="s">
        <v>2174</v>
      </c>
      <c r="BE301" s="1176"/>
      <c r="BF301" s="1171" t="s">
        <v>2174</v>
      </c>
      <c r="BG301" s="1171" t="s">
        <v>2174</v>
      </c>
      <c r="BH301" s="1171" t="s">
        <v>2174</v>
      </c>
      <c r="BI301" s="1172" t="s">
        <v>2174</v>
      </c>
      <c r="BJ301" s="1176"/>
      <c r="BK301" s="1171" t="s">
        <v>2174</v>
      </c>
      <c r="BL301" s="1172" t="s">
        <v>2174</v>
      </c>
      <c r="BM301" s="1171" t="s">
        <v>2174</v>
      </c>
      <c r="BN301" s="1172" t="s">
        <v>2174</v>
      </c>
    </row>
    <row r="302" spans="1:66" x14ac:dyDescent="0.25">
      <c r="A302" s="49" t="str">
        <f t="shared" si="410"/>
        <v>803160</v>
      </c>
      <c r="B302" s="1307" t="str">
        <f>'BUS Deemed Savings Table'!C244</f>
        <v>803160_2024_12_</v>
      </c>
      <c r="C302" s="1249" t="str">
        <f>'BUS Deemed Savings Table'!G244</f>
        <v>HVAC BUS</v>
      </c>
      <c r="D302" s="1249"/>
      <c r="E302" s="1249"/>
      <c r="F302" s="1249"/>
      <c r="G302" s="1249" t="str">
        <f>'BUS Deemed Savings Table'!E244</f>
        <v>VFD on Cooling Tower Fan &gt;= 1HP</v>
      </c>
      <c r="H302" s="18" t="str">
        <f>'BUS Deemed Savings Table'!D244</f>
        <v>C&amp;I</v>
      </c>
      <c r="I302" s="737">
        <f>'BUS Deemed Savings Table'!F244</f>
        <v>1910.3</v>
      </c>
      <c r="J302" s="737"/>
      <c r="K302" s="185"/>
      <c r="L302" s="185"/>
      <c r="M302" s="185"/>
      <c r="N302" s="185"/>
      <c r="O302" s="738">
        <f>'BUS Deemed Savings Table'!I244</f>
        <v>0.84814100000000003</v>
      </c>
      <c r="P302" s="738"/>
      <c r="Q302" s="739"/>
      <c r="R302" s="739"/>
      <c r="S302" s="739"/>
      <c r="T302" s="739"/>
      <c r="U302" s="740">
        <f t="shared" si="393"/>
        <v>0</v>
      </c>
      <c r="V302" s="740">
        <f t="shared" si="394"/>
        <v>0</v>
      </c>
      <c r="W302" s="740">
        <f t="shared" si="395"/>
        <v>0.84814100000000003</v>
      </c>
      <c r="X302" s="22">
        <f>'BUS Deemed Savings Table'!J244</f>
        <v>15</v>
      </c>
      <c r="Y302" s="22"/>
      <c r="Z302" s="22">
        <f t="shared" si="411"/>
        <v>15</v>
      </c>
      <c r="AA302" s="17">
        <f>'BUS Deemed Savings Table'!DK244</f>
        <v>6.4703253176349218</v>
      </c>
      <c r="AB302" s="241">
        <f>'BUS Deemed Savings Table'!K244</f>
        <v>360</v>
      </c>
      <c r="AC302" s="742">
        <f t="shared" si="412"/>
        <v>2329.317114348572</v>
      </c>
      <c r="AD302" s="742">
        <f t="shared" si="413"/>
        <v>0</v>
      </c>
      <c r="AE302" s="580">
        <f>'BUS Deemed Savings Table'!DM244</f>
        <v>2329.317114348572</v>
      </c>
      <c r="AF302" s="191"/>
      <c r="AG302" s="191"/>
      <c r="AH302" s="191"/>
      <c r="AI302" s="857" t="str">
        <f>'BUS Deemed Savings Table'!L244</f>
        <v>per Hp</v>
      </c>
      <c r="AJ302" s="68"/>
      <c r="AX302" s="1226" t="str">
        <f t="shared" si="396"/>
        <v>VFD on Cooling Tower Fan &gt;= 1HP</v>
      </c>
      <c r="AY302" s="1249"/>
      <c r="AZ302" s="1312" t="str">
        <f t="shared" si="397"/>
        <v>803160</v>
      </c>
      <c r="BA302" s="1171" t="s">
        <v>2174</v>
      </c>
      <c r="BB302" s="1171" t="s">
        <v>2174</v>
      </c>
      <c r="BC302" s="1171" t="s">
        <v>2174</v>
      </c>
      <c r="BD302" s="1171" t="s">
        <v>2174</v>
      </c>
      <c r="BE302" s="1176"/>
      <c r="BF302" s="1171" t="s">
        <v>2174</v>
      </c>
      <c r="BG302" s="1171" t="s">
        <v>2174</v>
      </c>
      <c r="BH302" s="1171" t="s">
        <v>2174</v>
      </c>
      <c r="BI302" s="1172" t="s">
        <v>2174</v>
      </c>
      <c r="BJ302" s="1176"/>
      <c r="BK302" s="1171" t="s">
        <v>2174</v>
      </c>
      <c r="BL302" s="1172" t="s">
        <v>2174</v>
      </c>
      <c r="BM302" s="1171" t="s">
        <v>2174</v>
      </c>
      <c r="BN302" s="1172" t="s">
        <v>2174</v>
      </c>
    </row>
    <row r="303" spans="1:66" x14ac:dyDescent="0.25">
      <c r="A303" s="49" t="str">
        <f t="shared" si="410"/>
        <v>803200</v>
      </c>
      <c r="B303" s="1307" t="str">
        <f>'BUS Deemed Savings Table'!C261</f>
        <v>803200_2024_12_</v>
      </c>
      <c r="C303" s="1249" t="str">
        <f>'BUS Deemed Savings Table'!G261</f>
        <v>HVAC BUS</v>
      </c>
      <c r="D303" s="1249"/>
      <c r="E303" s="1249"/>
      <c r="F303" s="1249"/>
      <c r="G303" s="1249" t="str">
        <f>'BUS Deemed Savings Table'!E261</f>
        <v xml:space="preserve"> VFD on HVAC Fans &gt;= 1HP </v>
      </c>
      <c r="H303" s="18" t="str">
        <f>'BUS Deemed Savings Table'!D261</f>
        <v>C&amp;I</v>
      </c>
      <c r="I303" s="737">
        <f>'BUS Deemed Savings Table'!F261</f>
        <v>939.75</v>
      </c>
      <c r="J303" s="737"/>
      <c r="K303" s="185"/>
      <c r="L303" s="185"/>
      <c r="M303" s="185"/>
      <c r="N303" s="185"/>
      <c r="O303" s="738">
        <f>'BUS Deemed Savings Table'!I261</f>
        <v>0.41723300000000002</v>
      </c>
      <c r="P303" s="738"/>
      <c r="Q303" s="739"/>
      <c r="R303" s="739"/>
      <c r="S303" s="739"/>
      <c r="T303" s="739"/>
      <c r="U303" s="740">
        <f t="shared" ref="U303:U325" si="426">IFERROR(IF(V303+W303&gt;0,0,IF(Z303&gt;0,O303,0)),0)</f>
        <v>0</v>
      </c>
      <c r="V303" s="740">
        <f t="shared" ref="V303:V325" si="427">IF(W303&gt;0,0,IF(Z303&gt;9,O303,0))</f>
        <v>0</v>
      </c>
      <c r="W303" s="740">
        <f t="shared" ref="W303:W325" si="428">IF(Z303&gt;14,O303,0)</f>
        <v>0.41723300000000002</v>
      </c>
      <c r="X303" s="22">
        <f>'BUS Deemed Savings Table'!J261</f>
        <v>15</v>
      </c>
      <c r="Y303" s="22"/>
      <c r="Z303" s="22">
        <f t="shared" si="411"/>
        <v>15</v>
      </c>
      <c r="AA303" s="17">
        <f>'BUS Deemed Savings Table'!DK261</f>
        <v>3.1830017365060037</v>
      </c>
      <c r="AB303" s="241">
        <f>'BUS Deemed Savings Table'!K261</f>
        <v>360</v>
      </c>
      <c r="AC303" s="742">
        <f t="shared" si="412"/>
        <v>1145.8806251421613</v>
      </c>
      <c r="AD303" s="742">
        <f t="shared" si="413"/>
        <v>0</v>
      </c>
      <c r="AE303" s="580">
        <f>'BUS Deemed Savings Table'!DM261</f>
        <v>1145.8806251421613</v>
      </c>
      <c r="AF303" s="191"/>
      <c r="AG303" s="191"/>
      <c r="AH303" s="191"/>
      <c r="AI303" s="857" t="str">
        <f>'BUS Deemed Savings Table'!L261</f>
        <v>per Hp</v>
      </c>
      <c r="AJ303" s="68"/>
      <c r="AX303" s="1226" t="str">
        <f t="shared" si="396"/>
        <v xml:space="preserve"> VFD on HVAC Fans &gt;= 1HP </v>
      </c>
      <c r="AY303" s="1249"/>
      <c r="AZ303" s="1312" t="str">
        <f t="shared" si="397"/>
        <v>803200</v>
      </c>
      <c r="BA303" s="1171" t="s">
        <v>2174</v>
      </c>
      <c r="BB303" s="1171" t="s">
        <v>2174</v>
      </c>
      <c r="BC303" s="1171" t="s">
        <v>2174</v>
      </c>
      <c r="BD303" s="1171" t="s">
        <v>2174</v>
      </c>
      <c r="BE303" s="1176"/>
      <c r="BF303" s="1171" t="s">
        <v>2174</v>
      </c>
      <c r="BG303" s="1171" t="s">
        <v>2174</v>
      </c>
      <c r="BH303" s="1171" t="s">
        <v>2174</v>
      </c>
      <c r="BI303" s="1172" t="s">
        <v>2174</v>
      </c>
      <c r="BJ303" s="1176"/>
      <c r="BK303" s="1171" t="s">
        <v>2174</v>
      </c>
      <c r="BL303" s="1172" t="s">
        <v>2174</v>
      </c>
      <c r="BM303" s="1171" t="s">
        <v>2174</v>
      </c>
      <c r="BN303" s="1172" t="s">
        <v>2174</v>
      </c>
    </row>
    <row r="304" spans="1:66" x14ac:dyDescent="0.25">
      <c r="A304" s="49" t="str">
        <f t="shared" si="410"/>
        <v>803250</v>
      </c>
      <c r="B304" s="1307" t="str">
        <f>'BUS Deemed Savings Table'!C291</f>
        <v>803250_2024_12_</v>
      </c>
      <c r="C304" s="1249" t="str">
        <f>'BUS Deemed Savings Table'!G291</f>
        <v>Cooling BUS</v>
      </c>
      <c r="D304" s="1249"/>
      <c r="E304" s="1249"/>
      <c r="F304" s="1249"/>
      <c r="G304" s="1249" t="str">
        <f>'BUS Deemed Savings Table'!E291</f>
        <v>Single Package or Split Sytem Unitary AC_DX 135 - 240kbtu</v>
      </c>
      <c r="H304" s="18" t="str">
        <f>'BUS Deemed Savings Table'!D291</f>
        <v>C&amp;I</v>
      </c>
      <c r="I304" s="737">
        <f t="shared" ref="I304:I318" si="429">K304+L304</f>
        <v>117.73</v>
      </c>
      <c r="J304" s="737">
        <f t="shared" ref="J304:J318" si="430">S304+T304</f>
        <v>0</v>
      </c>
      <c r="K304" s="185">
        <f>'BUS Deemed Savings Table'!F291</f>
        <v>117.73</v>
      </c>
      <c r="L304" s="185"/>
      <c r="M304" s="185"/>
      <c r="N304" s="185"/>
      <c r="O304" s="738">
        <f t="shared" ref="O304:O318" si="431">Q304+R304</f>
        <v>0.107215</v>
      </c>
      <c r="P304" s="738">
        <f t="shared" ref="P304:P318" si="432">S304+T304</f>
        <v>0</v>
      </c>
      <c r="Q304" s="738">
        <f>'BUS Deemed Savings Table'!I291</f>
        <v>0.107215</v>
      </c>
      <c r="R304" s="739">
        <v>0</v>
      </c>
      <c r="S304" s="739"/>
      <c r="T304" s="739"/>
      <c r="U304" s="740">
        <f t="shared" si="426"/>
        <v>0</v>
      </c>
      <c r="V304" s="740">
        <f t="shared" si="427"/>
        <v>0</v>
      </c>
      <c r="W304" s="740">
        <f t="shared" si="428"/>
        <v>0.107215</v>
      </c>
      <c r="X304" s="22">
        <f>'BUS Deemed Savings Table'!J291</f>
        <v>15</v>
      </c>
      <c r="Y304" s="22"/>
      <c r="Z304" s="22">
        <f t="shared" si="411"/>
        <v>15</v>
      </c>
      <c r="AA304" s="17">
        <f>'BUS Deemed Savings Table'!DK291</f>
        <v>1.0424807373623386</v>
      </c>
      <c r="AB304" s="241">
        <f>'BUS Deemed Savings Table'!K291</f>
        <v>218.40000000000015</v>
      </c>
      <c r="AC304" s="742">
        <f t="shared" si="412"/>
        <v>227.6777930399349</v>
      </c>
      <c r="AD304" s="742">
        <f t="shared" si="413"/>
        <v>0</v>
      </c>
      <c r="AE304" s="580">
        <f>'BUS Deemed Savings Table'!DM291</f>
        <v>227.6777930399349</v>
      </c>
      <c r="AF304" s="191"/>
      <c r="AG304" s="191"/>
      <c r="AH304" s="191"/>
      <c r="AI304" s="857" t="str">
        <f>'BUS Deemed Savings Table'!L291</f>
        <v>per ton</v>
      </c>
      <c r="AJ304" s="68"/>
      <c r="AX304" s="1226" t="str">
        <f t="shared" si="396"/>
        <v>Single Package or Split Sytem Unitary AC_DX 135 - 240kbtu</v>
      </c>
      <c r="AY304" s="1249"/>
      <c r="AZ304" s="1312" t="str">
        <f t="shared" si="397"/>
        <v>803250</v>
      </c>
      <c r="BA304" s="1171" t="s">
        <v>2174</v>
      </c>
      <c r="BB304" s="1171" t="s">
        <v>2174</v>
      </c>
      <c r="BC304" s="1171" t="s">
        <v>2174</v>
      </c>
      <c r="BD304" s="1171" t="s">
        <v>2174</v>
      </c>
      <c r="BE304" s="1176"/>
      <c r="BF304" s="1171" t="s">
        <v>2174</v>
      </c>
      <c r="BG304" s="1171" t="s">
        <v>2174</v>
      </c>
      <c r="BH304" s="1171" t="s">
        <v>2174</v>
      </c>
      <c r="BI304" s="1172" t="s">
        <v>2174</v>
      </c>
      <c r="BJ304" s="1176"/>
      <c r="BK304" s="1171" t="s">
        <v>2174</v>
      </c>
      <c r="BL304" s="1172" t="s">
        <v>2174</v>
      </c>
      <c r="BM304" s="1171" t="s">
        <v>2174</v>
      </c>
      <c r="BN304" s="1172" t="s">
        <v>2174</v>
      </c>
    </row>
    <row r="305" spans="1:66" x14ac:dyDescent="0.25">
      <c r="A305" s="49" t="str">
        <f t="shared" si="410"/>
        <v>803300</v>
      </c>
      <c r="B305" s="1307" t="str">
        <f>'BUS Deemed Savings Table'!C292</f>
        <v>803300_2024_12_</v>
      </c>
      <c r="C305" s="1249" t="str">
        <f>'BUS Deemed Savings Table'!G292</f>
        <v>Cooling BUS</v>
      </c>
      <c r="D305" s="1249"/>
      <c r="E305" s="1249"/>
      <c r="F305" s="1249"/>
      <c r="G305" s="1249" t="str">
        <f>'BUS Deemed Savings Table'!E292</f>
        <v>Single Package or Split Sytem Unitary AC_DX 240 - 760kBTUh</v>
      </c>
      <c r="H305" s="18" t="str">
        <f>'BUS Deemed Savings Table'!D292</f>
        <v>C&amp;I</v>
      </c>
      <c r="I305" s="737">
        <f t="shared" si="429"/>
        <v>179.28</v>
      </c>
      <c r="J305" s="737">
        <f t="shared" si="430"/>
        <v>0</v>
      </c>
      <c r="K305" s="185">
        <f>'BUS Deemed Savings Table'!F292</f>
        <v>179.28</v>
      </c>
      <c r="L305" s="185"/>
      <c r="M305" s="185"/>
      <c r="N305" s="185"/>
      <c r="O305" s="738">
        <f t="shared" si="431"/>
        <v>0.163267</v>
      </c>
      <c r="P305" s="738">
        <f t="shared" si="432"/>
        <v>0</v>
      </c>
      <c r="Q305" s="738">
        <f>'BUS Deemed Savings Table'!I292</f>
        <v>0.163267</v>
      </c>
      <c r="R305" s="739">
        <v>0</v>
      </c>
      <c r="S305" s="739"/>
      <c r="T305" s="739"/>
      <c r="U305" s="740">
        <f t="shared" si="426"/>
        <v>0</v>
      </c>
      <c r="V305" s="740">
        <f t="shared" si="427"/>
        <v>0</v>
      </c>
      <c r="W305" s="740">
        <f t="shared" si="428"/>
        <v>0.163267</v>
      </c>
      <c r="X305" s="22">
        <f>'BUS Deemed Savings Table'!J292</f>
        <v>15</v>
      </c>
      <c r="Y305" s="22"/>
      <c r="Z305" s="22">
        <f t="shared" si="411"/>
        <v>15</v>
      </c>
      <c r="AA305" s="17">
        <f>'BUS Deemed Savings Table'!DK292</f>
        <v>1.1339259722265245</v>
      </c>
      <c r="AB305" s="241">
        <f>'BUS Deemed Savings Table'!K292</f>
        <v>305.75999999999993</v>
      </c>
      <c r="AC305" s="742">
        <f t="shared" si="412"/>
        <v>346.70920526798204</v>
      </c>
      <c r="AD305" s="742">
        <f t="shared" si="413"/>
        <v>0</v>
      </c>
      <c r="AE305" s="580">
        <f>'BUS Deemed Savings Table'!DM292</f>
        <v>346.70920526798204</v>
      </c>
      <c r="AF305" s="191"/>
      <c r="AG305" s="191"/>
      <c r="AH305" s="191"/>
      <c r="AI305" s="857" t="str">
        <f>'BUS Deemed Savings Table'!L292</f>
        <v>per ton</v>
      </c>
      <c r="AJ305" s="68"/>
      <c r="AX305" s="1226" t="str">
        <f t="shared" si="396"/>
        <v>Single Package or Split Sytem Unitary AC_DX 240 - 760kBTUh</v>
      </c>
      <c r="AY305" s="1249"/>
      <c r="AZ305" s="1312" t="str">
        <f t="shared" si="397"/>
        <v>803300</v>
      </c>
      <c r="BA305" s="1171" t="s">
        <v>2174</v>
      </c>
      <c r="BB305" s="1171" t="s">
        <v>2174</v>
      </c>
      <c r="BC305" s="1171" t="s">
        <v>2174</v>
      </c>
      <c r="BD305" s="1171" t="s">
        <v>2174</v>
      </c>
      <c r="BE305" s="1176"/>
      <c r="BF305" s="1171" t="s">
        <v>2174</v>
      </c>
      <c r="BG305" s="1171" t="s">
        <v>2174</v>
      </c>
      <c r="BH305" s="1171" t="s">
        <v>2174</v>
      </c>
      <c r="BI305" s="1172" t="s">
        <v>2174</v>
      </c>
      <c r="BJ305" s="1176"/>
      <c r="BK305" s="1171" t="s">
        <v>2174</v>
      </c>
      <c r="BL305" s="1172" t="s">
        <v>2174</v>
      </c>
      <c r="BM305" s="1171" t="s">
        <v>2174</v>
      </c>
      <c r="BN305" s="1172" t="s">
        <v>2174</v>
      </c>
    </row>
    <row r="306" spans="1:66" x14ac:dyDescent="0.25">
      <c r="A306" s="49" t="str">
        <f t="shared" si="410"/>
        <v>803350</v>
      </c>
      <c r="B306" s="1307" t="str">
        <f>'BUS Deemed Savings Table'!C293</f>
        <v>803350_2024_12_</v>
      </c>
      <c r="C306" s="1249" t="str">
        <f>'BUS Deemed Savings Table'!G293</f>
        <v>Cooling BUS</v>
      </c>
      <c r="D306" s="1249"/>
      <c r="E306" s="1249"/>
      <c r="F306" s="1249"/>
      <c r="G306" s="1249" t="str">
        <f>'BUS Deemed Savings Table'!E293</f>
        <v>Single Package or Split Sytem Unitary AC_DX 65 -135kBTUh</v>
      </c>
      <c r="H306" s="18" t="str">
        <f>'BUS Deemed Savings Table'!D293</f>
        <v>C&amp;I</v>
      </c>
      <c r="I306" s="737">
        <f t="shared" si="429"/>
        <v>102.44</v>
      </c>
      <c r="J306" s="737">
        <f t="shared" si="430"/>
        <v>0</v>
      </c>
      <c r="K306" s="185">
        <f>'BUS Deemed Savings Table'!F293</f>
        <v>102.44</v>
      </c>
      <c r="L306" s="185"/>
      <c r="M306" s="185"/>
      <c r="N306" s="185"/>
      <c r="O306" s="738">
        <f t="shared" si="431"/>
        <v>9.3289999999999998E-2</v>
      </c>
      <c r="P306" s="738">
        <f t="shared" si="432"/>
        <v>0</v>
      </c>
      <c r="Q306" s="738">
        <f>'BUS Deemed Savings Table'!I293</f>
        <v>9.3289999999999998E-2</v>
      </c>
      <c r="R306" s="739">
        <v>0</v>
      </c>
      <c r="S306" s="739"/>
      <c r="T306" s="739"/>
      <c r="U306" s="740">
        <f t="shared" si="426"/>
        <v>0</v>
      </c>
      <c r="V306" s="740">
        <f t="shared" si="427"/>
        <v>0</v>
      </c>
      <c r="W306" s="740">
        <f t="shared" si="428"/>
        <v>9.3289999999999998E-2</v>
      </c>
      <c r="X306" s="22">
        <f>'BUS Deemed Savings Table'!J293</f>
        <v>15</v>
      </c>
      <c r="Y306" s="22"/>
      <c r="Z306" s="22">
        <f t="shared" si="411"/>
        <v>15</v>
      </c>
      <c r="AA306" s="17">
        <f>'BUS Deemed Savings Table'!DK293</f>
        <v>0.97188233429455484</v>
      </c>
      <c r="AB306" s="241">
        <f>'BUS Deemed Savings Table'!K293</f>
        <v>203.83999999999992</v>
      </c>
      <c r="AC306" s="742">
        <f t="shared" si="412"/>
        <v>198.10849502260197</v>
      </c>
      <c r="AD306" s="742">
        <f t="shared" si="413"/>
        <v>0</v>
      </c>
      <c r="AE306" s="580">
        <f>'BUS Deemed Savings Table'!DM293</f>
        <v>198.10849502260197</v>
      </c>
      <c r="AF306" s="191"/>
      <c r="AG306" s="191"/>
      <c r="AH306" s="191"/>
      <c r="AI306" s="857" t="str">
        <f>'BUS Deemed Savings Table'!L293</f>
        <v>per ton</v>
      </c>
      <c r="AJ306" s="68"/>
      <c r="AX306" s="1226" t="str">
        <f t="shared" si="396"/>
        <v>Single Package or Split Sytem Unitary AC_DX 65 -135kBTUh</v>
      </c>
      <c r="AY306" s="1249"/>
      <c r="AZ306" s="1312" t="str">
        <f t="shared" si="397"/>
        <v>803350</v>
      </c>
      <c r="BA306" s="1171" t="s">
        <v>2174</v>
      </c>
      <c r="BB306" s="1171" t="s">
        <v>2174</v>
      </c>
      <c r="BC306" s="1171" t="s">
        <v>2174</v>
      </c>
      <c r="BD306" s="1171" t="s">
        <v>2174</v>
      </c>
      <c r="BE306" s="1176"/>
      <c r="BF306" s="1171" t="s">
        <v>2174</v>
      </c>
      <c r="BG306" s="1171" t="s">
        <v>2174</v>
      </c>
      <c r="BH306" s="1171" t="s">
        <v>2174</v>
      </c>
      <c r="BI306" s="1172" t="s">
        <v>2174</v>
      </c>
      <c r="BJ306" s="1176"/>
      <c r="BK306" s="1171" t="s">
        <v>2174</v>
      </c>
      <c r="BL306" s="1172" t="s">
        <v>2174</v>
      </c>
      <c r="BM306" s="1171" t="s">
        <v>2174</v>
      </c>
      <c r="BN306" s="1172" t="s">
        <v>2174</v>
      </c>
    </row>
    <row r="307" spans="1:66" x14ac:dyDescent="0.25">
      <c r="A307" s="49" t="str">
        <f t="shared" si="410"/>
        <v>803400</v>
      </c>
      <c r="B307" s="1307" t="str">
        <f>'BUS Deemed Savings Table'!C294</f>
        <v>803400_2025_12_</v>
      </c>
      <c r="C307" s="1249" t="str">
        <f>'BUS Deemed Savings Table'!G294</f>
        <v>Cooling BUS</v>
      </c>
      <c r="D307" s="1249"/>
      <c r="E307" s="1249"/>
      <c r="F307" s="1249"/>
      <c r="G307" s="1249" t="str">
        <f>'BUS Deemed Savings Table'!E294</f>
        <v>Single Package or Split Sytem Unitary AC_DX &gt;760kBTUh</v>
      </c>
      <c r="H307" s="18" t="str">
        <f>'BUS Deemed Savings Table'!D294</f>
        <v>C&amp;I</v>
      </c>
      <c r="I307" s="737">
        <f t="shared" si="429"/>
        <v>177.7</v>
      </c>
      <c r="J307" s="737">
        <f t="shared" si="430"/>
        <v>0</v>
      </c>
      <c r="K307" s="185">
        <f>'BUS Deemed Savings Table'!F294</f>
        <v>177.7</v>
      </c>
      <c r="L307" s="185"/>
      <c r="M307" s="185"/>
      <c r="N307" s="185"/>
      <c r="O307" s="738">
        <f t="shared" si="431"/>
        <v>0.161829</v>
      </c>
      <c r="P307" s="738">
        <f t="shared" si="432"/>
        <v>0</v>
      </c>
      <c r="Q307" s="738">
        <f>'BUS Deemed Savings Table'!I294</f>
        <v>0.161829</v>
      </c>
      <c r="R307" s="739">
        <v>0</v>
      </c>
      <c r="S307" s="739"/>
      <c r="T307" s="739"/>
      <c r="U307" s="740">
        <f t="shared" si="426"/>
        <v>0</v>
      </c>
      <c r="V307" s="740">
        <f t="shared" si="427"/>
        <v>0</v>
      </c>
      <c r="W307" s="740">
        <f t="shared" si="428"/>
        <v>0.161829</v>
      </c>
      <c r="X307" s="22">
        <f>'BUS Deemed Savings Table'!J294</f>
        <v>15</v>
      </c>
      <c r="Y307" s="22"/>
      <c r="Z307" s="22">
        <f t="shared" si="411"/>
        <v>15</v>
      </c>
      <c r="AA307" s="17">
        <f>'BUS Deemed Savings Table'!DK294</f>
        <v>1.0798568585855421</v>
      </c>
      <c r="AB307" s="241">
        <f>'BUS Deemed Savings Table'!K294</f>
        <v>318.2399999999999</v>
      </c>
      <c r="AC307" s="742">
        <f t="shared" si="412"/>
        <v>343.65364667626284</v>
      </c>
      <c r="AD307" s="742">
        <f t="shared" si="413"/>
        <v>0</v>
      </c>
      <c r="AE307" s="580">
        <f>'BUS Deemed Savings Table'!DM294</f>
        <v>343.65364667626284</v>
      </c>
      <c r="AF307" s="191"/>
      <c r="AG307" s="191"/>
      <c r="AH307" s="191"/>
      <c r="AI307" s="857" t="str">
        <f>'BUS Deemed Savings Table'!L294</f>
        <v>per ton</v>
      </c>
      <c r="AJ307" s="68"/>
      <c r="AX307" s="1226" t="str">
        <f t="shared" si="396"/>
        <v>Single Package or Split Sytem Unitary AC_DX &gt;760kBTUh</v>
      </c>
      <c r="AY307" s="1249"/>
      <c r="AZ307" s="1312" t="str">
        <f t="shared" si="397"/>
        <v>803400</v>
      </c>
      <c r="BA307" s="1171" t="s">
        <v>2174</v>
      </c>
      <c r="BB307" s="1171" t="s">
        <v>2174</v>
      </c>
      <c r="BC307" s="1171" t="s">
        <v>2174</v>
      </c>
      <c r="BD307" s="1171" t="s">
        <v>2174</v>
      </c>
      <c r="BE307" s="1176"/>
      <c r="BF307" s="1171" t="s">
        <v>2174</v>
      </c>
      <c r="BG307" s="1171" t="s">
        <v>2174</v>
      </c>
      <c r="BH307" s="1171" t="s">
        <v>2174</v>
      </c>
      <c r="BI307" s="1172" t="s">
        <v>2174</v>
      </c>
      <c r="BJ307" s="1176"/>
      <c r="BK307" s="1171" t="s">
        <v>2174</v>
      </c>
      <c r="BL307" s="1172" t="s">
        <v>2174</v>
      </c>
      <c r="BM307" s="1171" t="s">
        <v>2174</v>
      </c>
      <c r="BN307" s="1172" t="s">
        <v>2174</v>
      </c>
    </row>
    <row r="308" spans="1:66" x14ac:dyDescent="0.25">
      <c r="A308" s="49" t="str">
        <f t="shared" si="410"/>
        <v>803450</v>
      </c>
      <c r="B308" s="1307" t="str">
        <f>'BUS Deemed Savings Table'!C295</f>
        <v>803450_2024_12_</v>
      </c>
      <c r="C308" s="1249" t="str">
        <f>'BUS Deemed Savings Table'!G295</f>
        <v>Cooling BUS</v>
      </c>
      <c r="D308" s="1249"/>
      <c r="E308" s="1249"/>
      <c r="F308" s="1249"/>
      <c r="G308" s="1249" t="str">
        <f>'BUS Deemed Savings Table'!E295</f>
        <v>Single Package or Split Sytem Unitary AC_DX &lt;65kBTUh</v>
      </c>
      <c r="H308" s="18" t="str">
        <f>'BUS Deemed Savings Table'!D295</f>
        <v>C&amp;I</v>
      </c>
      <c r="I308" s="737">
        <f t="shared" si="429"/>
        <v>149.76</v>
      </c>
      <c r="J308" s="737">
        <f t="shared" si="430"/>
        <v>0</v>
      </c>
      <c r="K308" s="185">
        <f>'BUS Deemed Savings Table'!F295</f>
        <v>149.76</v>
      </c>
      <c r="L308" s="185"/>
      <c r="M308" s="185"/>
      <c r="N308" s="185"/>
      <c r="O308" s="738">
        <f t="shared" si="431"/>
        <v>0.13638400000000001</v>
      </c>
      <c r="P308" s="738">
        <f t="shared" si="432"/>
        <v>0</v>
      </c>
      <c r="Q308" s="738">
        <f>'BUS Deemed Savings Table'!I295</f>
        <v>0.13638400000000001</v>
      </c>
      <c r="R308" s="739">
        <v>0</v>
      </c>
      <c r="S308" s="739"/>
      <c r="T308" s="739"/>
      <c r="U308" s="740">
        <f t="shared" si="426"/>
        <v>0</v>
      </c>
      <c r="V308" s="740">
        <f t="shared" si="427"/>
        <v>0</v>
      </c>
      <c r="W308" s="740">
        <f t="shared" si="428"/>
        <v>0.13638400000000001</v>
      </c>
      <c r="X308" s="22">
        <f>'BUS Deemed Savings Table'!J295</f>
        <v>15</v>
      </c>
      <c r="Y308" s="22"/>
      <c r="Z308" s="22">
        <f t="shared" si="411"/>
        <v>15</v>
      </c>
      <c r="AA308" s="17">
        <f>'BUS Deemed Savings Table'!DK295</f>
        <v>1.1007165587821073</v>
      </c>
      <c r="AB308" s="241">
        <f>'BUS Deemed Savings Table'!K295</f>
        <v>263.11999999999995</v>
      </c>
      <c r="AC308" s="742">
        <f t="shared" si="412"/>
        <v>289.62054094674801</v>
      </c>
      <c r="AD308" s="742">
        <f t="shared" si="413"/>
        <v>0</v>
      </c>
      <c r="AE308" s="580">
        <f>'BUS Deemed Savings Table'!DM295</f>
        <v>289.62054094674801</v>
      </c>
      <c r="AF308" s="191"/>
      <c r="AG308" s="191"/>
      <c r="AH308" s="191"/>
      <c r="AI308" s="857" t="str">
        <f>'BUS Deemed Savings Table'!L295</f>
        <v>per ton</v>
      </c>
      <c r="AJ308" s="68"/>
      <c r="AX308" s="1226" t="str">
        <f t="shared" si="396"/>
        <v>Single Package or Split Sytem Unitary AC_DX &lt;65kBTUh</v>
      </c>
      <c r="AY308" s="1249"/>
      <c r="AZ308" s="1312" t="str">
        <f t="shared" si="397"/>
        <v>803450</v>
      </c>
      <c r="BA308" s="1171" t="s">
        <v>2174</v>
      </c>
      <c r="BB308" s="1171" t="s">
        <v>2174</v>
      </c>
      <c r="BC308" s="1171" t="s">
        <v>2174</v>
      </c>
      <c r="BD308" s="1171" t="s">
        <v>2174</v>
      </c>
      <c r="BE308" s="1176"/>
      <c r="BF308" s="1171" t="s">
        <v>2174</v>
      </c>
      <c r="BG308" s="1171" t="s">
        <v>2174</v>
      </c>
      <c r="BH308" s="1171" t="s">
        <v>2174</v>
      </c>
      <c r="BI308" s="1172" t="s">
        <v>2174</v>
      </c>
      <c r="BJ308" s="1176"/>
      <c r="BK308" s="1171" t="s">
        <v>2174</v>
      </c>
      <c r="BL308" s="1172" t="s">
        <v>2174</v>
      </c>
      <c r="BM308" s="1171" t="s">
        <v>2174</v>
      </c>
      <c r="BN308" s="1172" t="s">
        <v>2174</v>
      </c>
    </row>
    <row r="309" spans="1:66" x14ac:dyDescent="0.25">
      <c r="A309" s="49" t="str">
        <f t="shared" ref="A309" si="433">LEFT(B309,6)</f>
        <v>803500</v>
      </c>
      <c r="B309" s="1307" t="str">
        <f>'BUS Deemed Savings Table'!C313</f>
        <v>803500_2024_12_</v>
      </c>
      <c r="C309" s="1249" t="str">
        <f>'BUS Deemed Savings Table'!I313</f>
        <v>Cooling BUS</v>
      </c>
      <c r="D309" s="1249" t="str">
        <f>'BUS Deemed Savings Table'!J313</f>
        <v>Heating BUS</v>
      </c>
      <c r="E309" s="1249"/>
      <c r="F309" s="1249"/>
      <c r="G309" s="1249" t="str">
        <f>'BUS Deemed Savings Table'!E313</f>
        <v xml:space="preserve">GSHP  </v>
      </c>
      <c r="H309" s="18" t="str">
        <f>'BUS Deemed Savings Table'!D313</f>
        <v>C&amp;I</v>
      </c>
      <c r="I309" s="737">
        <f t="shared" ref="I309" si="434">K309+L309</f>
        <v>526.24</v>
      </c>
      <c r="J309" s="737">
        <f t="shared" ref="J309" si="435">S309+T309</f>
        <v>0</v>
      </c>
      <c r="K309" s="185">
        <f>'BUS Deemed Savings Table'!G313</f>
        <v>430.9</v>
      </c>
      <c r="L309" s="185">
        <f>'BUS Deemed Savings Table'!H313</f>
        <v>95.34</v>
      </c>
      <c r="M309" s="185"/>
      <c r="N309" s="185"/>
      <c r="O309" s="738">
        <f t="shared" ref="O309" si="436">Q309+R309</f>
        <v>0.39241399999999999</v>
      </c>
      <c r="P309" s="738">
        <f t="shared" ref="P309" si="437">S309+T309</f>
        <v>0</v>
      </c>
      <c r="Q309" s="739">
        <f>'BUS Deemed Savings Table'!L313</f>
        <v>0.39241399999999999</v>
      </c>
      <c r="R309" s="739">
        <v>0</v>
      </c>
      <c r="S309" s="739"/>
      <c r="T309" s="739"/>
      <c r="U309" s="740">
        <f t="shared" ref="U309" si="438">IFERROR(IF(V309+W309&gt;0,0,IF(Z309&gt;0,O309,0)),0)</f>
        <v>0</v>
      </c>
      <c r="V309" s="740">
        <f t="shared" ref="V309" si="439">IF(W309&gt;0,0,IF(Z309&gt;9,O309,0))</f>
        <v>0</v>
      </c>
      <c r="W309" s="740">
        <f t="shared" ref="W309" si="440">IF(Z309&gt;14,O309,0)</f>
        <v>0.39241399999999999</v>
      </c>
      <c r="X309" s="22">
        <f>'BUS Deemed Savings Table'!M313</f>
        <v>15</v>
      </c>
      <c r="Y309" s="22"/>
      <c r="Z309" s="22">
        <f t="shared" ref="Z309" si="441">Y309+X309</f>
        <v>15</v>
      </c>
      <c r="AA309" s="17">
        <f>'BUS Deemed Savings Table'!DK313</f>
        <v>2.1226929220263142</v>
      </c>
      <c r="AB309" s="241">
        <f>'BUS Deemed Savings Table'!N313</f>
        <v>416</v>
      </c>
      <c r="AC309" s="742">
        <f t="shared" ref="AC309" si="442">AE309+AF309</f>
        <v>833.31658048847305</v>
      </c>
      <c r="AD309" s="742">
        <f t="shared" ref="AD309" si="443">AG309+AH309</f>
        <v>0</v>
      </c>
      <c r="AE309" s="580">
        <f>'BUS Deemed Savings Table'!DM313</f>
        <v>833.31658048847305</v>
      </c>
      <c r="AF309" s="191"/>
      <c r="AG309" s="191"/>
      <c r="AH309" s="191"/>
      <c r="AI309" s="858" t="str">
        <f>'BUS Deemed Savings Table'!O313</f>
        <v xml:space="preserve">per ton   </v>
      </c>
      <c r="AJ309" s="68"/>
      <c r="AX309" s="1226" t="str">
        <f t="shared" si="396"/>
        <v xml:space="preserve">GSHP  </v>
      </c>
      <c r="AY309" s="1249"/>
      <c r="AZ309" s="1312" t="str">
        <f t="shared" si="397"/>
        <v>803500</v>
      </c>
      <c r="BA309" s="1171" t="s">
        <v>2174</v>
      </c>
      <c r="BB309" s="1171" t="s">
        <v>2174</v>
      </c>
      <c r="BC309" s="1171" t="s">
        <v>2174</v>
      </c>
      <c r="BD309" s="1171" t="s">
        <v>2174</v>
      </c>
      <c r="BE309" s="1176"/>
      <c r="BF309" s="1171" t="s">
        <v>2174</v>
      </c>
      <c r="BG309" s="1171" t="s">
        <v>2174</v>
      </c>
      <c r="BH309" s="1171" t="s">
        <v>2174</v>
      </c>
      <c r="BI309" s="1172" t="s">
        <v>2174</v>
      </c>
      <c r="BJ309" s="1176"/>
      <c r="BK309" s="1171" t="s">
        <v>2174</v>
      </c>
      <c r="BL309" s="1172" t="s">
        <v>2174</v>
      </c>
      <c r="BM309" s="1171" t="s">
        <v>2174</v>
      </c>
      <c r="BN309" s="1172" t="s">
        <v>2174</v>
      </c>
    </row>
    <row r="310" spans="1:66" x14ac:dyDescent="0.25">
      <c r="A310" s="49" t="str">
        <f t="shared" si="410"/>
        <v>803570</v>
      </c>
      <c r="B310" s="1307" t="str">
        <f>'BUS Deemed Savings Table'!C314</f>
        <v>803570_2024_12_</v>
      </c>
      <c r="C310" s="1249" t="str">
        <f>'BUS Deemed Savings Table'!I314</f>
        <v>Cooling BUS</v>
      </c>
      <c r="D310" s="1249" t="str">
        <f>'BUS Deemed Savings Table'!J314</f>
        <v>Heating BUS</v>
      </c>
      <c r="E310" s="1249"/>
      <c r="F310" s="1249"/>
      <c r="G310" s="1249" t="str">
        <f>'BUS Deemed Savings Table'!E314</f>
        <v>WSHP &lt;17 kBTUh per ton</v>
      </c>
      <c r="H310" s="18" t="str">
        <f>'BUS Deemed Savings Table'!D314</f>
        <v>C&amp;I</v>
      </c>
      <c r="I310" s="737">
        <f t="shared" si="429"/>
        <v>291.85000000000002</v>
      </c>
      <c r="J310" s="737">
        <f t="shared" si="430"/>
        <v>0</v>
      </c>
      <c r="K310" s="185">
        <f>'BUS Deemed Savings Table'!G314</f>
        <v>253.32</v>
      </c>
      <c r="L310" s="185">
        <f>'BUS Deemed Savings Table'!H314</f>
        <v>38.53</v>
      </c>
      <c r="M310" s="185"/>
      <c r="N310" s="185"/>
      <c r="O310" s="738">
        <f t="shared" si="431"/>
        <v>0.23069400000000001</v>
      </c>
      <c r="P310" s="738">
        <f t="shared" si="432"/>
        <v>0</v>
      </c>
      <c r="Q310" s="739">
        <f>'BUS Deemed Savings Table'!L314</f>
        <v>0.23069400000000001</v>
      </c>
      <c r="R310" s="739">
        <v>0</v>
      </c>
      <c r="S310" s="739"/>
      <c r="T310" s="739"/>
      <c r="U310" s="740">
        <f t="shared" si="426"/>
        <v>0</v>
      </c>
      <c r="V310" s="740">
        <f t="shared" si="427"/>
        <v>0</v>
      </c>
      <c r="W310" s="740">
        <f t="shared" si="428"/>
        <v>0.23069400000000001</v>
      </c>
      <c r="X310" s="22">
        <f>'BUS Deemed Savings Table'!M314</f>
        <v>15</v>
      </c>
      <c r="Y310" s="22"/>
      <c r="Z310" s="22">
        <f t="shared" si="411"/>
        <v>15</v>
      </c>
      <c r="AA310" s="17">
        <f>'BUS Deemed Savings Table'!DK314</f>
        <v>2.4518748007493518</v>
      </c>
      <c r="AB310" s="241">
        <f>'BUS Deemed Savings Table'!N314</f>
        <v>208</v>
      </c>
      <c r="AC310" s="742">
        <f t="shared" si="412"/>
        <v>489.89500155335344</v>
      </c>
      <c r="AD310" s="742">
        <f t="shared" si="413"/>
        <v>0</v>
      </c>
      <c r="AE310" s="580">
        <f>'BUS Deemed Savings Table'!DM314</f>
        <v>489.89500155335344</v>
      </c>
      <c r="AF310" s="191"/>
      <c r="AG310" s="191"/>
      <c r="AH310" s="191"/>
      <c r="AI310" s="858" t="str">
        <f>'BUS Deemed Savings Table'!O314</f>
        <v xml:space="preserve">per ton   </v>
      </c>
      <c r="AJ310" s="68"/>
      <c r="AX310" s="1226" t="str">
        <f t="shared" si="396"/>
        <v>WSHP &lt;17 kBTUh per ton</v>
      </c>
      <c r="AY310" s="1249"/>
      <c r="AZ310" s="1312" t="str">
        <f t="shared" si="397"/>
        <v>803570</v>
      </c>
      <c r="BA310" s="1171" t="s">
        <v>2174</v>
      </c>
      <c r="BB310" s="1171" t="s">
        <v>2174</v>
      </c>
      <c r="BC310" s="1171" t="s">
        <v>2174</v>
      </c>
      <c r="BD310" s="1171" t="s">
        <v>2174</v>
      </c>
      <c r="BE310" s="1176"/>
      <c r="BF310" s="1171" t="s">
        <v>2174</v>
      </c>
      <c r="BG310" s="1171" t="s">
        <v>2174</v>
      </c>
      <c r="BH310" s="1171" t="s">
        <v>2174</v>
      </c>
      <c r="BI310" s="1172" t="s">
        <v>2174</v>
      </c>
      <c r="BJ310" s="1176"/>
      <c r="BK310" s="1171" t="s">
        <v>2174</v>
      </c>
      <c r="BL310" s="1172" t="s">
        <v>2174</v>
      </c>
      <c r="BM310" s="1171" t="s">
        <v>2174</v>
      </c>
      <c r="BN310" s="1172" t="s">
        <v>2174</v>
      </c>
    </row>
    <row r="311" spans="1:66" x14ac:dyDescent="0.25">
      <c r="A311" s="49" t="str">
        <f t="shared" ref="A311:A312" si="444">LEFT(B311,6)</f>
        <v>803575</v>
      </c>
      <c r="B311" s="1307" t="str">
        <f>'BUS Deemed Savings Table'!C315</f>
        <v>803575_2024_12_</v>
      </c>
      <c r="C311" s="1249" t="str">
        <f>'BUS Deemed Savings Table'!I315</f>
        <v>Cooling BUS</v>
      </c>
      <c r="D311" s="1249" t="str">
        <f>'BUS Deemed Savings Table'!J315</f>
        <v>Heating BUS</v>
      </c>
      <c r="E311" s="1249"/>
      <c r="F311" s="1249"/>
      <c r="G311" s="1249" t="str">
        <f>'BUS Deemed Savings Table'!E315</f>
        <v>WSHP ≥17 kBTUh and &lt;65 kBTUh per ton</v>
      </c>
      <c r="H311" s="18" t="str">
        <f>'BUS Deemed Savings Table'!D315</f>
        <v>C&amp;I</v>
      </c>
      <c r="I311" s="737">
        <f t="shared" ref="I311:I312" si="445">K311+L311</f>
        <v>228.12</v>
      </c>
      <c r="J311" s="737">
        <f t="shared" ref="J311:J312" si="446">S311+T311</f>
        <v>0</v>
      </c>
      <c r="K311" s="185">
        <f>'BUS Deemed Savings Table'!G315</f>
        <v>189.59</v>
      </c>
      <c r="L311" s="185">
        <f>'BUS Deemed Savings Table'!H315</f>
        <v>38.53</v>
      </c>
      <c r="M311" s="185"/>
      <c r="N311" s="185"/>
      <c r="O311" s="738">
        <f t="shared" ref="O311:O312" si="447">Q311+R311</f>
        <v>0.172657</v>
      </c>
      <c r="P311" s="738">
        <f t="shared" ref="P311:P312" si="448">S311+T311</f>
        <v>0</v>
      </c>
      <c r="Q311" s="739">
        <f>'BUS Deemed Savings Table'!L315</f>
        <v>0.172657</v>
      </c>
      <c r="R311" s="739">
        <v>0</v>
      </c>
      <c r="S311" s="739"/>
      <c r="T311" s="739"/>
      <c r="U311" s="740">
        <f t="shared" si="426"/>
        <v>0</v>
      </c>
      <c r="V311" s="740">
        <f t="shared" si="427"/>
        <v>0</v>
      </c>
      <c r="W311" s="740">
        <f t="shared" si="428"/>
        <v>0.172657</v>
      </c>
      <c r="X311" s="22">
        <f>'BUS Deemed Savings Table'!M315</f>
        <v>15</v>
      </c>
      <c r="Y311" s="22"/>
      <c r="Z311" s="22">
        <f t="shared" ref="Z311:Z312" si="449">Y311+X311</f>
        <v>15</v>
      </c>
      <c r="AA311" s="17">
        <f>'BUS Deemed Savings Table'!DK315</f>
        <v>1.8593396587999169</v>
      </c>
      <c r="AB311" s="241">
        <f>'BUS Deemed Savings Table'!N315</f>
        <v>208</v>
      </c>
      <c r="AC311" s="742">
        <f t="shared" ref="AC311:AC312" si="450">AE311+AF311</f>
        <v>366.64769202787102</v>
      </c>
      <c r="AD311" s="742">
        <f t="shared" ref="AD311:AD312" si="451">AG311+AH311</f>
        <v>0</v>
      </c>
      <c r="AE311" s="580">
        <f>'BUS Deemed Savings Table'!DM315</f>
        <v>366.64769202787102</v>
      </c>
      <c r="AF311" s="191"/>
      <c r="AG311" s="191"/>
      <c r="AH311" s="191"/>
      <c r="AI311" s="858" t="str">
        <f>'BUS Deemed Savings Table'!O315</f>
        <v xml:space="preserve">per ton   </v>
      </c>
      <c r="AJ311" s="68"/>
      <c r="AX311" s="1226" t="str">
        <f t="shared" ref="AX311:AX312" si="452">G311</f>
        <v>WSHP ≥17 kBTUh and &lt;65 kBTUh per ton</v>
      </c>
      <c r="AY311" s="1249"/>
      <c r="AZ311" s="1312" t="str">
        <f t="shared" ref="AZ311:AZ312" si="453">A311</f>
        <v>803575</v>
      </c>
      <c r="BA311" s="1171" t="s">
        <v>2174</v>
      </c>
      <c r="BB311" s="1171" t="s">
        <v>2174</v>
      </c>
      <c r="BC311" s="1171" t="s">
        <v>2174</v>
      </c>
      <c r="BD311" s="1171" t="s">
        <v>2174</v>
      </c>
      <c r="BE311" s="1176"/>
      <c r="BF311" s="1171" t="s">
        <v>2174</v>
      </c>
      <c r="BG311" s="1171" t="s">
        <v>2174</v>
      </c>
      <c r="BH311" s="1171" t="s">
        <v>2174</v>
      </c>
      <c r="BI311" s="1172" t="s">
        <v>2174</v>
      </c>
      <c r="BJ311" s="1176"/>
      <c r="BK311" s="1171" t="s">
        <v>2174</v>
      </c>
      <c r="BL311" s="1172" t="s">
        <v>2174</v>
      </c>
      <c r="BM311" s="1171" t="s">
        <v>2174</v>
      </c>
      <c r="BN311" s="1172" t="s">
        <v>2174</v>
      </c>
    </row>
    <row r="312" spans="1:66" x14ac:dyDescent="0.25">
      <c r="A312" s="49" t="str">
        <f t="shared" si="444"/>
        <v>803580</v>
      </c>
      <c r="B312" s="1307" t="str">
        <f>'BUS Deemed Savings Table'!C316</f>
        <v>803580_2024_12_</v>
      </c>
      <c r="C312" s="1249" t="str">
        <f>'BUS Deemed Savings Table'!I316</f>
        <v>Cooling BUS</v>
      </c>
      <c r="D312" s="1249" t="str">
        <f>'BUS Deemed Savings Table'!J316</f>
        <v>Heating BUS</v>
      </c>
      <c r="E312" s="1249"/>
      <c r="F312" s="1249"/>
      <c r="G312" s="1249" t="str">
        <f>'BUS Deemed Savings Table'!E316</f>
        <v xml:space="preserve">WSHP ≥65kBTUh and &lt;135 kBTUh per ton </v>
      </c>
      <c r="H312" s="18" t="str">
        <f>'BUS Deemed Savings Table'!D316</f>
        <v>C&amp;I</v>
      </c>
      <c r="I312" s="737">
        <f t="shared" si="445"/>
        <v>228.12</v>
      </c>
      <c r="J312" s="737">
        <f t="shared" si="446"/>
        <v>0</v>
      </c>
      <c r="K312" s="185">
        <f>'BUS Deemed Savings Table'!G316</f>
        <v>189.59</v>
      </c>
      <c r="L312" s="185">
        <f>'BUS Deemed Savings Table'!H316</f>
        <v>38.53</v>
      </c>
      <c r="M312" s="185"/>
      <c r="N312" s="185"/>
      <c r="O312" s="738">
        <f t="shared" si="447"/>
        <v>0.172657</v>
      </c>
      <c r="P312" s="738">
        <f t="shared" si="448"/>
        <v>0</v>
      </c>
      <c r="Q312" s="739">
        <f>'BUS Deemed Savings Table'!L316</f>
        <v>0.172657</v>
      </c>
      <c r="R312" s="739">
        <v>0</v>
      </c>
      <c r="S312" s="739"/>
      <c r="T312" s="739"/>
      <c r="U312" s="740">
        <f t="shared" si="426"/>
        <v>0</v>
      </c>
      <c r="V312" s="740">
        <f t="shared" si="427"/>
        <v>0</v>
      </c>
      <c r="W312" s="740">
        <f t="shared" si="428"/>
        <v>0.172657</v>
      </c>
      <c r="X312" s="22">
        <f>'BUS Deemed Savings Table'!M316</f>
        <v>15</v>
      </c>
      <c r="Y312" s="22"/>
      <c r="Z312" s="22">
        <f t="shared" si="449"/>
        <v>15</v>
      </c>
      <c r="AA312" s="17">
        <f>'BUS Deemed Savings Table'!DK316</f>
        <v>1.8593396587999169</v>
      </c>
      <c r="AB312" s="241">
        <f>'BUS Deemed Savings Table'!N316</f>
        <v>208</v>
      </c>
      <c r="AC312" s="742">
        <f t="shared" si="450"/>
        <v>366.64769202787102</v>
      </c>
      <c r="AD312" s="742">
        <f t="shared" si="451"/>
        <v>0</v>
      </c>
      <c r="AE312" s="580">
        <f>'BUS Deemed Savings Table'!DM316</f>
        <v>366.64769202787102</v>
      </c>
      <c r="AF312" s="191"/>
      <c r="AG312" s="191"/>
      <c r="AH312" s="191"/>
      <c r="AI312" s="858" t="str">
        <f>'BUS Deemed Savings Table'!O316</f>
        <v xml:space="preserve">per ton   </v>
      </c>
      <c r="AJ312" s="68"/>
      <c r="AX312" s="1226" t="str">
        <f t="shared" si="452"/>
        <v xml:space="preserve">WSHP ≥65kBTUh and &lt;135 kBTUh per ton </v>
      </c>
      <c r="AY312" s="1249"/>
      <c r="AZ312" s="1312" t="str">
        <f t="shared" si="453"/>
        <v>803580</v>
      </c>
      <c r="BA312" s="1171" t="s">
        <v>2174</v>
      </c>
      <c r="BB312" s="1171" t="s">
        <v>2174</v>
      </c>
      <c r="BC312" s="1171" t="s">
        <v>2174</v>
      </c>
      <c r="BD312" s="1171" t="s">
        <v>2174</v>
      </c>
      <c r="BE312" s="1176"/>
      <c r="BF312" s="1171" t="s">
        <v>2174</v>
      </c>
      <c r="BG312" s="1171" t="s">
        <v>2174</v>
      </c>
      <c r="BH312" s="1171" t="s">
        <v>2174</v>
      </c>
      <c r="BI312" s="1172" t="s">
        <v>2174</v>
      </c>
      <c r="BJ312" s="1176"/>
      <c r="BK312" s="1171" t="s">
        <v>2174</v>
      </c>
      <c r="BL312" s="1172" t="s">
        <v>2174</v>
      </c>
      <c r="BM312" s="1171" t="s">
        <v>2174</v>
      </c>
      <c r="BN312" s="1172" t="s">
        <v>2174</v>
      </c>
    </row>
    <row r="313" spans="1:66" x14ac:dyDescent="0.25">
      <c r="A313" s="49" t="str">
        <f t="shared" si="410"/>
        <v>803600</v>
      </c>
      <c r="B313" s="1307" t="str">
        <f>'BUS Deemed Savings Table'!C317</f>
        <v>803600_2024_12_</v>
      </c>
      <c r="C313" s="1249" t="str">
        <f>'BUS Deemed Savings Table'!I317</f>
        <v>Cooling BUS</v>
      </c>
      <c r="D313" s="1249" t="str">
        <f>'BUS Deemed Savings Table'!J317</f>
        <v>Heating BUS</v>
      </c>
      <c r="E313" s="1249"/>
      <c r="F313" s="1249"/>
      <c r="G313" s="1249" t="str">
        <f>'BUS Deemed Savings Table'!E317</f>
        <v xml:space="preserve">ASHP ≥65kBTUh and &lt;135 kBTUh per ton </v>
      </c>
      <c r="H313" s="18" t="str">
        <f>'BUS Deemed Savings Table'!D317</f>
        <v>C&amp;I</v>
      </c>
      <c r="I313" s="737">
        <f t="shared" si="429"/>
        <v>169.55</v>
      </c>
      <c r="J313" s="737">
        <f t="shared" si="430"/>
        <v>0</v>
      </c>
      <c r="K313" s="185">
        <f>'BUS Deemed Savings Table'!G317</f>
        <v>117.34</v>
      </c>
      <c r="L313" s="185">
        <f>'BUS Deemed Savings Table'!H317</f>
        <v>52.21</v>
      </c>
      <c r="M313" s="185"/>
      <c r="N313" s="185"/>
      <c r="O313" s="738">
        <f t="shared" si="431"/>
        <v>0.10686</v>
      </c>
      <c r="P313" s="738">
        <f t="shared" si="432"/>
        <v>0</v>
      </c>
      <c r="Q313" s="739">
        <f>'BUS Deemed Savings Table'!L317</f>
        <v>0.10686</v>
      </c>
      <c r="R313" s="739">
        <v>0</v>
      </c>
      <c r="S313" s="739"/>
      <c r="T313" s="739"/>
      <c r="U313" s="740">
        <f t="shared" si="426"/>
        <v>0</v>
      </c>
      <c r="V313" s="740">
        <f t="shared" si="427"/>
        <v>0</v>
      </c>
      <c r="W313" s="740">
        <f t="shared" si="428"/>
        <v>0.10686</v>
      </c>
      <c r="X313" s="22">
        <f>'BUS Deemed Savings Table'!M317</f>
        <v>15</v>
      </c>
      <c r="Y313" s="22"/>
      <c r="Z313" s="22">
        <f t="shared" si="411"/>
        <v>15</v>
      </c>
      <c r="AA313" s="17">
        <f>'BUS Deemed Savings Table'!DK317</f>
        <v>1.1863013651494656</v>
      </c>
      <c r="AB313" s="241">
        <f>'BUS Deemed Savings Table'!N317</f>
        <v>214.24000000000007</v>
      </c>
      <c r="AC313" s="742">
        <f t="shared" si="412"/>
        <v>226.9235728812194</v>
      </c>
      <c r="AD313" s="742">
        <f t="shared" si="413"/>
        <v>0</v>
      </c>
      <c r="AE313" s="580">
        <f>'BUS Deemed Savings Table'!DM317</f>
        <v>226.9235728812194</v>
      </c>
      <c r="AF313" s="191"/>
      <c r="AG313" s="191"/>
      <c r="AH313" s="191"/>
      <c r="AI313" s="858" t="str">
        <f>'BUS Deemed Savings Table'!O317</f>
        <v xml:space="preserve">per ton   </v>
      </c>
      <c r="AJ313" s="68"/>
      <c r="AX313" s="1226" t="str">
        <f t="shared" si="396"/>
        <v xml:space="preserve">ASHP ≥65kBTUh and &lt;135 kBTUh per ton </v>
      </c>
      <c r="AY313" s="1249"/>
      <c r="AZ313" s="1312" t="str">
        <f t="shared" si="397"/>
        <v>803600</v>
      </c>
      <c r="BA313" s="1171" t="s">
        <v>2174</v>
      </c>
      <c r="BB313" s="1171" t="s">
        <v>2174</v>
      </c>
      <c r="BC313" s="1171" t="s">
        <v>2174</v>
      </c>
      <c r="BD313" s="1171" t="s">
        <v>2174</v>
      </c>
      <c r="BE313" s="1176"/>
      <c r="BF313" s="1171" t="s">
        <v>2174</v>
      </c>
      <c r="BG313" s="1171" t="s">
        <v>2174</v>
      </c>
      <c r="BH313" s="1171" t="s">
        <v>2174</v>
      </c>
      <c r="BI313" s="1172" t="s">
        <v>2174</v>
      </c>
      <c r="BJ313" s="1176"/>
      <c r="BK313" s="1171" t="s">
        <v>2174</v>
      </c>
      <c r="BL313" s="1172" t="s">
        <v>2174</v>
      </c>
      <c r="BM313" s="1171" t="s">
        <v>2174</v>
      </c>
      <c r="BN313" s="1172" t="s">
        <v>2174</v>
      </c>
    </row>
    <row r="314" spans="1:66" x14ac:dyDescent="0.25">
      <c r="A314" s="49" t="str">
        <f t="shared" si="410"/>
        <v>803650</v>
      </c>
      <c r="B314" s="1307" t="str">
        <f>'BUS Deemed Savings Table'!C318</f>
        <v>803650_2024_12_</v>
      </c>
      <c r="C314" s="1249" t="str">
        <f>'BUS Deemed Savings Table'!I318</f>
        <v>Cooling BUS</v>
      </c>
      <c r="D314" s="1249" t="str">
        <f>'BUS Deemed Savings Table'!J318</f>
        <v>Heating BUS</v>
      </c>
      <c r="E314" s="1249"/>
      <c r="F314" s="1249"/>
      <c r="G314" s="1249" t="str">
        <f>'BUS Deemed Savings Table'!E318</f>
        <v xml:space="preserve">ASHP ≥135kBTUh and &lt;240 kBTUh per ton </v>
      </c>
      <c r="H314" s="18" t="str">
        <f>'BUS Deemed Savings Table'!D318</f>
        <v>C&amp;I</v>
      </c>
      <c r="I314" s="737">
        <f t="shared" si="429"/>
        <v>204.57999999999998</v>
      </c>
      <c r="J314" s="737">
        <f t="shared" si="430"/>
        <v>0</v>
      </c>
      <c r="K314" s="185">
        <f>'BUS Deemed Savings Table'!G318</f>
        <v>168.14</v>
      </c>
      <c r="L314" s="185">
        <f>'BUS Deemed Savings Table'!H318</f>
        <v>36.44</v>
      </c>
      <c r="M314" s="185"/>
      <c r="N314" s="185"/>
      <c r="O314" s="738">
        <f t="shared" si="431"/>
        <v>0.15312200000000001</v>
      </c>
      <c r="P314" s="738">
        <f t="shared" si="432"/>
        <v>0</v>
      </c>
      <c r="Q314" s="739">
        <f>'BUS Deemed Savings Table'!L318</f>
        <v>0.15312200000000001</v>
      </c>
      <c r="R314" s="739">
        <v>0</v>
      </c>
      <c r="S314" s="739"/>
      <c r="T314" s="739"/>
      <c r="U314" s="740">
        <f t="shared" si="426"/>
        <v>0</v>
      </c>
      <c r="V314" s="740">
        <f t="shared" si="427"/>
        <v>0</v>
      </c>
      <c r="W314" s="740">
        <f t="shared" si="428"/>
        <v>0.15312200000000001</v>
      </c>
      <c r="X314" s="22">
        <f>'BUS Deemed Savings Table'!M318</f>
        <v>15</v>
      </c>
      <c r="Y314" s="22"/>
      <c r="Z314" s="22">
        <f t="shared" si="411"/>
        <v>15</v>
      </c>
      <c r="AA314" s="17">
        <f>'BUS Deemed Savings Table'!DK318</f>
        <v>1.1571090659381082</v>
      </c>
      <c r="AB314" s="241">
        <f>'BUS Deemed Savings Table'!N318</f>
        <v>297.43999999999994</v>
      </c>
      <c r="AC314" s="742">
        <f t="shared" si="412"/>
        <v>325.16558329851904</v>
      </c>
      <c r="AD314" s="742">
        <f t="shared" si="413"/>
        <v>0</v>
      </c>
      <c r="AE314" s="580">
        <f>'BUS Deemed Savings Table'!DM318</f>
        <v>325.16558329851904</v>
      </c>
      <c r="AF314" s="191"/>
      <c r="AG314" s="191"/>
      <c r="AH314" s="191"/>
      <c r="AI314" s="858" t="str">
        <f>'BUS Deemed Savings Table'!O318</f>
        <v xml:space="preserve">per ton   </v>
      </c>
      <c r="AJ314" s="68"/>
      <c r="AX314" s="1226" t="str">
        <f t="shared" si="396"/>
        <v xml:space="preserve">ASHP ≥135kBTUh and &lt;240 kBTUh per ton </v>
      </c>
      <c r="AY314" s="1249"/>
      <c r="AZ314" s="1312" t="str">
        <f t="shared" si="397"/>
        <v>803650</v>
      </c>
      <c r="BA314" s="1171" t="s">
        <v>2174</v>
      </c>
      <c r="BB314" s="1171" t="s">
        <v>2174</v>
      </c>
      <c r="BC314" s="1171" t="s">
        <v>2174</v>
      </c>
      <c r="BD314" s="1171" t="s">
        <v>2174</v>
      </c>
      <c r="BE314" s="1176"/>
      <c r="BF314" s="1171" t="s">
        <v>2174</v>
      </c>
      <c r="BG314" s="1171" t="s">
        <v>2174</v>
      </c>
      <c r="BH314" s="1171" t="s">
        <v>2174</v>
      </c>
      <c r="BI314" s="1172" t="s">
        <v>2174</v>
      </c>
      <c r="BJ314" s="1176"/>
      <c r="BK314" s="1171" t="s">
        <v>2174</v>
      </c>
      <c r="BL314" s="1172" t="s">
        <v>2174</v>
      </c>
      <c r="BM314" s="1171" t="s">
        <v>2174</v>
      </c>
      <c r="BN314" s="1172" t="s">
        <v>2174</v>
      </c>
    </row>
    <row r="315" spans="1:66" x14ac:dyDescent="0.25">
      <c r="A315" s="49" t="str">
        <f t="shared" si="410"/>
        <v>803700</v>
      </c>
      <c r="B315" s="1307" t="str">
        <f>'BUS Deemed Savings Table'!C319</f>
        <v>803700_2024_12_</v>
      </c>
      <c r="C315" s="1249" t="str">
        <f>'BUS Deemed Savings Table'!I319</f>
        <v>Cooling BUS</v>
      </c>
      <c r="D315" s="1249" t="str">
        <f>'BUS Deemed Savings Table'!J319</f>
        <v>Heating BUS</v>
      </c>
      <c r="E315" s="1249"/>
      <c r="F315" s="1249"/>
      <c r="G315" s="1249" t="str">
        <f>'BUS Deemed Savings Table'!E319</f>
        <v>ASHP &gt;240kBTUh per ton</v>
      </c>
      <c r="H315" s="18" t="str">
        <f>'BUS Deemed Savings Table'!D319</f>
        <v>C&amp;I</v>
      </c>
      <c r="I315" s="737">
        <f t="shared" si="429"/>
        <v>386.41999999999996</v>
      </c>
      <c r="J315" s="737">
        <f t="shared" si="430"/>
        <v>0</v>
      </c>
      <c r="K315" s="185">
        <f>'BUS Deemed Savings Table'!G319</f>
        <v>327.64999999999998</v>
      </c>
      <c r="L315" s="185">
        <f>'BUS Deemed Savings Table'!H319</f>
        <v>58.77</v>
      </c>
      <c r="M315" s="185"/>
      <c r="N315" s="185"/>
      <c r="O315" s="738">
        <f t="shared" si="431"/>
        <v>0.29838599999999998</v>
      </c>
      <c r="P315" s="738">
        <f t="shared" si="432"/>
        <v>0</v>
      </c>
      <c r="Q315" s="739">
        <f>'BUS Deemed Savings Table'!L319</f>
        <v>0.29838599999999998</v>
      </c>
      <c r="R315" s="739">
        <v>0</v>
      </c>
      <c r="S315" s="739"/>
      <c r="T315" s="739"/>
      <c r="U315" s="740">
        <f t="shared" si="426"/>
        <v>0</v>
      </c>
      <c r="V315" s="740">
        <f t="shared" si="427"/>
        <v>0</v>
      </c>
      <c r="W315" s="740">
        <f t="shared" si="428"/>
        <v>0.29838599999999998</v>
      </c>
      <c r="X315" s="22">
        <f>'BUS Deemed Savings Table'!M319</f>
        <v>15</v>
      </c>
      <c r="Y315" s="22"/>
      <c r="Z315" s="22">
        <f t="shared" si="411"/>
        <v>15</v>
      </c>
      <c r="AA315" s="17">
        <f>'BUS Deemed Savings Table'!DK319</f>
        <v>1.5968571291906939</v>
      </c>
      <c r="AB315" s="241">
        <f>'BUS Deemed Savings Table'!N319</f>
        <v>416</v>
      </c>
      <c r="AC315" s="742">
        <f t="shared" si="412"/>
        <v>633.64162821315438</v>
      </c>
      <c r="AD315" s="742">
        <f t="shared" si="413"/>
        <v>0</v>
      </c>
      <c r="AE315" s="580">
        <f>'BUS Deemed Savings Table'!DM319</f>
        <v>633.64162821315438</v>
      </c>
      <c r="AF315" s="191"/>
      <c r="AG315" s="191"/>
      <c r="AH315" s="191"/>
      <c r="AI315" s="858" t="str">
        <f>'BUS Deemed Savings Table'!O319</f>
        <v xml:space="preserve">per ton   </v>
      </c>
      <c r="AJ315" s="68"/>
      <c r="AX315" s="1226" t="str">
        <f t="shared" si="396"/>
        <v>ASHP &gt;240kBTUh per ton</v>
      </c>
      <c r="AY315" s="1249"/>
      <c r="AZ315" s="1312" t="str">
        <f t="shared" si="397"/>
        <v>803700</v>
      </c>
      <c r="BA315" s="1171" t="s">
        <v>2174</v>
      </c>
      <c r="BB315" s="1171" t="s">
        <v>2174</v>
      </c>
      <c r="BC315" s="1171" t="s">
        <v>2174</v>
      </c>
      <c r="BD315" s="1171" t="s">
        <v>2174</v>
      </c>
      <c r="BE315" s="1176"/>
      <c r="BF315" s="1171" t="s">
        <v>2174</v>
      </c>
      <c r="BG315" s="1171" t="s">
        <v>2174</v>
      </c>
      <c r="BH315" s="1171" t="s">
        <v>2174</v>
      </c>
      <c r="BI315" s="1172" t="s">
        <v>2174</v>
      </c>
      <c r="BJ315" s="1176"/>
      <c r="BK315" s="1171" t="s">
        <v>2174</v>
      </c>
      <c r="BL315" s="1172" t="s">
        <v>2174</v>
      </c>
      <c r="BM315" s="1171" t="s">
        <v>2174</v>
      </c>
      <c r="BN315" s="1172" t="s">
        <v>2174</v>
      </c>
    </row>
    <row r="316" spans="1:66" s="39" customFormat="1" x14ac:dyDescent="0.25">
      <c r="A316" s="49" t="str">
        <f t="shared" si="410"/>
        <v>803750</v>
      </c>
      <c r="B316" s="1307" t="str">
        <f>'BUS Deemed Savings Table'!C320</f>
        <v>803750_2024_12_</v>
      </c>
      <c r="C316" s="1249" t="str">
        <f>'BUS Deemed Savings Table'!I320</f>
        <v>Cooling BUS</v>
      </c>
      <c r="D316" s="1249" t="str">
        <f>'BUS Deemed Savings Table'!J320</f>
        <v>Heating BUS</v>
      </c>
      <c r="E316" s="1249"/>
      <c r="F316" s="1249"/>
      <c r="G316" s="1249" t="str">
        <f>'BUS Deemed Savings Table'!E320</f>
        <v xml:space="preserve">ASHP &lt;65kBTUh per ton </v>
      </c>
      <c r="H316" s="18" t="str">
        <f>'BUS Deemed Savings Table'!D320</f>
        <v>C&amp;I</v>
      </c>
      <c r="I316" s="737">
        <f t="shared" si="429"/>
        <v>223.37</v>
      </c>
      <c r="J316" s="737">
        <f t="shared" si="430"/>
        <v>0</v>
      </c>
      <c r="K316" s="185">
        <f>'BUS Deemed Savings Table'!G320</f>
        <v>158.13999999999999</v>
      </c>
      <c r="L316" s="185">
        <f>'BUS Deemed Savings Table'!H320</f>
        <v>65.23</v>
      </c>
      <c r="M316" s="185"/>
      <c r="N316" s="185"/>
      <c r="O316" s="738">
        <f t="shared" si="431"/>
        <v>0.14401600000000001</v>
      </c>
      <c r="P316" s="738">
        <f t="shared" si="432"/>
        <v>0</v>
      </c>
      <c r="Q316" s="739">
        <f>'BUS Deemed Savings Table'!L320</f>
        <v>0.14401600000000001</v>
      </c>
      <c r="R316" s="739">
        <v>0</v>
      </c>
      <c r="S316" s="739"/>
      <c r="T316" s="739"/>
      <c r="U316" s="740">
        <f t="shared" si="426"/>
        <v>0</v>
      </c>
      <c r="V316" s="740">
        <f t="shared" si="427"/>
        <v>0</v>
      </c>
      <c r="W316" s="740">
        <f t="shared" si="428"/>
        <v>0.14401600000000001</v>
      </c>
      <c r="X316" s="22">
        <f>'BUS Deemed Savings Table'!M320</f>
        <v>15</v>
      </c>
      <c r="Y316" s="22"/>
      <c r="Z316" s="22">
        <f t="shared" si="411"/>
        <v>15</v>
      </c>
      <c r="AA316" s="17">
        <f>'BUS Deemed Savings Table'!DK320</f>
        <v>1.2102802503129362</v>
      </c>
      <c r="AB316" s="241">
        <f>'BUS Deemed Savings Table'!N320</f>
        <v>280.80000000000013</v>
      </c>
      <c r="AC316" s="742">
        <f t="shared" si="412"/>
        <v>305.82660486991676</v>
      </c>
      <c r="AD316" s="742">
        <f t="shared" si="413"/>
        <v>0</v>
      </c>
      <c r="AE316" s="580">
        <f>'BUS Deemed Savings Table'!DM320</f>
        <v>305.82660486991676</v>
      </c>
      <c r="AF316" s="191"/>
      <c r="AG316" s="191"/>
      <c r="AH316" s="191"/>
      <c r="AI316" s="858" t="str">
        <f>'BUS Deemed Savings Table'!O320</f>
        <v xml:space="preserve">per ton   </v>
      </c>
      <c r="AJ316" s="68"/>
      <c r="AK316"/>
      <c r="AL316"/>
      <c r="AM316"/>
      <c r="AN316"/>
      <c r="AO316"/>
      <c r="AP316"/>
      <c r="AQ316"/>
      <c r="AR316"/>
      <c r="AS316"/>
      <c r="AT316"/>
      <c r="AU316"/>
      <c r="AV316"/>
      <c r="AW316"/>
      <c r="AX316" s="1226" t="str">
        <f t="shared" si="396"/>
        <v xml:space="preserve">ASHP &lt;65kBTUh per ton </v>
      </c>
      <c r="AY316" s="1249"/>
      <c r="AZ316" s="1312" t="str">
        <f t="shared" si="397"/>
        <v>803750</v>
      </c>
      <c r="BA316" s="1171" t="s">
        <v>2174</v>
      </c>
      <c r="BB316" s="1171" t="s">
        <v>2174</v>
      </c>
      <c r="BC316" s="1171" t="s">
        <v>2174</v>
      </c>
      <c r="BD316" s="1171" t="s">
        <v>2174</v>
      </c>
      <c r="BE316" s="1177"/>
      <c r="BF316" s="1171" t="s">
        <v>2174</v>
      </c>
      <c r="BG316" s="1171" t="s">
        <v>2174</v>
      </c>
      <c r="BH316" s="1171" t="s">
        <v>2174</v>
      </c>
      <c r="BI316" s="1172" t="s">
        <v>2174</v>
      </c>
      <c r="BJ316" s="1176"/>
      <c r="BK316" s="1171" t="s">
        <v>2174</v>
      </c>
      <c r="BL316" s="1172" t="s">
        <v>2174</v>
      </c>
      <c r="BM316" s="1171" t="s">
        <v>2174</v>
      </c>
      <c r="BN316" s="1172" t="s">
        <v>2174</v>
      </c>
    </row>
    <row r="317" spans="1:66" x14ac:dyDescent="0.25">
      <c r="A317" s="49" t="str">
        <f t="shared" si="410"/>
        <v>803800</v>
      </c>
      <c r="B317" s="1307" t="str">
        <f>'BUS Deemed Savings Table'!C342</f>
        <v>803800_2024_12_</v>
      </c>
      <c r="C317" s="1249" t="str">
        <f>'BUS Deemed Savings Table'!G342</f>
        <v>Cooling BUS</v>
      </c>
      <c r="D317" s="1249"/>
      <c r="E317" s="1249"/>
      <c r="F317" s="1249"/>
      <c r="G317" s="1249" t="str">
        <f>'BUS Deemed Savings Table'!E342</f>
        <v>Air Cooled Chiller</v>
      </c>
      <c r="H317" s="18" t="str">
        <f>'BUS Deemed Savings Table'!D342</f>
        <v>C&amp;I</v>
      </c>
      <c r="I317" s="737">
        <f t="shared" si="429"/>
        <v>321.48</v>
      </c>
      <c r="J317" s="737">
        <f t="shared" si="430"/>
        <v>0</v>
      </c>
      <c r="K317" s="185">
        <f>'BUS Deemed Savings Table'!F342</f>
        <v>321.48</v>
      </c>
      <c r="L317" s="185"/>
      <c r="M317" s="185"/>
      <c r="N317" s="185"/>
      <c r="O317" s="738">
        <f t="shared" si="431"/>
        <v>0.292767</v>
      </c>
      <c r="P317" s="738">
        <f t="shared" si="432"/>
        <v>0</v>
      </c>
      <c r="Q317" s="738">
        <f>'BUS Deemed Savings Table'!I342</f>
        <v>0.292767</v>
      </c>
      <c r="R317" s="739">
        <v>0</v>
      </c>
      <c r="S317" s="739"/>
      <c r="T317" s="739"/>
      <c r="U317" s="740">
        <f t="shared" si="426"/>
        <v>0</v>
      </c>
      <c r="V317" s="740">
        <f t="shared" si="427"/>
        <v>0</v>
      </c>
      <c r="W317" s="740">
        <f t="shared" si="428"/>
        <v>0.292767</v>
      </c>
      <c r="X317" s="22">
        <f>'BUS Deemed Savings Table'!J342</f>
        <v>23</v>
      </c>
      <c r="Y317" s="22"/>
      <c r="Z317" s="22">
        <f t="shared" si="411"/>
        <v>23</v>
      </c>
      <c r="AA317" s="17">
        <f>'BUS Deemed Savings Table'!DK342</f>
        <v>0.94937896665443189</v>
      </c>
      <c r="AB317" s="241">
        <f>'BUS Deemed Savings Table'!K342</f>
        <v>854.83204137359746</v>
      </c>
      <c r="AC317" s="742">
        <f t="shared" si="412"/>
        <v>811.55956010236457</v>
      </c>
      <c r="AD317" s="742">
        <f t="shared" si="413"/>
        <v>0</v>
      </c>
      <c r="AE317" s="580">
        <f>'BUS Deemed Savings Table'!DM342</f>
        <v>811.55956010236457</v>
      </c>
      <c r="AF317" s="191"/>
      <c r="AG317" s="191"/>
      <c r="AH317" s="191"/>
      <c r="AI317" s="857" t="str">
        <f>'BUS Deemed Savings Table'!L342</f>
        <v>per ton</v>
      </c>
      <c r="AJ317" s="68"/>
      <c r="AX317" s="1226" t="str">
        <f t="shared" si="396"/>
        <v>Air Cooled Chiller</v>
      </c>
      <c r="AY317" s="1249"/>
      <c r="AZ317" s="1312" t="str">
        <f t="shared" si="397"/>
        <v>803800</v>
      </c>
      <c r="BA317" s="1171" t="s">
        <v>2174</v>
      </c>
      <c r="BB317" s="1171" t="s">
        <v>2174</v>
      </c>
      <c r="BC317" s="1171" t="s">
        <v>2174</v>
      </c>
      <c r="BD317" s="1171" t="s">
        <v>2174</v>
      </c>
      <c r="BE317" s="1176"/>
      <c r="BF317" s="1171" t="s">
        <v>2174</v>
      </c>
      <c r="BG317" s="1171" t="s">
        <v>2174</v>
      </c>
      <c r="BH317" s="1171" t="s">
        <v>2174</v>
      </c>
      <c r="BI317" s="1172" t="s">
        <v>2174</v>
      </c>
      <c r="BJ317" s="1176"/>
      <c r="BK317" s="1171" t="s">
        <v>2174</v>
      </c>
      <c r="BL317" s="1172" t="s">
        <v>2174</v>
      </c>
      <c r="BM317" s="1171" t="s">
        <v>2174</v>
      </c>
      <c r="BN317" s="1172" t="s">
        <v>2174</v>
      </c>
    </row>
    <row r="318" spans="1:66" x14ac:dyDescent="0.25">
      <c r="A318" s="49" t="str">
        <f t="shared" si="410"/>
        <v>803810</v>
      </c>
      <c r="B318" s="1307" t="str">
        <f>'BUS Deemed Savings Table'!C343</f>
        <v>803810_2024_12_</v>
      </c>
      <c r="C318" s="1249" t="str">
        <f>'BUS Deemed Savings Table'!G343</f>
        <v>Cooling BUS</v>
      </c>
      <c r="D318" s="1249"/>
      <c r="E318" s="1249"/>
      <c r="F318" s="1249"/>
      <c r="G318" s="1249" t="str">
        <f>'BUS Deemed Savings Table'!E343</f>
        <v>Water Cooled Chiller</v>
      </c>
      <c r="H318" s="18" t="str">
        <f>'BUS Deemed Savings Table'!D343</f>
        <v>C&amp;I</v>
      </c>
      <c r="I318" s="737">
        <f t="shared" si="429"/>
        <v>113.72</v>
      </c>
      <c r="J318" s="737">
        <f t="shared" si="430"/>
        <v>0</v>
      </c>
      <c r="K318" s="185">
        <f>'BUS Deemed Savings Table'!F343</f>
        <v>113.72</v>
      </c>
      <c r="L318" s="185"/>
      <c r="M318" s="185"/>
      <c r="N318" s="185"/>
      <c r="O318" s="738">
        <f t="shared" si="431"/>
        <v>0.103563</v>
      </c>
      <c r="P318" s="738">
        <f t="shared" si="432"/>
        <v>0</v>
      </c>
      <c r="Q318" s="738">
        <f>'BUS Deemed Savings Table'!I343</f>
        <v>0.103563</v>
      </c>
      <c r="R318" s="739">
        <v>0</v>
      </c>
      <c r="S318" s="739"/>
      <c r="T318" s="739"/>
      <c r="U318" s="740">
        <f t="shared" si="426"/>
        <v>0</v>
      </c>
      <c r="V318" s="740">
        <f t="shared" si="427"/>
        <v>0</v>
      </c>
      <c r="W318" s="740">
        <f t="shared" si="428"/>
        <v>0.103563</v>
      </c>
      <c r="X318" s="22">
        <f>'BUS Deemed Savings Table'!J343</f>
        <v>23</v>
      </c>
      <c r="Y318" s="22"/>
      <c r="Z318" s="22">
        <f t="shared" si="411"/>
        <v>23</v>
      </c>
      <c r="AA318" s="17">
        <f>'BUS Deemed Savings Table'!DK343</f>
        <v>0.75947151480323571</v>
      </c>
      <c r="AB318" s="241">
        <f>'BUS Deemed Savings Table'!K343</f>
        <v>377.99999999999994</v>
      </c>
      <c r="AC318" s="742">
        <f t="shared" si="412"/>
        <v>287.08023259562304</v>
      </c>
      <c r="AD318" s="742">
        <f t="shared" si="413"/>
        <v>0</v>
      </c>
      <c r="AE318" s="580">
        <f>'BUS Deemed Savings Table'!DM343</f>
        <v>287.08023259562304</v>
      </c>
      <c r="AF318" s="191"/>
      <c r="AG318" s="191"/>
      <c r="AH318" s="191"/>
      <c r="AI318" s="857" t="str">
        <f>'BUS Deemed Savings Table'!L343</f>
        <v>per ton</v>
      </c>
      <c r="AJ318" s="644"/>
      <c r="AK318" s="39"/>
      <c r="AL318" s="39"/>
      <c r="AX318" s="1226" t="str">
        <f t="shared" si="396"/>
        <v>Water Cooled Chiller</v>
      </c>
      <c r="AY318" s="1249"/>
      <c r="AZ318" s="1312" t="str">
        <f t="shared" si="397"/>
        <v>803810</v>
      </c>
      <c r="BA318" s="1171" t="s">
        <v>2174</v>
      </c>
      <c r="BB318" s="1171" t="s">
        <v>2174</v>
      </c>
      <c r="BC318" s="1171" t="s">
        <v>2174</v>
      </c>
      <c r="BD318" s="1171" t="s">
        <v>2174</v>
      </c>
      <c r="BE318" s="1176"/>
      <c r="BF318" s="1171" t="s">
        <v>2174</v>
      </c>
      <c r="BG318" s="1171" t="s">
        <v>2174</v>
      </c>
      <c r="BH318" s="1171" t="s">
        <v>2174</v>
      </c>
      <c r="BI318" s="1172" t="s">
        <v>2174</v>
      </c>
      <c r="BJ318" s="1176"/>
      <c r="BK318" s="1171" t="s">
        <v>2174</v>
      </c>
      <c r="BL318" s="1172" t="s">
        <v>2174</v>
      </c>
      <c r="BM318" s="1171" t="s">
        <v>2174</v>
      </c>
      <c r="BN318" s="1172" t="s">
        <v>2174</v>
      </c>
    </row>
    <row r="319" spans="1:66" x14ac:dyDescent="0.25">
      <c r="A319" s="49" t="str">
        <f t="shared" si="410"/>
        <v>804300</v>
      </c>
      <c r="B319" s="1307" t="str">
        <f>'BUS Deemed Savings Table'!C363</f>
        <v>804300_2024_12_</v>
      </c>
      <c r="C319" s="1249" t="str">
        <f>'BUS Deemed Savings Table'!G363</f>
        <v>Air Comp BUS</v>
      </c>
      <c r="D319" s="1249"/>
      <c r="E319" s="1249"/>
      <c r="F319" s="1249"/>
      <c r="G319" s="1249" t="str">
        <f>'BUS Deemed Savings Table'!E363</f>
        <v>No Loss Condensate Drain (Reciprocating - On/off Control)</v>
      </c>
      <c r="H319" s="18" t="str">
        <f>'BUS Deemed Savings Table'!D363</f>
        <v>C&amp;I</v>
      </c>
      <c r="I319" s="737">
        <f>'BUS Deemed Savings Table'!F363</f>
        <v>3272.26</v>
      </c>
      <c r="J319" s="737"/>
      <c r="K319" s="185"/>
      <c r="L319" s="185"/>
      <c r="M319" s="185"/>
      <c r="N319" s="185"/>
      <c r="O319" s="738">
        <f>'BUS Deemed Savings Table'!I363</f>
        <v>0.45138800000000001</v>
      </c>
      <c r="P319" s="738"/>
      <c r="Q319" s="739"/>
      <c r="R319" s="739"/>
      <c r="S319" s="739"/>
      <c r="T319" s="739"/>
      <c r="U319" s="740">
        <f t="shared" si="426"/>
        <v>0</v>
      </c>
      <c r="V319" s="740">
        <f t="shared" si="427"/>
        <v>0.45138800000000001</v>
      </c>
      <c r="W319" s="740">
        <f t="shared" si="428"/>
        <v>0</v>
      </c>
      <c r="X319" s="22">
        <f>'BUS Deemed Savings Table'!J363</f>
        <v>13</v>
      </c>
      <c r="Y319" s="22"/>
      <c r="Z319" s="22">
        <f t="shared" si="411"/>
        <v>13</v>
      </c>
      <c r="AA319" s="17">
        <f>'BUS Deemed Savings Table'!DK363</f>
        <v>2.718076455610043</v>
      </c>
      <c r="AB319" s="241">
        <f>'BUS Deemed Savings Table'!K363</f>
        <v>778</v>
      </c>
      <c r="AC319" s="742">
        <f t="shared" si="412"/>
        <v>2114.6634824646135</v>
      </c>
      <c r="AD319" s="742">
        <f t="shared" si="413"/>
        <v>0</v>
      </c>
      <c r="AE319" s="580">
        <f>'BUS Deemed Savings Table'!DM363</f>
        <v>2114.6634824646135</v>
      </c>
      <c r="AF319" s="191"/>
      <c r="AG319" s="191"/>
      <c r="AH319" s="191"/>
      <c r="AI319" s="857" t="str">
        <f>'BUS Deemed Savings Table'!L363</f>
        <v>per measure</v>
      </c>
      <c r="AJ319" s="68"/>
      <c r="AX319" s="1226" t="str">
        <f t="shared" si="396"/>
        <v>No Loss Condensate Drain (Reciprocating - On/off Control)</v>
      </c>
      <c r="AY319" s="1249"/>
      <c r="AZ319" s="1312" t="str">
        <f t="shared" si="397"/>
        <v>804300</v>
      </c>
      <c r="BA319" s="1171" t="s">
        <v>2174</v>
      </c>
      <c r="BB319" s="1171" t="s">
        <v>2174</v>
      </c>
      <c r="BC319" s="1171" t="s">
        <v>2174</v>
      </c>
      <c r="BD319" s="1171" t="s">
        <v>2174</v>
      </c>
      <c r="BE319" s="1176"/>
      <c r="BF319" s="1171" t="s">
        <v>2174</v>
      </c>
      <c r="BG319" s="1171" t="s">
        <v>2174</v>
      </c>
      <c r="BH319" s="1171" t="s">
        <v>2174</v>
      </c>
      <c r="BI319" s="1172" t="s">
        <v>2174</v>
      </c>
      <c r="BJ319" s="1176"/>
      <c r="BK319" s="1171" t="s">
        <v>2174</v>
      </c>
      <c r="BL319" s="1172" t="s">
        <v>2174</v>
      </c>
      <c r="BM319" s="1171" t="s">
        <v>2174</v>
      </c>
      <c r="BN319" s="1172" t="s">
        <v>2174</v>
      </c>
    </row>
    <row r="320" spans="1:66" x14ac:dyDescent="0.25">
      <c r="A320" s="49" t="str">
        <f t="shared" si="410"/>
        <v>804350</v>
      </c>
      <c r="B320" s="1307" t="str">
        <f>'BUS Deemed Savings Table'!C364</f>
        <v>804350_2024_12_</v>
      </c>
      <c r="C320" s="1249" t="str">
        <f>'BUS Deemed Savings Table'!G364</f>
        <v>Air Comp BUS</v>
      </c>
      <c r="D320" s="1249"/>
      <c r="E320" s="1249"/>
      <c r="F320" s="1249"/>
      <c r="G320" s="1249" t="str">
        <f>'BUS Deemed Savings Table'!E364</f>
        <v>No Loss Condensate Drain (Reciprocating - Load/Unload)</v>
      </c>
      <c r="H320" s="18" t="str">
        <f>'BUS Deemed Savings Table'!D364</f>
        <v>C&amp;I</v>
      </c>
      <c r="I320" s="737">
        <f>'BUS Deemed Savings Table'!F364</f>
        <v>2418.62</v>
      </c>
      <c r="J320" s="737"/>
      <c r="K320" s="185"/>
      <c r="L320" s="185"/>
      <c r="M320" s="185"/>
      <c r="N320" s="185"/>
      <c r="O320" s="738">
        <f>'BUS Deemed Savings Table'!I364</f>
        <v>0.33363399999999999</v>
      </c>
      <c r="P320" s="738"/>
      <c r="Q320" s="739"/>
      <c r="R320" s="739"/>
      <c r="S320" s="739"/>
      <c r="T320" s="739"/>
      <c r="U320" s="740">
        <f t="shared" si="426"/>
        <v>0</v>
      </c>
      <c r="V320" s="740">
        <f t="shared" si="427"/>
        <v>0.33363399999999999</v>
      </c>
      <c r="W320" s="740">
        <f t="shared" si="428"/>
        <v>0</v>
      </c>
      <c r="X320" s="22">
        <f>'BUS Deemed Savings Table'!J364</f>
        <v>13</v>
      </c>
      <c r="Y320" s="22"/>
      <c r="Z320" s="22">
        <f t="shared" si="411"/>
        <v>13</v>
      </c>
      <c r="AA320" s="17">
        <f>'BUS Deemed Savings Table'!DK364</f>
        <v>2.0090072540285804</v>
      </c>
      <c r="AB320" s="241">
        <f>'BUS Deemed Savings Table'!K364</f>
        <v>778</v>
      </c>
      <c r="AC320" s="742">
        <f t="shared" si="412"/>
        <v>1563.0076436342354</v>
      </c>
      <c r="AD320" s="742">
        <f t="shared" si="413"/>
        <v>0</v>
      </c>
      <c r="AE320" s="580">
        <f>'BUS Deemed Savings Table'!DM364</f>
        <v>1563.0076436342354</v>
      </c>
      <c r="AF320" s="191"/>
      <c r="AG320" s="191"/>
      <c r="AH320" s="191"/>
      <c r="AI320" s="857" t="str">
        <f>'BUS Deemed Savings Table'!L364</f>
        <v>per measure</v>
      </c>
      <c r="AJ320" s="68"/>
      <c r="AX320" s="1226" t="str">
        <f t="shared" si="396"/>
        <v>No Loss Condensate Drain (Reciprocating - Load/Unload)</v>
      </c>
      <c r="AY320" s="1249"/>
      <c r="AZ320" s="1312" t="str">
        <f t="shared" si="397"/>
        <v>804350</v>
      </c>
      <c r="BA320" s="1171" t="s">
        <v>2174</v>
      </c>
      <c r="BB320" s="1171" t="s">
        <v>2174</v>
      </c>
      <c r="BC320" s="1171" t="s">
        <v>2174</v>
      </c>
      <c r="BD320" s="1171" t="s">
        <v>2174</v>
      </c>
      <c r="BE320" s="1176"/>
      <c r="BF320" s="1171" t="s">
        <v>2174</v>
      </c>
      <c r="BG320" s="1171" t="s">
        <v>2174</v>
      </c>
      <c r="BH320" s="1171" t="s">
        <v>2174</v>
      </c>
      <c r="BI320" s="1172" t="s">
        <v>2174</v>
      </c>
      <c r="BJ320" s="1176"/>
      <c r="BK320" s="1171" t="s">
        <v>2174</v>
      </c>
      <c r="BL320" s="1172" t="s">
        <v>2174</v>
      </c>
      <c r="BM320" s="1171" t="s">
        <v>2174</v>
      </c>
      <c r="BN320" s="1172" t="s">
        <v>2174</v>
      </c>
    </row>
    <row r="321" spans="1:66" x14ac:dyDescent="0.25">
      <c r="A321" s="49" t="str">
        <f t="shared" si="410"/>
        <v>804400</v>
      </c>
      <c r="B321" s="1307" t="str">
        <f>'BUS Deemed Savings Table'!C365</f>
        <v>804400_2024_12_</v>
      </c>
      <c r="C321" s="1249" t="str">
        <f>'BUS Deemed Savings Table'!G365</f>
        <v>Air Comp BUS</v>
      </c>
      <c r="D321" s="1249"/>
      <c r="E321" s="1249"/>
      <c r="F321" s="1249"/>
      <c r="G321" s="1249" t="str">
        <f>'BUS Deemed Savings Table'!E365</f>
        <v>No Loss Condensate Drain (Screw - Load/Unload)</v>
      </c>
      <c r="H321" s="18" t="str">
        <f>'BUS Deemed Savings Table'!D365</f>
        <v>C&amp;I</v>
      </c>
      <c r="I321" s="737">
        <f>'BUS Deemed Savings Table'!F365</f>
        <v>2703.17</v>
      </c>
      <c r="J321" s="737"/>
      <c r="K321" s="185"/>
      <c r="L321" s="185"/>
      <c r="M321" s="185"/>
      <c r="N321" s="185"/>
      <c r="O321" s="738">
        <f>'BUS Deemed Savings Table'!I365</f>
        <v>0.372886</v>
      </c>
      <c r="P321" s="738"/>
      <c r="Q321" s="739"/>
      <c r="R321" s="739"/>
      <c r="S321" s="739"/>
      <c r="T321" s="739"/>
      <c r="U321" s="740">
        <f t="shared" si="426"/>
        <v>0</v>
      </c>
      <c r="V321" s="740">
        <f t="shared" si="427"/>
        <v>0.372886</v>
      </c>
      <c r="W321" s="740">
        <f t="shared" si="428"/>
        <v>0</v>
      </c>
      <c r="X321" s="22">
        <f>'BUS Deemed Savings Table'!J365</f>
        <v>13</v>
      </c>
      <c r="Y321" s="22"/>
      <c r="Z321" s="22">
        <f t="shared" si="411"/>
        <v>13</v>
      </c>
      <c r="AA321" s="17">
        <f>'BUS Deemed Savings Table'!DK365</f>
        <v>2.2453664233622632</v>
      </c>
      <c r="AB321" s="241">
        <f>'BUS Deemed Savings Table'!K365</f>
        <v>778</v>
      </c>
      <c r="AC321" s="742">
        <f t="shared" si="412"/>
        <v>1746.8950773758409</v>
      </c>
      <c r="AD321" s="742">
        <f t="shared" si="413"/>
        <v>0</v>
      </c>
      <c r="AE321" s="580">
        <f>'BUS Deemed Savings Table'!DM365</f>
        <v>1746.8950773758409</v>
      </c>
      <c r="AF321" s="191"/>
      <c r="AG321" s="191"/>
      <c r="AH321" s="191"/>
      <c r="AI321" s="857" t="str">
        <f>'BUS Deemed Savings Table'!L365</f>
        <v>per measure</v>
      </c>
      <c r="AJ321" s="68"/>
      <c r="AX321" s="1226" t="str">
        <f t="shared" si="396"/>
        <v>No Loss Condensate Drain (Screw - Load/Unload)</v>
      </c>
      <c r="AY321" s="1249"/>
      <c r="AZ321" s="1312" t="str">
        <f t="shared" si="397"/>
        <v>804400</v>
      </c>
      <c r="BA321" s="1171" t="s">
        <v>2174</v>
      </c>
      <c r="BB321" s="1171" t="s">
        <v>2174</v>
      </c>
      <c r="BC321" s="1171" t="s">
        <v>2174</v>
      </c>
      <c r="BD321" s="1171" t="s">
        <v>2174</v>
      </c>
      <c r="BE321" s="1176"/>
      <c r="BF321" s="1171" t="s">
        <v>2174</v>
      </c>
      <c r="BG321" s="1171" t="s">
        <v>2174</v>
      </c>
      <c r="BH321" s="1171" t="s">
        <v>2174</v>
      </c>
      <c r="BI321" s="1172" t="s">
        <v>2174</v>
      </c>
      <c r="BJ321" s="1176"/>
      <c r="BK321" s="1171" t="s">
        <v>2174</v>
      </c>
      <c r="BL321" s="1172" t="s">
        <v>2174</v>
      </c>
      <c r="BM321" s="1171" t="s">
        <v>2174</v>
      </c>
      <c r="BN321" s="1172" t="s">
        <v>2174</v>
      </c>
    </row>
    <row r="322" spans="1:66" x14ac:dyDescent="0.25">
      <c r="A322" s="49" t="str">
        <f t="shared" si="410"/>
        <v>804450</v>
      </c>
      <c r="B322" s="1307" t="str">
        <f>'BUS Deemed Savings Table'!C366</f>
        <v>804450_2024_12_</v>
      </c>
      <c r="C322" s="1249" t="str">
        <f>'BUS Deemed Savings Table'!G366</f>
        <v>Air Comp BUS</v>
      </c>
      <c r="D322" s="1249"/>
      <c r="E322" s="1249"/>
      <c r="F322" s="1249"/>
      <c r="G322" s="1249" t="str">
        <f>'BUS Deemed Savings Table'!E366</f>
        <v>No Loss Condensate Drain (Screw - Inlet Modulation)</v>
      </c>
      <c r="H322" s="18" t="str">
        <f>'BUS Deemed Savings Table'!D366</f>
        <v>C&amp;I</v>
      </c>
      <c r="I322" s="737">
        <f>'BUS Deemed Savings Table'!F366</f>
        <v>978.12</v>
      </c>
      <c r="J322" s="737"/>
      <c r="K322" s="185"/>
      <c r="L322" s="185"/>
      <c r="M322" s="185"/>
      <c r="N322" s="185"/>
      <c r="O322" s="738">
        <f>'BUS Deemed Savings Table'!I366</f>
        <v>0.13492599999999999</v>
      </c>
      <c r="P322" s="738"/>
      <c r="Q322" s="739"/>
      <c r="R322" s="739"/>
      <c r="S322" s="739"/>
      <c r="T322" s="739"/>
      <c r="U322" s="740">
        <f t="shared" si="426"/>
        <v>0</v>
      </c>
      <c r="V322" s="740">
        <f t="shared" si="427"/>
        <v>0.13492599999999999</v>
      </c>
      <c r="W322" s="740">
        <f t="shared" si="428"/>
        <v>0</v>
      </c>
      <c r="X322" s="22">
        <f>'BUS Deemed Savings Table'!J366</f>
        <v>13</v>
      </c>
      <c r="Y322" s="22"/>
      <c r="Z322" s="22">
        <f t="shared" si="411"/>
        <v>13</v>
      </c>
      <c r="AA322" s="17">
        <f>'BUS Deemed Savings Table'!DK366</f>
        <v>0.81246751259413841</v>
      </c>
      <c r="AB322" s="241">
        <f>'BUS Deemed Savings Table'!K366</f>
        <v>778</v>
      </c>
      <c r="AC322" s="742">
        <f t="shared" si="412"/>
        <v>632.09972479823966</v>
      </c>
      <c r="AD322" s="742">
        <f t="shared" si="413"/>
        <v>0</v>
      </c>
      <c r="AE322" s="580">
        <f>'BUS Deemed Savings Table'!DM366</f>
        <v>632.09972479823966</v>
      </c>
      <c r="AF322" s="191"/>
      <c r="AG322" s="191"/>
      <c r="AH322" s="191"/>
      <c r="AI322" s="857" t="str">
        <f>'BUS Deemed Savings Table'!L366</f>
        <v>per measure</v>
      </c>
      <c r="AJ322" s="68"/>
      <c r="AX322" s="1226" t="str">
        <f t="shared" si="396"/>
        <v>No Loss Condensate Drain (Screw - Inlet Modulation)</v>
      </c>
      <c r="AY322" s="1249"/>
      <c r="AZ322" s="1312" t="str">
        <f t="shared" si="397"/>
        <v>804450</v>
      </c>
      <c r="BA322" s="1171" t="s">
        <v>2174</v>
      </c>
      <c r="BB322" s="1171" t="s">
        <v>2174</v>
      </c>
      <c r="BC322" s="1171" t="s">
        <v>2174</v>
      </c>
      <c r="BD322" s="1171" t="s">
        <v>2174</v>
      </c>
      <c r="BE322" s="1176"/>
      <c r="BF322" s="1171" t="s">
        <v>2174</v>
      </c>
      <c r="BG322" s="1171" t="s">
        <v>2174</v>
      </c>
      <c r="BH322" s="1171" t="s">
        <v>2174</v>
      </c>
      <c r="BI322" s="1172" t="s">
        <v>2174</v>
      </c>
      <c r="BJ322" s="1176"/>
      <c r="BK322" s="1171" t="s">
        <v>2174</v>
      </c>
      <c r="BL322" s="1172" t="s">
        <v>2174</v>
      </c>
      <c r="BM322" s="1171" t="s">
        <v>2174</v>
      </c>
      <c r="BN322" s="1172" t="s">
        <v>2174</v>
      </c>
    </row>
    <row r="323" spans="1:66" x14ac:dyDescent="0.25">
      <c r="A323" s="49" t="str">
        <f t="shared" si="410"/>
        <v>804500</v>
      </c>
      <c r="B323" s="1307" t="str">
        <f>'BUS Deemed Savings Table'!C367</f>
        <v>804500_2024_12_</v>
      </c>
      <c r="C323" s="1249" t="str">
        <f>'BUS Deemed Savings Table'!G367</f>
        <v>Air Comp BUS</v>
      </c>
      <c r="D323" s="1249"/>
      <c r="E323" s="1249"/>
      <c r="F323" s="1249"/>
      <c r="G323" s="1249" t="str">
        <f>'BUS Deemed Savings Table'!E367</f>
        <v>No Loss Condensate Drain (Screw - Inlet Modulation w/ Unloading)</v>
      </c>
      <c r="H323" s="18" t="str">
        <f>'BUS Deemed Savings Table'!D367</f>
        <v>C&amp;I</v>
      </c>
      <c r="I323" s="737">
        <f>'BUS Deemed Savings Table'!F367</f>
        <v>978.12</v>
      </c>
      <c r="J323" s="737"/>
      <c r="K323" s="185"/>
      <c r="L323" s="185"/>
      <c r="M323" s="185"/>
      <c r="N323" s="185"/>
      <c r="O323" s="738">
        <f>'BUS Deemed Savings Table'!I367</f>
        <v>0.13492599999999999</v>
      </c>
      <c r="P323" s="738"/>
      <c r="Q323" s="739"/>
      <c r="R323" s="739"/>
      <c r="S323" s="739"/>
      <c r="T323" s="739"/>
      <c r="U323" s="740">
        <f t="shared" si="426"/>
        <v>0</v>
      </c>
      <c r="V323" s="740">
        <f t="shared" si="427"/>
        <v>0.13492599999999999</v>
      </c>
      <c r="W323" s="740">
        <f t="shared" si="428"/>
        <v>0</v>
      </c>
      <c r="X323" s="22">
        <f>'BUS Deemed Savings Table'!J367</f>
        <v>13</v>
      </c>
      <c r="Y323" s="22"/>
      <c r="Z323" s="22">
        <f t="shared" si="411"/>
        <v>13</v>
      </c>
      <c r="AA323" s="17">
        <f>'BUS Deemed Savings Table'!DK367</f>
        <v>0.81246751259413841</v>
      </c>
      <c r="AB323" s="241">
        <f>'BUS Deemed Savings Table'!K367</f>
        <v>778</v>
      </c>
      <c r="AC323" s="742">
        <f t="shared" si="412"/>
        <v>632.09972479823966</v>
      </c>
      <c r="AD323" s="742">
        <f t="shared" si="413"/>
        <v>0</v>
      </c>
      <c r="AE323" s="580">
        <f>'BUS Deemed Savings Table'!DM367</f>
        <v>632.09972479823966</v>
      </c>
      <c r="AF323" s="191"/>
      <c r="AG323" s="191"/>
      <c r="AH323" s="191"/>
      <c r="AI323" s="857" t="str">
        <f>'BUS Deemed Savings Table'!L367</f>
        <v>per measure</v>
      </c>
      <c r="AJ323" s="68"/>
      <c r="AX323" s="1226" t="str">
        <f t="shared" si="396"/>
        <v>No Loss Condensate Drain (Screw - Inlet Modulation w/ Unloading)</v>
      </c>
      <c r="AY323" s="1249"/>
      <c r="AZ323" s="1312" t="str">
        <f t="shared" si="397"/>
        <v>804500</v>
      </c>
      <c r="BA323" s="1171" t="s">
        <v>2174</v>
      </c>
      <c r="BB323" s="1171" t="s">
        <v>2174</v>
      </c>
      <c r="BC323" s="1171" t="s">
        <v>2174</v>
      </c>
      <c r="BD323" s="1171" t="s">
        <v>2174</v>
      </c>
      <c r="BE323" s="1176"/>
      <c r="BF323" s="1171" t="s">
        <v>2174</v>
      </c>
      <c r="BG323" s="1171" t="s">
        <v>2174</v>
      </c>
      <c r="BH323" s="1171" t="s">
        <v>2174</v>
      </c>
      <c r="BI323" s="1172" t="s">
        <v>2174</v>
      </c>
      <c r="BJ323" s="1176"/>
      <c r="BK323" s="1171" t="s">
        <v>2174</v>
      </c>
      <c r="BL323" s="1172" t="s">
        <v>2174</v>
      </c>
      <c r="BM323" s="1171" t="s">
        <v>2174</v>
      </c>
      <c r="BN323" s="1172" t="s">
        <v>2174</v>
      </c>
    </row>
    <row r="324" spans="1:66" x14ac:dyDescent="0.25">
      <c r="A324" s="49" t="str">
        <f t="shared" si="410"/>
        <v>804550</v>
      </c>
      <c r="B324" s="1307" t="str">
        <f>'BUS Deemed Savings Table'!C368</f>
        <v>804550_2024_12_</v>
      </c>
      <c r="C324" s="1249" t="str">
        <f>'BUS Deemed Savings Table'!G368</f>
        <v>Air Comp BUS</v>
      </c>
      <c r="D324" s="1249"/>
      <c r="E324" s="1249"/>
      <c r="F324" s="1249"/>
      <c r="G324" s="1249" t="str">
        <f>'BUS Deemed Savings Table'!E368</f>
        <v>No Loss Condensate Drain (Screw - Variable Displacement)</v>
      </c>
      <c r="H324" s="18" t="str">
        <f>'BUS Deemed Savings Table'!D368</f>
        <v>C&amp;I</v>
      </c>
      <c r="I324" s="737">
        <f>'BUS Deemed Savings Table'!F368</f>
        <v>2720.95</v>
      </c>
      <c r="J324" s="737"/>
      <c r="K324" s="185"/>
      <c r="L324" s="185"/>
      <c r="M324" s="185"/>
      <c r="N324" s="185"/>
      <c r="O324" s="738">
        <f>'BUS Deemed Savings Table'!I368</f>
        <v>0.375338</v>
      </c>
      <c r="P324" s="738"/>
      <c r="Q324" s="739"/>
      <c r="R324" s="739"/>
      <c r="S324" s="739"/>
      <c r="T324" s="739"/>
      <c r="U324" s="740">
        <f t="shared" si="426"/>
        <v>0</v>
      </c>
      <c r="V324" s="740">
        <f t="shared" si="427"/>
        <v>0.375338</v>
      </c>
      <c r="W324" s="740">
        <f t="shared" si="428"/>
        <v>0</v>
      </c>
      <c r="X324" s="22">
        <f>'BUS Deemed Savings Table'!J368</f>
        <v>13</v>
      </c>
      <c r="Y324" s="22"/>
      <c r="Z324" s="22">
        <f t="shared" si="411"/>
        <v>13</v>
      </c>
      <c r="AA324" s="17">
        <f>'BUS Deemed Savings Table'!DK368</f>
        <v>2.2601352373870491</v>
      </c>
      <c r="AB324" s="241">
        <f>'BUS Deemed Savings Table'!K368</f>
        <v>778</v>
      </c>
      <c r="AC324" s="742">
        <f t="shared" si="412"/>
        <v>1758.3852146871243</v>
      </c>
      <c r="AD324" s="742">
        <f t="shared" si="413"/>
        <v>0</v>
      </c>
      <c r="AE324" s="580">
        <f>'BUS Deemed Savings Table'!DM368</f>
        <v>1758.3852146871243</v>
      </c>
      <c r="AF324" s="191"/>
      <c r="AG324" s="191"/>
      <c r="AH324" s="191"/>
      <c r="AI324" s="857" t="str">
        <f>'BUS Deemed Savings Table'!L368</f>
        <v>per measure</v>
      </c>
      <c r="AJ324" s="68"/>
      <c r="AX324" s="1226" t="str">
        <f t="shared" si="396"/>
        <v>No Loss Condensate Drain (Screw - Variable Displacement)</v>
      </c>
      <c r="AY324" s="1249"/>
      <c r="AZ324" s="1312" t="str">
        <f t="shared" si="397"/>
        <v>804550</v>
      </c>
      <c r="BA324" s="1171" t="s">
        <v>2174</v>
      </c>
      <c r="BB324" s="1171" t="s">
        <v>2174</v>
      </c>
      <c r="BC324" s="1171" t="s">
        <v>2174</v>
      </c>
      <c r="BD324" s="1171" t="s">
        <v>2174</v>
      </c>
      <c r="BE324" s="1176"/>
      <c r="BF324" s="1171" t="s">
        <v>2174</v>
      </c>
      <c r="BG324" s="1171" t="s">
        <v>2174</v>
      </c>
      <c r="BH324" s="1171" t="s">
        <v>2174</v>
      </c>
      <c r="BI324" s="1172" t="s">
        <v>2174</v>
      </c>
      <c r="BJ324" s="1176"/>
      <c r="BK324" s="1171" t="s">
        <v>2174</v>
      </c>
      <c r="BL324" s="1172" t="s">
        <v>2174</v>
      </c>
      <c r="BM324" s="1171" t="s">
        <v>2174</v>
      </c>
      <c r="BN324" s="1172" t="s">
        <v>2174</v>
      </c>
    </row>
    <row r="325" spans="1:66" x14ac:dyDescent="0.25">
      <c r="A325" s="49" t="str">
        <f t="shared" si="410"/>
        <v>804600</v>
      </c>
      <c r="B325" s="1307" t="str">
        <f>'BUS Deemed Savings Table'!C369</f>
        <v>804600_2024_12_</v>
      </c>
      <c r="C325" s="1249" t="str">
        <f>'BUS Deemed Savings Table'!G369</f>
        <v>Air Comp BUS</v>
      </c>
      <c r="D325" s="1249"/>
      <c r="E325" s="1249"/>
      <c r="F325" s="1249"/>
      <c r="G325" s="1249" t="str">
        <f>'BUS Deemed Savings Table'!E369</f>
        <v>No Loss Condensate Drain (Screw - VFD)</v>
      </c>
      <c r="H325" s="18" t="str">
        <f>'BUS Deemed Savings Table'!D369</f>
        <v>C&amp;I</v>
      </c>
      <c r="I325" s="737">
        <f>'BUS Deemed Savings Table'!F369</f>
        <v>3165.55</v>
      </c>
      <c r="J325" s="737"/>
      <c r="K325" s="185"/>
      <c r="L325" s="185"/>
      <c r="M325" s="185"/>
      <c r="N325" s="185"/>
      <c r="O325" s="738">
        <f>'BUS Deemed Savings Table'!I369</f>
        <v>0.436668</v>
      </c>
      <c r="P325" s="738"/>
      <c r="Q325" s="739"/>
      <c r="R325" s="739"/>
      <c r="S325" s="739"/>
      <c r="T325" s="739"/>
      <c r="U325" s="740">
        <f t="shared" si="426"/>
        <v>0</v>
      </c>
      <c r="V325" s="740">
        <f t="shared" si="427"/>
        <v>0.436668</v>
      </c>
      <c r="W325" s="740">
        <f t="shared" si="428"/>
        <v>0</v>
      </c>
      <c r="X325" s="22">
        <f>'BUS Deemed Savings Table'!J369</f>
        <v>13</v>
      </c>
      <c r="Y325" s="22"/>
      <c r="Z325" s="22">
        <f t="shared" si="411"/>
        <v>13</v>
      </c>
      <c r="AA325" s="17">
        <f>'BUS Deemed Savings Table'!DK369</f>
        <v>2.629438652202567</v>
      </c>
      <c r="AB325" s="241">
        <f>'BUS Deemed Savings Table'!K369</f>
        <v>778</v>
      </c>
      <c r="AC325" s="742">
        <f t="shared" si="412"/>
        <v>2045.7032714135971</v>
      </c>
      <c r="AD325" s="742">
        <f t="shared" si="413"/>
        <v>0</v>
      </c>
      <c r="AE325" s="580">
        <f>'BUS Deemed Savings Table'!DM369</f>
        <v>2045.7032714135971</v>
      </c>
      <c r="AF325" s="191"/>
      <c r="AG325" s="191"/>
      <c r="AH325" s="191"/>
      <c r="AI325" s="857" t="str">
        <f>'BUS Deemed Savings Table'!L369</f>
        <v>per measure</v>
      </c>
      <c r="AJ325" s="68"/>
      <c r="AX325" s="1226" t="str">
        <f t="shared" si="396"/>
        <v>No Loss Condensate Drain (Screw - VFD)</v>
      </c>
      <c r="AY325" s="1249"/>
      <c r="AZ325" s="1312" t="str">
        <f t="shared" si="397"/>
        <v>804600</v>
      </c>
      <c r="BA325" s="1171" t="s">
        <v>2174</v>
      </c>
      <c r="BB325" s="1171" t="s">
        <v>2174</v>
      </c>
      <c r="BC325" s="1171" t="s">
        <v>2174</v>
      </c>
      <c r="BD325" s="1171" t="s">
        <v>2174</v>
      </c>
      <c r="BE325" s="1176"/>
      <c r="BF325" s="1171" t="s">
        <v>2174</v>
      </c>
      <c r="BG325" s="1171" t="s">
        <v>2174</v>
      </c>
      <c r="BH325" s="1171" t="s">
        <v>2174</v>
      </c>
      <c r="BI325" s="1172" t="s">
        <v>2174</v>
      </c>
      <c r="BJ325" s="1176"/>
      <c r="BK325" s="1171" t="s">
        <v>2174</v>
      </c>
      <c r="BL325" s="1172" t="s">
        <v>2174</v>
      </c>
      <c r="BM325" s="1171" t="s">
        <v>2174</v>
      </c>
      <c r="BN325" s="1172" t="s">
        <v>2174</v>
      </c>
    </row>
    <row r="326" spans="1:66" x14ac:dyDescent="0.25">
      <c r="A326" s="49" t="str">
        <f t="shared" si="410"/>
        <v>804650</v>
      </c>
      <c r="B326" s="1307" t="str">
        <f>'BUS Deemed Savings Table'!C389</f>
        <v>804650_2024_12_</v>
      </c>
      <c r="C326" s="1249" t="str">
        <f>'BUS Deemed Savings Table'!G389</f>
        <v>Air Comp BUS</v>
      </c>
      <c r="D326" s="1249"/>
      <c r="E326" s="1249"/>
      <c r="F326" s="1249"/>
      <c r="G326" s="1249" t="str">
        <f>'BUS Deemed Savings Table'!E389</f>
        <v>Compressed Air Nozzle (Reciprocating - On/off Control)</v>
      </c>
      <c r="H326" s="18" t="str">
        <f>'BUS Deemed Savings Table'!D389</f>
        <v>C&amp;I</v>
      </c>
      <c r="I326" s="737">
        <f>'BUS Deemed Savings Table'!F389</f>
        <v>1633.16</v>
      </c>
      <c r="J326" s="737"/>
      <c r="K326" s="185"/>
      <c r="L326" s="185"/>
      <c r="M326" s="185"/>
      <c r="N326" s="185"/>
      <c r="O326" s="738">
        <f>'BUS Deemed Savings Table'!I389</f>
        <v>0.22528400000000001</v>
      </c>
      <c r="P326" s="738"/>
      <c r="Q326" s="739"/>
      <c r="R326" s="739"/>
      <c r="S326" s="739"/>
      <c r="T326" s="739"/>
      <c r="U326" s="740">
        <f t="shared" ref="U326:U335" si="454">IFERROR(IF(V326+W326&gt;0,0,IF(Z326&gt;0,O326,0)),0)</f>
        <v>0</v>
      </c>
      <c r="V326" s="740">
        <f t="shared" ref="V326:V335" si="455">IF(W326&gt;0,0,IF(Z326&gt;9,O326,0))</f>
        <v>0</v>
      </c>
      <c r="W326" s="740">
        <f t="shared" ref="W326:W335" si="456">IF(Z326&gt;14,O326,0)</f>
        <v>0.22528400000000001</v>
      </c>
      <c r="X326" s="22">
        <f>'BUS Deemed Savings Table'!J389</f>
        <v>15</v>
      </c>
      <c r="Y326" s="22"/>
      <c r="Z326" s="22">
        <f t="shared" si="411"/>
        <v>15</v>
      </c>
      <c r="AA326" s="17">
        <f>'BUS Deemed Savings Table'!DK389</f>
        <v>19.739175135871012</v>
      </c>
      <c r="AB326" s="241">
        <f>'BUS Deemed Savings Table'!K389</f>
        <v>59</v>
      </c>
      <c r="AC326" s="742">
        <f t="shared" si="412"/>
        <v>1164.6113330163896</v>
      </c>
      <c r="AD326" s="742">
        <f t="shared" si="413"/>
        <v>0</v>
      </c>
      <c r="AE326" s="580">
        <f>'BUS Deemed Savings Table'!DM389</f>
        <v>1164.6113330163896</v>
      </c>
      <c r="AF326" s="191"/>
      <c r="AG326" s="191"/>
      <c r="AH326" s="191"/>
      <c r="AI326" s="857" t="str">
        <f>'BUS Deemed Savings Table'!L389</f>
        <v>per measure</v>
      </c>
      <c r="AJ326" s="68"/>
      <c r="AX326" s="1226" t="str">
        <f t="shared" si="396"/>
        <v>Compressed Air Nozzle (Reciprocating - On/off Control)</v>
      </c>
      <c r="AY326" s="1249"/>
      <c r="AZ326" s="1312" t="str">
        <f t="shared" si="397"/>
        <v>804650</v>
      </c>
      <c r="BA326" s="1171" t="s">
        <v>2174</v>
      </c>
      <c r="BB326" s="1171" t="s">
        <v>2174</v>
      </c>
      <c r="BC326" s="1171" t="s">
        <v>2174</v>
      </c>
      <c r="BD326" s="1171" t="s">
        <v>2174</v>
      </c>
      <c r="BE326" s="1176"/>
      <c r="BF326" s="1171" t="s">
        <v>2174</v>
      </c>
      <c r="BG326" s="1171" t="s">
        <v>2174</v>
      </c>
      <c r="BH326" s="1171" t="s">
        <v>2174</v>
      </c>
      <c r="BI326" s="1172" t="s">
        <v>2174</v>
      </c>
      <c r="BJ326" s="1176"/>
      <c r="BK326" s="1171" t="s">
        <v>2174</v>
      </c>
      <c r="BL326" s="1172" t="s">
        <v>2174</v>
      </c>
      <c r="BM326" s="1171" t="s">
        <v>2174</v>
      </c>
      <c r="BN326" s="1172" t="s">
        <v>2174</v>
      </c>
    </row>
    <row r="327" spans="1:66" x14ac:dyDescent="0.25">
      <c r="A327" s="49" t="str">
        <f t="shared" si="410"/>
        <v>804700</v>
      </c>
      <c r="B327" s="1307" t="str">
        <f>'BUS Deemed Savings Table'!C390</f>
        <v>804700_2024_12_</v>
      </c>
      <c r="C327" s="1249" t="str">
        <f>'BUS Deemed Savings Table'!G390</f>
        <v>Air Comp BUS</v>
      </c>
      <c r="D327" s="1249"/>
      <c r="E327" s="1249"/>
      <c r="F327" s="1249"/>
      <c r="G327" s="1249" t="str">
        <f>'BUS Deemed Savings Table'!E390</f>
        <v>Compressed Air Nozzle (Reciprocating - Load/Unload)</v>
      </c>
      <c r="H327" s="18" t="str">
        <f>'BUS Deemed Savings Table'!D390</f>
        <v>C&amp;I</v>
      </c>
      <c r="I327" s="737">
        <f>'BUS Deemed Savings Table'!F390</f>
        <v>1208.54</v>
      </c>
      <c r="J327" s="737"/>
      <c r="K327" s="185"/>
      <c r="L327" s="185"/>
      <c r="M327" s="185"/>
      <c r="N327" s="185"/>
      <c r="O327" s="738">
        <f>'BUS Deemed Savings Table'!I390</f>
        <v>0.166711</v>
      </c>
      <c r="P327" s="738"/>
      <c r="Q327" s="739"/>
      <c r="R327" s="739"/>
      <c r="S327" s="739"/>
      <c r="T327" s="739"/>
      <c r="U327" s="740">
        <f t="shared" si="454"/>
        <v>0</v>
      </c>
      <c r="V327" s="740">
        <f t="shared" si="455"/>
        <v>0</v>
      </c>
      <c r="W327" s="740">
        <f t="shared" si="456"/>
        <v>0.166711</v>
      </c>
      <c r="X327" s="22">
        <f>'BUS Deemed Savings Table'!J390</f>
        <v>15</v>
      </c>
      <c r="Y327" s="22"/>
      <c r="Z327" s="22">
        <f t="shared" si="411"/>
        <v>15</v>
      </c>
      <c r="AA327" s="17">
        <f>'BUS Deemed Savings Table'!DK390</f>
        <v>14.607008938931608</v>
      </c>
      <c r="AB327" s="241">
        <f>'BUS Deemed Savings Table'!K390</f>
        <v>59</v>
      </c>
      <c r="AC327" s="742">
        <f t="shared" si="412"/>
        <v>861.8135273969649</v>
      </c>
      <c r="AD327" s="742">
        <f t="shared" si="413"/>
        <v>0</v>
      </c>
      <c r="AE327" s="580">
        <f>'BUS Deemed Savings Table'!DM390</f>
        <v>861.8135273969649</v>
      </c>
      <c r="AF327" s="191"/>
      <c r="AG327" s="191"/>
      <c r="AH327" s="191"/>
      <c r="AI327" s="857" t="str">
        <f>'BUS Deemed Savings Table'!L390</f>
        <v>per measure</v>
      </c>
      <c r="AJ327" s="68"/>
      <c r="AX327" s="1226" t="str">
        <f t="shared" si="396"/>
        <v>Compressed Air Nozzle (Reciprocating - Load/Unload)</v>
      </c>
      <c r="AY327" s="1249"/>
      <c r="AZ327" s="1312" t="str">
        <f t="shared" si="397"/>
        <v>804700</v>
      </c>
      <c r="BA327" s="1171" t="s">
        <v>2174</v>
      </c>
      <c r="BB327" s="1171" t="s">
        <v>2174</v>
      </c>
      <c r="BC327" s="1171" t="s">
        <v>2174</v>
      </c>
      <c r="BD327" s="1171" t="s">
        <v>2174</v>
      </c>
      <c r="BE327" s="1176"/>
      <c r="BF327" s="1171" t="s">
        <v>2174</v>
      </c>
      <c r="BG327" s="1171" t="s">
        <v>2174</v>
      </c>
      <c r="BH327" s="1171" t="s">
        <v>2174</v>
      </c>
      <c r="BI327" s="1172" t="s">
        <v>2174</v>
      </c>
      <c r="BJ327" s="1176"/>
      <c r="BK327" s="1171" t="s">
        <v>2174</v>
      </c>
      <c r="BL327" s="1172" t="s">
        <v>2174</v>
      </c>
      <c r="BM327" s="1171" t="s">
        <v>2174</v>
      </c>
      <c r="BN327" s="1172" t="s">
        <v>2174</v>
      </c>
    </row>
    <row r="328" spans="1:66" x14ac:dyDescent="0.25">
      <c r="A328" s="49" t="str">
        <f t="shared" si="410"/>
        <v>804750</v>
      </c>
      <c r="B328" s="1307" t="str">
        <f>'BUS Deemed Savings Table'!C391</f>
        <v>804750_2024_12_</v>
      </c>
      <c r="C328" s="1249" t="str">
        <f>'BUS Deemed Savings Table'!G391</f>
        <v>Air Comp BUS</v>
      </c>
      <c r="D328" s="1249"/>
      <c r="E328" s="1249"/>
      <c r="F328" s="1249"/>
      <c r="G328" s="1249" t="str">
        <f>'BUS Deemed Savings Table'!E391</f>
        <v>Compressed Air Nozzle (Screw - Load/Unload)</v>
      </c>
      <c r="H328" s="18" t="str">
        <f>'BUS Deemed Savings Table'!D391</f>
        <v>C&amp;I</v>
      </c>
      <c r="I328" s="737">
        <f>'BUS Deemed Savings Table'!F391</f>
        <v>1192.21</v>
      </c>
      <c r="J328" s="737"/>
      <c r="K328" s="185"/>
      <c r="L328" s="185"/>
      <c r="M328" s="185"/>
      <c r="N328" s="185"/>
      <c r="O328" s="738">
        <f>'BUS Deemed Savings Table'!I391</f>
        <v>0.16445799999999999</v>
      </c>
      <c r="P328" s="738"/>
      <c r="Q328" s="739"/>
      <c r="R328" s="739"/>
      <c r="S328" s="739"/>
      <c r="T328" s="739"/>
      <c r="U328" s="740">
        <f t="shared" si="454"/>
        <v>0</v>
      </c>
      <c r="V328" s="740">
        <f t="shared" si="455"/>
        <v>0</v>
      </c>
      <c r="W328" s="740">
        <f t="shared" si="456"/>
        <v>0.16445799999999999</v>
      </c>
      <c r="X328" s="22">
        <f>'BUS Deemed Savings Table'!J391</f>
        <v>15</v>
      </c>
      <c r="Y328" s="22"/>
      <c r="Z328" s="22">
        <f t="shared" si="411"/>
        <v>15</v>
      </c>
      <c r="AA328" s="17">
        <f>'BUS Deemed Savings Table'!DK391</f>
        <v>14.409636525959964</v>
      </c>
      <c r="AB328" s="241">
        <f>'BUS Deemed Savings Table'!K391</f>
        <v>59</v>
      </c>
      <c r="AC328" s="742">
        <f t="shared" si="412"/>
        <v>850.16855503163788</v>
      </c>
      <c r="AD328" s="742">
        <f t="shared" si="413"/>
        <v>0</v>
      </c>
      <c r="AE328" s="580">
        <f>'BUS Deemed Savings Table'!DM391</f>
        <v>850.16855503163788</v>
      </c>
      <c r="AF328" s="191"/>
      <c r="AG328" s="191"/>
      <c r="AH328" s="191"/>
      <c r="AI328" s="857" t="str">
        <f>'BUS Deemed Savings Table'!L391</f>
        <v>per measure</v>
      </c>
      <c r="AJ328" s="68"/>
      <c r="AX328" s="1226" t="str">
        <f t="shared" ref="AX328:AX346" si="457">G328</f>
        <v>Compressed Air Nozzle (Screw - Load/Unload)</v>
      </c>
      <c r="AY328" s="1249"/>
      <c r="AZ328" s="1312" t="str">
        <f t="shared" ref="AZ328:AZ346" si="458">A328</f>
        <v>804750</v>
      </c>
      <c r="BA328" s="1171" t="s">
        <v>2174</v>
      </c>
      <c r="BB328" s="1171" t="s">
        <v>2174</v>
      </c>
      <c r="BC328" s="1171" t="s">
        <v>2174</v>
      </c>
      <c r="BD328" s="1171" t="s">
        <v>2174</v>
      </c>
      <c r="BE328" s="1176"/>
      <c r="BF328" s="1171" t="s">
        <v>2174</v>
      </c>
      <c r="BG328" s="1171" t="s">
        <v>2174</v>
      </c>
      <c r="BH328" s="1171" t="s">
        <v>2174</v>
      </c>
      <c r="BI328" s="1172" t="s">
        <v>2174</v>
      </c>
      <c r="BJ328" s="1176"/>
      <c r="BK328" s="1171" t="s">
        <v>2174</v>
      </c>
      <c r="BL328" s="1172" t="s">
        <v>2174</v>
      </c>
      <c r="BM328" s="1171" t="s">
        <v>2174</v>
      </c>
      <c r="BN328" s="1172" t="s">
        <v>2174</v>
      </c>
    </row>
    <row r="329" spans="1:66" x14ac:dyDescent="0.25">
      <c r="A329" s="49" t="str">
        <f t="shared" si="410"/>
        <v>804800</v>
      </c>
      <c r="B329" s="1307" t="str">
        <f>'BUS Deemed Savings Table'!C392</f>
        <v>804800_2024_12_</v>
      </c>
      <c r="C329" s="1249" t="str">
        <f>'BUS Deemed Savings Table'!G392</f>
        <v>Air Comp BUS</v>
      </c>
      <c r="D329" s="1249"/>
      <c r="E329" s="1249"/>
      <c r="F329" s="1249"/>
      <c r="G329" s="1249" t="str">
        <f>'BUS Deemed Savings Table'!E392</f>
        <v>Compressed Air Nozzle (Screw - Inlet Modulation)</v>
      </c>
      <c r="H329" s="18" t="str">
        <f>'BUS Deemed Savings Table'!D392</f>
        <v>C&amp;I</v>
      </c>
      <c r="I329" s="737">
        <f>'BUS Deemed Savings Table'!F392</f>
        <v>473.62</v>
      </c>
      <c r="J329" s="737"/>
      <c r="K329" s="185"/>
      <c r="L329" s="185"/>
      <c r="M329" s="185"/>
      <c r="N329" s="185"/>
      <c r="O329" s="738">
        <f>'BUS Deemed Savings Table'!I392</f>
        <v>6.5333000000000002E-2</v>
      </c>
      <c r="P329" s="738"/>
      <c r="Q329" s="739"/>
      <c r="R329" s="739"/>
      <c r="S329" s="739"/>
      <c r="T329" s="739"/>
      <c r="U329" s="740">
        <f t="shared" si="454"/>
        <v>0</v>
      </c>
      <c r="V329" s="740">
        <f t="shared" si="455"/>
        <v>0</v>
      </c>
      <c r="W329" s="740">
        <f t="shared" si="456"/>
        <v>6.5333000000000002E-2</v>
      </c>
      <c r="X329" s="22">
        <f>'BUS Deemed Savings Table'!J392</f>
        <v>15</v>
      </c>
      <c r="Y329" s="22"/>
      <c r="Z329" s="22">
        <f t="shared" si="411"/>
        <v>15</v>
      </c>
      <c r="AA329" s="17">
        <f>'BUS Deemed Savings Table'!DK392</f>
        <v>5.7244043007734859</v>
      </c>
      <c r="AB329" s="241">
        <f>'BUS Deemed Savings Table'!K392</f>
        <v>59</v>
      </c>
      <c r="AC329" s="742">
        <f t="shared" si="412"/>
        <v>337.73985374563568</v>
      </c>
      <c r="AD329" s="742">
        <f t="shared" si="413"/>
        <v>0</v>
      </c>
      <c r="AE329" s="580">
        <f>'BUS Deemed Savings Table'!DM392</f>
        <v>337.73985374563568</v>
      </c>
      <c r="AF329" s="191"/>
      <c r="AG329" s="191"/>
      <c r="AH329" s="191"/>
      <c r="AI329" s="857" t="str">
        <f>'BUS Deemed Savings Table'!L392</f>
        <v>per measure</v>
      </c>
      <c r="AJ329" s="68"/>
      <c r="AX329" s="1226" t="str">
        <f t="shared" si="457"/>
        <v>Compressed Air Nozzle (Screw - Inlet Modulation)</v>
      </c>
      <c r="AY329" s="1249"/>
      <c r="AZ329" s="1312" t="str">
        <f t="shared" si="458"/>
        <v>804800</v>
      </c>
      <c r="BA329" s="1171" t="s">
        <v>2174</v>
      </c>
      <c r="BB329" s="1171" t="s">
        <v>2174</v>
      </c>
      <c r="BC329" s="1171" t="s">
        <v>2174</v>
      </c>
      <c r="BD329" s="1171" t="s">
        <v>2174</v>
      </c>
      <c r="BE329" s="1176"/>
      <c r="BF329" s="1171" t="s">
        <v>2174</v>
      </c>
      <c r="BG329" s="1171" t="s">
        <v>2174</v>
      </c>
      <c r="BH329" s="1171" t="s">
        <v>2174</v>
      </c>
      <c r="BI329" s="1172" t="s">
        <v>2174</v>
      </c>
      <c r="BJ329" s="1176"/>
      <c r="BK329" s="1171" t="s">
        <v>2174</v>
      </c>
      <c r="BL329" s="1172" t="s">
        <v>2174</v>
      </c>
      <c r="BM329" s="1171" t="s">
        <v>2174</v>
      </c>
      <c r="BN329" s="1172" t="s">
        <v>2174</v>
      </c>
    </row>
    <row r="330" spans="1:66" x14ac:dyDescent="0.25">
      <c r="A330" s="49" t="str">
        <f t="shared" si="410"/>
        <v>804850</v>
      </c>
      <c r="B330" s="1307" t="str">
        <f>'BUS Deemed Savings Table'!C393</f>
        <v>804850_2024_12_</v>
      </c>
      <c r="C330" s="1249" t="str">
        <f>'BUS Deemed Savings Table'!G393</f>
        <v>Air Comp BUS</v>
      </c>
      <c r="D330" s="1249"/>
      <c r="E330" s="1249"/>
      <c r="F330" s="1249"/>
      <c r="G330" s="1249" t="str">
        <f>'BUS Deemed Savings Table'!E393</f>
        <v>Compressed Air Nozzle (Screw - Inlet Modulation w/ blowdown)</v>
      </c>
      <c r="H330" s="18" t="str">
        <f>'BUS Deemed Savings Table'!D393</f>
        <v>C&amp;I</v>
      </c>
      <c r="I330" s="737">
        <f>'BUS Deemed Savings Table'!F393</f>
        <v>1208.54</v>
      </c>
      <c r="J330" s="737"/>
      <c r="K330" s="185"/>
      <c r="L330" s="185"/>
      <c r="M330" s="185"/>
      <c r="N330" s="185"/>
      <c r="O330" s="738">
        <f>'BUS Deemed Savings Table'!I393</f>
        <v>0.166711</v>
      </c>
      <c r="P330" s="738"/>
      <c r="Q330" s="739"/>
      <c r="R330" s="739"/>
      <c r="S330" s="739"/>
      <c r="T330" s="739"/>
      <c r="U330" s="740">
        <f t="shared" si="454"/>
        <v>0</v>
      </c>
      <c r="V330" s="740">
        <f t="shared" si="455"/>
        <v>0</v>
      </c>
      <c r="W330" s="740">
        <f t="shared" si="456"/>
        <v>0.166711</v>
      </c>
      <c r="X330" s="22">
        <f>'BUS Deemed Savings Table'!J393</f>
        <v>15</v>
      </c>
      <c r="Y330" s="22"/>
      <c r="Z330" s="22">
        <f t="shared" si="411"/>
        <v>15</v>
      </c>
      <c r="AA330" s="17">
        <f>'BUS Deemed Savings Table'!DK393</f>
        <v>14.607008938931608</v>
      </c>
      <c r="AB330" s="241">
        <f>'BUS Deemed Savings Table'!K393</f>
        <v>59</v>
      </c>
      <c r="AC330" s="742">
        <f t="shared" si="412"/>
        <v>861.8135273969649</v>
      </c>
      <c r="AD330" s="742">
        <f t="shared" si="413"/>
        <v>0</v>
      </c>
      <c r="AE330" s="580">
        <f>'BUS Deemed Savings Table'!DM393</f>
        <v>861.8135273969649</v>
      </c>
      <c r="AF330" s="191"/>
      <c r="AG330" s="191"/>
      <c r="AH330" s="191"/>
      <c r="AI330" s="857" t="str">
        <f>'BUS Deemed Savings Table'!L393</f>
        <v>per measure</v>
      </c>
      <c r="AJ330" s="68"/>
      <c r="AX330" s="1226" t="str">
        <f t="shared" si="457"/>
        <v>Compressed Air Nozzle (Screw - Inlet Modulation w/ blowdown)</v>
      </c>
      <c r="AY330" s="1249"/>
      <c r="AZ330" s="1312" t="str">
        <f t="shared" si="458"/>
        <v>804850</v>
      </c>
      <c r="BA330" s="1171" t="s">
        <v>2174</v>
      </c>
      <c r="BB330" s="1171" t="s">
        <v>2174</v>
      </c>
      <c r="BC330" s="1171" t="s">
        <v>2174</v>
      </c>
      <c r="BD330" s="1171" t="s">
        <v>2174</v>
      </c>
      <c r="BE330" s="1176"/>
      <c r="BF330" s="1171" t="s">
        <v>2174</v>
      </c>
      <c r="BG330" s="1171" t="s">
        <v>2174</v>
      </c>
      <c r="BH330" s="1171" t="s">
        <v>2174</v>
      </c>
      <c r="BI330" s="1172" t="s">
        <v>2174</v>
      </c>
      <c r="BJ330" s="1176"/>
      <c r="BK330" s="1171" t="s">
        <v>2174</v>
      </c>
      <c r="BL330" s="1172" t="s">
        <v>2174</v>
      </c>
      <c r="BM330" s="1171" t="s">
        <v>2174</v>
      </c>
      <c r="BN330" s="1172" t="s">
        <v>2174</v>
      </c>
    </row>
    <row r="331" spans="1:66" x14ac:dyDescent="0.25">
      <c r="A331" s="49" t="str">
        <f t="shared" si="410"/>
        <v>804900</v>
      </c>
      <c r="B331" s="1307" t="str">
        <f>'BUS Deemed Savings Table'!C394</f>
        <v>804900_2024_12_</v>
      </c>
      <c r="C331" s="1249" t="str">
        <f>'BUS Deemed Savings Table'!G394</f>
        <v>Air Comp BUS</v>
      </c>
      <c r="D331" s="1249"/>
      <c r="E331" s="1249"/>
      <c r="F331" s="1249"/>
      <c r="G331" s="1249" t="str">
        <f>'BUS Deemed Savings Table'!E394</f>
        <v>Compressed Air Nozzle (Screw - Variable Displacement)</v>
      </c>
      <c r="H331" s="18" t="str">
        <f>'BUS Deemed Savings Table'!D394</f>
        <v>C&amp;I</v>
      </c>
      <c r="I331" s="737">
        <f>'BUS Deemed Savings Table'!F394</f>
        <v>979.9</v>
      </c>
      <c r="J331" s="737"/>
      <c r="K331" s="185"/>
      <c r="L331" s="185"/>
      <c r="M331" s="185"/>
      <c r="N331" s="185"/>
      <c r="O331" s="738">
        <f>'BUS Deemed Savings Table'!I394</f>
        <v>0.13517100000000001</v>
      </c>
      <c r="P331" s="738"/>
      <c r="Q331" s="739"/>
      <c r="R331" s="739"/>
      <c r="S331" s="739"/>
      <c r="T331" s="739"/>
      <c r="U331" s="740">
        <f t="shared" si="454"/>
        <v>0</v>
      </c>
      <c r="V331" s="740">
        <f t="shared" si="455"/>
        <v>0</v>
      </c>
      <c r="W331" s="740">
        <f t="shared" si="456"/>
        <v>0.13517100000000001</v>
      </c>
      <c r="X331" s="22">
        <f>'BUS Deemed Savings Table'!J394</f>
        <v>15</v>
      </c>
      <c r="Y331" s="22"/>
      <c r="Z331" s="22">
        <f t="shared" si="411"/>
        <v>15</v>
      </c>
      <c r="AA331" s="17">
        <f>'BUS Deemed Savings Table'!DK394</f>
        <v>11.843553427490265</v>
      </c>
      <c r="AB331" s="241">
        <f>'BUS Deemed Savings Table'!K394</f>
        <v>59</v>
      </c>
      <c r="AC331" s="742">
        <f t="shared" si="412"/>
        <v>698.76965222192564</v>
      </c>
      <c r="AD331" s="742">
        <f t="shared" si="413"/>
        <v>0</v>
      </c>
      <c r="AE331" s="580">
        <f>'BUS Deemed Savings Table'!DM394</f>
        <v>698.76965222192564</v>
      </c>
      <c r="AF331" s="191"/>
      <c r="AG331" s="191"/>
      <c r="AH331" s="191"/>
      <c r="AI331" s="857" t="str">
        <f>'BUS Deemed Savings Table'!L394</f>
        <v>per measure</v>
      </c>
      <c r="AJ331" s="68"/>
      <c r="AX331" s="1226" t="str">
        <f t="shared" si="457"/>
        <v>Compressed Air Nozzle (Screw - Variable Displacement)</v>
      </c>
      <c r="AY331" s="1249"/>
      <c r="AZ331" s="1312" t="str">
        <f t="shared" si="458"/>
        <v>804900</v>
      </c>
      <c r="BA331" s="1171" t="s">
        <v>2174</v>
      </c>
      <c r="BB331" s="1171" t="s">
        <v>2174</v>
      </c>
      <c r="BC331" s="1171" t="s">
        <v>2174</v>
      </c>
      <c r="BD331" s="1171" t="s">
        <v>2174</v>
      </c>
      <c r="BE331" s="1176"/>
      <c r="BF331" s="1171" t="s">
        <v>2174</v>
      </c>
      <c r="BG331" s="1171" t="s">
        <v>2174</v>
      </c>
      <c r="BH331" s="1171" t="s">
        <v>2174</v>
      </c>
      <c r="BI331" s="1172" t="s">
        <v>2174</v>
      </c>
      <c r="BJ331" s="1176"/>
      <c r="BK331" s="1171" t="s">
        <v>2174</v>
      </c>
      <c r="BL331" s="1172" t="s">
        <v>2174</v>
      </c>
      <c r="BM331" s="1171" t="s">
        <v>2174</v>
      </c>
      <c r="BN331" s="1172" t="s">
        <v>2174</v>
      </c>
    </row>
    <row r="332" spans="1:66" x14ac:dyDescent="0.25">
      <c r="A332" s="49" t="str">
        <f t="shared" si="410"/>
        <v>804950</v>
      </c>
      <c r="B332" s="1307" t="str">
        <f>'BUS Deemed Savings Table'!C395</f>
        <v>804950_2024_12_</v>
      </c>
      <c r="C332" s="1249" t="str">
        <f>'BUS Deemed Savings Table'!G395</f>
        <v>Air Comp BUS</v>
      </c>
      <c r="D332" s="1249"/>
      <c r="E332" s="1249"/>
      <c r="F332" s="1249"/>
      <c r="G332" s="1249" t="str">
        <f>'BUS Deemed Savings Table'!E395</f>
        <v>Compressed Air Nozzle (Screw - VFD)</v>
      </c>
      <c r="H332" s="18" t="str">
        <f>'BUS Deemed Savings Table'!D395</f>
        <v>C&amp;I</v>
      </c>
      <c r="I332" s="737">
        <f>'BUS Deemed Savings Table'!F395</f>
        <v>1584.17</v>
      </c>
      <c r="J332" s="737"/>
      <c r="K332" s="185"/>
      <c r="L332" s="185"/>
      <c r="M332" s="185"/>
      <c r="N332" s="185"/>
      <c r="O332" s="738">
        <f>'BUS Deemed Savings Table'!I395</f>
        <v>0.218527</v>
      </c>
      <c r="P332" s="738"/>
      <c r="Q332" s="739"/>
      <c r="R332" s="739"/>
      <c r="S332" s="739"/>
      <c r="T332" s="739"/>
      <c r="U332" s="740">
        <f t="shared" si="454"/>
        <v>0</v>
      </c>
      <c r="V332" s="740">
        <f t="shared" si="455"/>
        <v>0</v>
      </c>
      <c r="W332" s="740">
        <f t="shared" si="456"/>
        <v>0.218527</v>
      </c>
      <c r="X332" s="22">
        <f>'BUS Deemed Savings Table'!J395</f>
        <v>15</v>
      </c>
      <c r="Y332" s="22"/>
      <c r="Z332" s="22">
        <f t="shared" si="411"/>
        <v>15</v>
      </c>
      <c r="AA332" s="17">
        <f>'BUS Deemed Savings Table'!DK395</f>
        <v>19.147057896956071</v>
      </c>
      <c r="AB332" s="241">
        <f>'BUS Deemed Savings Table'!K395</f>
        <v>59</v>
      </c>
      <c r="AC332" s="742">
        <f t="shared" si="412"/>
        <v>1129.6764159204081</v>
      </c>
      <c r="AD332" s="742">
        <f t="shared" si="413"/>
        <v>0</v>
      </c>
      <c r="AE332" s="580">
        <f>'BUS Deemed Savings Table'!DM395</f>
        <v>1129.6764159204081</v>
      </c>
      <c r="AF332" s="191"/>
      <c r="AG332" s="191"/>
      <c r="AH332" s="191"/>
      <c r="AI332" s="857" t="str">
        <f>'BUS Deemed Savings Table'!L395</f>
        <v>per measure</v>
      </c>
      <c r="AJ332" s="68"/>
      <c r="AX332" s="1226" t="str">
        <f t="shared" si="457"/>
        <v>Compressed Air Nozzle (Screw - VFD)</v>
      </c>
      <c r="AY332" s="1249"/>
      <c r="AZ332" s="1312" t="str">
        <f t="shared" si="458"/>
        <v>804950</v>
      </c>
      <c r="BA332" s="1171" t="s">
        <v>2174</v>
      </c>
      <c r="BB332" s="1171" t="s">
        <v>2174</v>
      </c>
      <c r="BC332" s="1171" t="s">
        <v>2174</v>
      </c>
      <c r="BD332" s="1171" t="s">
        <v>2174</v>
      </c>
      <c r="BE332" s="1176"/>
      <c r="BF332" s="1171" t="s">
        <v>2174</v>
      </c>
      <c r="BG332" s="1171" t="s">
        <v>2174</v>
      </c>
      <c r="BH332" s="1171" t="s">
        <v>2174</v>
      </c>
      <c r="BI332" s="1172" t="s">
        <v>2174</v>
      </c>
      <c r="BJ332" s="1176"/>
      <c r="BK332" s="1171" t="s">
        <v>2174</v>
      </c>
      <c r="BL332" s="1172" t="s">
        <v>2174</v>
      </c>
      <c r="BM332" s="1171" t="s">
        <v>2174</v>
      </c>
      <c r="BN332" s="1172" t="s">
        <v>2174</v>
      </c>
    </row>
    <row r="333" spans="1:66" x14ac:dyDescent="0.25">
      <c r="A333" s="49" t="str">
        <f t="shared" si="410"/>
        <v>805000</v>
      </c>
      <c r="B333" s="1307" t="str">
        <f>'BUS Deemed Savings Table'!C415</f>
        <v>805000_2024_12_</v>
      </c>
      <c r="C333" s="1249" t="str">
        <f>'BUS Deemed Savings Table'!G415</f>
        <v>Air Comp BUS</v>
      </c>
      <c r="D333" s="1249"/>
      <c r="E333" s="1249"/>
      <c r="F333" s="1249"/>
      <c r="G333" s="1249" t="str">
        <f>'BUS Deemed Savings Table'!E415</f>
        <v>VSD Air Compressor 5-40 HP</v>
      </c>
      <c r="H333" s="18" t="str">
        <f>'BUS Deemed Savings Table'!D415</f>
        <v>C&amp;I</v>
      </c>
      <c r="I333" s="737">
        <f>'BUS Deemed Savings Table'!F415</f>
        <v>949.38</v>
      </c>
      <c r="J333" s="737"/>
      <c r="K333" s="185"/>
      <c r="L333" s="185"/>
      <c r="M333" s="185"/>
      <c r="N333" s="185"/>
      <c r="O333" s="738">
        <f>'BUS Deemed Savings Table'!I415</f>
        <v>0.13096099999999999</v>
      </c>
      <c r="P333" s="738"/>
      <c r="Q333" s="739"/>
      <c r="R333" s="739"/>
      <c r="S333" s="739"/>
      <c r="T333" s="739"/>
      <c r="U333" s="740">
        <f t="shared" si="454"/>
        <v>0</v>
      </c>
      <c r="V333" s="740">
        <f t="shared" si="455"/>
        <v>0.13096099999999999</v>
      </c>
      <c r="W333" s="740">
        <f t="shared" si="456"/>
        <v>0</v>
      </c>
      <c r="X333" s="22">
        <f>'BUS Deemed Savings Table'!J415</f>
        <v>10</v>
      </c>
      <c r="Y333" s="22"/>
      <c r="Z333" s="22">
        <f t="shared" si="411"/>
        <v>10</v>
      </c>
      <c r="AA333" s="17">
        <f>'BUS Deemed Savings Table'!DK415</f>
        <v>1.3755919890352668</v>
      </c>
      <c r="AB333" s="241">
        <f>'BUS Deemed Savings Table'!K415</f>
        <v>202.28779999999998</v>
      </c>
      <c r="AC333" s="742">
        <f t="shared" si="412"/>
        <v>3037.3071117898689</v>
      </c>
      <c r="AD333" s="742">
        <f t="shared" si="413"/>
        <v>0</v>
      </c>
      <c r="AE333" s="580">
        <f>'BUS Deemed Savings Table'!DM415</f>
        <v>3037.3071117898689</v>
      </c>
      <c r="AF333" s="191"/>
      <c r="AG333" s="191"/>
      <c r="AH333" s="191"/>
      <c r="AI333" s="857" t="str">
        <f>'BUS Deemed Savings Table'!L415</f>
        <v>per HP</v>
      </c>
      <c r="AJ333" s="68"/>
      <c r="AX333" s="1226" t="str">
        <f t="shared" si="457"/>
        <v>VSD Air Compressor 5-40 HP</v>
      </c>
      <c r="AY333" s="1249"/>
      <c r="AZ333" s="1312" t="str">
        <f t="shared" si="458"/>
        <v>805000</v>
      </c>
      <c r="BA333" s="1171" t="s">
        <v>2174</v>
      </c>
      <c r="BB333" s="1171" t="s">
        <v>2174</v>
      </c>
      <c r="BC333" s="1171" t="s">
        <v>2174</v>
      </c>
      <c r="BD333" s="1171" t="s">
        <v>2174</v>
      </c>
      <c r="BE333" s="1176"/>
      <c r="BF333" s="1171" t="s">
        <v>2174</v>
      </c>
      <c r="BG333" s="1171" t="s">
        <v>2174</v>
      </c>
      <c r="BH333" s="1171" t="s">
        <v>2174</v>
      </c>
      <c r="BI333" s="1172" t="s">
        <v>2174</v>
      </c>
      <c r="BJ333" s="1176"/>
      <c r="BK333" s="1171" t="s">
        <v>2174</v>
      </c>
      <c r="BL333" s="1172" t="s">
        <v>2174</v>
      </c>
      <c r="BM333" s="1171" t="s">
        <v>2174</v>
      </c>
      <c r="BN333" s="1172" t="s">
        <v>2174</v>
      </c>
    </row>
    <row r="334" spans="1:66" s="39" customFormat="1" x14ac:dyDescent="0.25">
      <c r="A334" s="659" t="str">
        <f>LEFT(B334,6)</f>
        <v>805001</v>
      </c>
      <c r="B334" s="645" t="str">
        <f>'BUS Deemed Savings Table'!C416</f>
        <v>805001_2024_12_</v>
      </c>
      <c r="C334" s="644" t="str">
        <f>'BUS Deemed Savings Table'!G416</f>
        <v>Air Comp BUS</v>
      </c>
      <c r="D334" s="644"/>
      <c r="E334" s="644"/>
      <c r="F334" s="644"/>
      <c r="G334" s="644" t="str">
        <f>'BUS Deemed Savings Table'!E416</f>
        <v>VSD Air Compressor &gt;40-&lt;50 HP</v>
      </c>
      <c r="H334" s="650" t="str">
        <f>'BUS Deemed Savings Table'!D416</f>
        <v>C&amp;I</v>
      </c>
      <c r="I334" s="648">
        <f>'BUS Deemed Savings Table'!F416</f>
        <v>949.38</v>
      </c>
      <c r="J334" s="648"/>
      <c r="K334" s="646"/>
      <c r="L334" s="646"/>
      <c r="M334" s="646"/>
      <c r="N334" s="646"/>
      <c r="O334" s="649">
        <f>'BUS Deemed Savings Table'!I416</f>
        <v>0.13096099999999999</v>
      </c>
      <c r="P334" s="649"/>
      <c r="Q334" s="651"/>
      <c r="R334" s="651"/>
      <c r="S334" s="651"/>
      <c r="T334" s="651"/>
      <c r="U334" s="740">
        <f t="shared" si="454"/>
        <v>0</v>
      </c>
      <c r="V334" s="740">
        <f t="shared" si="455"/>
        <v>0.13096099999999999</v>
      </c>
      <c r="W334" s="740">
        <f t="shared" si="456"/>
        <v>0</v>
      </c>
      <c r="X334" s="642">
        <f>'BUS Deemed Savings Table'!J416</f>
        <v>10</v>
      </c>
      <c r="Y334" s="642"/>
      <c r="Z334" s="642">
        <f>Y334+X334</f>
        <v>10</v>
      </c>
      <c r="AA334" s="112">
        <f>'BUS Deemed Savings Table'!DK416</f>
        <v>1.3755919890352668</v>
      </c>
      <c r="AB334" s="733">
        <f>'BUS Deemed Savings Table'!K416</f>
        <v>202.28779999999998</v>
      </c>
      <c r="AC334" s="634">
        <f>AE334+AF334</f>
        <v>3037.3071117898689</v>
      </c>
      <c r="AD334" s="634">
        <f>AG334+AH334</f>
        <v>0</v>
      </c>
      <c r="AE334" s="743">
        <f>'BUS Deemed Savings Table'!DM416</f>
        <v>3037.3071117898689</v>
      </c>
      <c r="AF334" s="652"/>
      <c r="AG334" s="652"/>
      <c r="AH334" s="652"/>
      <c r="AI334" s="974" t="str">
        <f>'BUS Deemed Savings Table'!L416</f>
        <v>per HP</v>
      </c>
      <c r="AJ334" s="644"/>
      <c r="AM334"/>
      <c r="AN334"/>
      <c r="AO334"/>
      <c r="AP334"/>
      <c r="AQ334"/>
      <c r="AR334"/>
      <c r="AS334"/>
      <c r="AT334"/>
      <c r="AU334"/>
      <c r="AV334"/>
      <c r="AW334"/>
      <c r="AX334" s="1226" t="str">
        <f t="shared" si="457"/>
        <v>VSD Air Compressor &gt;40-&lt;50 HP</v>
      </c>
      <c r="AY334" s="1249"/>
      <c r="AZ334" s="1312" t="str">
        <f t="shared" si="458"/>
        <v>805001</v>
      </c>
      <c r="BA334" s="1171" t="s">
        <v>2174</v>
      </c>
      <c r="BB334" s="1171" t="s">
        <v>2174</v>
      </c>
      <c r="BC334" s="1171" t="s">
        <v>2174</v>
      </c>
      <c r="BD334" s="1171" t="s">
        <v>2174</v>
      </c>
      <c r="BE334" s="1177"/>
      <c r="BF334" s="1171" t="s">
        <v>2174</v>
      </c>
      <c r="BG334" s="1171" t="s">
        <v>2174</v>
      </c>
      <c r="BH334" s="1171" t="s">
        <v>2174</v>
      </c>
      <c r="BI334" s="1172" t="s">
        <v>2174</v>
      </c>
      <c r="BJ334" s="1176"/>
      <c r="BK334" s="1171" t="s">
        <v>2174</v>
      </c>
      <c r="BL334" s="1172" t="s">
        <v>2174</v>
      </c>
      <c r="BM334" s="1171" t="s">
        <v>2174</v>
      </c>
      <c r="BN334" s="1172" t="s">
        <v>2174</v>
      </c>
    </row>
    <row r="335" spans="1:66" s="39" customFormat="1" x14ac:dyDescent="0.25">
      <c r="A335" s="659" t="str">
        <f>LEFT(B335,6)</f>
        <v>805002</v>
      </c>
      <c r="B335" s="645" t="str">
        <f>'BUS Deemed Savings Table'!C417</f>
        <v>805002_2024_12_</v>
      </c>
      <c r="C335" s="644" t="str">
        <f>'BUS Deemed Savings Table'!G417</f>
        <v>Air Comp BUS</v>
      </c>
      <c r="D335" s="644"/>
      <c r="E335" s="644"/>
      <c r="F335" s="644"/>
      <c r="G335" s="644" t="str">
        <f>'BUS Deemed Savings Table'!E417</f>
        <v>VSD Air Compressor 50-200 HP</v>
      </c>
      <c r="H335" s="650" t="str">
        <f>'BUS Deemed Savings Table'!D417</f>
        <v>C&amp;I</v>
      </c>
      <c r="I335" s="648">
        <f>'BUS Deemed Savings Table'!F417</f>
        <v>1052.02</v>
      </c>
      <c r="J335" s="648"/>
      <c r="K335" s="646"/>
      <c r="L335" s="646"/>
      <c r="M335" s="646"/>
      <c r="N335" s="646"/>
      <c r="O335" s="649">
        <f>'BUS Deemed Savings Table'!I417</f>
        <v>0.14512</v>
      </c>
      <c r="P335" s="649"/>
      <c r="Q335" s="651"/>
      <c r="R335" s="651"/>
      <c r="S335" s="651"/>
      <c r="T335" s="651"/>
      <c r="U335" s="740">
        <f t="shared" si="454"/>
        <v>0</v>
      </c>
      <c r="V335" s="740">
        <f t="shared" si="455"/>
        <v>0.14512</v>
      </c>
      <c r="W335" s="740">
        <f t="shared" si="456"/>
        <v>0</v>
      </c>
      <c r="X335" s="642">
        <f>'BUS Deemed Savings Table'!J417</f>
        <v>10</v>
      </c>
      <c r="Y335" s="642"/>
      <c r="Z335" s="642">
        <f>Y335+X335</f>
        <v>10</v>
      </c>
      <c r="AA335" s="112">
        <f>'BUS Deemed Savings Table'!DK417</f>
        <v>1.5243109021728725</v>
      </c>
      <c r="AB335" s="733">
        <f>'BUS Deemed Savings Table'!K417</f>
        <v>202.28779999999998</v>
      </c>
      <c r="AC335" s="634">
        <f>AE335+AF335</f>
        <v>3365.6784719977022</v>
      </c>
      <c r="AD335" s="634">
        <f>AG335+AH335</f>
        <v>0</v>
      </c>
      <c r="AE335" s="743">
        <f>'BUS Deemed Savings Table'!DM417</f>
        <v>3365.6784719977022</v>
      </c>
      <c r="AF335" s="652"/>
      <c r="AG335" s="652"/>
      <c r="AH335" s="652"/>
      <c r="AI335" s="974" t="str">
        <f>'BUS Deemed Savings Table'!L417</f>
        <v>per HP</v>
      </c>
      <c r="AJ335" s="644"/>
      <c r="AM335"/>
      <c r="AN335"/>
      <c r="AO335"/>
      <c r="AP335"/>
      <c r="AQ335"/>
      <c r="AR335"/>
      <c r="AS335"/>
      <c r="AT335"/>
      <c r="AU335"/>
      <c r="AV335"/>
      <c r="AW335"/>
      <c r="AX335" s="1226" t="str">
        <f t="shared" si="457"/>
        <v>VSD Air Compressor 50-200 HP</v>
      </c>
      <c r="AY335" s="1249"/>
      <c r="AZ335" s="1312" t="str">
        <f t="shared" si="458"/>
        <v>805002</v>
      </c>
      <c r="BA335" s="1171" t="s">
        <v>2174</v>
      </c>
      <c r="BB335" s="1171" t="s">
        <v>2174</v>
      </c>
      <c r="BC335" s="1171" t="s">
        <v>2174</v>
      </c>
      <c r="BD335" s="1171" t="s">
        <v>2174</v>
      </c>
      <c r="BE335" s="1177"/>
      <c r="BF335" s="1171" t="s">
        <v>2174</v>
      </c>
      <c r="BG335" s="1171" t="s">
        <v>2174</v>
      </c>
      <c r="BH335" s="1171" t="s">
        <v>2174</v>
      </c>
      <c r="BI335" s="1172" t="s">
        <v>2174</v>
      </c>
      <c r="BJ335" s="1176"/>
      <c r="BK335" s="1171" t="s">
        <v>2174</v>
      </c>
      <c r="BL335" s="1172" t="s">
        <v>2174</v>
      </c>
      <c r="BM335" s="1171" t="s">
        <v>2174</v>
      </c>
      <c r="BN335" s="1172" t="s">
        <v>2174</v>
      </c>
    </row>
    <row r="336" spans="1:66" x14ac:dyDescent="0.25">
      <c r="A336" s="49" t="str">
        <f t="shared" ref="A336:A346" si="459">LEFT(B336,6)</f>
        <v>805405</v>
      </c>
      <c r="B336" s="1307" t="str">
        <f>'BUS Deemed Savings Table'!C435</f>
        <v>805405_2020_07_</v>
      </c>
      <c r="C336" s="1249" t="str">
        <f>'BUS Deemed Savings Table'!G435</f>
        <v>Cooking BUS</v>
      </c>
      <c r="D336" s="1249"/>
      <c r="E336" s="1249"/>
      <c r="F336" s="1249"/>
      <c r="G336" s="1249" t="str">
        <f>'BUS Deemed Savings Table'!E435</f>
        <v>Kitchen Demand Ventilation Controls, Retrofit</v>
      </c>
      <c r="H336" s="18" t="str">
        <f>'BUS Deemed Savings Table'!D435</f>
        <v>C&amp;I</v>
      </c>
      <c r="I336" s="737">
        <f>'BUS Deemed Savings Table'!F435</f>
        <v>4197</v>
      </c>
      <c r="J336" s="737"/>
      <c r="K336" s="185"/>
      <c r="L336" s="185"/>
      <c r="M336" s="185"/>
      <c r="N336" s="185"/>
      <c r="O336" s="738">
        <f>'BUS Deemed Savings Table'!I435</f>
        <v>0.83895889530000001</v>
      </c>
      <c r="P336" s="738"/>
      <c r="Q336" s="739"/>
      <c r="R336" s="739"/>
      <c r="S336" s="739"/>
      <c r="T336" s="739"/>
      <c r="U336" s="740">
        <f t="shared" ref="U336:U344" si="460">IFERROR(IF(V336+W336&gt;0,0,IF(Z336&gt;0,O336,0)),0)</f>
        <v>0</v>
      </c>
      <c r="V336" s="740">
        <f t="shared" ref="V336:V344" si="461">IF(W336&gt;0,0,IF(Z336&gt;9,O336,0))</f>
        <v>0</v>
      </c>
      <c r="W336" s="740">
        <f t="shared" ref="W336:W344" si="462">IF(Z336&gt;14,O336,0)</f>
        <v>0.83895889530000001</v>
      </c>
      <c r="X336" s="22">
        <f>'BUS Deemed Savings Table'!J435</f>
        <v>15</v>
      </c>
      <c r="Y336" s="22"/>
      <c r="Z336" s="22">
        <f t="shared" ref="Z336:Z345" si="463">Y336+X336</f>
        <v>15</v>
      </c>
      <c r="AA336" s="17">
        <f>'BUS Deemed Savings Table'!DK435</f>
        <v>1.7359796272251358</v>
      </c>
      <c r="AB336" s="241">
        <f>'BUS Deemed Savings Table'!K435</f>
        <v>1991</v>
      </c>
      <c r="AC336" s="742">
        <f t="shared" ref="AC336:AC345" si="464">AE336+AF336</f>
        <v>3456.3354378052454</v>
      </c>
      <c r="AD336" s="742">
        <f t="shared" ref="AD336:AD345" si="465">AG336+AH336</f>
        <v>0</v>
      </c>
      <c r="AE336" s="580">
        <f>'BUS Deemed Savings Table'!DM435</f>
        <v>3456.3354378052454</v>
      </c>
      <c r="AF336" s="191"/>
      <c r="AG336" s="191"/>
      <c r="AH336" s="191"/>
      <c r="AI336" s="857" t="str">
        <f>'BUS Deemed Savings Table'!L435</f>
        <v>per HP</v>
      </c>
      <c r="AJ336" s="68"/>
      <c r="AX336" s="1226" t="str">
        <f t="shared" si="457"/>
        <v>Kitchen Demand Ventilation Controls, Retrofit</v>
      </c>
      <c r="AY336" s="1249"/>
      <c r="AZ336" s="1312" t="str">
        <f t="shared" si="458"/>
        <v>805405</v>
      </c>
      <c r="BA336" s="1171" t="s">
        <v>2174</v>
      </c>
      <c r="BB336" s="1171" t="s">
        <v>2174</v>
      </c>
      <c r="BC336" s="1171" t="s">
        <v>2174</v>
      </c>
      <c r="BD336" s="1171" t="s">
        <v>2174</v>
      </c>
      <c r="BE336" s="1176"/>
      <c r="BF336" s="1171" t="s">
        <v>2174</v>
      </c>
      <c r="BG336" s="1171" t="s">
        <v>2174</v>
      </c>
      <c r="BH336" s="1171" t="s">
        <v>2174</v>
      </c>
      <c r="BI336" s="1172" t="s">
        <v>2174</v>
      </c>
      <c r="BJ336" s="1176"/>
      <c r="BK336" s="1171" t="s">
        <v>2174</v>
      </c>
      <c r="BL336" s="1172" t="s">
        <v>2174</v>
      </c>
      <c r="BM336" s="1171" t="s">
        <v>2174</v>
      </c>
      <c r="BN336" s="1172" t="s">
        <v>2174</v>
      </c>
    </row>
    <row r="337" spans="1:66" x14ac:dyDescent="0.25">
      <c r="A337" s="49" t="str">
        <f t="shared" si="459"/>
        <v>805650</v>
      </c>
      <c r="B337" s="1307" t="str">
        <f>'BUS Deemed Savings Table'!C451</f>
        <v>805650_2019_12_</v>
      </c>
      <c r="C337" s="1249" t="str">
        <f>'BUS Deemed Savings Table'!G451</f>
        <v>Cooling BUS</v>
      </c>
      <c r="D337" s="1249"/>
      <c r="E337" s="1249"/>
      <c r="F337" s="1249"/>
      <c r="G337" s="1249" t="str">
        <f>'BUS Deemed Savings Table'!E451</f>
        <v>Demand Controlled Ventillation (Gas Heat)</v>
      </c>
      <c r="H337" s="18" t="str">
        <f>'BUS Deemed Savings Table'!D451</f>
        <v>C&amp;I</v>
      </c>
      <c r="I337" s="737">
        <f>'BUS Deemed Savings Table'!F451</f>
        <v>0.67</v>
      </c>
      <c r="J337" s="737"/>
      <c r="K337" s="831"/>
      <c r="L337" s="185"/>
      <c r="M337" s="185"/>
      <c r="N337" s="185"/>
      <c r="O337" s="738">
        <f>'BUS Deemed Savings Table'!I451</f>
        <v>6.0999999999999997E-4</v>
      </c>
      <c r="P337" s="738"/>
      <c r="Q337" s="739"/>
      <c r="R337" s="739"/>
      <c r="S337" s="739"/>
      <c r="T337" s="739"/>
      <c r="U337" s="740">
        <f t="shared" si="460"/>
        <v>0</v>
      </c>
      <c r="V337" s="740">
        <f t="shared" si="461"/>
        <v>6.0999999999999997E-4</v>
      </c>
      <c r="W337" s="740">
        <f t="shared" si="462"/>
        <v>0</v>
      </c>
      <c r="X337" s="22">
        <f>'BUS Deemed Savings Table'!J451</f>
        <v>10</v>
      </c>
      <c r="Y337" s="22"/>
      <c r="Z337" s="22">
        <f t="shared" si="463"/>
        <v>10</v>
      </c>
      <c r="AA337" s="859"/>
      <c r="AB337" s="241" t="str">
        <f>'BUS Deemed Savings Table'!K451</f>
        <v>Actual</v>
      </c>
      <c r="AC337" s="742">
        <f t="shared" si="464"/>
        <v>0.96382681093578204</v>
      </c>
      <c r="AD337" s="742">
        <f t="shared" si="465"/>
        <v>0</v>
      </c>
      <c r="AE337" s="580">
        <f>'BUS Deemed Savings Table'!DM451</f>
        <v>0.96382681093578204</v>
      </c>
      <c r="AF337" s="191"/>
      <c r="AG337" s="191"/>
      <c r="AH337" s="191"/>
      <c r="AI337" s="857" t="str">
        <f>'BUS Deemed Savings Table'!L451</f>
        <v>per sq. ft.</v>
      </c>
      <c r="AJ337" s="68"/>
      <c r="AX337" s="1226" t="str">
        <f t="shared" si="457"/>
        <v>Demand Controlled Ventillation (Gas Heat)</v>
      </c>
      <c r="AY337" s="1249"/>
      <c r="AZ337" s="1312" t="str">
        <f t="shared" si="458"/>
        <v>805650</v>
      </c>
      <c r="BA337" s="1171" t="s">
        <v>2174</v>
      </c>
      <c r="BB337" s="1171" t="s">
        <v>2174</v>
      </c>
      <c r="BC337" s="1171" t="s">
        <v>2174</v>
      </c>
      <c r="BD337" s="1171" t="s">
        <v>2174</v>
      </c>
      <c r="BE337" s="1176"/>
      <c r="BF337" s="1171" t="s">
        <v>2174</v>
      </c>
      <c r="BG337" s="1171" t="s">
        <v>2174</v>
      </c>
      <c r="BH337" s="1171" t="s">
        <v>2174</v>
      </c>
      <c r="BI337" s="1172" t="s">
        <v>2174</v>
      </c>
      <c r="BJ337" s="1176"/>
      <c r="BK337" s="1171" t="s">
        <v>2174</v>
      </c>
      <c r="BL337" s="1172" t="s">
        <v>2174</v>
      </c>
      <c r="BM337" s="1171" t="s">
        <v>2174</v>
      </c>
      <c r="BN337" s="1172" t="s">
        <v>2174</v>
      </c>
    </row>
    <row r="338" spans="1:66" x14ac:dyDescent="0.25">
      <c r="A338" s="49" t="str">
        <f t="shared" si="459"/>
        <v>805700</v>
      </c>
      <c r="B338" s="1307" t="str">
        <f>'BUS Deemed Savings Table'!C452</f>
        <v>805700_2019_12_</v>
      </c>
      <c r="C338" s="1249" t="str">
        <f>'BUS Deemed Savings Table'!G452</f>
        <v>Cooling BUS</v>
      </c>
      <c r="D338" s="1249"/>
      <c r="E338" s="1249"/>
      <c r="F338" s="1249"/>
      <c r="G338" s="1249" t="str">
        <f>'BUS Deemed Savings Table'!E452</f>
        <v>Demand Controlled Ventillation (Electric Heat)</v>
      </c>
      <c r="H338" s="18" t="str">
        <f>'BUS Deemed Savings Table'!D452</f>
        <v>C&amp;I</v>
      </c>
      <c r="I338" s="737">
        <f>'BUS Deemed Savings Table'!F452</f>
        <v>1.9</v>
      </c>
      <c r="J338" s="737"/>
      <c r="K338" s="831"/>
      <c r="L338" s="185"/>
      <c r="M338" s="185"/>
      <c r="N338" s="185"/>
      <c r="O338" s="738">
        <f>'BUS Deemed Savings Table'!I452</f>
        <v>1.73E-3</v>
      </c>
      <c r="P338" s="738"/>
      <c r="Q338" s="739"/>
      <c r="R338" s="739"/>
      <c r="S338" s="739"/>
      <c r="T338" s="739"/>
      <c r="U338" s="740">
        <f t="shared" si="460"/>
        <v>0</v>
      </c>
      <c r="V338" s="740">
        <f t="shared" si="461"/>
        <v>1.73E-3</v>
      </c>
      <c r="W338" s="740">
        <f t="shared" si="462"/>
        <v>0</v>
      </c>
      <c r="X338" s="22">
        <f>'BUS Deemed Savings Table'!J452</f>
        <v>10</v>
      </c>
      <c r="Y338" s="22"/>
      <c r="Z338" s="22">
        <f t="shared" si="463"/>
        <v>10</v>
      </c>
      <c r="AA338" s="859"/>
      <c r="AB338" s="241" t="str">
        <f>'BUS Deemed Savings Table'!K452</f>
        <v>Actual</v>
      </c>
      <c r="AC338" s="742">
        <f t="shared" si="464"/>
        <v>2.7332402101163966</v>
      </c>
      <c r="AD338" s="742">
        <f t="shared" si="465"/>
        <v>0</v>
      </c>
      <c r="AE338" s="580">
        <f>'BUS Deemed Savings Table'!DM452</f>
        <v>2.7332402101163966</v>
      </c>
      <c r="AF338" s="191"/>
      <c r="AG338" s="191"/>
      <c r="AH338" s="191"/>
      <c r="AI338" s="857" t="str">
        <f>'BUS Deemed Savings Table'!L452</f>
        <v>per sq. ft.</v>
      </c>
      <c r="AJ338" s="68"/>
      <c r="AX338" s="1226" t="str">
        <f t="shared" si="457"/>
        <v>Demand Controlled Ventillation (Electric Heat)</v>
      </c>
      <c r="AY338" s="1249"/>
      <c r="AZ338" s="1312" t="str">
        <f t="shared" si="458"/>
        <v>805700</v>
      </c>
      <c r="BA338" s="1171" t="s">
        <v>2174</v>
      </c>
      <c r="BB338" s="1171" t="s">
        <v>2174</v>
      </c>
      <c r="BC338" s="1171" t="s">
        <v>2174</v>
      </c>
      <c r="BD338" s="1171" t="s">
        <v>2174</v>
      </c>
      <c r="BE338" s="1176"/>
      <c r="BF338" s="1171" t="s">
        <v>2174</v>
      </c>
      <c r="BG338" s="1171" t="s">
        <v>2174</v>
      </c>
      <c r="BH338" s="1171" t="s">
        <v>2174</v>
      </c>
      <c r="BI338" s="1172" t="s">
        <v>2174</v>
      </c>
      <c r="BJ338" s="1176"/>
      <c r="BK338" s="1171" t="s">
        <v>2174</v>
      </c>
      <c r="BL338" s="1172" t="s">
        <v>2174</v>
      </c>
      <c r="BM338" s="1171" t="s">
        <v>2174</v>
      </c>
      <c r="BN338" s="1172" t="s">
        <v>2174</v>
      </c>
    </row>
    <row r="339" spans="1:66" x14ac:dyDescent="0.25">
      <c r="A339" s="49" t="str">
        <f t="shared" si="459"/>
        <v>805750</v>
      </c>
      <c r="B339" s="1307" t="str">
        <f>'BUS Deemed Savings Table'!C453</f>
        <v>805750_2019_12_</v>
      </c>
      <c r="C339" s="1249" t="str">
        <f>'BUS Deemed Savings Table'!G453</f>
        <v>Cooling BUS</v>
      </c>
      <c r="D339" s="1249"/>
      <c r="E339" s="1249"/>
      <c r="F339" s="1249"/>
      <c r="G339" s="1249" t="str">
        <f>'BUS Deemed Savings Table'!E453</f>
        <v>Demand Controlled Ventillation (Heat Pump)</v>
      </c>
      <c r="H339" s="18" t="str">
        <f>'BUS Deemed Savings Table'!D453</f>
        <v>C&amp;I</v>
      </c>
      <c r="I339" s="737">
        <f>'BUS Deemed Savings Table'!F453</f>
        <v>1.08</v>
      </c>
      <c r="J339" s="737"/>
      <c r="K339" s="831"/>
      <c r="L339" s="185"/>
      <c r="M339" s="185"/>
      <c r="N339" s="185"/>
      <c r="O339" s="738">
        <f>'BUS Deemed Savings Table'!I453</f>
        <v>9.8400000000000007E-4</v>
      </c>
      <c r="P339" s="738"/>
      <c r="Q339" s="739"/>
      <c r="R339" s="739"/>
      <c r="S339" s="739"/>
      <c r="T339" s="739"/>
      <c r="U339" s="740">
        <f t="shared" si="460"/>
        <v>0</v>
      </c>
      <c r="V339" s="740">
        <f t="shared" si="461"/>
        <v>9.8400000000000007E-4</v>
      </c>
      <c r="W339" s="740">
        <f t="shared" si="462"/>
        <v>0</v>
      </c>
      <c r="X339" s="22">
        <f>'BUS Deemed Savings Table'!J453</f>
        <v>10</v>
      </c>
      <c r="Y339" s="22"/>
      <c r="Z339" s="22">
        <f t="shared" si="463"/>
        <v>10</v>
      </c>
      <c r="AA339" s="859"/>
      <c r="AB339" s="241" t="str">
        <f>'BUS Deemed Savings Table'!K453</f>
        <v>Actual</v>
      </c>
      <c r="AC339" s="742">
        <f t="shared" si="464"/>
        <v>1.5536312773293204</v>
      </c>
      <c r="AD339" s="742">
        <f t="shared" si="465"/>
        <v>0</v>
      </c>
      <c r="AE339" s="580">
        <f>'BUS Deemed Savings Table'!DM453</f>
        <v>1.5536312773293204</v>
      </c>
      <c r="AF339" s="191"/>
      <c r="AG339" s="191"/>
      <c r="AH339" s="191"/>
      <c r="AI339" s="857" t="str">
        <f>'BUS Deemed Savings Table'!L453</f>
        <v>per sq. ft.</v>
      </c>
      <c r="AJ339" s="68"/>
      <c r="AX339" s="1226" t="str">
        <f t="shared" si="457"/>
        <v>Demand Controlled Ventillation (Heat Pump)</v>
      </c>
      <c r="AY339" s="1249"/>
      <c r="AZ339" s="1312" t="str">
        <f t="shared" si="458"/>
        <v>805750</v>
      </c>
      <c r="BA339" s="1171" t="s">
        <v>2174</v>
      </c>
      <c r="BB339" s="1171" t="s">
        <v>2174</v>
      </c>
      <c r="BC339" s="1171" t="s">
        <v>2174</v>
      </c>
      <c r="BD339" s="1171" t="s">
        <v>2174</v>
      </c>
      <c r="BE339" s="1176"/>
      <c r="BF339" s="1171" t="s">
        <v>2174</v>
      </c>
      <c r="BG339" s="1171" t="s">
        <v>2174</v>
      </c>
      <c r="BH339" s="1171" t="s">
        <v>2174</v>
      </c>
      <c r="BI339" s="1172" t="s">
        <v>2174</v>
      </c>
      <c r="BJ339" s="1176"/>
      <c r="BK339" s="1171" t="s">
        <v>2174</v>
      </c>
      <c r="BL339" s="1172" t="s">
        <v>2174</v>
      </c>
      <c r="BM339" s="1171" t="s">
        <v>2174</v>
      </c>
      <c r="BN339" s="1172" t="s">
        <v>2174</v>
      </c>
    </row>
    <row r="340" spans="1:66" x14ac:dyDescent="0.25">
      <c r="A340" s="49" t="str">
        <f t="shared" si="459"/>
        <v>805800</v>
      </c>
      <c r="B340" s="1307" t="str">
        <f>'BUS Deemed Savings Table'!C471</f>
        <v>805800_2019_12_</v>
      </c>
      <c r="C340" s="1249" t="str">
        <f>'BUS Deemed Savings Table'!G471</f>
        <v>HVAC BUS</v>
      </c>
      <c r="D340" s="1249"/>
      <c r="E340" s="1249"/>
      <c r="F340" s="1249"/>
      <c r="G340" s="1249" t="str">
        <f>'BUS Deemed Savings Table'!E471</f>
        <v>Advanced RTU Controls</v>
      </c>
      <c r="H340" s="18" t="str">
        <f>'BUS Deemed Savings Table'!D471</f>
        <v>C&amp;I</v>
      </c>
      <c r="I340" s="737">
        <f>'BUS Deemed Savings Table'!F471</f>
        <v>3779.33</v>
      </c>
      <c r="J340" s="737"/>
      <c r="K340" s="185"/>
      <c r="L340" s="185"/>
      <c r="M340" s="185"/>
      <c r="N340" s="185"/>
      <c r="O340" s="738">
        <f>'BUS Deemed Savings Table'!I471</f>
        <v>1.6779580000000001</v>
      </c>
      <c r="P340" s="738"/>
      <c r="Q340" s="739"/>
      <c r="R340" s="739"/>
      <c r="S340" s="739"/>
      <c r="T340" s="739"/>
      <c r="U340" s="740">
        <f t="shared" si="460"/>
        <v>0</v>
      </c>
      <c r="V340" s="740">
        <f t="shared" si="461"/>
        <v>0</v>
      </c>
      <c r="W340" s="740">
        <f t="shared" si="462"/>
        <v>1.6779580000000001</v>
      </c>
      <c r="X340" s="22">
        <f>'BUS Deemed Savings Table'!J471</f>
        <v>15</v>
      </c>
      <c r="Y340" s="22"/>
      <c r="Z340" s="22">
        <f t="shared" si="463"/>
        <v>15</v>
      </c>
      <c r="AA340" s="17">
        <f>'BUS Deemed Savings Table'!DK471</f>
        <v>1.1412362084060232</v>
      </c>
      <c r="AB340" s="241">
        <f>'BUS Deemed Savings Table'!K471</f>
        <v>4038</v>
      </c>
      <c r="AC340" s="742">
        <f t="shared" si="464"/>
        <v>4608.311809543522</v>
      </c>
      <c r="AD340" s="742">
        <f t="shared" si="465"/>
        <v>0</v>
      </c>
      <c r="AE340" s="580">
        <f>'BUS Deemed Savings Table'!DM471</f>
        <v>4608.311809543522</v>
      </c>
      <c r="AF340" s="191"/>
      <c r="AG340" s="191"/>
      <c r="AH340" s="191"/>
      <c r="AI340" s="857" t="str">
        <f>'BUS Deemed Savings Table'!L471</f>
        <v>per measure</v>
      </c>
      <c r="AJ340" s="68"/>
      <c r="AX340" s="1226" t="str">
        <f t="shared" si="457"/>
        <v>Advanced RTU Controls</v>
      </c>
      <c r="AY340" s="1249"/>
      <c r="AZ340" s="1312" t="str">
        <f t="shared" si="458"/>
        <v>805800</v>
      </c>
      <c r="BA340" s="1171" t="s">
        <v>2174</v>
      </c>
      <c r="BB340" s="1171" t="s">
        <v>2174</v>
      </c>
      <c r="BC340" s="1171" t="s">
        <v>2174</v>
      </c>
      <c r="BD340" s="1171" t="s">
        <v>2174</v>
      </c>
      <c r="BE340" s="1176"/>
      <c r="BF340" s="1171" t="s">
        <v>2174</v>
      </c>
      <c r="BG340" s="1171" t="s">
        <v>2174</v>
      </c>
      <c r="BH340" s="1171" t="s">
        <v>2174</v>
      </c>
      <c r="BI340" s="1172" t="s">
        <v>2174</v>
      </c>
      <c r="BJ340" s="1176"/>
      <c r="BK340" s="1171" t="s">
        <v>2174</v>
      </c>
      <c r="BL340" s="1172" t="s">
        <v>2174</v>
      </c>
      <c r="BM340" s="1171" t="s">
        <v>2174</v>
      </c>
      <c r="BN340" s="1172" t="s">
        <v>2174</v>
      </c>
    </row>
    <row r="341" spans="1:66" x14ac:dyDescent="0.25">
      <c r="A341" s="49" t="str">
        <f t="shared" ref="A341" si="466">LEFT(B341,6)</f>
        <v>806090</v>
      </c>
      <c r="B341" s="1307" t="str">
        <f>'BUS Deemed Savings Table'!C487</f>
        <v>806090_2024_12_</v>
      </c>
      <c r="C341" s="1249" t="str">
        <f>'BUS Deemed Savings Table'!G487</f>
        <v>HVAC BUS</v>
      </c>
      <c r="D341" s="1249"/>
      <c r="E341" s="1249"/>
      <c r="F341" s="1249"/>
      <c r="G341" s="1249" t="str">
        <f>'BUS Deemed Savings Table'!E487</f>
        <v>High Volume Low Speed Fan, 16</v>
      </c>
      <c r="H341" s="18" t="str">
        <f>'BUS Deemed Savings Table'!D487</f>
        <v>C&amp;I</v>
      </c>
      <c r="I341" s="737">
        <f>'BUS Deemed Savings Table'!F487</f>
        <v>3218</v>
      </c>
      <c r="J341" s="737"/>
      <c r="K341" s="185"/>
      <c r="L341" s="185"/>
      <c r="M341" s="185"/>
      <c r="N341" s="185"/>
      <c r="O341" s="738">
        <f>'BUS Deemed Savings Table'!I487</f>
        <v>1.428737294</v>
      </c>
      <c r="P341" s="738"/>
      <c r="Q341" s="739"/>
      <c r="R341" s="739"/>
      <c r="S341" s="739"/>
      <c r="T341" s="739"/>
      <c r="U341" s="740">
        <f t="shared" si="460"/>
        <v>0</v>
      </c>
      <c r="V341" s="740">
        <f t="shared" si="461"/>
        <v>1.428737294</v>
      </c>
      <c r="W341" s="740">
        <f t="shared" si="462"/>
        <v>0</v>
      </c>
      <c r="X341" s="22">
        <f>'BUS Deemed Savings Table'!J487</f>
        <v>10</v>
      </c>
      <c r="Y341" s="22"/>
      <c r="Z341" s="22">
        <f t="shared" ref="Z341" si="467">Y341+X341</f>
        <v>10</v>
      </c>
      <c r="AA341" s="17">
        <f>'BUS Deemed Savings Table'!DK487</f>
        <v>0.71821819439734769</v>
      </c>
      <c r="AB341" s="241">
        <f>'BUS Deemed Savings Table'!K487</f>
        <v>4072</v>
      </c>
      <c r="AC341" s="742">
        <f t="shared" ref="AC341" si="468">AE341+AF341</f>
        <v>2924.5844875859998</v>
      </c>
      <c r="AD341" s="742">
        <f t="shared" ref="AD341" si="469">AG341+AH341</f>
        <v>0</v>
      </c>
      <c r="AE341" s="580">
        <f>'BUS Deemed Savings Table'!DM487</f>
        <v>2924.5844875859998</v>
      </c>
      <c r="AF341" s="191"/>
      <c r="AG341" s="191"/>
      <c r="AH341" s="191"/>
      <c r="AI341" s="857" t="str">
        <f>'BUS Deemed Savings Table'!L487</f>
        <v>per measure</v>
      </c>
      <c r="AJ341" s="68"/>
      <c r="AX341" s="1226" t="str">
        <f t="shared" ref="AX341" si="470">G341</f>
        <v>High Volume Low Speed Fan, 16</v>
      </c>
      <c r="AY341" s="1249"/>
      <c r="AZ341" s="1312" t="str">
        <f t="shared" ref="AZ341" si="471">A341</f>
        <v>806090</v>
      </c>
      <c r="BA341" s="1171" t="s">
        <v>2174</v>
      </c>
      <c r="BB341" s="1171" t="s">
        <v>2174</v>
      </c>
      <c r="BC341" s="1171" t="s">
        <v>2174</v>
      </c>
      <c r="BD341" s="1171" t="s">
        <v>2174</v>
      </c>
      <c r="BE341" s="1176"/>
      <c r="BF341" s="1171" t="s">
        <v>2174</v>
      </c>
      <c r="BG341" s="1171" t="s">
        <v>2174</v>
      </c>
      <c r="BH341" s="1171" t="s">
        <v>2174</v>
      </c>
      <c r="BI341" s="1172" t="s">
        <v>2174</v>
      </c>
      <c r="BJ341" s="1176"/>
      <c r="BK341" s="1171" t="s">
        <v>2174</v>
      </c>
      <c r="BL341" s="1172" t="s">
        <v>2174</v>
      </c>
      <c r="BM341" s="1171" t="s">
        <v>2174</v>
      </c>
      <c r="BN341" s="1172" t="s">
        <v>2174</v>
      </c>
    </row>
    <row r="342" spans="1:66" x14ac:dyDescent="0.25">
      <c r="A342" s="49" t="str">
        <f t="shared" ref="A342" si="472">LEFT(B342,6)</f>
        <v>806095</v>
      </c>
      <c r="B342" s="1307" t="str">
        <f>'BUS Deemed Savings Table'!C488</f>
        <v>806095_2024_12_</v>
      </c>
      <c r="C342" s="1249" t="str">
        <f>'BUS Deemed Savings Table'!G488</f>
        <v>HVAC BUS</v>
      </c>
      <c r="D342" s="1249"/>
      <c r="E342" s="1249"/>
      <c r="F342" s="1249"/>
      <c r="G342" s="1249" t="str">
        <f>'BUS Deemed Savings Table'!E488</f>
        <v>High Volume Low Speed Fan, 18</v>
      </c>
      <c r="H342" s="18" t="str">
        <f>'BUS Deemed Savings Table'!D488</f>
        <v>C&amp;I</v>
      </c>
      <c r="I342" s="737">
        <f>'BUS Deemed Savings Table'!F488</f>
        <v>4938</v>
      </c>
      <c r="J342" s="737"/>
      <c r="K342" s="185"/>
      <c r="L342" s="185"/>
      <c r="M342" s="185"/>
      <c r="N342" s="185"/>
      <c r="O342" s="738">
        <f>'BUS Deemed Savings Table'!I488</f>
        <v>2.1923880540000003</v>
      </c>
      <c r="P342" s="738"/>
      <c r="Q342" s="739"/>
      <c r="R342" s="739"/>
      <c r="S342" s="739"/>
      <c r="T342" s="739"/>
      <c r="U342" s="740">
        <f t="shared" si="460"/>
        <v>0</v>
      </c>
      <c r="V342" s="740">
        <f t="shared" si="461"/>
        <v>2.1923880540000003</v>
      </c>
      <c r="W342" s="740">
        <f t="shared" si="462"/>
        <v>0</v>
      </c>
      <c r="X342" s="22">
        <f>'BUS Deemed Savings Table'!J488</f>
        <v>10</v>
      </c>
      <c r="Y342" s="22"/>
      <c r="Z342" s="22">
        <f t="shared" ref="Z342" si="473">Y342+X342</f>
        <v>10</v>
      </c>
      <c r="AA342" s="17">
        <f>'BUS Deemed Savings Table'!DK488</f>
        <v>1.0919113895302781</v>
      </c>
      <c r="AB342" s="241">
        <f>'BUS Deemed Savings Table'!K488</f>
        <v>4110</v>
      </c>
      <c r="AC342" s="742">
        <f t="shared" ref="AC342" si="474">AE342+AF342</f>
        <v>4487.7558109694428</v>
      </c>
      <c r="AD342" s="742">
        <f t="shared" ref="AD342" si="475">AG342+AH342</f>
        <v>0</v>
      </c>
      <c r="AE342" s="580">
        <f>'BUS Deemed Savings Table'!DM488</f>
        <v>4487.7558109694428</v>
      </c>
      <c r="AF342" s="191"/>
      <c r="AG342" s="191"/>
      <c r="AH342" s="191"/>
      <c r="AI342" s="857" t="str">
        <f>'BUS Deemed Savings Table'!L488</f>
        <v>per measure</v>
      </c>
      <c r="AJ342" s="68"/>
      <c r="AX342" s="1226" t="str">
        <f t="shared" ref="AX342" si="476">G342</f>
        <v>High Volume Low Speed Fan, 18</v>
      </c>
      <c r="AY342" s="1249"/>
      <c r="AZ342" s="1312" t="str">
        <f t="shared" ref="AZ342" si="477">A342</f>
        <v>806095</v>
      </c>
      <c r="BA342" s="1171" t="s">
        <v>2174</v>
      </c>
      <c r="BB342" s="1171" t="s">
        <v>2174</v>
      </c>
      <c r="BC342" s="1171" t="s">
        <v>2174</v>
      </c>
      <c r="BD342" s="1171" t="s">
        <v>2174</v>
      </c>
      <c r="BE342" s="1176"/>
      <c r="BF342" s="1171" t="s">
        <v>2174</v>
      </c>
      <c r="BG342" s="1171" t="s">
        <v>2174</v>
      </c>
      <c r="BH342" s="1171" t="s">
        <v>2174</v>
      </c>
      <c r="BI342" s="1172" t="s">
        <v>2174</v>
      </c>
      <c r="BJ342" s="1176"/>
      <c r="BK342" s="1171" t="s">
        <v>2174</v>
      </c>
      <c r="BL342" s="1172" t="s">
        <v>2174</v>
      </c>
      <c r="BM342" s="1171" t="s">
        <v>2174</v>
      </c>
      <c r="BN342" s="1172" t="s">
        <v>2174</v>
      </c>
    </row>
    <row r="343" spans="1:66" x14ac:dyDescent="0.25">
      <c r="A343" s="49" t="str">
        <f t="shared" si="459"/>
        <v>806100</v>
      </c>
      <c r="B343" s="1307" t="str">
        <f>'BUS Deemed Savings Table'!C489</f>
        <v>806100_2020_07_</v>
      </c>
      <c r="C343" s="1249" t="str">
        <f>'BUS Deemed Savings Table'!G489</f>
        <v>HVAC BUS</v>
      </c>
      <c r="D343" s="1249"/>
      <c r="E343" s="1249"/>
      <c r="F343" s="1249"/>
      <c r="G343" s="1249" t="str">
        <f>'BUS Deemed Savings Table'!E489</f>
        <v>High Volume Low Speed Fan, 20</v>
      </c>
      <c r="H343" s="18" t="str">
        <f>'BUS Deemed Savings Table'!D489</f>
        <v>C&amp;I</v>
      </c>
      <c r="I343" s="737">
        <f>'BUS Deemed Savings Table'!F489</f>
        <v>6577</v>
      </c>
      <c r="J343" s="737"/>
      <c r="K343" s="185"/>
      <c r="L343" s="185"/>
      <c r="M343" s="185"/>
      <c r="N343" s="185"/>
      <c r="O343" s="738">
        <f>'BUS Deemed Savings Table'!I489</f>
        <v>2.9200761910000002</v>
      </c>
      <c r="P343" s="738"/>
      <c r="Q343" s="739"/>
      <c r="R343" s="739"/>
      <c r="S343" s="739"/>
      <c r="T343" s="739"/>
      <c r="U343" s="740">
        <f t="shared" si="460"/>
        <v>0</v>
      </c>
      <c r="V343" s="740">
        <f t="shared" si="461"/>
        <v>2.9200761910000002</v>
      </c>
      <c r="W343" s="740">
        <f t="shared" si="462"/>
        <v>0</v>
      </c>
      <c r="X343" s="22">
        <f>'BUS Deemed Savings Table'!J489</f>
        <v>10</v>
      </c>
      <c r="Y343" s="22"/>
      <c r="Z343" s="22">
        <f t="shared" si="463"/>
        <v>10</v>
      </c>
      <c r="AA343" s="17">
        <f>'BUS Deemed Savings Table'!DK489</f>
        <v>1.4403163062332454</v>
      </c>
      <c r="AB343" s="241">
        <f>'BUS Deemed Savings Table'!K489</f>
        <v>4150</v>
      </c>
      <c r="AC343" s="742">
        <f t="shared" si="464"/>
        <v>5977.3126708679683</v>
      </c>
      <c r="AD343" s="742">
        <f t="shared" si="465"/>
        <v>0</v>
      </c>
      <c r="AE343" s="580">
        <f>'BUS Deemed Savings Table'!DM489</f>
        <v>5977.3126708679683</v>
      </c>
      <c r="AF343" s="191"/>
      <c r="AG343" s="191"/>
      <c r="AH343" s="191"/>
      <c r="AI343" s="857" t="str">
        <f>'BUS Deemed Savings Table'!L489</f>
        <v>per measure</v>
      </c>
      <c r="AJ343" s="68"/>
      <c r="AX343" s="1226" t="str">
        <f t="shared" si="457"/>
        <v>High Volume Low Speed Fan, 20</v>
      </c>
      <c r="AY343" s="1249"/>
      <c r="AZ343" s="1312" t="str">
        <f t="shared" si="458"/>
        <v>806100</v>
      </c>
      <c r="BA343" s="1171" t="s">
        <v>2174</v>
      </c>
      <c r="BB343" s="1171" t="s">
        <v>2174</v>
      </c>
      <c r="BC343" s="1171" t="s">
        <v>2174</v>
      </c>
      <c r="BD343" s="1171" t="s">
        <v>2174</v>
      </c>
      <c r="BE343" s="1176"/>
      <c r="BF343" s="1171" t="s">
        <v>2174</v>
      </c>
      <c r="BG343" s="1171" t="s">
        <v>2174</v>
      </c>
      <c r="BH343" s="1171" t="s">
        <v>2174</v>
      </c>
      <c r="BI343" s="1172" t="s">
        <v>2174</v>
      </c>
      <c r="BJ343" s="1176"/>
      <c r="BK343" s="1171" t="s">
        <v>2174</v>
      </c>
      <c r="BL343" s="1172" t="s">
        <v>2174</v>
      </c>
      <c r="BM343" s="1171" t="s">
        <v>2174</v>
      </c>
      <c r="BN343" s="1172" t="s">
        <v>2174</v>
      </c>
    </row>
    <row r="344" spans="1:66" x14ac:dyDescent="0.25">
      <c r="A344" s="49" t="str">
        <f t="shared" si="459"/>
        <v>806110</v>
      </c>
      <c r="B344" s="1307" t="str">
        <f>'BUS Deemed Savings Table'!C490</f>
        <v>806110_2020_07_</v>
      </c>
      <c r="C344" s="1249" t="str">
        <f>'BUS Deemed Savings Table'!G490</f>
        <v>HVAC BUS</v>
      </c>
      <c r="D344" s="1249"/>
      <c r="E344" s="1249"/>
      <c r="F344" s="1249"/>
      <c r="G344" s="1249" t="str">
        <f>'BUS Deemed Savings Table'!E490</f>
        <v>High Volume Low Speed Fan, 22</v>
      </c>
      <c r="H344" s="18" t="str">
        <f>'BUS Deemed Savings Table'!D490</f>
        <v>C&amp;I</v>
      </c>
      <c r="I344" s="737">
        <f>'BUS Deemed Savings Table'!F490</f>
        <v>8543</v>
      </c>
      <c r="J344" s="737"/>
      <c r="K344" s="185"/>
      <c r="L344" s="185"/>
      <c r="M344" s="185"/>
      <c r="N344" s="185"/>
      <c r="O344" s="738">
        <f>'BUS Deemed Savings Table'!I490</f>
        <v>3.7929467690000003</v>
      </c>
      <c r="P344" s="738"/>
      <c r="Q344" s="739"/>
      <c r="R344" s="739"/>
      <c r="S344" s="739"/>
      <c r="T344" s="739"/>
      <c r="U344" s="740">
        <f t="shared" si="460"/>
        <v>0</v>
      </c>
      <c r="V344" s="740">
        <f t="shared" si="461"/>
        <v>3.7929467690000003</v>
      </c>
      <c r="W344" s="740">
        <f t="shared" si="462"/>
        <v>0</v>
      </c>
      <c r="X344" s="22">
        <f>'BUS Deemed Savings Table'!J490</f>
        <v>10</v>
      </c>
      <c r="Y344" s="22"/>
      <c r="Z344" s="22">
        <f t="shared" si="463"/>
        <v>10</v>
      </c>
      <c r="AA344" s="17">
        <f>'BUS Deemed Savings Table'!DK490</f>
        <v>1.8574291498365354</v>
      </c>
      <c r="AB344" s="241">
        <f>'BUS Deemed Savings Table'!K490</f>
        <v>4180</v>
      </c>
      <c r="AC344" s="742">
        <f t="shared" si="464"/>
        <v>7764.0538463167177</v>
      </c>
      <c r="AD344" s="742">
        <f t="shared" si="465"/>
        <v>0</v>
      </c>
      <c r="AE344" s="580">
        <f>'BUS Deemed Savings Table'!DM490</f>
        <v>7764.0538463167177</v>
      </c>
      <c r="AF344" s="191"/>
      <c r="AG344" s="191"/>
      <c r="AH344" s="191"/>
      <c r="AI344" s="857" t="str">
        <f>'BUS Deemed Savings Table'!L490</f>
        <v>per measure</v>
      </c>
      <c r="AJ344" s="68"/>
      <c r="AX344" s="1226" t="str">
        <f t="shared" si="457"/>
        <v>High Volume Low Speed Fan, 22</v>
      </c>
      <c r="AY344" s="1249"/>
      <c r="AZ344" s="1312" t="str">
        <f t="shared" si="458"/>
        <v>806110</v>
      </c>
      <c r="BA344" s="1171" t="s">
        <v>2174</v>
      </c>
      <c r="BB344" s="1171" t="s">
        <v>2174</v>
      </c>
      <c r="BC344" s="1171" t="s">
        <v>2174</v>
      </c>
      <c r="BD344" s="1171" t="s">
        <v>2174</v>
      </c>
      <c r="BE344" s="1176"/>
      <c r="BF344" s="1171" t="s">
        <v>2174</v>
      </c>
      <c r="BG344" s="1171" t="s">
        <v>2174</v>
      </c>
      <c r="BH344" s="1171" t="s">
        <v>2174</v>
      </c>
      <c r="BI344" s="1172" t="s">
        <v>2174</v>
      </c>
      <c r="BJ344" s="1176"/>
      <c r="BK344" s="1171" t="s">
        <v>2174</v>
      </c>
      <c r="BL344" s="1172" t="s">
        <v>2174</v>
      </c>
      <c r="BM344" s="1171" t="s">
        <v>2174</v>
      </c>
      <c r="BN344" s="1172" t="s">
        <v>2174</v>
      </c>
    </row>
    <row r="345" spans="1:66" x14ac:dyDescent="0.25">
      <c r="A345" s="49" t="str">
        <f t="shared" si="459"/>
        <v>806120</v>
      </c>
      <c r="B345" s="1307" t="str">
        <f>'BUS Deemed Savings Table'!C491</f>
        <v>806120_2020_07_</v>
      </c>
      <c r="C345" s="1249" t="str">
        <f>'BUS Deemed Savings Table'!G491</f>
        <v>HVAC BUS</v>
      </c>
      <c r="D345" s="1249"/>
      <c r="E345" s="1249"/>
      <c r="F345" s="1249"/>
      <c r="G345" s="1249" t="str">
        <f>'BUS Deemed Savings Table'!E491</f>
        <v>High Volume Low Speed Fan, 24</v>
      </c>
      <c r="H345" s="18" t="str">
        <f>'BUS Deemed Savings Table'!D491</f>
        <v>C&amp;I</v>
      </c>
      <c r="I345" s="737">
        <f>'BUS Deemed Savings Table'!F491</f>
        <v>10018</v>
      </c>
      <c r="J345" s="737"/>
      <c r="K345" s="185"/>
      <c r="L345" s="185"/>
      <c r="M345" s="185"/>
      <c r="N345" s="185"/>
      <c r="O345" s="738">
        <f>'BUS Deemed Savings Table'!I491</f>
        <v>4.4478216939999999</v>
      </c>
      <c r="P345" s="738"/>
      <c r="Q345" s="739"/>
      <c r="R345" s="739"/>
      <c r="S345" s="739"/>
      <c r="T345" s="739"/>
      <c r="U345" s="740">
        <f>IFERROR(IF(V345+W345&gt;0,0,IF(Z345&gt;0,O345,0)),0)</f>
        <v>0</v>
      </c>
      <c r="V345" s="740">
        <f t="shared" ref="V345" si="478">IF(W345&gt;0,0,IF(Z345&gt;9,O345,0))</f>
        <v>4.4478216939999999</v>
      </c>
      <c r="W345" s="740">
        <f t="shared" ref="W345" si="479">IF(Z345&gt;14,O345,0)</f>
        <v>0</v>
      </c>
      <c r="X345" s="22">
        <f>'BUS Deemed Savings Table'!J491</f>
        <v>10</v>
      </c>
      <c r="Y345" s="22"/>
      <c r="Z345" s="22">
        <f t="shared" si="463"/>
        <v>10</v>
      </c>
      <c r="AA345" s="17">
        <f>'BUS Deemed Savings Table'!DK491</f>
        <v>2.1549264232359064</v>
      </c>
      <c r="AB345" s="241">
        <f>'BUS Deemed Savings Table'!K491</f>
        <v>4225</v>
      </c>
      <c r="AC345" s="742">
        <f t="shared" si="464"/>
        <v>9104.5641381717051</v>
      </c>
      <c r="AD345" s="742">
        <f t="shared" si="465"/>
        <v>0</v>
      </c>
      <c r="AE345" s="580">
        <f>'BUS Deemed Savings Table'!DM491</f>
        <v>9104.5641381717051</v>
      </c>
      <c r="AF345" s="191"/>
      <c r="AG345" s="191"/>
      <c r="AH345" s="191"/>
      <c r="AI345" s="857" t="str">
        <f>'BUS Deemed Savings Table'!L491</f>
        <v>per measure</v>
      </c>
      <c r="AJ345" s="68"/>
      <c r="AX345" s="1226" t="str">
        <f t="shared" si="457"/>
        <v>High Volume Low Speed Fan, 24</v>
      </c>
      <c r="AY345" s="1249"/>
      <c r="AZ345" s="1312" t="str">
        <f t="shared" si="458"/>
        <v>806120</v>
      </c>
      <c r="BA345" s="1171" t="s">
        <v>2174</v>
      </c>
      <c r="BB345" s="1171" t="s">
        <v>2174</v>
      </c>
      <c r="BC345" s="1171" t="s">
        <v>2174</v>
      </c>
      <c r="BD345" s="1171" t="s">
        <v>2174</v>
      </c>
      <c r="BE345" s="1176"/>
      <c r="BF345" s="1171" t="s">
        <v>2174</v>
      </c>
      <c r="BG345" s="1171" t="s">
        <v>2174</v>
      </c>
      <c r="BH345" s="1171" t="s">
        <v>2174</v>
      </c>
      <c r="BI345" s="1172" t="s">
        <v>2174</v>
      </c>
      <c r="BJ345" s="1176"/>
      <c r="BK345" s="1171" t="s">
        <v>2174</v>
      </c>
      <c r="BL345" s="1172" t="s">
        <v>2174</v>
      </c>
      <c r="BM345" s="1171" t="s">
        <v>2174</v>
      </c>
      <c r="BN345" s="1172" t="s">
        <v>2174</v>
      </c>
    </row>
    <row r="346" spans="1:66" ht="15.75" thickBot="1" x14ac:dyDescent="0.3">
      <c r="A346" s="49" t="str">
        <f t="shared" si="459"/>
        <v>999999</v>
      </c>
      <c r="B346" s="1307" t="str">
        <f>'BUS Deemed Savings Table'!C507</f>
        <v>999999_2025_12</v>
      </c>
      <c r="C346" s="1249" t="str">
        <f>'BUS Deemed Savings Table'!G507</f>
        <v>Air Comp BUS</v>
      </c>
      <c r="D346" s="1249"/>
      <c r="E346" s="1249"/>
      <c r="F346" s="1249"/>
      <c r="G346" s="1249" t="str">
        <f>'BUS Deemed Savings Table'!E507</f>
        <v>Custom-Air Comp</v>
      </c>
      <c r="H346" s="18" t="str">
        <f>'BUS Deemed Savings Table'!D507</f>
        <v>Custom - C&amp;I</v>
      </c>
      <c r="I346" s="737" t="str">
        <f>'BUS Deemed Savings Table'!F507</f>
        <v>Custom</v>
      </c>
      <c r="J346" s="737"/>
      <c r="K346" s="185"/>
      <c r="L346" s="185"/>
      <c r="M346" s="185"/>
      <c r="N346" s="185"/>
      <c r="O346" s="738" t="str">
        <f>'BUS Deemed Savings Table'!I507</f>
        <v>Custom</v>
      </c>
      <c r="P346" s="738"/>
      <c r="Q346" s="739"/>
      <c r="R346" s="739"/>
      <c r="S346" s="739"/>
      <c r="T346" s="739"/>
      <c r="U346" s="740">
        <f>IFERROR(IF(V346+W346&gt;0,0,IF(Z346&gt;0,O346,0)),0)</f>
        <v>0</v>
      </c>
      <c r="V346" s="740">
        <f t="shared" ref="V346" si="480">IF(W346&gt;0,0,IF(Z346&gt;9,O346,0))</f>
        <v>0</v>
      </c>
      <c r="W346" s="740" t="str">
        <f t="shared" ref="W346" si="481">IF(Z346&gt;14,O346,0)</f>
        <v>Custom</v>
      </c>
      <c r="X346" s="22" t="str">
        <f>'BUS Deemed Savings Table'!J507</f>
        <v>Custom</v>
      </c>
      <c r="Y346" s="22"/>
      <c r="Z346" s="22" t="s">
        <v>2384</v>
      </c>
      <c r="AA346" s="17" t="s">
        <v>2384</v>
      </c>
      <c r="AB346" s="241" t="s">
        <v>2384</v>
      </c>
      <c r="AC346" s="860" t="s">
        <v>2384</v>
      </c>
      <c r="AD346" s="742" t="s">
        <v>2384</v>
      </c>
      <c r="AE346" s="580"/>
      <c r="AF346" s="191"/>
      <c r="AG346" s="191"/>
      <c r="AH346" s="191"/>
      <c r="AI346" s="857" t="str">
        <f>'BUS Deemed Savings Table'!L507</f>
        <v>Custom</v>
      </c>
      <c r="AJ346" s="68"/>
      <c r="AX346" s="1227" t="str">
        <f t="shared" si="457"/>
        <v>Custom-Air Comp</v>
      </c>
      <c r="AY346" s="1281"/>
      <c r="AZ346" s="1228" t="str">
        <f t="shared" si="458"/>
        <v>999999</v>
      </c>
      <c r="BA346" s="1173" t="s">
        <v>2174</v>
      </c>
      <c r="BB346" s="1173" t="s">
        <v>2174</v>
      </c>
      <c r="BC346" s="1173" t="s">
        <v>2174</v>
      </c>
      <c r="BD346" s="1173" t="s">
        <v>2174</v>
      </c>
      <c r="BE346" s="1179"/>
      <c r="BF346" s="1173" t="s">
        <v>2174</v>
      </c>
      <c r="BG346" s="1173" t="s">
        <v>2174</v>
      </c>
      <c r="BH346" s="1173" t="s">
        <v>2174</v>
      </c>
      <c r="BI346" s="1174" t="s">
        <v>2174</v>
      </c>
      <c r="BJ346" s="1176"/>
      <c r="BK346" s="1173" t="s">
        <v>2174</v>
      </c>
      <c r="BL346" s="1174" t="s">
        <v>2174</v>
      </c>
      <c r="BM346" s="1173" t="s">
        <v>2174</v>
      </c>
      <c r="BN346" s="1174" t="s">
        <v>2174</v>
      </c>
    </row>
    <row r="347" spans="1:66" ht="15.75" thickBot="1" x14ac:dyDescent="0.3">
      <c r="A347" s="49" t="str">
        <f t="shared" ref="A347:A356" si="482">LEFT(B347,6)</f>
        <v>999999</v>
      </c>
      <c r="B347" s="1307" t="str">
        <f>'BUS Deemed Savings Table'!C508</f>
        <v>999999_2025_12</v>
      </c>
      <c r="C347" s="1249" t="str">
        <f>'BUS Deemed Savings Table'!G508</f>
        <v>Building Shell BUS</v>
      </c>
      <c r="D347" s="1249"/>
      <c r="E347" s="1249"/>
      <c r="F347" s="1249"/>
      <c r="G347" s="1249" t="str">
        <f>'BUS Deemed Savings Table'!E508</f>
        <v>Custom-Building Shell</v>
      </c>
      <c r="H347" s="18" t="str">
        <f>'BUS Deemed Savings Table'!D508</f>
        <v>Custom - C&amp;I</v>
      </c>
      <c r="I347" s="737" t="str">
        <f>'BUS Deemed Savings Table'!F508</f>
        <v>Custom</v>
      </c>
      <c r="J347" s="737"/>
      <c r="K347" s="185"/>
      <c r="L347" s="185"/>
      <c r="M347" s="185"/>
      <c r="N347" s="185"/>
      <c r="O347" s="738" t="str">
        <f>'BUS Deemed Savings Table'!I508</f>
        <v>Custom</v>
      </c>
      <c r="P347" s="738"/>
      <c r="Q347" s="739"/>
      <c r="R347" s="739"/>
      <c r="S347" s="739"/>
      <c r="T347" s="739"/>
      <c r="U347" s="740">
        <f t="shared" ref="U347:U356" si="483">IFERROR(IF(V347+W347&gt;0,0,IF(Z347&gt;0,O347,0)),0)</f>
        <v>0</v>
      </c>
      <c r="V347" s="740">
        <f t="shared" ref="V347:V356" si="484">IF(W347&gt;0,0,IF(Z347&gt;9,O347,0))</f>
        <v>0</v>
      </c>
      <c r="W347" s="740" t="str">
        <f t="shared" ref="W347:W356" si="485">IF(Z347&gt;14,O347,0)</f>
        <v>Custom</v>
      </c>
      <c r="X347" s="22" t="str">
        <f>'BUS Deemed Savings Table'!J508</f>
        <v>Custom</v>
      </c>
      <c r="Y347" s="22"/>
      <c r="Z347" s="22" t="s">
        <v>2384</v>
      </c>
      <c r="AA347" s="17" t="s">
        <v>2384</v>
      </c>
      <c r="AB347" s="241" t="s">
        <v>2384</v>
      </c>
      <c r="AC347" s="860" t="s">
        <v>2384</v>
      </c>
      <c r="AD347" s="742" t="s">
        <v>2384</v>
      </c>
      <c r="AE347" s="580"/>
      <c r="AF347" s="191"/>
      <c r="AG347" s="191"/>
      <c r="AH347" s="191"/>
      <c r="AI347" s="857" t="str">
        <f>'BUS Deemed Savings Table'!L508</f>
        <v>Custom</v>
      </c>
      <c r="AJ347" s="68"/>
      <c r="AX347" s="1227" t="str">
        <f t="shared" ref="AX347:AX356" si="486">G347</f>
        <v>Custom-Building Shell</v>
      </c>
      <c r="AY347" s="1281"/>
      <c r="AZ347" s="1228" t="str">
        <f t="shared" ref="AZ347:AZ356" si="487">A347</f>
        <v>999999</v>
      </c>
      <c r="BA347" s="1173" t="s">
        <v>2174</v>
      </c>
      <c r="BB347" s="1173" t="s">
        <v>2174</v>
      </c>
      <c r="BC347" s="1173" t="s">
        <v>2174</v>
      </c>
      <c r="BD347" s="1173" t="s">
        <v>2174</v>
      </c>
      <c r="BE347" s="1179"/>
      <c r="BF347" s="1173" t="s">
        <v>2174</v>
      </c>
      <c r="BG347" s="1173" t="s">
        <v>2174</v>
      </c>
      <c r="BH347" s="1173" t="s">
        <v>2174</v>
      </c>
      <c r="BI347" s="1174" t="s">
        <v>2174</v>
      </c>
      <c r="BJ347" s="1176"/>
      <c r="BK347" s="1173" t="s">
        <v>2174</v>
      </c>
      <c r="BL347" s="1174" t="s">
        <v>2174</v>
      </c>
      <c r="BM347" s="1173" t="s">
        <v>2174</v>
      </c>
      <c r="BN347" s="1174" t="s">
        <v>2174</v>
      </c>
    </row>
    <row r="348" spans="1:66" ht="15.75" thickBot="1" x14ac:dyDescent="0.3">
      <c r="A348" s="49" t="str">
        <f t="shared" si="482"/>
        <v>999999</v>
      </c>
      <c r="B348" s="1307" t="str">
        <f>'BUS Deemed Savings Table'!C509</f>
        <v>999999_2025_12</v>
      </c>
      <c r="C348" s="1249" t="str">
        <f>'BUS Deemed Savings Table'!G509</f>
        <v>Cooking BUS</v>
      </c>
      <c r="D348" s="1249"/>
      <c r="E348" s="1249"/>
      <c r="F348" s="1249"/>
      <c r="G348" s="1249" t="str">
        <f>'BUS Deemed Savings Table'!E509</f>
        <v>Custom-Cooking</v>
      </c>
      <c r="H348" s="18" t="str">
        <f>'BUS Deemed Savings Table'!D509</f>
        <v>Custom - C&amp;I</v>
      </c>
      <c r="I348" s="737" t="str">
        <f>'BUS Deemed Savings Table'!F509</f>
        <v>Custom</v>
      </c>
      <c r="J348" s="737"/>
      <c r="K348" s="185"/>
      <c r="L348" s="185"/>
      <c r="M348" s="185"/>
      <c r="N348" s="185"/>
      <c r="O348" s="738" t="str">
        <f>'BUS Deemed Savings Table'!I509</f>
        <v>Custom</v>
      </c>
      <c r="P348" s="738"/>
      <c r="Q348" s="739"/>
      <c r="R348" s="739"/>
      <c r="S348" s="739"/>
      <c r="T348" s="739"/>
      <c r="U348" s="740">
        <f t="shared" si="483"/>
        <v>0</v>
      </c>
      <c r="V348" s="740">
        <f t="shared" si="484"/>
        <v>0</v>
      </c>
      <c r="W348" s="740" t="str">
        <f t="shared" si="485"/>
        <v>Custom</v>
      </c>
      <c r="X348" s="22" t="str">
        <f>'BUS Deemed Savings Table'!J509</f>
        <v>Custom</v>
      </c>
      <c r="Y348" s="22"/>
      <c r="Z348" s="22" t="s">
        <v>2384</v>
      </c>
      <c r="AA348" s="17" t="s">
        <v>2384</v>
      </c>
      <c r="AB348" s="241" t="s">
        <v>2384</v>
      </c>
      <c r="AC348" s="860" t="s">
        <v>2384</v>
      </c>
      <c r="AD348" s="742" t="s">
        <v>2384</v>
      </c>
      <c r="AE348" s="580"/>
      <c r="AF348" s="191"/>
      <c r="AG348" s="191"/>
      <c r="AH348" s="191"/>
      <c r="AI348" s="857" t="str">
        <f>'BUS Deemed Savings Table'!L509</f>
        <v>Custom</v>
      </c>
      <c r="AJ348" s="68"/>
      <c r="AX348" s="1227" t="str">
        <f t="shared" si="486"/>
        <v>Custom-Cooking</v>
      </c>
      <c r="AY348" s="1281"/>
      <c r="AZ348" s="1228" t="str">
        <f t="shared" si="487"/>
        <v>999999</v>
      </c>
      <c r="BA348" s="1173" t="s">
        <v>2174</v>
      </c>
      <c r="BB348" s="1173" t="s">
        <v>2174</v>
      </c>
      <c r="BC348" s="1173" t="s">
        <v>2174</v>
      </c>
      <c r="BD348" s="1173" t="s">
        <v>2174</v>
      </c>
      <c r="BE348" s="1179"/>
      <c r="BF348" s="1173" t="s">
        <v>2174</v>
      </c>
      <c r="BG348" s="1173" t="s">
        <v>2174</v>
      </c>
      <c r="BH348" s="1173" t="s">
        <v>2174</v>
      </c>
      <c r="BI348" s="1174" t="s">
        <v>2174</v>
      </c>
      <c r="BJ348" s="1176"/>
      <c r="BK348" s="1173" t="s">
        <v>2174</v>
      </c>
      <c r="BL348" s="1174" t="s">
        <v>2174</v>
      </c>
      <c r="BM348" s="1173" t="s">
        <v>2174</v>
      </c>
      <c r="BN348" s="1174" t="s">
        <v>2174</v>
      </c>
    </row>
    <row r="349" spans="1:66" ht="15.75" thickBot="1" x14ac:dyDescent="0.3">
      <c r="A349" s="49" t="str">
        <f t="shared" si="482"/>
        <v>999999</v>
      </c>
      <c r="B349" s="1307" t="str">
        <f>'BUS Deemed Savings Table'!C510</f>
        <v>999999_2025_12</v>
      </c>
      <c r="C349" s="1249" t="str">
        <f>'BUS Deemed Savings Table'!G510</f>
        <v>Cooling BUS</v>
      </c>
      <c r="D349" s="1249"/>
      <c r="E349" s="1249"/>
      <c r="F349" s="1249"/>
      <c r="G349" s="1249" t="str">
        <f>'BUS Deemed Savings Table'!E510</f>
        <v>Custom-Cooling</v>
      </c>
      <c r="H349" s="18" t="str">
        <f>'BUS Deemed Savings Table'!D510</f>
        <v>Custom - C&amp;I</v>
      </c>
      <c r="I349" s="737" t="str">
        <f>'BUS Deemed Savings Table'!F510</f>
        <v>Custom</v>
      </c>
      <c r="J349" s="737"/>
      <c r="K349" s="185"/>
      <c r="L349" s="185"/>
      <c r="M349" s="185"/>
      <c r="N349" s="185"/>
      <c r="O349" s="738" t="str">
        <f>'BUS Deemed Savings Table'!I510</f>
        <v>Custom</v>
      </c>
      <c r="P349" s="738"/>
      <c r="Q349" s="739"/>
      <c r="R349" s="739"/>
      <c r="S349" s="739"/>
      <c r="T349" s="739"/>
      <c r="U349" s="740">
        <f t="shared" si="483"/>
        <v>0</v>
      </c>
      <c r="V349" s="740">
        <f t="shared" si="484"/>
        <v>0</v>
      </c>
      <c r="W349" s="740" t="str">
        <f t="shared" si="485"/>
        <v>Custom</v>
      </c>
      <c r="X349" s="22" t="str">
        <f>'BUS Deemed Savings Table'!J510</f>
        <v>Custom</v>
      </c>
      <c r="Y349" s="22"/>
      <c r="Z349" s="22" t="s">
        <v>2384</v>
      </c>
      <c r="AA349" s="17" t="s">
        <v>2384</v>
      </c>
      <c r="AB349" s="241" t="s">
        <v>2384</v>
      </c>
      <c r="AC349" s="860" t="s">
        <v>2384</v>
      </c>
      <c r="AD349" s="742" t="s">
        <v>2384</v>
      </c>
      <c r="AE349" s="580"/>
      <c r="AF349" s="191"/>
      <c r="AG349" s="191"/>
      <c r="AH349" s="191"/>
      <c r="AI349" s="857" t="str">
        <f>'BUS Deemed Savings Table'!L510</f>
        <v>Custom</v>
      </c>
      <c r="AJ349" s="68"/>
      <c r="AX349" s="1227" t="str">
        <f t="shared" si="486"/>
        <v>Custom-Cooling</v>
      </c>
      <c r="AY349" s="1281"/>
      <c r="AZ349" s="1228" t="str">
        <f t="shared" si="487"/>
        <v>999999</v>
      </c>
      <c r="BA349" s="1173" t="s">
        <v>2174</v>
      </c>
      <c r="BB349" s="1173" t="s">
        <v>2174</v>
      </c>
      <c r="BC349" s="1173" t="s">
        <v>2174</v>
      </c>
      <c r="BD349" s="1173" t="s">
        <v>2174</v>
      </c>
      <c r="BE349" s="1179"/>
      <c r="BF349" s="1173" t="s">
        <v>2174</v>
      </c>
      <c r="BG349" s="1173" t="s">
        <v>2174</v>
      </c>
      <c r="BH349" s="1173" t="s">
        <v>2174</v>
      </c>
      <c r="BI349" s="1174" t="s">
        <v>2174</v>
      </c>
      <c r="BJ349" s="1176"/>
      <c r="BK349" s="1173" t="s">
        <v>2174</v>
      </c>
      <c r="BL349" s="1174" t="s">
        <v>2174</v>
      </c>
      <c r="BM349" s="1173" t="s">
        <v>2174</v>
      </c>
      <c r="BN349" s="1174" t="s">
        <v>2174</v>
      </c>
    </row>
    <row r="350" spans="1:66" ht="15.75" thickBot="1" x14ac:dyDescent="0.3">
      <c r="A350" s="49" t="str">
        <f t="shared" si="482"/>
        <v>999999</v>
      </c>
      <c r="B350" s="1307" t="str">
        <f>'BUS Deemed Savings Table'!C511</f>
        <v>999999_2025_12</v>
      </c>
      <c r="C350" s="1249" t="str">
        <f>'BUS Deemed Savings Table'!G511</f>
        <v>HVAC BUS</v>
      </c>
      <c r="D350" s="1249"/>
      <c r="E350" s="1249"/>
      <c r="F350" s="1249"/>
      <c r="G350" s="1249" t="str">
        <f>'BUS Deemed Savings Table'!E511</f>
        <v>Custom-HVAC</v>
      </c>
      <c r="H350" s="18" t="str">
        <f>'BUS Deemed Savings Table'!D511</f>
        <v>Custom - C&amp;I</v>
      </c>
      <c r="I350" s="737" t="str">
        <f>'BUS Deemed Savings Table'!F511</f>
        <v>Custom</v>
      </c>
      <c r="J350" s="737"/>
      <c r="K350" s="185"/>
      <c r="L350" s="185"/>
      <c r="M350" s="185"/>
      <c r="N350" s="185"/>
      <c r="O350" s="738" t="str">
        <f>'BUS Deemed Savings Table'!I511</f>
        <v>Custom</v>
      </c>
      <c r="P350" s="738"/>
      <c r="Q350" s="739"/>
      <c r="R350" s="739"/>
      <c r="S350" s="739"/>
      <c r="T350" s="739"/>
      <c r="U350" s="740">
        <f t="shared" si="483"/>
        <v>0</v>
      </c>
      <c r="V350" s="740">
        <f t="shared" si="484"/>
        <v>0</v>
      </c>
      <c r="W350" s="740" t="str">
        <f t="shared" si="485"/>
        <v>Custom</v>
      </c>
      <c r="X350" s="22" t="str">
        <f>'BUS Deemed Savings Table'!J511</f>
        <v>Custom</v>
      </c>
      <c r="Y350" s="22"/>
      <c r="Z350" s="22" t="s">
        <v>2384</v>
      </c>
      <c r="AA350" s="17" t="s">
        <v>2384</v>
      </c>
      <c r="AB350" s="241" t="s">
        <v>2384</v>
      </c>
      <c r="AC350" s="860" t="s">
        <v>2384</v>
      </c>
      <c r="AD350" s="742" t="s">
        <v>2384</v>
      </c>
      <c r="AE350" s="580"/>
      <c r="AF350" s="191"/>
      <c r="AG350" s="191"/>
      <c r="AH350" s="191"/>
      <c r="AI350" s="857" t="str">
        <f>'BUS Deemed Savings Table'!L511</f>
        <v>Custom</v>
      </c>
      <c r="AJ350" s="68"/>
      <c r="AX350" s="1227" t="str">
        <f t="shared" si="486"/>
        <v>Custom-HVAC</v>
      </c>
      <c r="AY350" s="1281"/>
      <c r="AZ350" s="1228" t="str">
        <f t="shared" si="487"/>
        <v>999999</v>
      </c>
      <c r="BA350" s="1173" t="s">
        <v>2174</v>
      </c>
      <c r="BB350" s="1173" t="s">
        <v>2174</v>
      </c>
      <c r="BC350" s="1173" t="s">
        <v>2174</v>
      </c>
      <c r="BD350" s="1173" t="s">
        <v>2174</v>
      </c>
      <c r="BE350" s="1179"/>
      <c r="BF350" s="1173" t="s">
        <v>2174</v>
      </c>
      <c r="BG350" s="1173" t="s">
        <v>2174</v>
      </c>
      <c r="BH350" s="1173" t="s">
        <v>2174</v>
      </c>
      <c r="BI350" s="1174" t="s">
        <v>2174</v>
      </c>
      <c r="BJ350" s="1176"/>
      <c r="BK350" s="1173" t="s">
        <v>2174</v>
      </c>
      <c r="BL350" s="1174" t="s">
        <v>2174</v>
      </c>
      <c r="BM350" s="1173" t="s">
        <v>2174</v>
      </c>
      <c r="BN350" s="1174" t="s">
        <v>2174</v>
      </c>
    </row>
    <row r="351" spans="1:66" ht="15.75" thickBot="1" x14ac:dyDescent="0.3">
      <c r="A351" s="49" t="str">
        <f t="shared" si="482"/>
        <v>999999</v>
      </c>
      <c r="B351" s="1307" t="str">
        <f>'BUS Deemed Savings Table'!C512</f>
        <v>999999_2025_12</v>
      </c>
      <c r="C351" s="1249" t="str">
        <f>'BUS Deemed Savings Table'!G512</f>
        <v>Variable</v>
      </c>
      <c r="D351" s="1249"/>
      <c r="E351" s="1249"/>
      <c r="F351" s="1249"/>
      <c r="G351" s="1249" t="str">
        <f>'BUS Deemed Savings Table'!E512</f>
        <v>Custom Lighting (Controls)</v>
      </c>
      <c r="H351" s="18" t="str">
        <f>'BUS Deemed Savings Table'!D512</f>
        <v>Custom - C&amp;I</v>
      </c>
      <c r="I351" s="737" t="str">
        <f>'BUS Deemed Savings Table'!F512</f>
        <v>Custom</v>
      </c>
      <c r="J351" s="737"/>
      <c r="K351" s="185"/>
      <c r="L351" s="185"/>
      <c r="M351" s="185"/>
      <c r="N351" s="185"/>
      <c r="O351" s="738" t="str">
        <f>'BUS Deemed Savings Table'!I512</f>
        <v>Custom</v>
      </c>
      <c r="P351" s="738"/>
      <c r="Q351" s="739"/>
      <c r="R351" s="739"/>
      <c r="S351" s="739"/>
      <c r="T351" s="739"/>
      <c r="U351" s="740">
        <f t="shared" si="483"/>
        <v>0</v>
      </c>
      <c r="V351" s="740">
        <f t="shared" si="484"/>
        <v>0</v>
      </c>
      <c r="W351" s="740" t="str">
        <f t="shared" si="485"/>
        <v>Custom</v>
      </c>
      <c r="X351" s="22" t="str">
        <f>'BUS Deemed Savings Table'!J512</f>
        <v>Custom</v>
      </c>
      <c r="Y351" s="22"/>
      <c r="Z351" s="22" t="s">
        <v>2384</v>
      </c>
      <c r="AA351" s="17" t="s">
        <v>2384</v>
      </c>
      <c r="AB351" s="241" t="s">
        <v>2384</v>
      </c>
      <c r="AC351" s="860" t="s">
        <v>2384</v>
      </c>
      <c r="AD351" s="742" t="s">
        <v>2384</v>
      </c>
      <c r="AE351" s="580"/>
      <c r="AF351" s="191"/>
      <c r="AG351" s="191"/>
      <c r="AH351" s="191"/>
      <c r="AI351" s="857" t="str">
        <f>'BUS Deemed Savings Table'!L512</f>
        <v>Custom</v>
      </c>
      <c r="AJ351" s="68"/>
      <c r="AX351" s="1227" t="str">
        <f t="shared" si="486"/>
        <v>Custom Lighting (Controls)</v>
      </c>
      <c r="AY351" s="1281"/>
      <c r="AZ351" s="1228" t="str">
        <f t="shared" si="487"/>
        <v>999999</v>
      </c>
      <c r="BA351" s="1173" t="s">
        <v>2174</v>
      </c>
      <c r="BB351" s="1173" t="s">
        <v>2174</v>
      </c>
      <c r="BC351" s="1173" t="s">
        <v>2174</v>
      </c>
      <c r="BD351" s="1173" t="s">
        <v>2174</v>
      </c>
      <c r="BE351" s="1179"/>
      <c r="BF351" s="1173" t="s">
        <v>2174</v>
      </c>
      <c r="BG351" s="1173" t="s">
        <v>2174</v>
      </c>
      <c r="BH351" s="1173" t="s">
        <v>2174</v>
      </c>
      <c r="BI351" s="1174" t="s">
        <v>2174</v>
      </c>
      <c r="BJ351" s="1176"/>
      <c r="BK351" s="1173" t="s">
        <v>2174</v>
      </c>
      <c r="BL351" s="1174" t="s">
        <v>2174</v>
      </c>
      <c r="BM351" s="1173" t="s">
        <v>2174</v>
      </c>
      <c r="BN351" s="1174" t="s">
        <v>2174</v>
      </c>
    </row>
    <row r="352" spans="1:66" ht="15.75" thickBot="1" x14ac:dyDescent="0.3">
      <c r="A352" s="49" t="str">
        <f t="shared" si="482"/>
        <v>999999</v>
      </c>
      <c r="B352" s="1307" t="str">
        <f>'BUS Deemed Savings Table'!C513</f>
        <v>999999_2025_12</v>
      </c>
      <c r="C352" s="1249" t="str">
        <f>'BUS Deemed Savings Table'!G513</f>
        <v>Miscellaneous BUS</v>
      </c>
      <c r="D352" s="1249"/>
      <c r="E352" s="1249"/>
      <c r="F352" s="1249"/>
      <c r="G352" s="1249" t="str">
        <f>'BUS Deemed Savings Table'!E513</f>
        <v>Custom-Miscellaneous</v>
      </c>
      <c r="H352" s="18" t="str">
        <f>'BUS Deemed Savings Table'!D513</f>
        <v>Custom - C&amp;I</v>
      </c>
      <c r="I352" s="737" t="str">
        <f>'BUS Deemed Savings Table'!F513</f>
        <v>Custom</v>
      </c>
      <c r="J352" s="737"/>
      <c r="K352" s="185"/>
      <c r="L352" s="185"/>
      <c r="M352" s="185"/>
      <c r="N352" s="185"/>
      <c r="O352" s="738" t="str">
        <f>'BUS Deemed Savings Table'!I513</f>
        <v>Custom</v>
      </c>
      <c r="P352" s="738"/>
      <c r="Q352" s="739"/>
      <c r="R352" s="739"/>
      <c r="S352" s="739"/>
      <c r="T352" s="739"/>
      <c r="U352" s="740">
        <f t="shared" si="483"/>
        <v>0</v>
      </c>
      <c r="V352" s="740">
        <f t="shared" si="484"/>
        <v>0</v>
      </c>
      <c r="W352" s="740" t="str">
        <f t="shared" si="485"/>
        <v>Custom</v>
      </c>
      <c r="X352" s="22" t="str">
        <f>'BUS Deemed Savings Table'!J513</f>
        <v>Custom</v>
      </c>
      <c r="Y352" s="22"/>
      <c r="Z352" s="22" t="s">
        <v>2384</v>
      </c>
      <c r="AA352" s="17" t="s">
        <v>2384</v>
      </c>
      <c r="AB352" s="241" t="s">
        <v>2384</v>
      </c>
      <c r="AC352" s="860" t="s">
        <v>2384</v>
      </c>
      <c r="AD352" s="742" t="s">
        <v>2384</v>
      </c>
      <c r="AE352" s="580"/>
      <c r="AF352" s="191"/>
      <c r="AG352" s="191"/>
      <c r="AH352" s="191"/>
      <c r="AI352" s="857" t="str">
        <f>'BUS Deemed Savings Table'!L513</f>
        <v>Custom</v>
      </c>
      <c r="AJ352" s="68"/>
      <c r="AX352" s="1227" t="str">
        <f t="shared" si="486"/>
        <v>Custom-Miscellaneous</v>
      </c>
      <c r="AY352" s="1281"/>
      <c r="AZ352" s="1228" t="str">
        <f t="shared" si="487"/>
        <v>999999</v>
      </c>
      <c r="BA352" s="1173" t="s">
        <v>2174</v>
      </c>
      <c r="BB352" s="1173" t="s">
        <v>2174</v>
      </c>
      <c r="BC352" s="1173" t="s">
        <v>2174</v>
      </c>
      <c r="BD352" s="1173" t="s">
        <v>2174</v>
      </c>
      <c r="BE352" s="1179"/>
      <c r="BF352" s="1173" t="s">
        <v>2174</v>
      </c>
      <c r="BG352" s="1173" t="s">
        <v>2174</v>
      </c>
      <c r="BH352" s="1173" t="s">
        <v>2174</v>
      </c>
      <c r="BI352" s="1174" t="s">
        <v>2174</v>
      </c>
      <c r="BJ352" s="1176"/>
      <c r="BK352" s="1173" t="s">
        <v>2174</v>
      </c>
      <c r="BL352" s="1174" t="s">
        <v>2174</v>
      </c>
      <c r="BM352" s="1173" t="s">
        <v>2174</v>
      </c>
      <c r="BN352" s="1174" t="s">
        <v>2174</v>
      </c>
    </row>
    <row r="353" spans="1:66" ht="15.75" thickBot="1" x14ac:dyDescent="0.3">
      <c r="A353" s="49" t="str">
        <f t="shared" si="482"/>
        <v>999999</v>
      </c>
      <c r="B353" s="1307" t="str">
        <f>'BUS Deemed Savings Table'!C514</f>
        <v>999999_2025_12</v>
      </c>
      <c r="C353" s="1249" t="str">
        <f>'BUS Deemed Savings Table'!G514</f>
        <v>Motors BUS</v>
      </c>
      <c r="D353" s="1249"/>
      <c r="E353" s="1249"/>
      <c r="F353" s="1249"/>
      <c r="G353" s="1249" t="str">
        <f>'BUS Deemed Savings Table'!E514</f>
        <v>Custom-Motors</v>
      </c>
      <c r="H353" s="18" t="str">
        <f>'BUS Deemed Savings Table'!D514</f>
        <v>Custom - C&amp;I</v>
      </c>
      <c r="I353" s="737" t="str">
        <f>'BUS Deemed Savings Table'!F514</f>
        <v>Custom</v>
      </c>
      <c r="J353" s="737"/>
      <c r="K353" s="185"/>
      <c r="L353" s="185"/>
      <c r="M353" s="185"/>
      <c r="N353" s="185"/>
      <c r="O353" s="738" t="str">
        <f>'BUS Deemed Savings Table'!I514</f>
        <v>Custom</v>
      </c>
      <c r="P353" s="738"/>
      <c r="Q353" s="739"/>
      <c r="R353" s="739"/>
      <c r="S353" s="739"/>
      <c r="T353" s="739"/>
      <c r="U353" s="740">
        <f t="shared" si="483"/>
        <v>0</v>
      </c>
      <c r="V353" s="740">
        <f t="shared" si="484"/>
        <v>0</v>
      </c>
      <c r="W353" s="740" t="str">
        <f t="shared" si="485"/>
        <v>Custom</v>
      </c>
      <c r="X353" s="22" t="str">
        <f>'BUS Deemed Savings Table'!J514</f>
        <v>Custom</v>
      </c>
      <c r="Y353" s="22"/>
      <c r="Z353" s="22" t="s">
        <v>2384</v>
      </c>
      <c r="AA353" s="17" t="s">
        <v>2384</v>
      </c>
      <c r="AB353" s="241" t="s">
        <v>2384</v>
      </c>
      <c r="AC353" s="860" t="s">
        <v>2384</v>
      </c>
      <c r="AD353" s="742" t="s">
        <v>2384</v>
      </c>
      <c r="AE353" s="580"/>
      <c r="AF353" s="191"/>
      <c r="AG353" s="191"/>
      <c r="AH353" s="191"/>
      <c r="AI353" s="857" t="str">
        <f>'BUS Deemed Savings Table'!L514</f>
        <v>Custom</v>
      </c>
      <c r="AJ353" s="68"/>
      <c r="AX353" s="1227" t="str">
        <f t="shared" si="486"/>
        <v>Custom-Motors</v>
      </c>
      <c r="AY353" s="1281"/>
      <c r="AZ353" s="1228" t="str">
        <f t="shared" si="487"/>
        <v>999999</v>
      </c>
      <c r="BA353" s="1173" t="s">
        <v>2174</v>
      </c>
      <c r="BB353" s="1173" t="s">
        <v>2174</v>
      </c>
      <c r="BC353" s="1173" t="s">
        <v>2174</v>
      </c>
      <c r="BD353" s="1173" t="s">
        <v>2174</v>
      </c>
      <c r="BE353" s="1179"/>
      <c r="BF353" s="1173" t="s">
        <v>2174</v>
      </c>
      <c r="BG353" s="1173" t="s">
        <v>2174</v>
      </c>
      <c r="BH353" s="1173" t="s">
        <v>2174</v>
      </c>
      <c r="BI353" s="1174" t="s">
        <v>2174</v>
      </c>
      <c r="BJ353" s="1176"/>
      <c r="BK353" s="1173" t="s">
        <v>2174</v>
      </c>
      <c r="BL353" s="1174" t="s">
        <v>2174</v>
      </c>
      <c r="BM353" s="1173" t="s">
        <v>2174</v>
      </c>
      <c r="BN353" s="1174" t="s">
        <v>2174</v>
      </c>
    </row>
    <row r="354" spans="1:66" ht="15.75" thickBot="1" x14ac:dyDescent="0.3">
      <c r="A354" s="49" t="str">
        <f t="shared" si="482"/>
        <v>999999</v>
      </c>
      <c r="B354" s="1307" t="str">
        <f>'BUS Deemed Savings Table'!C515</f>
        <v>999999_2025_12</v>
      </c>
      <c r="C354" s="1249" t="str">
        <f>'BUS Deemed Savings Table'!G515</f>
        <v>Process BUS</v>
      </c>
      <c r="D354" s="1249"/>
      <c r="E354" s="1249"/>
      <c r="F354" s="1249"/>
      <c r="G354" s="1249" t="str">
        <f>'BUS Deemed Savings Table'!E515</f>
        <v>Custom-Process</v>
      </c>
      <c r="H354" s="18" t="str">
        <f>'BUS Deemed Savings Table'!D515</f>
        <v>Custom - C&amp;I</v>
      </c>
      <c r="I354" s="737" t="str">
        <f>'BUS Deemed Savings Table'!F515</f>
        <v>Custom</v>
      </c>
      <c r="J354" s="737"/>
      <c r="K354" s="185"/>
      <c r="L354" s="185"/>
      <c r="M354" s="185"/>
      <c r="N354" s="185"/>
      <c r="O354" s="738" t="str">
        <f>'BUS Deemed Savings Table'!I515</f>
        <v>Custom</v>
      </c>
      <c r="P354" s="738"/>
      <c r="Q354" s="739"/>
      <c r="R354" s="739"/>
      <c r="S354" s="739"/>
      <c r="T354" s="739"/>
      <c r="U354" s="740">
        <f t="shared" si="483"/>
        <v>0</v>
      </c>
      <c r="V354" s="740">
        <f t="shared" si="484"/>
        <v>0</v>
      </c>
      <c r="W354" s="740" t="str">
        <f t="shared" si="485"/>
        <v>Custom</v>
      </c>
      <c r="X354" s="22" t="str">
        <f>'BUS Deemed Savings Table'!J515</f>
        <v>Custom</v>
      </c>
      <c r="Y354" s="22"/>
      <c r="Z354" s="22" t="s">
        <v>2384</v>
      </c>
      <c r="AA354" s="17" t="s">
        <v>2384</v>
      </c>
      <c r="AB354" s="241" t="s">
        <v>2384</v>
      </c>
      <c r="AC354" s="860" t="s">
        <v>2384</v>
      </c>
      <c r="AD354" s="742" t="s">
        <v>2384</v>
      </c>
      <c r="AE354" s="580"/>
      <c r="AF354" s="191"/>
      <c r="AG354" s="191"/>
      <c r="AH354" s="191"/>
      <c r="AI354" s="857" t="str">
        <f>'BUS Deemed Savings Table'!L515</f>
        <v>Custom</v>
      </c>
      <c r="AJ354" s="68"/>
      <c r="AX354" s="1227" t="str">
        <f t="shared" si="486"/>
        <v>Custom-Process</v>
      </c>
      <c r="AY354" s="1281"/>
      <c r="AZ354" s="1228" t="str">
        <f t="shared" si="487"/>
        <v>999999</v>
      </c>
      <c r="BA354" s="1173" t="s">
        <v>2174</v>
      </c>
      <c r="BB354" s="1173" t="s">
        <v>2174</v>
      </c>
      <c r="BC354" s="1173" t="s">
        <v>2174</v>
      </c>
      <c r="BD354" s="1173" t="s">
        <v>2174</v>
      </c>
      <c r="BE354" s="1179"/>
      <c r="BF354" s="1173" t="s">
        <v>2174</v>
      </c>
      <c r="BG354" s="1173" t="s">
        <v>2174</v>
      </c>
      <c r="BH354" s="1173" t="s">
        <v>2174</v>
      </c>
      <c r="BI354" s="1174" t="s">
        <v>2174</v>
      </c>
      <c r="BJ354" s="1176"/>
      <c r="BK354" s="1173" t="s">
        <v>2174</v>
      </c>
      <c r="BL354" s="1174" t="s">
        <v>2174</v>
      </c>
      <c r="BM354" s="1173" t="s">
        <v>2174</v>
      </c>
      <c r="BN354" s="1174" t="s">
        <v>2174</v>
      </c>
    </row>
    <row r="355" spans="1:66" ht="15.75" thickBot="1" x14ac:dyDescent="0.3">
      <c r="A355" s="49" t="str">
        <f t="shared" si="482"/>
        <v>999999</v>
      </c>
      <c r="B355" s="1307" t="str">
        <f>'BUS Deemed Savings Table'!C516</f>
        <v>999999_2025_12</v>
      </c>
      <c r="C355" s="1249" t="str">
        <f>'BUS Deemed Savings Table'!G516</f>
        <v>Refrigeration BUS</v>
      </c>
      <c r="D355" s="1249"/>
      <c r="E355" s="1249"/>
      <c r="F355" s="1249"/>
      <c r="G355" s="1249" t="str">
        <f>'BUS Deemed Savings Table'!E516</f>
        <v>Custom-Refrigeration</v>
      </c>
      <c r="H355" s="18" t="str">
        <f>'BUS Deemed Savings Table'!D516</f>
        <v>Custom - C&amp;I</v>
      </c>
      <c r="I355" s="737" t="str">
        <f>'BUS Deemed Savings Table'!F516</f>
        <v>Custom</v>
      </c>
      <c r="J355" s="737"/>
      <c r="K355" s="185"/>
      <c r="L355" s="185"/>
      <c r="M355" s="185"/>
      <c r="N355" s="185"/>
      <c r="O355" s="738" t="str">
        <f>'BUS Deemed Savings Table'!I516</f>
        <v>Custom</v>
      </c>
      <c r="P355" s="738"/>
      <c r="Q355" s="739"/>
      <c r="R355" s="739"/>
      <c r="S355" s="739"/>
      <c r="T355" s="739"/>
      <c r="U355" s="740">
        <f t="shared" si="483"/>
        <v>0</v>
      </c>
      <c r="V355" s="740">
        <f t="shared" si="484"/>
        <v>0</v>
      </c>
      <c r="W355" s="740" t="str">
        <f t="shared" si="485"/>
        <v>Custom</v>
      </c>
      <c r="X355" s="22" t="str">
        <f>'BUS Deemed Savings Table'!J516</f>
        <v>Custom</v>
      </c>
      <c r="Y355" s="22"/>
      <c r="Z355" s="22" t="s">
        <v>2384</v>
      </c>
      <c r="AA355" s="17" t="s">
        <v>2384</v>
      </c>
      <c r="AB355" s="241" t="s">
        <v>2384</v>
      </c>
      <c r="AC355" s="860" t="s">
        <v>2384</v>
      </c>
      <c r="AD355" s="742" t="s">
        <v>2384</v>
      </c>
      <c r="AE355" s="580"/>
      <c r="AF355" s="191"/>
      <c r="AG355" s="191"/>
      <c r="AH355" s="191"/>
      <c r="AI355" s="857" t="str">
        <f>'BUS Deemed Savings Table'!L516</f>
        <v>Custom</v>
      </c>
      <c r="AJ355" s="68"/>
      <c r="AX355" s="1227" t="str">
        <f t="shared" si="486"/>
        <v>Custom-Refrigeration</v>
      </c>
      <c r="AY355" s="1281"/>
      <c r="AZ355" s="1228" t="str">
        <f t="shared" si="487"/>
        <v>999999</v>
      </c>
      <c r="BA355" s="1173" t="s">
        <v>2174</v>
      </c>
      <c r="BB355" s="1173" t="s">
        <v>2174</v>
      </c>
      <c r="BC355" s="1173" t="s">
        <v>2174</v>
      </c>
      <c r="BD355" s="1173" t="s">
        <v>2174</v>
      </c>
      <c r="BE355" s="1179"/>
      <c r="BF355" s="1173" t="s">
        <v>2174</v>
      </c>
      <c r="BG355" s="1173" t="s">
        <v>2174</v>
      </c>
      <c r="BH355" s="1173" t="s">
        <v>2174</v>
      </c>
      <c r="BI355" s="1174" t="s">
        <v>2174</v>
      </c>
      <c r="BJ355" s="1176"/>
      <c r="BK355" s="1173" t="s">
        <v>2174</v>
      </c>
      <c r="BL355" s="1174" t="s">
        <v>2174</v>
      </c>
      <c r="BM355" s="1173" t="s">
        <v>2174</v>
      </c>
      <c r="BN355" s="1174" t="s">
        <v>2174</v>
      </c>
    </row>
    <row r="356" spans="1:66" ht="15.75" thickBot="1" x14ac:dyDescent="0.3">
      <c r="A356" s="49" t="str">
        <f t="shared" si="482"/>
        <v>999999</v>
      </c>
      <c r="B356" s="1307" t="str">
        <f>'BUS Deemed Savings Table'!C517</f>
        <v>999999_2025_12</v>
      </c>
      <c r="C356" s="1249" t="str">
        <f>'BUS Deemed Savings Table'!G517</f>
        <v>Water Heating BUS</v>
      </c>
      <c r="D356" s="1249"/>
      <c r="E356" s="1249"/>
      <c r="F356" s="1249"/>
      <c r="G356" s="1249" t="str">
        <f>'BUS Deemed Savings Table'!E517</f>
        <v>Custom-Water Heating</v>
      </c>
      <c r="H356" s="18" t="str">
        <f>'BUS Deemed Savings Table'!D517</f>
        <v>Custom - C&amp;I</v>
      </c>
      <c r="I356" s="737" t="str">
        <f>'BUS Deemed Savings Table'!F517</f>
        <v>Custom</v>
      </c>
      <c r="J356" s="737"/>
      <c r="K356" s="185"/>
      <c r="L356" s="185"/>
      <c r="M356" s="185"/>
      <c r="N356" s="185"/>
      <c r="O356" s="738" t="str">
        <f>'BUS Deemed Savings Table'!I517</f>
        <v>Custom</v>
      </c>
      <c r="P356" s="738"/>
      <c r="Q356" s="739"/>
      <c r="R356" s="739"/>
      <c r="S356" s="739"/>
      <c r="T356" s="739"/>
      <c r="U356" s="740">
        <f t="shared" si="483"/>
        <v>0</v>
      </c>
      <c r="V356" s="740">
        <f t="shared" si="484"/>
        <v>0</v>
      </c>
      <c r="W356" s="740" t="str">
        <f t="shared" si="485"/>
        <v>Custom</v>
      </c>
      <c r="X356" s="22" t="str">
        <f>'BUS Deemed Savings Table'!J517</f>
        <v>Custom</v>
      </c>
      <c r="Y356" s="22"/>
      <c r="Z356" s="22" t="s">
        <v>2384</v>
      </c>
      <c r="AA356" s="17" t="s">
        <v>2384</v>
      </c>
      <c r="AB356" s="241" t="s">
        <v>2384</v>
      </c>
      <c r="AC356" s="860" t="s">
        <v>2384</v>
      </c>
      <c r="AD356" s="742" t="s">
        <v>2384</v>
      </c>
      <c r="AE356" s="580"/>
      <c r="AF356" s="191"/>
      <c r="AG356" s="191"/>
      <c r="AH356" s="191"/>
      <c r="AI356" s="857" t="str">
        <f>'BUS Deemed Savings Table'!L517</f>
        <v>Custom</v>
      </c>
      <c r="AJ356" s="68"/>
      <c r="AX356" s="1227" t="str">
        <f t="shared" si="486"/>
        <v>Custom-Water Heating</v>
      </c>
      <c r="AY356" s="1281"/>
      <c r="AZ356" s="1228" t="str">
        <f t="shared" si="487"/>
        <v>999999</v>
      </c>
      <c r="BA356" s="1173" t="s">
        <v>2174</v>
      </c>
      <c r="BB356" s="1173" t="s">
        <v>2174</v>
      </c>
      <c r="BC356" s="1173" t="s">
        <v>2174</v>
      </c>
      <c r="BD356" s="1173" t="s">
        <v>2174</v>
      </c>
      <c r="BE356" s="1179"/>
      <c r="BF356" s="1173" t="s">
        <v>2174</v>
      </c>
      <c r="BG356" s="1173" t="s">
        <v>2174</v>
      </c>
      <c r="BH356" s="1173" t="s">
        <v>2174</v>
      </c>
      <c r="BI356" s="1174" t="s">
        <v>2174</v>
      </c>
      <c r="BJ356" s="1176"/>
      <c r="BK356" s="1173" t="s">
        <v>2174</v>
      </c>
      <c r="BL356" s="1174" t="s">
        <v>2174</v>
      </c>
      <c r="BM356" s="1173" t="s">
        <v>2174</v>
      </c>
      <c r="BN356" s="1174" t="s">
        <v>2174</v>
      </c>
    </row>
    <row r="357" spans="1:66" x14ac:dyDescent="0.25">
      <c r="A357" s="49"/>
      <c r="U357" s="50"/>
      <c r="V357" s="50"/>
      <c r="W357" s="50"/>
      <c r="BA357" s="49"/>
      <c r="BB357" s="49"/>
      <c r="BC357" s="49"/>
      <c r="BD357" s="49"/>
    </row>
    <row r="358" spans="1:66" x14ac:dyDescent="0.25">
      <c r="A358" s="49"/>
      <c r="U358" s="50"/>
      <c r="V358" s="50"/>
      <c r="W358" s="50"/>
      <c r="BA358" s="49"/>
      <c r="BB358" s="49"/>
      <c r="BC358" s="49"/>
      <c r="BD358" s="49"/>
    </row>
    <row r="359" spans="1:66" x14ac:dyDescent="0.25">
      <c r="A359" s="49"/>
      <c r="U359" s="50"/>
      <c r="V359" s="50"/>
      <c r="W359" s="50"/>
      <c r="BA359" s="49"/>
      <c r="BB359" s="49"/>
      <c r="BC359" s="49"/>
      <c r="BD359" s="49"/>
    </row>
    <row r="360" spans="1:66" x14ac:dyDescent="0.25">
      <c r="A360" s="49"/>
      <c r="U360" s="50"/>
      <c r="V360" s="50"/>
      <c r="W360" s="50"/>
      <c r="BA360" s="49"/>
      <c r="BB360" s="49"/>
      <c r="BC360" s="49"/>
      <c r="BD360" s="49"/>
    </row>
    <row r="361" spans="1:66" x14ac:dyDescent="0.25">
      <c r="A361" s="49"/>
      <c r="U361" s="50"/>
      <c r="V361" s="50"/>
      <c r="W361" s="50"/>
      <c r="BA361" s="49"/>
      <c r="BB361" s="49"/>
      <c r="BC361" s="49"/>
      <c r="BD361" s="49"/>
    </row>
    <row r="362" spans="1:66" x14ac:dyDescent="0.25">
      <c r="A362" s="49"/>
      <c r="U362" s="50"/>
      <c r="V362" s="50"/>
      <c r="W362" s="50"/>
      <c r="BA362" s="49"/>
      <c r="BB362" s="49"/>
      <c r="BC362" s="49"/>
      <c r="BD362" s="49"/>
    </row>
    <row r="363" spans="1:66" x14ac:dyDescent="0.25">
      <c r="A363" s="49"/>
      <c r="U363" s="50"/>
      <c r="V363" s="50"/>
      <c r="W363" s="50"/>
      <c r="BA363" s="49"/>
      <c r="BB363" s="49"/>
      <c r="BC363" s="49"/>
      <c r="BD363" s="49"/>
    </row>
    <row r="364" spans="1:66" x14ac:dyDescent="0.25">
      <c r="A364" s="49"/>
      <c r="U364" s="50"/>
      <c r="V364" s="50"/>
      <c r="W364" s="50"/>
      <c r="BA364" s="49"/>
      <c r="BB364" s="49"/>
      <c r="BC364" s="49"/>
      <c r="BD364" s="49"/>
    </row>
    <row r="365" spans="1:66" x14ac:dyDescent="0.25">
      <c r="A365" s="49"/>
      <c r="U365" s="50"/>
      <c r="V365" s="50"/>
      <c r="W365" s="50"/>
      <c r="BA365" s="49"/>
      <c r="BB365" s="49"/>
      <c r="BC365" s="49"/>
      <c r="BD365" s="49"/>
    </row>
    <row r="366" spans="1:66" x14ac:dyDescent="0.25">
      <c r="A366" s="49"/>
      <c r="U366" s="50"/>
      <c r="V366" s="50"/>
      <c r="W366" s="50"/>
      <c r="BA366" s="49"/>
      <c r="BB366" s="49"/>
      <c r="BC366" s="49"/>
      <c r="BD366" s="49"/>
    </row>
    <row r="367" spans="1:66" x14ac:dyDescent="0.25">
      <c r="A367" s="49"/>
      <c r="U367" s="50"/>
      <c r="V367" s="50"/>
      <c r="W367" s="50"/>
      <c r="BA367" s="49"/>
      <c r="BB367" s="49"/>
      <c r="BC367" s="49"/>
      <c r="BD367" s="49"/>
    </row>
    <row r="368" spans="1:66" x14ac:dyDescent="0.25">
      <c r="A368" s="49"/>
      <c r="U368" s="50"/>
      <c r="V368" s="50"/>
      <c r="W368" s="50"/>
      <c r="BA368" s="49"/>
      <c r="BB368" s="49"/>
      <c r="BC368" s="49"/>
      <c r="BD368" s="49"/>
    </row>
    <row r="369" spans="1:56" x14ac:dyDescent="0.25">
      <c r="A369" s="49"/>
      <c r="U369" s="50"/>
      <c r="V369" s="50"/>
      <c r="W369" s="50"/>
      <c r="BA369" s="49"/>
      <c r="BB369" s="49"/>
      <c r="BC369" s="49"/>
      <c r="BD369" s="49"/>
    </row>
    <row r="370" spans="1:56" x14ac:dyDescent="0.25">
      <c r="A370" s="49"/>
      <c r="U370" s="50"/>
      <c r="V370" s="50"/>
      <c r="W370" s="50"/>
      <c r="BA370" s="49"/>
      <c r="BB370" s="49"/>
      <c r="BC370" s="49"/>
      <c r="BD370" s="49"/>
    </row>
    <row r="371" spans="1:56" x14ac:dyDescent="0.25">
      <c r="A371" s="49"/>
      <c r="U371" s="50"/>
      <c r="V371" s="50"/>
      <c r="W371" s="50"/>
      <c r="BA371" s="49"/>
      <c r="BB371" s="49"/>
      <c r="BC371" s="49"/>
      <c r="BD371" s="49"/>
    </row>
    <row r="372" spans="1:56" x14ac:dyDescent="0.25">
      <c r="A372" s="49"/>
      <c r="U372" s="50"/>
      <c r="V372" s="50"/>
      <c r="W372" s="50"/>
      <c r="BA372" s="49"/>
      <c r="BB372" s="49"/>
      <c r="BC372" s="49"/>
      <c r="BD372" s="49"/>
    </row>
    <row r="373" spans="1:56" x14ac:dyDescent="0.25">
      <c r="A373" s="49"/>
      <c r="U373" s="50"/>
      <c r="V373" s="50"/>
      <c r="W373" s="50"/>
      <c r="BA373" s="49"/>
      <c r="BB373" s="49"/>
      <c r="BC373" s="49"/>
      <c r="BD373" s="49"/>
    </row>
    <row r="374" spans="1:56" x14ac:dyDescent="0.25">
      <c r="A374" s="49"/>
      <c r="U374" s="50"/>
      <c r="V374" s="50"/>
      <c r="W374" s="50"/>
      <c r="BA374" s="49"/>
      <c r="BB374" s="49"/>
      <c r="BC374" s="49"/>
      <c r="BD374" s="49"/>
    </row>
    <row r="375" spans="1:56" x14ac:dyDescent="0.25">
      <c r="A375" s="49"/>
      <c r="U375" s="50"/>
      <c r="V375" s="50"/>
      <c r="W375" s="50"/>
      <c r="BA375" s="49"/>
      <c r="BB375" s="49"/>
      <c r="BC375" s="49"/>
      <c r="BD375" s="49"/>
    </row>
    <row r="376" spans="1:56" x14ac:dyDescent="0.25">
      <c r="A376" s="49"/>
      <c r="U376" s="50"/>
      <c r="V376" s="50"/>
      <c r="W376" s="50"/>
      <c r="BA376" s="49"/>
      <c r="BB376" s="49"/>
      <c r="BC376" s="49"/>
      <c r="BD376" s="49"/>
    </row>
    <row r="377" spans="1:56" x14ac:dyDescent="0.25">
      <c r="A377" s="49"/>
      <c r="U377" s="50"/>
      <c r="V377" s="50"/>
      <c r="W377" s="50"/>
      <c r="BA377" s="49"/>
      <c r="BB377" s="49"/>
      <c r="BC377" s="49"/>
      <c r="BD377" s="49"/>
    </row>
    <row r="378" spans="1:56" x14ac:dyDescent="0.25">
      <c r="A378" s="49"/>
      <c r="U378" s="50"/>
      <c r="V378" s="50"/>
      <c r="W378" s="50"/>
      <c r="BA378" s="49"/>
      <c r="BB378" s="49"/>
      <c r="BC378" s="49"/>
      <c r="BD378" s="49"/>
    </row>
    <row r="379" spans="1:56" x14ac:dyDescent="0.25">
      <c r="A379" s="49"/>
      <c r="U379" s="50"/>
      <c r="V379" s="50"/>
      <c r="W379" s="50"/>
      <c r="BA379" s="49"/>
      <c r="BB379" s="49"/>
      <c r="BC379" s="49"/>
      <c r="BD379" s="49"/>
    </row>
    <row r="380" spans="1:56" x14ac:dyDescent="0.25">
      <c r="A380" s="49"/>
      <c r="U380" s="50"/>
      <c r="V380" s="50"/>
      <c r="W380" s="50"/>
      <c r="BA380" s="49"/>
      <c r="BB380" s="49"/>
      <c r="BC380" s="49"/>
      <c r="BD380" s="49"/>
    </row>
    <row r="381" spans="1:56" x14ac:dyDescent="0.25">
      <c r="A381" s="49"/>
      <c r="U381" s="50"/>
      <c r="V381" s="50"/>
      <c r="W381" s="50"/>
      <c r="BA381" s="49"/>
      <c r="BB381" s="49"/>
      <c r="BC381" s="49"/>
      <c r="BD381" s="49"/>
    </row>
    <row r="382" spans="1:56" x14ac:dyDescent="0.25">
      <c r="A382" s="49"/>
      <c r="U382" s="50"/>
      <c r="V382" s="50"/>
      <c r="W382" s="50"/>
      <c r="BA382" s="49"/>
      <c r="BB382" s="49"/>
      <c r="BC382" s="49"/>
      <c r="BD382" s="49"/>
    </row>
    <row r="383" spans="1:56" x14ac:dyDescent="0.25">
      <c r="A383" s="49"/>
      <c r="U383" s="50"/>
      <c r="V383" s="50"/>
      <c r="W383" s="50"/>
      <c r="BA383" s="49"/>
      <c r="BB383" s="49"/>
      <c r="BC383" s="49"/>
      <c r="BD383" s="49"/>
    </row>
    <row r="384" spans="1:56" x14ac:dyDescent="0.25">
      <c r="A384" s="49"/>
      <c r="U384" s="50"/>
      <c r="V384" s="50"/>
      <c r="W384" s="50"/>
      <c r="BA384" s="49"/>
      <c r="BB384" s="49"/>
      <c r="BC384" s="49"/>
      <c r="BD384" s="49"/>
    </row>
    <row r="385" spans="1:56" x14ac:dyDescent="0.25">
      <c r="A385" s="49"/>
      <c r="U385" s="50"/>
      <c r="V385" s="50"/>
      <c r="W385" s="50"/>
      <c r="BA385" s="49"/>
      <c r="BB385" s="49"/>
      <c r="BC385" s="49"/>
      <c r="BD385" s="49"/>
    </row>
    <row r="386" spans="1:56" x14ac:dyDescent="0.25">
      <c r="A386" s="49"/>
      <c r="U386" s="50"/>
      <c r="V386" s="50"/>
      <c r="W386" s="50"/>
      <c r="BA386" s="49"/>
      <c r="BB386" s="49"/>
      <c r="BC386" s="49"/>
      <c r="BD386" s="49"/>
    </row>
    <row r="387" spans="1:56" x14ac:dyDescent="0.25">
      <c r="A387" s="49"/>
      <c r="U387" s="50"/>
      <c r="V387" s="50"/>
      <c r="W387" s="50"/>
      <c r="BA387" s="49"/>
      <c r="BB387" s="49"/>
      <c r="BC387" s="49"/>
      <c r="BD387" s="49"/>
    </row>
    <row r="388" spans="1:56" x14ac:dyDescent="0.25">
      <c r="A388" s="49"/>
      <c r="U388" s="50"/>
      <c r="V388" s="50"/>
      <c r="W388" s="50"/>
      <c r="BA388" s="49"/>
      <c r="BB388" s="49"/>
      <c r="BC388" s="49"/>
      <c r="BD388" s="49"/>
    </row>
    <row r="389" spans="1:56" x14ac:dyDescent="0.25">
      <c r="A389" s="49"/>
      <c r="U389" s="50"/>
      <c r="V389" s="50"/>
      <c r="W389" s="50"/>
      <c r="BA389" s="49"/>
      <c r="BB389" s="49"/>
      <c r="BC389" s="49"/>
      <c r="BD389" s="49"/>
    </row>
    <row r="390" spans="1:56" x14ac:dyDescent="0.25">
      <c r="A390" s="49"/>
      <c r="U390" s="50"/>
      <c r="V390" s="50"/>
      <c r="W390" s="50"/>
      <c r="BA390" s="49"/>
      <c r="BB390" s="49"/>
      <c r="BC390" s="49"/>
      <c r="BD390" s="49"/>
    </row>
    <row r="391" spans="1:56" x14ac:dyDescent="0.25">
      <c r="A391" s="49"/>
      <c r="U391" s="50"/>
      <c r="V391" s="50"/>
      <c r="W391" s="50"/>
      <c r="BA391" s="49"/>
      <c r="BB391" s="49"/>
      <c r="BC391" s="49"/>
      <c r="BD391" s="49"/>
    </row>
    <row r="392" spans="1:56" x14ac:dyDescent="0.25">
      <c r="A392" s="49"/>
      <c r="U392" s="50"/>
      <c r="V392" s="50"/>
      <c r="W392" s="50"/>
      <c r="BA392" s="49"/>
      <c r="BB392" s="49"/>
      <c r="BC392" s="49"/>
      <c r="BD392" s="49"/>
    </row>
    <row r="393" spans="1:56" x14ac:dyDescent="0.25">
      <c r="A393" s="49"/>
      <c r="U393" s="50"/>
      <c r="V393" s="50"/>
      <c r="W393" s="50"/>
      <c r="BA393" s="49"/>
      <c r="BB393" s="49"/>
      <c r="BC393" s="49"/>
      <c r="BD393" s="49"/>
    </row>
    <row r="394" spans="1:56" x14ac:dyDescent="0.25">
      <c r="A394" s="49"/>
      <c r="U394" s="50"/>
      <c r="V394" s="50"/>
      <c r="W394" s="50"/>
      <c r="BA394" s="49"/>
      <c r="BB394" s="49"/>
      <c r="BC394" s="49"/>
      <c r="BD394" s="49"/>
    </row>
    <row r="395" spans="1:56" x14ac:dyDescent="0.25">
      <c r="A395" s="49"/>
      <c r="U395" s="50"/>
      <c r="V395" s="50"/>
      <c r="W395" s="50"/>
      <c r="BA395" s="49"/>
      <c r="BB395" s="49"/>
      <c r="BC395" s="49"/>
      <c r="BD395" s="49"/>
    </row>
    <row r="396" spans="1:56" x14ac:dyDescent="0.25">
      <c r="A396" s="49"/>
      <c r="U396" s="50"/>
      <c r="V396" s="50"/>
      <c r="W396" s="50"/>
      <c r="BA396" s="49"/>
      <c r="BB396" s="49"/>
      <c r="BC396" s="49"/>
      <c r="BD396" s="49"/>
    </row>
    <row r="397" spans="1:56" x14ac:dyDescent="0.25">
      <c r="A397" s="49"/>
      <c r="U397" s="50"/>
      <c r="V397" s="50"/>
      <c r="W397" s="50"/>
      <c r="BA397" s="49"/>
      <c r="BB397" s="49"/>
      <c r="BC397" s="49"/>
      <c r="BD397" s="49"/>
    </row>
    <row r="398" spans="1:56" x14ac:dyDescent="0.25">
      <c r="A398" s="49"/>
      <c r="U398" s="50"/>
      <c r="V398" s="50"/>
      <c r="W398" s="50"/>
      <c r="BA398" s="49"/>
      <c r="BB398" s="49"/>
      <c r="BC398" s="49"/>
      <c r="BD398" s="49"/>
    </row>
    <row r="399" spans="1:56" x14ac:dyDescent="0.25">
      <c r="A399" s="49"/>
      <c r="U399" s="50"/>
      <c r="V399" s="50"/>
      <c r="W399" s="50"/>
      <c r="BA399" s="49"/>
      <c r="BB399" s="49"/>
      <c r="BC399" s="49"/>
      <c r="BD399" s="49"/>
    </row>
    <row r="400" spans="1:56" x14ac:dyDescent="0.25">
      <c r="A400" s="49"/>
      <c r="U400" s="50"/>
      <c r="V400" s="50"/>
      <c r="W400" s="50"/>
      <c r="BA400" s="49"/>
      <c r="BB400" s="49"/>
      <c r="BC400" s="49"/>
      <c r="BD400" s="49"/>
    </row>
    <row r="401" spans="1:56" x14ac:dyDescent="0.25">
      <c r="A401" s="49"/>
      <c r="U401" s="50"/>
      <c r="V401" s="50"/>
      <c r="W401" s="50"/>
      <c r="BA401" s="49"/>
      <c r="BB401" s="49"/>
      <c r="BC401" s="49"/>
      <c r="BD401" s="49"/>
    </row>
    <row r="402" spans="1:56" x14ac:dyDescent="0.25">
      <c r="A402" s="49"/>
      <c r="U402" s="50"/>
      <c r="V402" s="50"/>
      <c r="W402" s="50"/>
      <c r="BA402" s="49"/>
      <c r="BB402" s="49"/>
      <c r="BC402" s="49"/>
      <c r="BD402" s="49"/>
    </row>
    <row r="403" spans="1:56" x14ac:dyDescent="0.25">
      <c r="A403" s="49"/>
      <c r="U403" s="50"/>
      <c r="V403" s="50"/>
      <c r="W403" s="50"/>
      <c r="BA403" s="49"/>
      <c r="BB403" s="49"/>
      <c r="BC403" s="49"/>
      <c r="BD403" s="49"/>
    </row>
    <row r="404" spans="1:56" x14ac:dyDescent="0.25">
      <c r="A404" s="49"/>
      <c r="U404" s="50"/>
      <c r="V404" s="50"/>
      <c r="W404" s="50"/>
      <c r="BA404" s="49"/>
      <c r="BB404" s="49"/>
      <c r="BC404" s="49"/>
      <c r="BD404" s="49"/>
    </row>
    <row r="405" spans="1:56" x14ac:dyDescent="0.25">
      <c r="A405" s="49"/>
      <c r="U405" s="50"/>
      <c r="V405" s="50"/>
      <c r="W405" s="50"/>
      <c r="BA405" s="49"/>
      <c r="BB405" s="49"/>
      <c r="BC405" s="49"/>
      <c r="BD405" s="49"/>
    </row>
    <row r="406" spans="1:56" x14ac:dyDescent="0.25">
      <c r="A406" s="49"/>
      <c r="U406" s="50"/>
      <c r="V406" s="50"/>
      <c r="W406" s="50"/>
      <c r="BA406" s="49"/>
      <c r="BB406" s="49"/>
      <c r="BC406" s="49"/>
      <c r="BD406" s="49"/>
    </row>
    <row r="407" spans="1:56" x14ac:dyDescent="0.25">
      <c r="A407" s="49"/>
      <c r="U407" s="50"/>
      <c r="V407" s="50"/>
      <c r="W407" s="50"/>
      <c r="BA407" s="49"/>
      <c r="BB407" s="49"/>
      <c r="BC407" s="49"/>
      <c r="BD407" s="49"/>
    </row>
    <row r="408" spans="1:56" x14ac:dyDescent="0.25">
      <c r="A408" s="49"/>
      <c r="U408" s="50"/>
      <c r="V408" s="50"/>
      <c r="W408" s="50"/>
      <c r="BA408" s="49"/>
      <c r="BB408" s="49"/>
      <c r="BC408" s="49"/>
      <c r="BD408" s="49"/>
    </row>
    <row r="409" spans="1:56" x14ac:dyDescent="0.25">
      <c r="A409" s="49"/>
      <c r="U409" s="50"/>
      <c r="V409" s="50"/>
      <c r="W409" s="50"/>
      <c r="BA409" s="49"/>
      <c r="BB409" s="49"/>
      <c r="BC409" s="49"/>
      <c r="BD409" s="49"/>
    </row>
    <row r="410" spans="1:56" x14ac:dyDescent="0.25">
      <c r="A410" s="49"/>
      <c r="U410" s="50"/>
      <c r="V410" s="50"/>
      <c r="W410" s="50"/>
      <c r="BA410" s="49"/>
      <c r="BB410" s="49"/>
      <c r="BC410" s="49"/>
      <c r="BD410" s="49"/>
    </row>
    <row r="411" spans="1:56" x14ac:dyDescent="0.25">
      <c r="A411" s="49"/>
      <c r="U411" s="50"/>
      <c r="V411" s="50"/>
      <c r="W411" s="50"/>
      <c r="BA411" s="49"/>
      <c r="BB411" s="49"/>
      <c r="BC411" s="49"/>
      <c r="BD411" s="49"/>
    </row>
    <row r="412" spans="1:56" x14ac:dyDescent="0.25">
      <c r="A412" s="49"/>
      <c r="U412" s="50"/>
      <c r="V412" s="50"/>
      <c r="W412" s="50"/>
      <c r="BA412" s="49"/>
      <c r="BB412" s="49"/>
      <c r="BC412" s="49"/>
      <c r="BD412" s="49"/>
    </row>
    <row r="413" spans="1:56" x14ac:dyDescent="0.25">
      <c r="A413" s="49"/>
      <c r="U413" s="50"/>
      <c r="V413" s="50"/>
      <c r="W413" s="50"/>
      <c r="BA413" s="49"/>
      <c r="BB413" s="49"/>
      <c r="BC413" s="49"/>
      <c r="BD413" s="49"/>
    </row>
    <row r="414" spans="1:56" x14ac:dyDescent="0.25">
      <c r="A414" s="49"/>
      <c r="U414" s="50"/>
      <c r="V414" s="50"/>
      <c r="W414" s="50"/>
      <c r="BA414" s="49"/>
      <c r="BB414" s="49"/>
      <c r="BC414" s="49"/>
      <c r="BD414" s="49"/>
    </row>
    <row r="415" spans="1:56" x14ac:dyDescent="0.25">
      <c r="A415" s="49"/>
      <c r="U415" s="50"/>
      <c r="V415" s="50"/>
      <c r="W415" s="50"/>
      <c r="BA415" s="49"/>
      <c r="BB415" s="49"/>
      <c r="BC415" s="49"/>
      <c r="BD415" s="49"/>
    </row>
    <row r="416" spans="1:56" x14ac:dyDescent="0.25">
      <c r="A416" s="49"/>
      <c r="U416" s="50"/>
      <c r="V416" s="50"/>
      <c r="W416" s="50"/>
      <c r="BA416" s="49"/>
      <c r="BB416" s="49"/>
      <c r="BC416" s="49"/>
      <c r="BD416" s="49"/>
    </row>
    <row r="417" spans="1:56" x14ac:dyDescent="0.25">
      <c r="A417" s="49"/>
      <c r="U417" s="50"/>
      <c r="V417" s="50"/>
      <c r="W417" s="50"/>
      <c r="BA417" s="49"/>
      <c r="BB417" s="49"/>
      <c r="BC417" s="49"/>
      <c r="BD417" s="49"/>
    </row>
    <row r="418" spans="1:56" x14ac:dyDescent="0.25">
      <c r="A418" s="49"/>
      <c r="U418" s="50"/>
      <c r="V418" s="50"/>
      <c r="W418" s="50"/>
      <c r="BA418" s="49"/>
      <c r="BB418" s="49"/>
      <c r="BC418" s="49"/>
      <c r="BD418" s="49"/>
    </row>
    <row r="419" spans="1:56" x14ac:dyDescent="0.25">
      <c r="A419" s="49"/>
      <c r="U419" s="50"/>
      <c r="V419" s="50"/>
      <c r="W419" s="50"/>
      <c r="BA419" s="49"/>
      <c r="BB419" s="49"/>
      <c r="BC419" s="49"/>
      <c r="BD419" s="49"/>
    </row>
    <row r="420" spans="1:56" x14ac:dyDescent="0.25">
      <c r="A420" s="49"/>
      <c r="U420" s="50"/>
      <c r="V420" s="50"/>
      <c r="W420" s="50"/>
      <c r="BA420" s="49"/>
      <c r="BB420" s="49"/>
      <c r="BC420" s="49"/>
      <c r="BD420" s="49"/>
    </row>
    <row r="421" spans="1:56" x14ac:dyDescent="0.25">
      <c r="A421" s="49"/>
      <c r="U421" s="50"/>
      <c r="V421" s="50"/>
      <c r="W421" s="50"/>
      <c r="BA421" s="49"/>
      <c r="BB421" s="49"/>
      <c r="BC421" s="49"/>
      <c r="BD421" s="49"/>
    </row>
    <row r="422" spans="1:56" x14ac:dyDescent="0.25">
      <c r="A422" s="49"/>
      <c r="U422" s="50"/>
      <c r="V422" s="50"/>
      <c r="W422" s="50"/>
      <c r="BA422" s="49"/>
      <c r="BB422" s="49"/>
      <c r="BC422" s="49"/>
      <c r="BD422" s="49"/>
    </row>
    <row r="423" spans="1:56" x14ac:dyDescent="0.25">
      <c r="A423" s="49"/>
      <c r="U423" s="50"/>
      <c r="V423" s="50"/>
      <c r="W423" s="50"/>
      <c r="BA423" s="49"/>
      <c r="BB423" s="49"/>
      <c r="BC423" s="49"/>
      <c r="BD423" s="49"/>
    </row>
    <row r="424" spans="1:56" x14ac:dyDescent="0.25">
      <c r="A424" s="49"/>
      <c r="U424" s="50"/>
      <c r="V424" s="50"/>
      <c r="W424" s="50"/>
      <c r="BA424" s="49"/>
      <c r="BB424" s="49"/>
      <c r="BC424" s="49"/>
      <c r="BD424" s="49"/>
    </row>
    <row r="425" spans="1:56" x14ac:dyDescent="0.25">
      <c r="A425" s="49"/>
      <c r="U425" s="50"/>
      <c r="V425" s="50"/>
      <c r="W425" s="50"/>
      <c r="BA425" s="49"/>
      <c r="BB425" s="49"/>
      <c r="BC425" s="49"/>
      <c r="BD425" s="49"/>
    </row>
    <row r="426" spans="1:56" x14ac:dyDescent="0.25">
      <c r="A426" s="49"/>
      <c r="U426" s="50"/>
      <c r="V426" s="50"/>
      <c r="W426" s="50"/>
      <c r="BA426" s="49"/>
      <c r="BB426" s="49"/>
      <c r="BC426" s="49"/>
      <c r="BD426" s="49"/>
    </row>
    <row r="427" spans="1:56" x14ac:dyDescent="0.25">
      <c r="A427" s="49"/>
      <c r="U427" s="50"/>
      <c r="V427" s="50"/>
      <c r="W427" s="50"/>
      <c r="BA427" s="49"/>
      <c r="BB427" s="49"/>
      <c r="BC427" s="49"/>
      <c r="BD427" s="49"/>
    </row>
    <row r="428" spans="1:56" x14ac:dyDescent="0.25">
      <c r="A428" s="49"/>
      <c r="U428" s="50"/>
      <c r="V428" s="50"/>
      <c r="W428" s="50"/>
      <c r="BA428" s="49"/>
      <c r="BB428" s="49"/>
      <c r="BC428" s="49"/>
      <c r="BD428" s="49"/>
    </row>
    <row r="429" spans="1:56" x14ac:dyDescent="0.25">
      <c r="A429" s="49"/>
      <c r="U429" s="50"/>
      <c r="V429" s="50"/>
      <c r="W429" s="50"/>
      <c r="BA429" s="49"/>
      <c r="BB429" s="49"/>
      <c r="BC429" s="49"/>
      <c r="BD429" s="49"/>
    </row>
    <row r="430" spans="1:56" x14ac:dyDescent="0.25">
      <c r="A430" s="49"/>
      <c r="U430" s="50"/>
      <c r="V430" s="50"/>
      <c r="W430" s="50"/>
      <c r="BA430" s="49"/>
      <c r="BB430" s="49"/>
      <c r="BC430" s="49"/>
      <c r="BD430" s="49"/>
    </row>
    <row r="431" spans="1:56" x14ac:dyDescent="0.25">
      <c r="A431" s="49"/>
      <c r="U431" s="50"/>
      <c r="V431" s="50"/>
      <c r="W431" s="50"/>
      <c r="BA431" s="49"/>
      <c r="BB431" s="49"/>
      <c r="BC431" s="49"/>
      <c r="BD431" s="49"/>
    </row>
    <row r="432" spans="1:56" x14ac:dyDescent="0.25">
      <c r="A432" s="49"/>
      <c r="U432" s="50"/>
      <c r="V432" s="50"/>
      <c r="W432" s="50"/>
      <c r="BA432" s="49"/>
      <c r="BB432" s="49"/>
      <c r="BC432" s="49"/>
      <c r="BD432" s="49"/>
    </row>
    <row r="433" spans="1:56" x14ac:dyDescent="0.25">
      <c r="A433" s="49"/>
      <c r="U433" s="50"/>
      <c r="V433" s="50"/>
      <c r="W433" s="50"/>
      <c r="BA433" s="49"/>
      <c r="BB433" s="49"/>
      <c r="BC433" s="49"/>
      <c r="BD433" s="49"/>
    </row>
    <row r="434" spans="1:56" x14ac:dyDescent="0.25">
      <c r="A434" s="49"/>
      <c r="U434" s="50"/>
      <c r="V434" s="50"/>
      <c r="W434" s="50"/>
      <c r="BA434" s="49"/>
      <c r="BB434" s="49"/>
      <c r="BC434" s="49"/>
      <c r="BD434" s="49"/>
    </row>
    <row r="435" spans="1:56" x14ac:dyDescent="0.25">
      <c r="A435" s="49"/>
      <c r="U435" s="50"/>
      <c r="V435" s="50"/>
      <c r="W435" s="50"/>
      <c r="BA435" s="49"/>
      <c r="BB435" s="49"/>
      <c r="BC435" s="49"/>
      <c r="BD435" s="49"/>
    </row>
    <row r="436" spans="1:56" x14ac:dyDescent="0.25">
      <c r="A436" s="49"/>
      <c r="U436" s="50"/>
      <c r="V436" s="50"/>
      <c r="W436" s="50"/>
      <c r="BA436" s="49"/>
      <c r="BB436" s="49"/>
      <c r="BC436" s="49"/>
      <c r="BD436" s="49"/>
    </row>
    <row r="437" spans="1:56" x14ac:dyDescent="0.25">
      <c r="A437" s="49"/>
      <c r="U437" s="50"/>
      <c r="V437" s="50"/>
      <c r="W437" s="50"/>
      <c r="BA437" s="49"/>
      <c r="BB437" s="49"/>
      <c r="BC437" s="49"/>
      <c r="BD437" s="49"/>
    </row>
    <row r="438" spans="1:56" x14ac:dyDescent="0.25">
      <c r="A438" s="49"/>
      <c r="U438" s="50"/>
      <c r="V438" s="50"/>
      <c r="W438" s="50"/>
      <c r="BA438" s="49"/>
      <c r="BB438" s="49"/>
      <c r="BC438" s="49"/>
      <c r="BD438" s="49"/>
    </row>
    <row r="439" spans="1:56" x14ac:dyDescent="0.25">
      <c r="A439" s="49"/>
      <c r="U439" s="50"/>
      <c r="V439" s="50"/>
      <c r="W439" s="50"/>
      <c r="BA439" s="49"/>
      <c r="BB439" s="49"/>
      <c r="BC439" s="49"/>
      <c r="BD439" s="49"/>
    </row>
    <row r="440" spans="1:56" x14ac:dyDescent="0.25">
      <c r="A440" s="49"/>
      <c r="U440" s="50"/>
      <c r="V440" s="50"/>
      <c r="W440" s="50"/>
      <c r="BA440" s="49"/>
      <c r="BB440" s="49"/>
      <c r="BC440" s="49"/>
      <c r="BD440" s="49"/>
    </row>
    <row r="441" spans="1:56" x14ac:dyDescent="0.25">
      <c r="A441" s="49"/>
      <c r="U441" s="50"/>
      <c r="V441" s="50"/>
      <c r="W441" s="50"/>
      <c r="BA441" s="49"/>
      <c r="BB441" s="49"/>
      <c r="BC441" s="49"/>
      <c r="BD441" s="49"/>
    </row>
    <row r="442" spans="1:56" x14ac:dyDescent="0.25">
      <c r="A442" s="49"/>
      <c r="U442" s="50"/>
      <c r="V442" s="50"/>
      <c r="W442" s="50"/>
      <c r="BA442" s="49"/>
      <c r="BB442" s="49"/>
      <c r="BC442" s="49"/>
      <c r="BD442" s="49"/>
    </row>
    <row r="443" spans="1:56" x14ac:dyDescent="0.25">
      <c r="A443" s="49"/>
      <c r="U443" s="50"/>
      <c r="V443" s="50"/>
      <c r="W443" s="50"/>
      <c r="BA443" s="49"/>
      <c r="BB443" s="49"/>
      <c r="BC443" s="49"/>
      <c r="BD443" s="49"/>
    </row>
    <row r="444" spans="1:56" x14ac:dyDescent="0.25">
      <c r="A444" s="49"/>
      <c r="U444" s="50"/>
      <c r="V444" s="50"/>
      <c r="W444" s="50"/>
      <c r="BA444" s="49"/>
      <c r="BB444" s="49"/>
      <c r="BC444" s="49"/>
      <c r="BD444" s="49"/>
    </row>
    <row r="445" spans="1:56" x14ac:dyDescent="0.25">
      <c r="A445" s="49"/>
      <c r="U445" s="50"/>
      <c r="V445" s="50"/>
      <c r="W445" s="50"/>
      <c r="BA445" s="49"/>
      <c r="BB445" s="49"/>
      <c r="BC445" s="49"/>
      <c r="BD445" s="49"/>
    </row>
    <row r="446" spans="1:56" x14ac:dyDescent="0.25">
      <c r="A446" s="49"/>
      <c r="U446" s="50"/>
      <c r="V446" s="50"/>
      <c r="W446" s="50"/>
      <c r="BA446" s="49"/>
      <c r="BB446" s="49"/>
      <c r="BC446" s="49"/>
      <c r="BD446" s="49"/>
    </row>
    <row r="447" spans="1:56" x14ac:dyDescent="0.25">
      <c r="A447" s="49"/>
      <c r="U447" s="50"/>
      <c r="V447" s="50"/>
      <c r="W447" s="50"/>
      <c r="BA447" s="49"/>
      <c r="BB447" s="49"/>
      <c r="BC447" s="49"/>
      <c r="BD447" s="49"/>
    </row>
    <row r="480" spans="2:2" x14ac:dyDescent="0.25">
      <c r="B480"/>
    </row>
    <row r="481" spans="2:2" x14ac:dyDescent="0.25">
      <c r="B481"/>
    </row>
    <row r="482" spans="2:2" x14ac:dyDescent="0.25">
      <c r="B482"/>
    </row>
    <row r="483" spans="2:2" x14ac:dyDescent="0.25">
      <c r="B483"/>
    </row>
    <row r="484" spans="2:2" x14ac:dyDescent="0.25">
      <c r="B484"/>
    </row>
    <row r="485" spans="2:2" x14ac:dyDescent="0.25">
      <c r="B485"/>
    </row>
    <row r="486" spans="2:2" x14ac:dyDescent="0.25">
      <c r="B486"/>
    </row>
    <row r="487" spans="2:2" x14ac:dyDescent="0.25">
      <c r="B487"/>
    </row>
    <row r="488" spans="2:2" x14ac:dyDescent="0.25">
      <c r="B488"/>
    </row>
    <row r="489" spans="2:2" x14ac:dyDescent="0.25">
      <c r="B489"/>
    </row>
    <row r="490" spans="2:2" x14ac:dyDescent="0.25">
      <c r="B490"/>
    </row>
    <row r="491" spans="2:2" x14ac:dyDescent="0.25">
      <c r="B491"/>
    </row>
    <row r="492" spans="2:2" x14ac:dyDescent="0.25">
      <c r="B492"/>
    </row>
    <row r="493" spans="2:2" x14ac:dyDescent="0.25">
      <c r="B493"/>
    </row>
    <row r="494" spans="2:2" x14ac:dyDescent="0.25">
      <c r="B494"/>
    </row>
    <row r="495" spans="2:2" x14ac:dyDescent="0.25">
      <c r="B495"/>
    </row>
    <row r="496" spans="2:2" x14ac:dyDescent="0.25">
      <c r="B496"/>
    </row>
    <row r="497" spans="2:2" x14ac:dyDescent="0.25">
      <c r="B497"/>
    </row>
    <row r="498" spans="2:2" x14ac:dyDescent="0.25">
      <c r="B498"/>
    </row>
    <row r="499" spans="2:2" x14ac:dyDescent="0.25">
      <c r="B499"/>
    </row>
    <row r="500" spans="2:2" x14ac:dyDescent="0.25">
      <c r="B500"/>
    </row>
    <row r="501" spans="2:2" x14ac:dyDescent="0.25">
      <c r="B501"/>
    </row>
    <row r="502" spans="2:2" x14ac:dyDescent="0.25">
      <c r="B502"/>
    </row>
    <row r="503" spans="2:2" x14ac:dyDescent="0.25">
      <c r="B503"/>
    </row>
    <row r="504" spans="2:2" x14ac:dyDescent="0.25">
      <c r="B504"/>
    </row>
    <row r="505" spans="2:2" x14ac:dyDescent="0.25">
      <c r="B505"/>
    </row>
    <row r="506" spans="2:2" x14ac:dyDescent="0.25">
      <c r="B506"/>
    </row>
    <row r="507" spans="2:2" x14ac:dyDescent="0.25">
      <c r="B507"/>
    </row>
    <row r="508" spans="2:2" x14ac:dyDescent="0.25">
      <c r="B508"/>
    </row>
    <row r="509" spans="2:2" x14ac:dyDescent="0.25">
      <c r="B509"/>
    </row>
    <row r="510" spans="2:2" x14ac:dyDescent="0.25">
      <c r="B510"/>
    </row>
    <row r="511" spans="2:2" x14ac:dyDescent="0.25">
      <c r="B511"/>
    </row>
    <row r="512" spans="2:2" x14ac:dyDescent="0.25">
      <c r="B512"/>
    </row>
    <row r="513" spans="2:2" x14ac:dyDescent="0.25">
      <c r="B513"/>
    </row>
    <row r="514" spans="2:2" x14ac:dyDescent="0.25">
      <c r="B514"/>
    </row>
    <row r="515" spans="2:2" x14ac:dyDescent="0.25">
      <c r="B515"/>
    </row>
    <row r="516" spans="2:2" x14ac:dyDescent="0.25">
      <c r="B516"/>
    </row>
    <row r="517" spans="2:2" x14ac:dyDescent="0.25">
      <c r="B517"/>
    </row>
    <row r="518" spans="2:2" x14ac:dyDescent="0.25">
      <c r="B518"/>
    </row>
    <row r="519" spans="2:2" x14ac:dyDescent="0.25">
      <c r="B519"/>
    </row>
    <row r="520" spans="2:2" x14ac:dyDescent="0.25">
      <c r="B520"/>
    </row>
    <row r="521" spans="2:2" x14ac:dyDescent="0.25">
      <c r="B521"/>
    </row>
    <row r="522" spans="2:2" x14ac:dyDescent="0.25">
      <c r="B522"/>
    </row>
    <row r="523" spans="2:2" x14ac:dyDescent="0.25">
      <c r="B523"/>
    </row>
    <row r="524" spans="2:2" x14ac:dyDescent="0.25">
      <c r="B524"/>
    </row>
    <row r="525" spans="2:2" x14ac:dyDescent="0.25">
      <c r="B525"/>
    </row>
    <row r="526" spans="2:2" x14ac:dyDescent="0.25">
      <c r="B526"/>
    </row>
    <row r="527" spans="2:2" x14ac:dyDescent="0.25">
      <c r="B527"/>
    </row>
    <row r="528" spans="2:2" x14ac:dyDescent="0.25">
      <c r="B528"/>
    </row>
    <row r="529" spans="2:2" x14ac:dyDescent="0.25">
      <c r="B529"/>
    </row>
    <row r="530" spans="2:2" x14ac:dyDescent="0.25">
      <c r="B530"/>
    </row>
    <row r="531" spans="2:2" x14ac:dyDescent="0.25">
      <c r="B531"/>
    </row>
    <row r="532" spans="2:2" x14ac:dyDescent="0.25">
      <c r="B532"/>
    </row>
    <row r="533" spans="2:2" x14ac:dyDescent="0.25">
      <c r="B533"/>
    </row>
    <row r="534" spans="2:2" x14ac:dyDescent="0.25">
      <c r="B534"/>
    </row>
    <row r="535" spans="2:2" x14ac:dyDescent="0.25">
      <c r="B535"/>
    </row>
    <row r="536" spans="2:2" x14ac:dyDescent="0.25">
      <c r="B536"/>
    </row>
    <row r="537" spans="2:2" x14ac:dyDescent="0.25">
      <c r="B537"/>
    </row>
    <row r="538" spans="2:2" x14ac:dyDescent="0.25">
      <c r="B538"/>
    </row>
    <row r="539" spans="2:2" x14ac:dyDescent="0.25">
      <c r="B539"/>
    </row>
    <row r="540" spans="2:2" x14ac:dyDescent="0.25">
      <c r="B540"/>
    </row>
    <row r="541" spans="2:2" x14ac:dyDescent="0.25">
      <c r="B541"/>
    </row>
    <row r="542" spans="2:2" x14ac:dyDescent="0.25">
      <c r="B542"/>
    </row>
    <row r="543" spans="2:2" x14ac:dyDescent="0.25">
      <c r="B543"/>
    </row>
    <row r="544" spans="2:2" x14ac:dyDescent="0.25">
      <c r="B544"/>
    </row>
    <row r="545" spans="2:2" x14ac:dyDescent="0.25">
      <c r="B545"/>
    </row>
    <row r="546" spans="2:2" x14ac:dyDescent="0.25">
      <c r="B546"/>
    </row>
    <row r="547" spans="2:2" x14ac:dyDescent="0.25">
      <c r="B547"/>
    </row>
    <row r="548" spans="2:2" x14ac:dyDescent="0.25">
      <c r="B548"/>
    </row>
    <row r="549" spans="2:2" x14ac:dyDescent="0.25">
      <c r="B549"/>
    </row>
    <row r="550" spans="2:2" x14ac:dyDescent="0.25">
      <c r="B550"/>
    </row>
    <row r="551" spans="2:2" x14ac:dyDescent="0.25">
      <c r="B551"/>
    </row>
    <row r="552" spans="2:2" x14ac:dyDescent="0.25">
      <c r="B552"/>
    </row>
    <row r="553" spans="2:2" x14ac:dyDescent="0.25">
      <c r="B553"/>
    </row>
    <row r="554" spans="2:2" x14ac:dyDescent="0.25">
      <c r="B554"/>
    </row>
    <row r="555" spans="2:2" x14ac:dyDescent="0.25">
      <c r="B555"/>
    </row>
    <row r="556" spans="2:2" x14ac:dyDescent="0.25">
      <c r="B556"/>
    </row>
    <row r="557" spans="2:2" x14ac:dyDescent="0.25">
      <c r="B557"/>
    </row>
    <row r="558" spans="2:2" x14ac:dyDescent="0.25">
      <c r="B558"/>
    </row>
    <row r="559" spans="2:2" x14ac:dyDescent="0.25">
      <c r="B559"/>
    </row>
    <row r="560" spans="2:2" x14ac:dyDescent="0.25">
      <c r="B560"/>
    </row>
    <row r="561" spans="2:2" x14ac:dyDescent="0.25">
      <c r="B561"/>
    </row>
    <row r="562" spans="2:2" x14ac:dyDescent="0.25">
      <c r="B562"/>
    </row>
    <row r="563" spans="2:2" x14ac:dyDescent="0.25">
      <c r="B563"/>
    </row>
    <row r="564" spans="2:2" x14ac:dyDescent="0.25">
      <c r="B564"/>
    </row>
    <row r="565" spans="2:2" x14ac:dyDescent="0.25">
      <c r="B565"/>
    </row>
    <row r="566" spans="2:2" x14ac:dyDescent="0.25">
      <c r="B566"/>
    </row>
    <row r="567" spans="2:2" x14ac:dyDescent="0.25">
      <c r="B567"/>
    </row>
    <row r="568" spans="2:2" x14ac:dyDescent="0.25">
      <c r="B568"/>
    </row>
    <row r="569" spans="2:2" x14ac:dyDescent="0.25">
      <c r="B569"/>
    </row>
    <row r="570" spans="2:2" x14ac:dyDescent="0.25">
      <c r="B570"/>
    </row>
    <row r="571" spans="2:2" x14ac:dyDescent="0.25">
      <c r="B571"/>
    </row>
    <row r="572" spans="2:2" x14ac:dyDescent="0.25">
      <c r="B572"/>
    </row>
    <row r="573" spans="2:2" x14ac:dyDescent="0.25">
      <c r="B573"/>
    </row>
    <row r="574" spans="2:2" x14ac:dyDescent="0.25">
      <c r="B574"/>
    </row>
    <row r="575" spans="2:2" x14ac:dyDescent="0.25">
      <c r="B575"/>
    </row>
    <row r="576" spans="2:2" x14ac:dyDescent="0.25">
      <c r="B576"/>
    </row>
    <row r="577" spans="2:2" x14ac:dyDescent="0.25">
      <c r="B577"/>
    </row>
    <row r="578" spans="2:2" x14ac:dyDescent="0.25">
      <c r="B578"/>
    </row>
    <row r="579" spans="2:2" x14ac:dyDescent="0.25">
      <c r="B579"/>
    </row>
    <row r="580" spans="2:2" x14ac:dyDescent="0.25">
      <c r="B580"/>
    </row>
    <row r="581" spans="2:2" x14ac:dyDescent="0.25">
      <c r="B581"/>
    </row>
    <row r="582" spans="2:2" x14ac:dyDescent="0.25">
      <c r="B582"/>
    </row>
    <row r="583" spans="2:2" x14ac:dyDescent="0.25">
      <c r="B583"/>
    </row>
    <row r="584" spans="2:2" x14ac:dyDescent="0.25">
      <c r="B584"/>
    </row>
    <row r="585" spans="2:2" x14ac:dyDescent="0.25">
      <c r="B585"/>
    </row>
    <row r="586" spans="2:2" x14ac:dyDescent="0.25">
      <c r="B586"/>
    </row>
    <row r="587" spans="2:2" x14ac:dyDescent="0.25">
      <c r="B587"/>
    </row>
    <row r="588" spans="2:2" x14ac:dyDescent="0.25">
      <c r="B588"/>
    </row>
    <row r="589" spans="2:2" x14ac:dyDescent="0.25">
      <c r="B589"/>
    </row>
    <row r="590" spans="2:2" x14ac:dyDescent="0.25">
      <c r="B590"/>
    </row>
    <row r="591" spans="2:2" x14ac:dyDescent="0.25">
      <c r="B591"/>
    </row>
  </sheetData>
  <autoFilter ref="A8:BN357" xr:uid="{00000000-0001-0000-0C00-000000000000}"/>
  <sortState xmlns:xlrd2="http://schemas.microsoft.com/office/spreadsheetml/2017/richdata2" ref="A120:AV135">
    <sortCondition ref="A120:A135"/>
  </sortState>
  <mergeCells count="22">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 ref="C6:F6"/>
    <mergeCell ref="AA6:AA7"/>
    <mergeCell ref="V6:V7"/>
    <mergeCell ref="X6:Z6"/>
    <mergeCell ref="H6:H7"/>
    <mergeCell ref="U6:U7"/>
  </mergeCells>
  <phoneticPr fontId="66" type="noConversion"/>
  <conditionalFormatting sqref="A233:A240">
    <cfRule type="duplicateValues" dxfId="22" priority="605"/>
  </conditionalFormatting>
  <conditionalFormatting sqref="A241">
    <cfRule type="duplicateValues" dxfId="21" priority="1"/>
  </conditionalFormatting>
  <conditionalFormatting sqref="A242:A243">
    <cfRule type="duplicateValues" dxfId="20" priority="423"/>
  </conditionalFormatting>
  <conditionalFormatting sqref="A245">
    <cfRule type="duplicateValues" dxfId="19" priority="25"/>
  </conditionalFormatting>
  <conditionalFormatting sqref="A247">
    <cfRule type="duplicateValues" dxfId="18" priority="23"/>
  </conditionalFormatting>
  <conditionalFormatting sqref="A334">
    <cfRule type="duplicateValues" dxfId="17" priority="21"/>
  </conditionalFormatting>
  <conditionalFormatting sqref="A335">
    <cfRule type="duplicateValues" dxfId="16" priority="19"/>
  </conditionalFormatting>
  <conditionalFormatting sqref="A336:A344 A246 A244 A9:A232 A248:A333">
    <cfRule type="duplicateValues" dxfId="15" priority="596"/>
  </conditionalFormatting>
  <conditionalFormatting sqref="A345:A356">
    <cfRule type="duplicateValues" dxfId="14" priority="44"/>
  </conditionalFormatting>
  <conditionalFormatting sqref="B233:B240">
    <cfRule type="duplicateValues" dxfId="13" priority="607"/>
  </conditionalFormatting>
  <conditionalFormatting sqref="B241">
    <cfRule type="duplicateValues" dxfId="12" priority="2"/>
  </conditionalFormatting>
  <conditionalFormatting sqref="B242:B243">
    <cfRule type="duplicateValues" dxfId="11" priority="428"/>
  </conditionalFormatting>
  <conditionalFormatting sqref="B245">
    <cfRule type="duplicateValues" dxfId="10" priority="24"/>
  </conditionalFormatting>
  <conditionalFormatting sqref="B247">
    <cfRule type="duplicateValues" dxfId="9" priority="22"/>
  </conditionalFormatting>
  <conditionalFormatting sqref="B334">
    <cfRule type="duplicateValues" dxfId="8" priority="20"/>
  </conditionalFormatting>
  <conditionalFormatting sqref="B335">
    <cfRule type="duplicateValues" dxfId="7" priority="18"/>
  </conditionalFormatting>
  <conditionalFormatting sqref="B592:B1048576 B246 B244 B336:B479 B1:B232 B248:B333">
    <cfRule type="duplicateValues" dxfId="6" priority="42"/>
  </conditionalFormatting>
  <conditionalFormatting sqref="G1:G1048576 H141:H148">
    <cfRule type="containsText" dxfId="5" priority="3" operator="containsText" text="retire">
      <formula>NOT(ISERROR(SEARCH("retire",G1)))</formula>
    </cfRule>
  </conditionalFormatting>
  <conditionalFormatting sqref="BC7:BC8">
    <cfRule type="duplicateValues" dxfId="4" priority="7"/>
  </conditionalFormatting>
  <conditionalFormatting sqref="BD20:BD36">
    <cfRule type="duplicateValues" dxfId="3" priority="570"/>
  </conditionalFormatting>
  <conditionalFormatting sqref="BE2480:BE1048576">
    <cfRule type="cellIs" dxfId="2" priority="40" operator="lessThan">
      <formula>1</formula>
    </cfRule>
  </conditionalFormatting>
  <conditionalFormatting sqref="BH7:BH8">
    <cfRule type="duplicateValues" dxfId="1" priority="6"/>
  </conditionalFormatting>
  <printOptions horizontalCentered="1"/>
  <pageMargins left="0.5" right="0.5" top="0.75" bottom="0.75" header="0.3" footer="0.3"/>
  <pageSetup scale="14"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x14ac:dyDescent="0.25"/>
  <cols>
    <col min="1" max="1" width="53.28515625" style="50" customWidth="1"/>
    <col min="2" max="2" width="16.7109375" style="50" customWidth="1"/>
    <col min="3" max="3" width="12.28515625" style="50" customWidth="1"/>
    <col min="4" max="7" width="9.5703125" style="50" bestFit="1" customWidth="1"/>
    <col min="8" max="8" width="9.28515625" style="50" bestFit="1" customWidth="1"/>
    <col min="9" max="9" width="12.28515625" style="50" customWidth="1"/>
    <col min="10" max="10" width="23.42578125" style="50" customWidth="1"/>
    <col min="11" max="11" width="14.42578125" style="50" customWidth="1"/>
    <col min="12" max="13" width="9.28515625" style="50"/>
    <col min="14" max="14" width="13.5703125" style="50" customWidth="1"/>
    <col min="15" max="20" width="9.28515625" style="50"/>
    <col min="21" max="21" width="12.42578125" style="50" customWidth="1"/>
    <col min="22" max="16384" width="9.28515625" style="50"/>
  </cols>
  <sheetData>
    <row r="1" spans="1:21" x14ac:dyDescent="0.25">
      <c r="A1" s="59"/>
      <c r="B1" s="59"/>
      <c r="C1" s="59"/>
      <c r="D1" s="59"/>
      <c r="E1" s="59"/>
      <c r="F1" s="59"/>
      <c r="G1" s="59"/>
      <c r="H1" s="59"/>
      <c r="I1" s="50" t="s">
        <v>2385</v>
      </c>
      <c r="J1" s="754" t="s">
        <v>2386</v>
      </c>
    </row>
    <row r="2" spans="1:21" x14ac:dyDescent="0.25">
      <c r="B2" s="1669" t="s">
        <v>2387</v>
      </c>
      <c r="C2" s="1669"/>
      <c r="D2" s="1669"/>
      <c r="E2" s="1669"/>
      <c r="F2" s="1669"/>
      <c r="G2" s="1669"/>
      <c r="H2" s="1670"/>
      <c r="K2" s="1671"/>
      <c r="N2" s="1672"/>
    </row>
    <row r="3" spans="1:21" x14ac:dyDescent="0.25">
      <c r="A3" s="1249" t="s">
        <v>778</v>
      </c>
      <c r="B3" s="1652">
        <v>2025</v>
      </c>
      <c r="C3" s="1652">
        <v>2026</v>
      </c>
      <c r="D3" s="18">
        <v>2027</v>
      </c>
      <c r="E3" s="18">
        <v>2028</v>
      </c>
      <c r="F3" s="18">
        <v>2029</v>
      </c>
      <c r="G3" s="18">
        <v>2030</v>
      </c>
      <c r="H3" s="18">
        <v>2031</v>
      </c>
      <c r="I3" s="49"/>
      <c r="J3" s="49"/>
      <c r="K3" s="49"/>
      <c r="L3" s="49"/>
      <c r="M3" s="49"/>
    </row>
    <row r="4" spans="1:21" x14ac:dyDescent="0.25">
      <c r="A4" s="1673" t="s">
        <v>2388</v>
      </c>
      <c r="B4" s="1668">
        <v>6.9716271613440697E-2</v>
      </c>
      <c r="C4" s="1668">
        <v>6.3109478788013804E-2</v>
      </c>
      <c r="D4" s="1249">
        <v>5.59776275933562E-2</v>
      </c>
      <c r="E4" s="1249">
        <v>5.4985269379490498E-2</v>
      </c>
      <c r="F4" s="1249">
        <v>5.4619524087442903E-2</v>
      </c>
      <c r="G4" s="1249"/>
      <c r="H4" s="1249"/>
      <c r="J4" s="50" t="s">
        <v>2389</v>
      </c>
      <c r="K4" s="1861">
        <v>2025</v>
      </c>
      <c r="N4" s="510"/>
      <c r="O4" s="510"/>
      <c r="P4" s="510"/>
      <c r="R4" s="1674"/>
      <c r="S4" s="1674"/>
      <c r="T4" s="1674"/>
      <c r="U4" s="1674"/>
    </row>
    <row r="5" spans="1:21" x14ac:dyDescent="0.25">
      <c r="A5" s="1673" t="s">
        <v>2390</v>
      </c>
      <c r="B5" s="1668">
        <v>0.533208885762264</v>
      </c>
      <c r="C5" s="1668">
        <v>0.50286397471632904</v>
      </c>
      <c r="D5" s="1249">
        <v>0.47741180113305798</v>
      </c>
      <c r="E5" s="1249">
        <v>0.45743606583441199</v>
      </c>
      <c r="F5" s="1249">
        <v>0.436633971133562</v>
      </c>
      <c r="G5" s="1249"/>
      <c r="H5" s="1249"/>
      <c r="J5" s="50" t="s">
        <v>2391</v>
      </c>
      <c r="K5" s="50">
        <v>2027</v>
      </c>
      <c r="N5" s="510"/>
      <c r="O5" s="510"/>
      <c r="P5" s="510"/>
      <c r="R5" s="1674"/>
      <c r="S5" s="1674"/>
      <c r="T5" s="1674"/>
    </row>
    <row r="6" spans="1:21" x14ac:dyDescent="0.25">
      <c r="A6" s="1673" t="s">
        <v>2392</v>
      </c>
      <c r="B6" s="1668">
        <v>0.57258024632977</v>
      </c>
      <c r="C6" s="1668">
        <v>0.54052127992107202</v>
      </c>
      <c r="D6" s="1249">
        <v>0.51341369342776799</v>
      </c>
      <c r="E6" s="1249">
        <v>0.491619240513052</v>
      </c>
      <c r="F6" s="1249">
        <v>0.46931437560960099</v>
      </c>
      <c r="G6" s="1249"/>
      <c r="H6" s="1249"/>
      <c r="J6" s="50" t="s">
        <v>2393</v>
      </c>
      <c r="K6" s="1862">
        <v>6.8599999999999994E-2</v>
      </c>
      <c r="N6" s="510"/>
      <c r="O6" s="510"/>
      <c r="P6" s="510"/>
      <c r="R6" s="1674"/>
      <c r="S6" s="1674"/>
      <c r="T6" s="1674"/>
    </row>
    <row r="7" spans="1:21" x14ac:dyDescent="0.25">
      <c r="A7" s="1673" t="s">
        <v>2394</v>
      </c>
      <c r="B7" s="1668">
        <v>0.61023755153451198</v>
      </c>
      <c r="C7" s="1668">
        <v>0.57652317221578198</v>
      </c>
      <c r="D7" s="1249">
        <v>0.54759686810640795</v>
      </c>
      <c r="E7" s="1249">
        <v>0.52429964498909098</v>
      </c>
      <c r="F7" s="1249">
        <v>0.50055810790656297</v>
      </c>
      <c r="G7" s="1249"/>
      <c r="H7" s="1249"/>
      <c r="J7" s="50" t="s">
        <v>2395</v>
      </c>
      <c r="K7" s="50">
        <v>0.02</v>
      </c>
      <c r="N7" s="510"/>
      <c r="O7" s="510"/>
      <c r="P7" s="510"/>
      <c r="R7" s="1674"/>
      <c r="S7" s="1674"/>
      <c r="T7" s="1674"/>
    </row>
    <row r="8" spans="1:21" x14ac:dyDescent="0.25">
      <c r="A8" s="1673" t="s">
        <v>2396</v>
      </c>
      <c r="B8" s="1668">
        <v>0.64623944382922305</v>
      </c>
      <c r="C8" s="1668">
        <v>0.61070634689442205</v>
      </c>
      <c r="D8" s="1249">
        <v>0.58027727258244699</v>
      </c>
      <c r="E8" s="1249">
        <v>0.55554337728605296</v>
      </c>
      <c r="F8" s="1249">
        <v>0.53042835731331395</v>
      </c>
      <c r="G8" s="1249"/>
      <c r="H8" s="1249"/>
      <c r="J8" s="50" t="s">
        <v>2397</v>
      </c>
      <c r="K8" s="1863">
        <v>2025</v>
      </c>
      <c r="L8" s="50" t="s">
        <v>2398</v>
      </c>
      <c r="N8" s="510"/>
      <c r="O8" s="510"/>
      <c r="P8" s="510"/>
      <c r="R8" s="1674"/>
      <c r="S8" s="1674"/>
      <c r="T8" s="1674"/>
    </row>
    <row r="9" spans="1:21" x14ac:dyDescent="0.25">
      <c r="A9" s="1673" t="s">
        <v>2399</v>
      </c>
      <c r="B9" s="1668">
        <v>0.68042261850786301</v>
      </c>
      <c r="C9" s="1668">
        <v>0.64338675137046097</v>
      </c>
      <c r="D9" s="1249">
        <v>0.61152100487940897</v>
      </c>
      <c r="E9" s="1249">
        <v>0.58541362669280395</v>
      </c>
      <c r="F9" s="1249">
        <v>0.55898553245286198</v>
      </c>
      <c r="G9" s="1249"/>
      <c r="H9" s="1249"/>
      <c r="N9" s="510"/>
      <c r="O9" s="510"/>
      <c r="P9" s="510"/>
      <c r="R9" s="1674"/>
      <c r="S9" s="1674"/>
      <c r="T9" s="1674"/>
    </row>
    <row r="10" spans="1:21" x14ac:dyDescent="0.25">
      <c r="A10" s="1673" t="s">
        <v>2400</v>
      </c>
      <c r="B10" s="1668">
        <v>0.71310302298390205</v>
      </c>
      <c r="C10" s="1668">
        <v>0.67463048366742295</v>
      </c>
      <c r="D10" s="1249">
        <v>0.64139125428615995</v>
      </c>
      <c r="E10" s="1249">
        <v>0.61397080183235198</v>
      </c>
      <c r="F10" s="1249">
        <v>0.58628738370945699</v>
      </c>
      <c r="G10" s="1249"/>
      <c r="H10" s="1249"/>
      <c r="N10" s="510"/>
      <c r="O10" s="510"/>
      <c r="P10" s="510"/>
      <c r="R10" s="1674"/>
      <c r="S10" s="1674"/>
      <c r="T10" s="1674"/>
    </row>
    <row r="11" spans="1:21" x14ac:dyDescent="0.25">
      <c r="A11" s="1673" t="s">
        <v>2401</v>
      </c>
      <c r="B11" s="1668">
        <v>0.74434675528086403</v>
      </c>
      <c r="C11" s="1668">
        <v>0.70450073307417405</v>
      </c>
      <c r="D11" s="1249">
        <v>0.66994842942570798</v>
      </c>
      <c r="E11" s="1249">
        <v>0.64127265308894699</v>
      </c>
      <c r="F11" s="1249">
        <v>0.61244655111442303</v>
      </c>
      <c r="G11" s="1249"/>
      <c r="H11" s="1249"/>
      <c r="N11" s="510"/>
      <c r="O11" s="510"/>
      <c r="P11" s="510"/>
      <c r="R11" s="1674"/>
      <c r="S11" s="1674"/>
      <c r="T11" s="1674"/>
    </row>
    <row r="12" spans="1:21" x14ac:dyDescent="0.25">
      <c r="A12" s="1673" t="s">
        <v>2402</v>
      </c>
      <c r="B12" s="1668">
        <v>0.77421700468761501</v>
      </c>
      <c r="C12" s="1668">
        <v>0.73305790821372196</v>
      </c>
      <c r="D12" s="1249">
        <v>0.69725028068230299</v>
      </c>
      <c r="E12" s="1249">
        <v>0.66743182049391403</v>
      </c>
      <c r="F12" s="1249">
        <v>0.637455771710566</v>
      </c>
      <c r="G12" s="1249"/>
      <c r="H12" s="1249"/>
      <c r="N12" s="510"/>
      <c r="O12" s="510"/>
      <c r="P12" s="510"/>
      <c r="R12" s="1674"/>
      <c r="S12" s="1674"/>
      <c r="T12" s="1674"/>
    </row>
    <row r="13" spans="1:21" x14ac:dyDescent="0.25">
      <c r="A13" s="1673" t="s">
        <v>2403</v>
      </c>
      <c r="B13" s="1668">
        <v>0.80277417982716304</v>
      </c>
      <c r="C13" s="1668">
        <v>0.76035975947031798</v>
      </c>
      <c r="D13" s="1249">
        <v>0.72340944808727004</v>
      </c>
      <c r="E13" s="1249">
        <v>0.692441041090057</v>
      </c>
      <c r="F13" s="1249">
        <v>0.66136562176815406</v>
      </c>
      <c r="G13" s="1249"/>
      <c r="H13" s="1249"/>
      <c r="N13" s="510"/>
      <c r="O13" s="510"/>
      <c r="P13" s="510"/>
      <c r="R13" s="1674"/>
      <c r="S13" s="1674"/>
      <c r="T13" s="1674"/>
    </row>
    <row r="14" spans="1:21" x14ac:dyDescent="0.25">
      <c r="A14" s="1673" t="s">
        <v>2404</v>
      </c>
      <c r="B14" s="1668">
        <v>0.83007603108375805</v>
      </c>
      <c r="C14" s="1668">
        <v>0.78651892687528402</v>
      </c>
      <c r="D14" s="1249">
        <v>0.748418668683413</v>
      </c>
      <c r="E14" s="1249">
        <v>0.71635089114764505</v>
      </c>
      <c r="F14" s="1249">
        <v>0.68422445201905602</v>
      </c>
      <c r="G14" s="1249"/>
      <c r="H14" s="1249"/>
      <c r="N14" s="510"/>
      <c r="O14" s="510"/>
      <c r="P14" s="510"/>
      <c r="R14" s="1674"/>
      <c r="S14" s="1674"/>
      <c r="T14" s="1674"/>
    </row>
    <row r="15" spans="1:21" x14ac:dyDescent="0.25">
      <c r="A15" s="1673" t="s">
        <v>2405</v>
      </c>
      <c r="B15" s="1668">
        <v>0.132825750401454</v>
      </c>
      <c r="C15" s="1668">
        <v>0.11908710638137</v>
      </c>
      <c r="D15" s="1249">
        <v>0.110962896972847</v>
      </c>
      <c r="E15" s="1249">
        <v>0.109604793466933</v>
      </c>
      <c r="F15" s="1249">
        <v>0.10768131933181101</v>
      </c>
      <c r="G15" s="1249"/>
      <c r="H15" s="1249"/>
      <c r="N15" s="510"/>
      <c r="O15" s="510"/>
      <c r="P15" s="510"/>
      <c r="R15" s="1674"/>
      <c r="S15" s="1674"/>
      <c r="T15" s="1674"/>
    </row>
    <row r="16" spans="1:21" x14ac:dyDescent="0.25">
      <c r="A16" s="1673" t="s">
        <v>2406</v>
      </c>
      <c r="B16" s="1668">
        <v>0.85623519848872498</v>
      </c>
      <c r="C16" s="1668">
        <v>0.81152814747142699</v>
      </c>
      <c r="D16" s="1249">
        <v>0.77232851874100095</v>
      </c>
      <c r="E16" s="1249">
        <v>0.73920972139854602</v>
      </c>
      <c r="F16" s="1249">
        <v>0.70607848563878794</v>
      </c>
      <c r="G16" s="1249"/>
      <c r="H16" s="1249"/>
      <c r="N16" s="510"/>
      <c r="O16" s="510"/>
      <c r="P16" s="510"/>
      <c r="R16" s="1674"/>
      <c r="S16" s="1674"/>
      <c r="T16" s="1674"/>
    </row>
    <row r="17" spans="1:20" x14ac:dyDescent="0.25">
      <c r="A17" s="1673" t="s">
        <v>2407</v>
      </c>
      <c r="B17" s="1668">
        <v>0.88124441908486695</v>
      </c>
      <c r="C17" s="1668">
        <v>0.83543799752901504</v>
      </c>
      <c r="D17" s="1249">
        <v>0.79518734899190302</v>
      </c>
      <c r="E17" s="1249">
        <v>0.76106375501827805</v>
      </c>
      <c r="F17" s="1249">
        <v>0.72697191191252897</v>
      </c>
      <c r="G17" s="1249"/>
      <c r="H17" s="1249"/>
      <c r="N17" s="510"/>
      <c r="O17" s="510"/>
      <c r="P17" s="510"/>
      <c r="R17" s="1674"/>
      <c r="S17" s="1674"/>
      <c r="T17" s="1674"/>
    </row>
    <row r="18" spans="1:20" x14ac:dyDescent="0.25">
      <c r="A18" s="1673" t="s">
        <v>2408</v>
      </c>
      <c r="B18" s="1668">
        <v>0.905154269142456</v>
      </c>
      <c r="C18" s="1668">
        <v>0.858296827779917</v>
      </c>
      <c r="D18" s="1249">
        <v>0.81704138261163495</v>
      </c>
      <c r="E18" s="1249">
        <v>0.78195718129201996</v>
      </c>
      <c r="F18" s="1249">
        <v>0.74652406077434996</v>
      </c>
      <c r="G18" s="1249"/>
      <c r="H18" s="1249"/>
      <c r="N18" s="510"/>
      <c r="O18" s="510"/>
      <c r="P18" s="510"/>
      <c r="R18" s="1674"/>
      <c r="S18" s="1674"/>
      <c r="T18" s="1674"/>
    </row>
    <row r="19" spans="1:20" x14ac:dyDescent="0.25">
      <c r="A19" s="1673" t="s">
        <v>2409</v>
      </c>
      <c r="B19" s="1668">
        <v>0.92801309939335697</v>
      </c>
      <c r="C19" s="1668">
        <v>0.88015086139964804</v>
      </c>
      <c r="D19" s="1249">
        <v>0.83793480888537597</v>
      </c>
      <c r="E19" s="1249">
        <v>0.80150933015383996</v>
      </c>
      <c r="F19" s="1249">
        <v>0.76482103706278404</v>
      </c>
      <c r="G19" s="1249"/>
      <c r="H19" s="1249"/>
      <c r="N19" s="510"/>
      <c r="O19" s="510"/>
      <c r="P19" s="510"/>
      <c r="R19" s="1674"/>
      <c r="S19" s="1674"/>
      <c r="T19" s="1674"/>
    </row>
    <row r="20" spans="1:20" x14ac:dyDescent="0.25">
      <c r="A20" s="1673" t="s">
        <v>2410</v>
      </c>
      <c r="B20" s="1668">
        <v>0.949867133013089</v>
      </c>
      <c r="C20" s="1668">
        <v>0.90104428767338995</v>
      </c>
      <c r="D20" s="1249">
        <v>0.85748695774719697</v>
      </c>
      <c r="E20" s="1249">
        <v>0.81980630644227404</v>
      </c>
      <c r="F20" s="1249">
        <v>0.78194341801770995</v>
      </c>
      <c r="G20" s="1249"/>
      <c r="H20" s="1249"/>
      <c r="N20" s="510"/>
      <c r="O20" s="510"/>
      <c r="P20" s="510"/>
      <c r="R20" s="1674"/>
      <c r="S20" s="1674"/>
      <c r="T20" s="1674"/>
    </row>
    <row r="21" spans="1:20" x14ac:dyDescent="0.25">
      <c r="A21" s="1673" t="s">
        <v>2411</v>
      </c>
      <c r="B21" s="1668">
        <v>0.97076055928683003</v>
      </c>
      <c r="C21" s="1668">
        <v>0.92059643653520995</v>
      </c>
      <c r="D21" s="1249">
        <v>0.87578393403563004</v>
      </c>
      <c r="E21" s="1249">
        <v>0.83692868739720006</v>
      </c>
      <c r="F21" s="1249">
        <v>0.79796660813087295</v>
      </c>
      <c r="G21" s="1249"/>
      <c r="H21" s="1249"/>
      <c r="N21" s="510"/>
      <c r="O21" s="510"/>
      <c r="P21" s="510"/>
      <c r="R21" s="1674"/>
      <c r="S21" s="1674"/>
      <c r="T21" s="1674"/>
    </row>
    <row r="22" spans="1:20" x14ac:dyDescent="0.25">
      <c r="A22" s="1673" t="s">
        <v>2412</v>
      </c>
      <c r="B22" s="1668">
        <v>0.99031270814865102</v>
      </c>
      <c r="C22" s="1668">
        <v>0.93889341282364402</v>
      </c>
      <c r="D22" s="1249">
        <v>0.89290631499055595</v>
      </c>
      <c r="E22" s="1249">
        <v>0.85295187751036305</v>
      </c>
      <c r="F22" s="1249">
        <v>0.81296117121637101</v>
      </c>
      <c r="G22" s="1249"/>
      <c r="H22" s="1249"/>
      <c r="N22" s="510"/>
      <c r="O22" s="510"/>
      <c r="P22" s="510"/>
      <c r="R22" s="1674"/>
      <c r="S22" s="1674"/>
      <c r="T22" s="1674"/>
    </row>
    <row r="23" spans="1:20" x14ac:dyDescent="0.25">
      <c r="A23" s="1673" t="s">
        <v>2413</v>
      </c>
      <c r="B23" s="1668">
        <v>1.00860968443708</v>
      </c>
      <c r="C23" s="1668">
        <v>0.95601579377857004</v>
      </c>
      <c r="D23" s="1249">
        <v>0.90892950510371995</v>
      </c>
      <c r="E23" s="1249">
        <v>0.86794644059586101</v>
      </c>
      <c r="F23" s="1249">
        <v>0.82699314116349598</v>
      </c>
      <c r="G23" s="1249"/>
      <c r="H23" s="1249"/>
      <c r="N23" s="510"/>
      <c r="O23" s="510"/>
      <c r="P23" s="510"/>
      <c r="R23" s="1674"/>
      <c r="S23" s="1674"/>
      <c r="T23" s="1674"/>
    </row>
    <row r="24" spans="1:20" x14ac:dyDescent="0.25">
      <c r="A24" s="1673" t="s">
        <v>2414</v>
      </c>
      <c r="B24" s="1668">
        <v>1.0257320653920099</v>
      </c>
      <c r="C24" s="1668">
        <v>0.97203898389173304</v>
      </c>
      <c r="D24" s="1249">
        <v>0.92392406818921702</v>
      </c>
      <c r="E24" s="1249">
        <v>0.88197841054298598</v>
      </c>
      <c r="F24" s="1249">
        <v>0.84012431274044197</v>
      </c>
      <c r="G24" s="1249"/>
      <c r="H24" s="1249"/>
      <c r="N24" s="510"/>
      <c r="O24" s="510"/>
      <c r="P24" s="510"/>
      <c r="R24" s="1674"/>
      <c r="S24" s="1674"/>
      <c r="T24" s="1674"/>
    </row>
    <row r="25" spans="1:20" x14ac:dyDescent="0.25">
      <c r="A25" s="1673" t="s">
        <v>2415</v>
      </c>
      <c r="B25" s="1668">
        <v>1.0417552555051699</v>
      </c>
      <c r="C25" s="1668">
        <v>0.987033546977231</v>
      </c>
      <c r="D25" s="1249">
        <v>0.93795603813634199</v>
      </c>
      <c r="E25" s="1249">
        <v>0.89510958211993297</v>
      </c>
      <c r="F25" s="1249">
        <v>0.85241251372953697</v>
      </c>
      <c r="G25" s="1249"/>
      <c r="H25" s="1249"/>
      <c r="N25" s="510"/>
      <c r="O25" s="510"/>
      <c r="P25" s="510"/>
      <c r="R25" s="1674"/>
      <c r="S25" s="1674"/>
      <c r="T25" s="1674"/>
    </row>
    <row r="26" spans="1:20" x14ac:dyDescent="0.25">
      <c r="A26" s="1673" t="s">
        <v>2416</v>
      </c>
      <c r="B26" s="1668">
        <v>0.18880337799481101</v>
      </c>
      <c r="C26" s="1668">
        <v>0.17407237576085999</v>
      </c>
      <c r="D26" s="1249">
        <v>0.16558242106029</v>
      </c>
      <c r="E26" s="1249">
        <v>0.16266658871130099</v>
      </c>
      <c r="F26" s="1249">
        <v>0.15741256572722701</v>
      </c>
      <c r="G26" s="1249"/>
      <c r="H26" s="1249"/>
      <c r="N26" s="510"/>
      <c r="O26" s="510"/>
      <c r="P26" s="510"/>
      <c r="R26" s="1674"/>
      <c r="S26" s="1674"/>
      <c r="T26" s="1674"/>
    </row>
    <row r="27" spans="1:20" x14ac:dyDescent="0.25">
      <c r="A27" s="1673" t="s">
        <v>2417</v>
      </c>
      <c r="B27" s="1668">
        <v>1.0567498185906701</v>
      </c>
      <c r="C27" s="1668">
        <v>1.0010655169243601</v>
      </c>
      <c r="D27" s="1249">
        <v>0.95108720971328897</v>
      </c>
      <c r="E27" s="1249">
        <v>0.90739778310902697</v>
      </c>
      <c r="F27" s="1249">
        <v>0.86391185959243699</v>
      </c>
      <c r="G27" s="1249"/>
      <c r="H27" s="1249"/>
      <c r="N27" s="510"/>
      <c r="O27" s="510"/>
      <c r="P27" s="510"/>
      <c r="R27" s="1674"/>
      <c r="S27" s="1674"/>
      <c r="T27" s="1674"/>
    </row>
    <row r="28" spans="1:20" x14ac:dyDescent="0.25">
      <c r="A28" s="1673" t="s">
        <v>2418</v>
      </c>
      <c r="B28" s="1668">
        <v>0.243788647374301</v>
      </c>
      <c r="C28" s="1668">
        <v>0.22869189984830299</v>
      </c>
      <c r="D28" s="1249">
        <v>0.218644216304657</v>
      </c>
      <c r="E28" s="1249">
        <v>0.212397835106718</v>
      </c>
      <c r="F28" s="1249">
        <v>0.20390931618864</v>
      </c>
      <c r="G28" s="1249"/>
      <c r="H28" s="1249"/>
      <c r="N28" s="510"/>
      <c r="O28" s="510"/>
      <c r="P28" s="510"/>
      <c r="R28" s="1674"/>
      <c r="S28" s="1674"/>
      <c r="T28" s="1674"/>
    </row>
    <row r="29" spans="1:20" x14ac:dyDescent="0.25">
      <c r="A29" s="1673" t="s">
        <v>2419</v>
      </c>
      <c r="B29" s="1668">
        <v>0.29840817146174398</v>
      </c>
      <c r="C29" s="1668">
        <v>0.28175369509267101</v>
      </c>
      <c r="D29" s="1249">
        <v>0.26837546270007401</v>
      </c>
      <c r="E29" s="1249">
        <v>0.258894585568131</v>
      </c>
      <c r="F29" s="1249">
        <v>0.24769351829184699</v>
      </c>
      <c r="G29" s="1249"/>
      <c r="H29" s="1249"/>
      <c r="N29" s="510"/>
      <c r="O29" s="510"/>
      <c r="P29" s="510"/>
      <c r="R29" s="1674"/>
      <c r="S29" s="1674"/>
      <c r="T29" s="1674"/>
    </row>
    <row r="30" spans="1:20" x14ac:dyDescent="0.25">
      <c r="A30" s="1673" t="s">
        <v>2420</v>
      </c>
      <c r="B30" s="1668">
        <v>0.35146996670611202</v>
      </c>
      <c r="C30" s="1668">
        <v>0.33148494148808799</v>
      </c>
      <c r="D30" s="1249">
        <v>0.314872213161487</v>
      </c>
      <c r="E30" s="1249">
        <v>0.30267878767133699</v>
      </c>
      <c r="F30" s="1249">
        <v>0.28942023838796199</v>
      </c>
      <c r="G30" s="1249"/>
      <c r="H30" s="1249"/>
      <c r="N30" s="510"/>
      <c r="O30" s="510"/>
      <c r="P30" s="510"/>
      <c r="R30" s="1674"/>
      <c r="S30" s="1674"/>
      <c r="T30" s="1674"/>
    </row>
    <row r="31" spans="1:20" x14ac:dyDescent="0.25">
      <c r="A31" s="1673" t="s">
        <v>2421</v>
      </c>
      <c r="B31" s="1668">
        <v>0.40120121310152801</v>
      </c>
      <c r="C31" s="1668">
        <v>0.37798169194950099</v>
      </c>
      <c r="D31" s="1249">
        <v>0.358656415264693</v>
      </c>
      <c r="E31" s="1249">
        <v>0.34440550776745299</v>
      </c>
      <c r="F31" s="1249">
        <v>0.328791598955469</v>
      </c>
      <c r="G31" s="1249"/>
      <c r="H31" s="1249"/>
      <c r="N31" s="510"/>
      <c r="O31" s="510"/>
      <c r="P31" s="510"/>
      <c r="R31" s="1674"/>
      <c r="S31" s="1674"/>
      <c r="T31" s="1674"/>
    </row>
    <row r="32" spans="1:20" x14ac:dyDescent="0.25">
      <c r="A32" s="1673" t="s">
        <v>2422</v>
      </c>
      <c r="B32" s="1668">
        <v>0.447697963562941</v>
      </c>
      <c r="C32" s="1668">
        <v>0.42176589405270698</v>
      </c>
      <c r="D32" s="1249">
        <v>0.40038313536080899</v>
      </c>
      <c r="E32" s="1249">
        <v>0.383776868334959</v>
      </c>
      <c r="F32" s="1249">
        <v>0.36644890416021098</v>
      </c>
      <c r="G32" s="1249"/>
      <c r="H32" s="1249"/>
      <c r="N32" s="510"/>
      <c r="O32" s="510"/>
      <c r="P32" s="510"/>
      <c r="R32" s="1674"/>
      <c r="S32" s="1674"/>
      <c r="T32" s="1674"/>
    </row>
    <row r="33" spans="1:20" x14ac:dyDescent="0.25">
      <c r="A33" s="1673" t="s">
        <v>2423</v>
      </c>
      <c r="B33" s="1668">
        <v>0.491482165666148</v>
      </c>
      <c r="C33" s="1668">
        <v>0.46349261414882298</v>
      </c>
      <c r="D33" s="1249">
        <v>0.439754495928316</v>
      </c>
      <c r="E33" s="1249">
        <v>0.42143417353970197</v>
      </c>
      <c r="F33" s="1249">
        <v>0.40245079645492099</v>
      </c>
      <c r="G33" s="1249"/>
      <c r="H33" s="1249"/>
      <c r="N33" s="510"/>
      <c r="O33" s="510"/>
      <c r="P33" s="510"/>
      <c r="R33" s="1674"/>
      <c r="S33" s="1674"/>
      <c r="T33" s="1674"/>
    </row>
    <row r="34" spans="1:20" x14ac:dyDescent="0.25">
      <c r="A34" s="1673" t="s">
        <v>2424</v>
      </c>
      <c r="B34" s="1668">
        <v>6.6098903215431201E-2</v>
      </c>
      <c r="C34" s="1668">
        <v>6.185560847410744E-2</v>
      </c>
      <c r="D34" s="1249">
        <v>5.5872641343812285E-2</v>
      </c>
      <c r="E34" s="1249">
        <v>4.9403089974068823E-2</v>
      </c>
      <c r="F34" s="1249">
        <v>4.8594385516091347E-2</v>
      </c>
      <c r="G34" s="1249"/>
      <c r="H34" s="1249"/>
      <c r="N34" s="510"/>
      <c r="O34" s="510"/>
      <c r="P34" s="510"/>
      <c r="R34" s="1674"/>
      <c r="S34" s="1674"/>
      <c r="T34" s="1674"/>
    </row>
    <row r="35" spans="1:20" x14ac:dyDescent="0.25">
      <c r="A35" s="1673" t="s">
        <v>2425</v>
      </c>
      <c r="B35" s="1668">
        <v>0.50106019485349695</v>
      </c>
      <c r="C35" s="1668">
        <v>0.47184990651739783</v>
      </c>
      <c r="D35" s="1249">
        <v>0.44478369094442571</v>
      </c>
      <c r="E35" s="1249">
        <v>0.42218873608745633</v>
      </c>
      <c r="F35" s="1249">
        <v>0.4046025893104408</v>
      </c>
      <c r="G35" s="1249"/>
      <c r="H35" s="1249"/>
      <c r="N35" s="510"/>
      <c r="O35" s="510"/>
      <c r="P35" s="510"/>
      <c r="R35" s="1674"/>
      <c r="S35" s="1674"/>
      <c r="T35" s="1674"/>
    </row>
    <row r="36" spans="1:20" x14ac:dyDescent="0.25">
      <c r="A36" s="1673" t="s">
        <v>2426</v>
      </c>
      <c r="B36" s="1668">
        <v>0.53794880973282921</v>
      </c>
      <c r="C36" s="1668">
        <v>0.50663929941853325</v>
      </c>
      <c r="D36" s="1249">
        <v>0.47806137743126853</v>
      </c>
      <c r="E36" s="1249">
        <v>0.45400567928450963</v>
      </c>
      <c r="F36" s="1249">
        <v>0.43480545254789443</v>
      </c>
      <c r="G36" s="1249"/>
      <c r="H36" s="1249"/>
      <c r="N36" s="510"/>
      <c r="O36" s="510"/>
      <c r="P36" s="510"/>
      <c r="R36" s="1674"/>
      <c r="S36" s="1674"/>
      <c r="T36" s="1674"/>
    </row>
    <row r="37" spans="1:20" x14ac:dyDescent="0.25">
      <c r="A37" s="1673" t="s">
        <v>2427</v>
      </c>
      <c r="B37" s="1668">
        <v>0.57273820263396447</v>
      </c>
      <c r="C37" s="1668">
        <v>0.53991698590537596</v>
      </c>
      <c r="D37" s="1249">
        <v>0.50987832062832195</v>
      </c>
      <c r="E37" s="1249">
        <v>0.48420854252196316</v>
      </c>
      <c r="F37" s="1249">
        <v>0.46368247758711628</v>
      </c>
      <c r="G37" s="1249"/>
      <c r="H37" s="1249"/>
      <c r="N37" s="510"/>
      <c r="O37" s="510"/>
      <c r="P37" s="510"/>
      <c r="R37" s="1674"/>
      <c r="S37" s="1674"/>
      <c r="T37" s="1674"/>
    </row>
    <row r="38" spans="1:20" x14ac:dyDescent="0.25">
      <c r="A38" s="1673" t="s">
        <v>2428</v>
      </c>
      <c r="B38" s="1668">
        <v>0.60601588912080717</v>
      </c>
      <c r="C38" s="1668">
        <v>0.57173392910242937</v>
      </c>
      <c r="D38" s="1249">
        <v>0.54008118386577553</v>
      </c>
      <c r="E38" s="1249">
        <v>0.51308556756118517</v>
      </c>
      <c r="F38" s="1249">
        <v>0.49129189291290604</v>
      </c>
      <c r="G38" s="1249"/>
      <c r="H38" s="1249"/>
      <c r="N38" s="510"/>
      <c r="O38" s="510"/>
      <c r="P38" s="510"/>
      <c r="R38" s="1674"/>
      <c r="S38" s="1674"/>
      <c r="T38" s="1674"/>
    </row>
    <row r="39" spans="1:20" x14ac:dyDescent="0.25">
      <c r="A39" s="1673" t="s">
        <v>2429</v>
      </c>
      <c r="B39" s="1668">
        <v>0.6378328323178607</v>
      </c>
      <c r="C39" s="1668">
        <v>0.60193679233988284</v>
      </c>
      <c r="D39" s="1249">
        <v>0.56895820890499738</v>
      </c>
      <c r="E39" s="1249">
        <v>0.54069498288697482</v>
      </c>
      <c r="F39" s="1249">
        <v>0.51768936849844716</v>
      </c>
      <c r="G39" s="1249"/>
      <c r="H39" s="1249"/>
      <c r="N39" s="510"/>
      <c r="O39" s="510"/>
      <c r="P39" s="510"/>
      <c r="R39" s="1674"/>
      <c r="S39" s="1674"/>
      <c r="T39" s="1674"/>
    </row>
    <row r="40" spans="1:20" x14ac:dyDescent="0.25">
      <c r="A40" s="1673" t="s">
        <v>2430</v>
      </c>
      <c r="B40" s="1668">
        <v>0.66803569555531417</v>
      </c>
      <c r="C40" s="1668">
        <v>0.6308138173791048</v>
      </c>
      <c r="D40" s="1249">
        <v>0.59656762423078713</v>
      </c>
      <c r="E40" s="1249">
        <v>0.5670924584725161</v>
      </c>
      <c r="F40" s="1249">
        <v>0.54292812827888848</v>
      </c>
      <c r="G40" s="1249"/>
      <c r="H40" s="1249"/>
      <c r="N40" s="510"/>
      <c r="O40" s="510"/>
      <c r="P40" s="510"/>
      <c r="R40" s="1674"/>
      <c r="S40" s="1674"/>
      <c r="T40" s="1674"/>
    </row>
    <row r="41" spans="1:20" x14ac:dyDescent="0.25">
      <c r="A41" s="1673" t="s">
        <v>2431</v>
      </c>
      <c r="B41" s="1668">
        <v>0.69691272059453602</v>
      </c>
      <c r="C41" s="1668">
        <v>0.65842323270489456</v>
      </c>
      <c r="D41" s="1249">
        <v>0.62296509981632842</v>
      </c>
      <c r="E41" s="1249">
        <v>0.59233121825295698</v>
      </c>
      <c r="F41" s="1249">
        <v>0.56705905767807019</v>
      </c>
      <c r="G41" s="1249"/>
      <c r="H41" s="1249"/>
      <c r="N41" s="510"/>
      <c r="O41" s="510"/>
      <c r="P41" s="510"/>
      <c r="R41" s="1674"/>
      <c r="S41" s="1674"/>
      <c r="T41" s="1674"/>
    </row>
    <row r="42" spans="1:20" x14ac:dyDescent="0.25">
      <c r="A42" s="1673" t="s">
        <v>2432</v>
      </c>
      <c r="B42" s="1668">
        <v>0.72452213592032566</v>
      </c>
      <c r="C42" s="1668">
        <v>0.68482070829043573</v>
      </c>
      <c r="D42" s="1249">
        <v>0.64820385959676952</v>
      </c>
      <c r="E42" s="1249">
        <v>0.61646214765213891</v>
      </c>
      <c r="F42" s="1249">
        <v>0.59017637551474922</v>
      </c>
      <c r="G42" s="1249"/>
      <c r="H42" s="1249"/>
      <c r="N42" s="510"/>
      <c r="O42" s="510"/>
      <c r="P42" s="510"/>
      <c r="R42" s="1674"/>
      <c r="S42" s="1674"/>
      <c r="T42" s="1674"/>
    </row>
    <row r="43" spans="1:20" x14ac:dyDescent="0.25">
      <c r="A43" s="1673" t="s">
        <v>2433</v>
      </c>
      <c r="B43" s="1668">
        <v>0.75091961150586695</v>
      </c>
      <c r="C43" s="1668">
        <v>0.71005946807087694</v>
      </c>
      <c r="D43" s="1249">
        <v>0.67233478899595123</v>
      </c>
      <c r="E43" s="1249">
        <v>0.63957946548881817</v>
      </c>
      <c r="F43" s="1249">
        <v>0.61227895246696207</v>
      </c>
      <c r="G43" s="1249"/>
      <c r="H43" s="1249"/>
      <c r="N43" s="510"/>
      <c r="O43" s="510"/>
      <c r="P43" s="510"/>
      <c r="R43" s="1674"/>
      <c r="S43" s="1674"/>
      <c r="T43" s="1674"/>
    </row>
    <row r="44" spans="1:20" x14ac:dyDescent="0.25">
      <c r="A44" s="1673" t="s">
        <v>2434</v>
      </c>
      <c r="B44" s="1668">
        <v>0.77615837128630794</v>
      </c>
      <c r="C44" s="1668">
        <v>0.73419039747005888</v>
      </c>
      <c r="D44" s="1249">
        <v>0.69545210683263037</v>
      </c>
      <c r="E44" s="1249">
        <v>0.66168204244103079</v>
      </c>
      <c r="F44" s="1249">
        <v>0.63341135158144957</v>
      </c>
      <c r="G44" s="1249"/>
      <c r="H44" s="1249"/>
      <c r="N44" s="510"/>
      <c r="O44" s="510"/>
      <c r="P44" s="510"/>
      <c r="R44" s="1674"/>
      <c r="S44" s="1674"/>
      <c r="T44" s="1674"/>
    </row>
    <row r="45" spans="1:20" x14ac:dyDescent="0.25">
      <c r="A45" s="1673" t="s">
        <v>2435</v>
      </c>
      <c r="B45" s="1668">
        <v>0.12795451168953864</v>
      </c>
      <c r="C45" s="1668">
        <v>0.11772824981791973</v>
      </c>
      <c r="D45" s="1249">
        <v>0.10527573131788111</v>
      </c>
      <c r="E45" s="1249">
        <v>9.7997475490160177E-2</v>
      </c>
      <c r="F45" s="1249">
        <v>9.6948009509917082E-2</v>
      </c>
      <c r="G45" s="1249"/>
      <c r="H45" s="1249"/>
      <c r="N45" s="510"/>
      <c r="O45" s="510"/>
      <c r="P45" s="510"/>
      <c r="R45" s="1674"/>
      <c r="S45" s="1674"/>
      <c r="T45" s="1674"/>
    </row>
    <row r="46" spans="1:20" x14ac:dyDescent="0.25">
      <c r="A46" s="1673" t="s">
        <v>2436</v>
      </c>
      <c r="B46" s="1668">
        <v>0.80028930068548987</v>
      </c>
      <c r="C46" s="1668">
        <v>0.75730771530673802</v>
      </c>
      <c r="D46" s="1249">
        <v>0.71755468378484288</v>
      </c>
      <c r="E46" s="1249">
        <v>0.6828144415555184</v>
      </c>
      <c r="F46" s="1249">
        <v>0.6536161779576567</v>
      </c>
      <c r="G46" s="1249"/>
      <c r="H46" s="1249"/>
      <c r="N46" s="510"/>
      <c r="O46" s="510"/>
      <c r="P46" s="510"/>
      <c r="R46" s="1674"/>
      <c r="S46" s="1674"/>
      <c r="T46" s="1674"/>
    </row>
    <row r="47" spans="1:20" x14ac:dyDescent="0.25">
      <c r="A47" s="1673" t="s">
        <v>2437</v>
      </c>
      <c r="B47" s="1668">
        <v>0.82340661852216901</v>
      </c>
      <c r="C47" s="1668">
        <v>0.77941029225895053</v>
      </c>
      <c r="D47" s="1249">
        <v>0.73868708289933094</v>
      </c>
      <c r="E47" s="1249">
        <v>0.70301926793172542</v>
      </c>
      <c r="F47" s="1249">
        <v>0.67293416481495794</v>
      </c>
      <c r="G47" s="1249"/>
      <c r="H47" s="1249"/>
      <c r="N47" s="510"/>
      <c r="O47" s="510"/>
      <c r="P47" s="510"/>
      <c r="R47" s="1674"/>
      <c r="S47" s="1674"/>
      <c r="T47" s="1674"/>
    </row>
    <row r="48" spans="1:20" x14ac:dyDescent="0.25">
      <c r="A48" s="1673" t="s">
        <v>2438</v>
      </c>
      <c r="B48" s="1668">
        <v>0.84550919547438164</v>
      </c>
      <c r="C48" s="1668">
        <v>0.80054269137343814</v>
      </c>
      <c r="D48" s="1249">
        <v>0.75889190927553762</v>
      </c>
      <c r="E48" s="1249">
        <v>0.72233725478902699</v>
      </c>
      <c r="F48" s="1249">
        <v>0.69101201139674873</v>
      </c>
      <c r="G48" s="1249"/>
      <c r="H48" s="1249"/>
      <c r="N48" s="510"/>
      <c r="O48" s="510"/>
      <c r="P48" s="510"/>
      <c r="R48" s="1674"/>
      <c r="S48" s="1674"/>
      <c r="T48" s="1674"/>
    </row>
    <row r="49" spans="1:20" x14ac:dyDescent="0.25">
      <c r="A49" s="1673" t="s">
        <v>2439</v>
      </c>
      <c r="B49" s="1668">
        <v>0.86664159458886958</v>
      </c>
      <c r="C49" s="1668">
        <v>0.82074751774964538</v>
      </c>
      <c r="D49" s="1249">
        <v>0.7782098961328392</v>
      </c>
      <c r="E49" s="1249">
        <v>0.74041510137081756</v>
      </c>
      <c r="F49" s="1249">
        <v>0.7079293299273407</v>
      </c>
      <c r="G49" s="1249"/>
      <c r="H49" s="1249"/>
      <c r="N49" s="510"/>
      <c r="O49" s="510"/>
      <c r="P49" s="510"/>
      <c r="R49" s="1674"/>
      <c r="S49" s="1674"/>
      <c r="T49" s="1674"/>
    </row>
    <row r="50" spans="1:20" x14ac:dyDescent="0.25">
      <c r="A50" s="1673" t="s">
        <v>2440</v>
      </c>
      <c r="B50" s="1668">
        <v>0.88684642096507638</v>
      </c>
      <c r="C50" s="1668">
        <v>0.84006550460694662</v>
      </c>
      <c r="D50" s="1249">
        <v>0.79628774271462999</v>
      </c>
      <c r="E50" s="1249">
        <v>0.75733241990140954</v>
      </c>
      <c r="F50" s="1249">
        <v>0.72376062183319123</v>
      </c>
      <c r="G50" s="1249"/>
      <c r="H50" s="1249"/>
      <c r="N50" s="510"/>
      <c r="O50" s="510"/>
      <c r="P50" s="510"/>
      <c r="R50" s="1674"/>
      <c r="S50" s="1674"/>
      <c r="T50" s="1674"/>
    </row>
    <row r="51" spans="1:20" x14ac:dyDescent="0.25">
      <c r="A51" s="1673" t="s">
        <v>2441</v>
      </c>
      <c r="B51" s="1668">
        <v>0.90616440782237795</v>
      </c>
      <c r="C51" s="1668">
        <v>0.85814335118873741</v>
      </c>
      <c r="D51" s="1249">
        <v>0.81320506124522207</v>
      </c>
      <c r="E51" s="1249">
        <v>0.77316371180726007</v>
      </c>
      <c r="F51" s="1249">
        <v>0.73857560583642068</v>
      </c>
      <c r="G51" s="1249"/>
      <c r="H51" s="1249"/>
      <c r="N51" s="510"/>
      <c r="O51" s="510"/>
      <c r="P51" s="510"/>
      <c r="R51" s="1674"/>
      <c r="S51" s="1674"/>
      <c r="T51" s="1674"/>
    </row>
    <row r="52" spans="1:20" x14ac:dyDescent="0.25">
      <c r="A52" s="1673" t="s">
        <v>2442</v>
      </c>
      <c r="B52" s="1668">
        <v>0.18382715303335095</v>
      </c>
      <c r="C52" s="1668">
        <v>0.16713133979198855</v>
      </c>
      <c r="D52" s="1249">
        <v>0.15387011683397245</v>
      </c>
      <c r="E52" s="1249">
        <v>0.14635109948398586</v>
      </c>
      <c r="F52" s="1249">
        <v>0.14395842214707397</v>
      </c>
      <c r="G52" s="1249"/>
      <c r="H52" s="1249"/>
      <c r="N52" s="510"/>
      <c r="O52" s="510"/>
      <c r="P52" s="510"/>
      <c r="R52" s="1674"/>
      <c r="S52" s="1674"/>
      <c r="T52" s="1674"/>
    </row>
    <row r="53" spans="1:20" x14ac:dyDescent="0.25">
      <c r="A53" s="1673" t="s">
        <v>2443</v>
      </c>
      <c r="B53" s="1668">
        <v>0.23323024300741971</v>
      </c>
      <c r="C53" s="1668">
        <v>0.2157257253080799</v>
      </c>
      <c r="D53" s="1249">
        <v>0.20222374082779818</v>
      </c>
      <c r="E53" s="1249">
        <v>0.19336151212114283</v>
      </c>
      <c r="F53" s="1249">
        <v>0.18798836714955569</v>
      </c>
      <c r="G53" s="1249"/>
      <c r="H53" s="1249"/>
      <c r="N53" s="510"/>
      <c r="O53" s="510"/>
      <c r="P53" s="510"/>
      <c r="R53" s="1674"/>
      <c r="S53" s="1674"/>
      <c r="T53" s="1674"/>
    </row>
    <row r="54" spans="1:20" x14ac:dyDescent="0.25">
      <c r="A54" s="1673" t="s">
        <v>2444</v>
      </c>
      <c r="B54" s="1668">
        <v>0.28182462852351109</v>
      </c>
      <c r="C54" s="1668">
        <v>0.26407934930190557</v>
      </c>
      <c r="D54" s="1249">
        <v>0.24923415346495512</v>
      </c>
      <c r="E54" s="1249">
        <v>0.23739145712362444</v>
      </c>
      <c r="F54" s="1249">
        <v>0.2291198453285635</v>
      </c>
      <c r="G54" s="1249"/>
      <c r="H54" s="1249"/>
      <c r="N54" s="510"/>
      <c r="O54" s="510"/>
      <c r="P54" s="510"/>
      <c r="R54" s="1674"/>
      <c r="S54" s="1674"/>
      <c r="T54" s="1674"/>
    </row>
    <row r="55" spans="1:20" x14ac:dyDescent="0.25">
      <c r="A55" s="1673" t="s">
        <v>2445</v>
      </c>
      <c r="B55" s="1668">
        <v>0.33017825251733685</v>
      </c>
      <c r="C55" s="1668">
        <v>0.31108976193906246</v>
      </c>
      <c r="D55" s="1249">
        <v>0.29326409846743678</v>
      </c>
      <c r="E55" s="1249">
        <v>0.27852293530263234</v>
      </c>
      <c r="F55" s="1249">
        <v>0.26782995184607711</v>
      </c>
      <c r="G55" s="1249"/>
      <c r="H55" s="1249"/>
      <c r="N55" s="510"/>
      <c r="O55" s="510"/>
      <c r="P55" s="510"/>
      <c r="R55" s="1674"/>
      <c r="S55" s="1674"/>
      <c r="T55" s="1674"/>
    </row>
    <row r="56" spans="1:20" x14ac:dyDescent="0.25">
      <c r="A56" s="1673" t="s">
        <v>2446</v>
      </c>
      <c r="B56" s="1668">
        <v>0.37718866515449362</v>
      </c>
      <c r="C56" s="1668">
        <v>0.35511970694154416</v>
      </c>
      <c r="D56" s="1249">
        <v>0.33439557664644465</v>
      </c>
      <c r="E56" s="1249">
        <v>0.31723304182014589</v>
      </c>
      <c r="F56" s="1249">
        <v>0.30471856672540937</v>
      </c>
      <c r="G56" s="1249"/>
      <c r="H56" s="1249"/>
      <c r="N56" s="510"/>
      <c r="O56" s="510"/>
      <c r="P56" s="510"/>
      <c r="R56" s="1674"/>
      <c r="S56" s="1674"/>
      <c r="T56" s="1674"/>
    </row>
    <row r="57" spans="1:20" x14ac:dyDescent="0.25">
      <c r="A57" s="1673" t="s">
        <v>2447</v>
      </c>
      <c r="B57" s="1668">
        <v>0.42121861015697543</v>
      </c>
      <c r="C57" s="1668">
        <v>0.39625118512055213</v>
      </c>
      <c r="D57" s="1249">
        <v>0.3731056831639582</v>
      </c>
      <c r="E57" s="1249">
        <v>0.35412165669947809</v>
      </c>
      <c r="F57" s="1249">
        <v>0.33950795962654468</v>
      </c>
      <c r="G57" s="1249"/>
      <c r="H57" s="1249"/>
      <c r="N57" s="510"/>
      <c r="O57" s="510"/>
      <c r="P57" s="510"/>
      <c r="R57" s="1674"/>
      <c r="S57" s="1674"/>
      <c r="T57" s="1674"/>
    </row>
    <row r="58" spans="1:20" x14ac:dyDescent="0.25">
      <c r="A58" s="1673" t="s">
        <v>2448</v>
      </c>
      <c r="B58" s="1668">
        <v>0.46235008833598312</v>
      </c>
      <c r="C58" s="1668">
        <v>0.43496129163806563</v>
      </c>
      <c r="D58" s="1249">
        <v>0.40999429804329035</v>
      </c>
      <c r="E58" s="1249">
        <v>0.38891104960061351</v>
      </c>
      <c r="F58" s="1249">
        <v>0.37278564611338744</v>
      </c>
      <c r="G58" s="1249"/>
      <c r="H58" s="1249"/>
      <c r="N58" s="510"/>
      <c r="O58" s="510"/>
      <c r="P58" s="510"/>
      <c r="R58" s="1674"/>
      <c r="S58" s="1674"/>
      <c r="T58" s="1674"/>
    </row>
    <row r="59" spans="1:20" x14ac:dyDescent="0.25">
      <c r="A59" s="1673" t="s">
        <v>2449</v>
      </c>
      <c r="B59" s="1668">
        <v>0.11606278234226</v>
      </c>
      <c r="C59" s="1668">
        <v>0.107131110447286</v>
      </c>
      <c r="D59" s="1249">
        <v>9.7679139909727805E-2</v>
      </c>
      <c r="E59" s="1249">
        <v>9.4802090584990201E-2</v>
      </c>
      <c r="F59" s="1249">
        <v>9.2763688218569895E-2</v>
      </c>
      <c r="G59" s="1249"/>
      <c r="H59" s="1249"/>
      <c r="N59" s="510"/>
      <c r="O59" s="510"/>
      <c r="P59" s="510"/>
      <c r="R59" s="1674"/>
      <c r="S59" s="1674"/>
      <c r="T59" s="1674"/>
    </row>
    <row r="60" spans="1:20" x14ac:dyDescent="0.25">
      <c r="A60" s="1673" t="s">
        <v>2450</v>
      </c>
      <c r="B60" s="1668">
        <v>0.90882053685083897</v>
      </c>
      <c r="C60" s="1668">
        <v>0.86073959302135605</v>
      </c>
      <c r="D60" s="1249">
        <v>0.81858169645108603</v>
      </c>
      <c r="E60" s="1249">
        <v>0.782982990975297</v>
      </c>
      <c r="F60" s="1249">
        <v>0.74724084104877897</v>
      </c>
      <c r="G60" s="1249"/>
      <c r="H60" s="1249"/>
      <c r="N60" s="510"/>
      <c r="O60" s="510"/>
      <c r="P60" s="510"/>
      <c r="R60" s="1674"/>
      <c r="S60" s="1674"/>
      <c r="T60" s="1674"/>
    </row>
    <row r="61" spans="1:20" x14ac:dyDescent="0.25">
      <c r="A61" s="1673" t="s">
        <v>2451</v>
      </c>
      <c r="B61" s="1668">
        <v>0.97680237536361703</v>
      </c>
      <c r="C61" s="1668">
        <v>0.92571280689837199</v>
      </c>
      <c r="D61" s="1249">
        <v>0.88066213088502499</v>
      </c>
      <c r="E61" s="1249">
        <v>0.84204293163376898</v>
      </c>
      <c r="F61" s="1249">
        <v>0.80367111256799695</v>
      </c>
      <c r="G61" s="1249"/>
      <c r="H61" s="1249"/>
      <c r="N61" s="510"/>
      <c r="O61" s="510"/>
      <c r="P61" s="510"/>
      <c r="R61" s="1674"/>
      <c r="S61" s="1674"/>
      <c r="T61" s="1674"/>
    </row>
    <row r="62" spans="1:20" x14ac:dyDescent="0.25">
      <c r="A62" s="1673" t="s">
        <v>2452</v>
      </c>
      <c r="B62" s="1668">
        <v>1.04177558924063</v>
      </c>
      <c r="C62" s="1668">
        <v>0.98779324133231095</v>
      </c>
      <c r="D62" s="1249">
        <v>0.93972207154349696</v>
      </c>
      <c r="E62" s="1249">
        <v>0.89847320315298695</v>
      </c>
      <c r="F62" s="1249">
        <v>0.85758886951190805</v>
      </c>
      <c r="G62" s="1249"/>
      <c r="H62" s="1249"/>
      <c r="N62" s="510"/>
      <c r="O62" s="510"/>
      <c r="P62" s="510"/>
      <c r="R62" s="1674"/>
      <c r="S62" s="1674"/>
      <c r="T62" s="1674"/>
    </row>
    <row r="63" spans="1:20" x14ac:dyDescent="0.25">
      <c r="A63" s="1673" t="s">
        <v>2453</v>
      </c>
      <c r="B63" s="1668">
        <v>1.10385602367457</v>
      </c>
      <c r="C63" s="1668">
        <v>1.04685318199078</v>
      </c>
      <c r="D63" s="1249">
        <v>0.99615234306271405</v>
      </c>
      <c r="E63" s="1249">
        <v>0.95239096009689805</v>
      </c>
      <c r="F63" s="1249">
        <v>0.90910604409981599</v>
      </c>
      <c r="G63" s="1249"/>
      <c r="H63" s="1249"/>
      <c r="N63" s="510"/>
      <c r="O63" s="510"/>
      <c r="P63" s="510"/>
      <c r="R63" s="1674"/>
      <c r="S63" s="1674"/>
      <c r="T63" s="1674"/>
    </row>
    <row r="64" spans="1:20" x14ac:dyDescent="0.25">
      <c r="A64" s="1673" t="s">
        <v>2454</v>
      </c>
      <c r="B64" s="1668">
        <v>1.16291596433304</v>
      </c>
      <c r="C64" s="1668">
        <v>1.10328345351</v>
      </c>
      <c r="D64" s="1249">
        <v>1.0500701000066299</v>
      </c>
      <c r="E64" s="1249">
        <v>1.00390813468481</v>
      </c>
      <c r="F64" s="1249">
        <v>0.95832957913239702</v>
      </c>
      <c r="G64" s="1249"/>
      <c r="H64" s="1249"/>
      <c r="N64" s="510"/>
      <c r="O64" s="510"/>
      <c r="P64" s="510"/>
      <c r="R64" s="1674"/>
      <c r="S64" s="1674"/>
      <c r="T64" s="1674"/>
    </row>
    <row r="65" spans="1:20" x14ac:dyDescent="0.25">
      <c r="A65" s="1673" t="s">
        <v>2455</v>
      </c>
      <c r="B65" s="1668">
        <v>1.21934623585226</v>
      </c>
      <c r="C65" s="1668">
        <v>1.15720121045391</v>
      </c>
      <c r="D65" s="1249">
        <v>1.1015872745945301</v>
      </c>
      <c r="E65" s="1249">
        <v>1.05313166971739</v>
      </c>
      <c r="F65" s="1249">
        <v>1.0053616505229701</v>
      </c>
      <c r="G65" s="1249"/>
      <c r="H65" s="1249"/>
      <c r="N65" s="510"/>
      <c r="O65" s="510"/>
      <c r="P65" s="510"/>
      <c r="R65" s="1674"/>
      <c r="S65" s="1674"/>
      <c r="T65" s="1674"/>
    </row>
    <row r="66" spans="1:20" x14ac:dyDescent="0.25">
      <c r="A66" s="1673" t="s">
        <v>2456</v>
      </c>
      <c r="B66" s="1668">
        <v>1.27326399279617</v>
      </c>
      <c r="C66" s="1668">
        <v>1.2087183850418199</v>
      </c>
      <c r="D66" s="1249">
        <v>1.1508108096271199</v>
      </c>
      <c r="E66" s="1249">
        <v>1.1001637411079599</v>
      </c>
      <c r="F66" s="1249">
        <v>1.05048743296748</v>
      </c>
      <c r="G66" s="1249"/>
      <c r="H66" s="1249"/>
      <c r="N66" s="510"/>
      <c r="O66" s="510"/>
      <c r="P66" s="510"/>
      <c r="R66" s="1674"/>
      <c r="S66" s="1674"/>
      <c r="T66" s="1674"/>
    </row>
    <row r="67" spans="1:20" x14ac:dyDescent="0.25">
      <c r="A67" s="1673" t="s">
        <v>2457</v>
      </c>
      <c r="B67" s="1668">
        <v>1.3247811673840799</v>
      </c>
      <c r="C67" s="1668">
        <v>1.2579419200744</v>
      </c>
      <c r="D67" s="1249">
        <v>1.19784288101769</v>
      </c>
      <c r="E67" s="1249">
        <v>1.14528952355247</v>
      </c>
      <c r="F67" s="1249">
        <v>1.09360411392371</v>
      </c>
      <c r="G67" s="1249"/>
      <c r="H67" s="1249"/>
      <c r="N67" s="510"/>
      <c r="O67" s="510"/>
      <c r="P67" s="510"/>
      <c r="R67" s="1674"/>
      <c r="S67" s="1674"/>
      <c r="T67" s="1674"/>
    </row>
    <row r="68" spans="1:20" x14ac:dyDescent="0.25">
      <c r="A68" s="1673" t="s">
        <v>2458</v>
      </c>
      <c r="B68" s="1668">
        <v>1.37400470241666</v>
      </c>
      <c r="C68" s="1668">
        <v>1.3049739914649701</v>
      </c>
      <c r="D68" s="1249">
        <v>1.2429686634621999</v>
      </c>
      <c r="E68" s="1249">
        <v>1.1884062045087</v>
      </c>
      <c r="F68" s="1249">
        <v>1.1348011946632</v>
      </c>
      <c r="G68" s="1249"/>
      <c r="H68" s="1249"/>
      <c r="N68" s="510"/>
      <c r="O68" s="510"/>
      <c r="P68" s="510"/>
      <c r="R68" s="1674"/>
      <c r="S68" s="1674"/>
      <c r="T68" s="1674"/>
    </row>
    <row r="69" spans="1:20" x14ac:dyDescent="0.25">
      <c r="A69" s="1673" t="s">
        <v>2459</v>
      </c>
      <c r="B69" s="1668">
        <v>1.42103677380723</v>
      </c>
      <c r="C69" s="1668">
        <v>1.35009977390949</v>
      </c>
      <c r="D69" s="1249">
        <v>1.2860853444184299</v>
      </c>
      <c r="E69" s="1249">
        <v>1.22960328524819</v>
      </c>
      <c r="F69" s="1249">
        <v>1.17416418708135</v>
      </c>
      <c r="G69" s="1249"/>
      <c r="H69" s="1249"/>
      <c r="N69" s="510"/>
      <c r="O69" s="510"/>
      <c r="P69" s="510"/>
      <c r="R69" s="1674"/>
      <c r="S69" s="1674"/>
      <c r="T69" s="1674"/>
    </row>
    <row r="70" spans="1:20" x14ac:dyDescent="0.25">
      <c r="A70" s="1673" t="s">
        <v>2460</v>
      </c>
      <c r="B70" s="1668">
        <v>0.22319389278954599</v>
      </c>
      <c r="C70" s="1668">
        <v>0.204810250357014</v>
      </c>
      <c r="D70" s="1249">
        <v>0.19248123049471799</v>
      </c>
      <c r="E70" s="1249">
        <v>0.18756577880356001</v>
      </c>
      <c r="F70" s="1249">
        <v>0.18227041250044301</v>
      </c>
      <c r="G70" s="1249"/>
      <c r="H70" s="1249"/>
      <c r="N70" s="510"/>
      <c r="O70" s="510"/>
      <c r="P70" s="510"/>
      <c r="R70" s="1674"/>
      <c r="S70" s="1674"/>
      <c r="T70" s="1674"/>
    </row>
    <row r="71" spans="1:20" x14ac:dyDescent="0.25">
      <c r="A71" s="1673" t="s">
        <v>2461</v>
      </c>
      <c r="B71" s="1668">
        <v>1.46616255625175</v>
      </c>
      <c r="C71" s="1668">
        <v>1.39321645486572</v>
      </c>
      <c r="D71" s="1249">
        <v>1.3272824251579201</v>
      </c>
      <c r="E71" s="1249">
        <v>1.26896627766634</v>
      </c>
      <c r="F71" s="1249">
        <v>1.2117747916184101</v>
      </c>
      <c r="G71" s="1249"/>
      <c r="H71" s="1249"/>
      <c r="N71" s="510"/>
      <c r="O71" s="510"/>
      <c r="P71" s="510"/>
      <c r="R71" s="1674"/>
      <c r="S71" s="1674"/>
      <c r="T71" s="1674"/>
    </row>
    <row r="72" spans="1:20" x14ac:dyDescent="0.25">
      <c r="A72" s="1673" t="s">
        <v>2462</v>
      </c>
      <c r="B72" s="1668">
        <v>1.50927923720798</v>
      </c>
      <c r="C72" s="1668">
        <v>1.4344135356052099</v>
      </c>
      <c r="D72" s="1249">
        <v>1.3666454175760701</v>
      </c>
      <c r="E72" s="1249">
        <v>1.3065768822034001</v>
      </c>
      <c r="F72" s="1249">
        <v>1.2477110672409999</v>
      </c>
      <c r="G72" s="1249"/>
      <c r="H72" s="1249"/>
      <c r="N72" s="510"/>
      <c r="O72" s="510"/>
      <c r="P72" s="510"/>
      <c r="R72" s="1674"/>
      <c r="S72" s="1674"/>
      <c r="T72" s="1674"/>
    </row>
    <row r="73" spans="1:20" x14ac:dyDescent="0.25">
      <c r="A73" s="1673" t="s">
        <v>2463</v>
      </c>
      <c r="B73" s="1668">
        <v>1.5504763179474701</v>
      </c>
      <c r="C73" s="1668">
        <v>1.4737765280233499</v>
      </c>
      <c r="D73" s="1249">
        <v>1.4042560221131299</v>
      </c>
      <c r="E73" s="1249">
        <v>1.3425131578259899</v>
      </c>
      <c r="F73" s="1249">
        <v>1.2813403725213499</v>
      </c>
      <c r="G73" s="1249"/>
      <c r="H73" s="1249"/>
      <c r="N73" s="510"/>
      <c r="O73" s="510"/>
      <c r="P73" s="510"/>
      <c r="R73" s="1674"/>
      <c r="S73" s="1674"/>
      <c r="T73" s="1674"/>
    </row>
    <row r="74" spans="1:20" x14ac:dyDescent="0.25">
      <c r="A74" s="1673" t="s">
        <v>2464</v>
      </c>
      <c r="B74" s="1668">
        <v>1.5898393103656101</v>
      </c>
      <c r="C74" s="1668">
        <v>1.51138713256042</v>
      </c>
      <c r="D74" s="1249">
        <v>1.44019229773572</v>
      </c>
      <c r="E74" s="1249">
        <v>1.3761424631063399</v>
      </c>
      <c r="F74" s="1249">
        <v>1.3128108060608901</v>
      </c>
      <c r="G74" s="1249"/>
      <c r="H74" s="1249"/>
      <c r="N74" s="510"/>
      <c r="O74" s="510"/>
      <c r="P74" s="510"/>
      <c r="R74" s="1674"/>
      <c r="S74" s="1674"/>
      <c r="T74" s="1674"/>
    </row>
    <row r="75" spans="1:20" x14ac:dyDescent="0.25">
      <c r="A75" s="1673" t="s">
        <v>2465</v>
      </c>
      <c r="B75" s="1668">
        <v>1.62744991490268</v>
      </c>
      <c r="C75" s="1668">
        <v>1.5473234081830001</v>
      </c>
      <c r="D75" s="1249">
        <v>1.47382160301607</v>
      </c>
      <c r="E75" s="1249">
        <v>1.4076128966458801</v>
      </c>
      <c r="F75" s="1249">
        <v>1.34226095910182</v>
      </c>
      <c r="G75" s="1249"/>
      <c r="H75" s="1249"/>
      <c r="N75" s="510"/>
      <c r="O75" s="510"/>
      <c r="P75" s="510"/>
      <c r="R75" s="1674"/>
      <c r="S75" s="1674"/>
      <c r="T75" s="1674"/>
    </row>
    <row r="76" spans="1:20" x14ac:dyDescent="0.25">
      <c r="A76" s="1673" t="s">
        <v>2466</v>
      </c>
      <c r="B76" s="1668">
        <v>1.66338619052526</v>
      </c>
      <c r="C76" s="1668">
        <v>1.5809527134633501</v>
      </c>
      <c r="D76" s="1249">
        <v>1.5052920365556</v>
      </c>
      <c r="E76" s="1249">
        <v>1.43706304968681</v>
      </c>
      <c r="F76" s="1249">
        <v>1.3698205258629299</v>
      </c>
      <c r="G76" s="1249"/>
      <c r="H76" s="1249"/>
      <c r="N76" s="510"/>
      <c r="O76" s="510"/>
      <c r="P76" s="510"/>
      <c r="R76" s="1674"/>
      <c r="S76" s="1674"/>
      <c r="T76" s="1674"/>
    </row>
    <row r="77" spans="1:20" x14ac:dyDescent="0.25">
      <c r="A77" s="1673" t="s">
        <v>2467</v>
      </c>
      <c r="B77" s="1668">
        <v>1.6970154958056101</v>
      </c>
      <c r="C77" s="1668">
        <v>1.61242314700289</v>
      </c>
      <c r="D77" s="1249">
        <v>1.5347421895965301</v>
      </c>
      <c r="E77" s="1249">
        <v>1.4646226164479199</v>
      </c>
      <c r="F77" s="1249">
        <v>1.39561087469423</v>
      </c>
      <c r="G77" s="1249"/>
      <c r="H77" s="1249"/>
      <c r="N77" s="510"/>
      <c r="O77" s="510"/>
      <c r="P77" s="510"/>
      <c r="R77" s="1674"/>
      <c r="S77" s="1674"/>
      <c r="T77" s="1674"/>
    </row>
    <row r="78" spans="1:20" x14ac:dyDescent="0.25">
      <c r="A78" s="1673" t="s">
        <v>2468</v>
      </c>
      <c r="B78" s="1668">
        <v>1.72848592934515</v>
      </c>
      <c r="C78" s="1668">
        <v>1.6418733000438199</v>
      </c>
      <c r="D78" s="1249">
        <v>1.56230175635765</v>
      </c>
      <c r="E78" s="1249">
        <v>1.49041296527922</v>
      </c>
      <c r="F78" s="1249">
        <v>1.4197455825655401</v>
      </c>
      <c r="G78" s="1249"/>
      <c r="H78" s="1249"/>
      <c r="N78" s="510"/>
      <c r="O78" s="510"/>
      <c r="P78" s="510"/>
      <c r="R78" s="1674"/>
      <c r="S78" s="1674"/>
      <c r="T78" s="1674"/>
    </row>
    <row r="79" spans="1:20" x14ac:dyDescent="0.25">
      <c r="A79" s="1673" t="s">
        <v>2469</v>
      </c>
      <c r="B79" s="1668">
        <v>1.7579360823860799</v>
      </c>
      <c r="C79" s="1668">
        <v>1.6694328668049401</v>
      </c>
      <c r="D79" s="1249">
        <v>1.5880921051889401</v>
      </c>
      <c r="E79" s="1249">
        <v>1.5145476731505301</v>
      </c>
      <c r="F79" s="1249">
        <v>1.4423309352431799</v>
      </c>
      <c r="G79" s="1249"/>
      <c r="H79" s="1249"/>
      <c r="N79" s="510"/>
      <c r="O79" s="510"/>
      <c r="P79" s="510"/>
      <c r="R79" s="1674"/>
      <c r="S79" s="1674"/>
      <c r="T79" s="1674"/>
    </row>
    <row r="80" spans="1:20" x14ac:dyDescent="0.25">
      <c r="A80" s="1673" t="s">
        <v>2470</v>
      </c>
      <c r="B80" s="1668">
        <v>1.7854956491472</v>
      </c>
      <c r="C80" s="1668">
        <v>1.6952232156362299</v>
      </c>
      <c r="D80" s="1249">
        <v>1.6122268130602599</v>
      </c>
      <c r="E80" s="1249">
        <v>1.5371330258281699</v>
      </c>
      <c r="F80" s="1249">
        <v>1.463466395357</v>
      </c>
      <c r="G80" s="1249"/>
      <c r="H80" s="1249"/>
      <c r="N80" s="510"/>
      <c r="O80" s="510"/>
      <c r="P80" s="510"/>
      <c r="R80" s="1674"/>
      <c r="S80" s="1674"/>
      <c r="T80" s="1674"/>
    </row>
    <row r="81" spans="1:20" x14ac:dyDescent="0.25">
      <c r="A81" s="1673" t="s">
        <v>2471</v>
      </c>
      <c r="B81" s="1668">
        <v>0.32087303269927397</v>
      </c>
      <c r="C81" s="1668">
        <v>0.29961234094200401</v>
      </c>
      <c r="D81" s="1249">
        <v>0.285244918713288</v>
      </c>
      <c r="E81" s="1249">
        <v>0.27707250308543302</v>
      </c>
      <c r="F81" s="1249">
        <v>0.26666683028717603</v>
      </c>
      <c r="G81" s="1249"/>
      <c r="H81" s="1249"/>
      <c r="N81" s="510"/>
      <c r="O81" s="510"/>
      <c r="P81" s="510"/>
      <c r="R81" s="1674"/>
      <c r="S81" s="1674"/>
      <c r="T81" s="1674"/>
    </row>
    <row r="82" spans="1:20" x14ac:dyDescent="0.25">
      <c r="A82" s="1673" t="s">
        <v>2472</v>
      </c>
      <c r="B82" s="1668">
        <v>1.8112859979784901</v>
      </c>
      <c r="C82" s="1668">
        <v>1.71935792350755</v>
      </c>
      <c r="D82" s="1249">
        <v>1.6348121657379</v>
      </c>
      <c r="E82" s="1249">
        <v>1.55826848594199</v>
      </c>
      <c r="F82" s="1249">
        <v>1.4832450404195401</v>
      </c>
      <c r="G82" s="1249"/>
      <c r="H82" s="1249"/>
      <c r="N82" s="510"/>
      <c r="O82" s="510"/>
      <c r="P82" s="510"/>
      <c r="R82" s="1674"/>
      <c r="S82" s="1674"/>
      <c r="T82" s="1674"/>
    </row>
    <row r="83" spans="1:20" x14ac:dyDescent="0.25">
      <c r="A83" s="1673" t="s">
        <v>2473</v>
      </c>
      <c r="B83" s="1668">
        <v>0.41567512328426498</v>
      </c>
      <c r="C83" s="1668">
        <v>0.39237602916057401</v>
      </c>
      <c r="D83" s="1249">
        <v>0.37475164299516101</v>
      </c>
      <c r="E83" s="1249">
        <v>0.36146892087216598</v>
      </c>
      <c r="F83" s="1249">
        <v>0.34616784693557001</v>
      </c>
      <c r="G83" s="1249"/>
      <c r="H83" s="1249"/>
      <c r="N83" s="510"/>
      <c r="O83" s="510"/>
      <c r="P83" s="510"/>
      <c r="R83" s="1674"/>
      <c r="S83" s="1674"/>
      <c r="T83" s="1674"/>
    </row>
    <row r="84" spans="1:20" x14ac:dyDescent="0.25">
      <c r="A84" s="1673" t="s">
        <v>2474</v>
      </c>
      <c r="B84" s="1668">
        <v>0.50843881150283399</v>
      </c>
      <c r="C84" s="1668">
        <v>0.48188275344244702</v>
      </c>
      <c r="D84" s="1249">
        <v>0.45914806078189402</v>
      </c>
      <c r="E84" s="1249">
        <v>0.44096993752056102</v>
      </c>
      <c r="F84" s="1249">
        <v>0.42140344557348602</v>
      </c>
      <c r="G84" s="1249"/>
      <c r="H84" s="1249"/>
      <c r="N84" s="510"/>
      <c r="O84" s="510"/>
      <c r="P84" s="510"/>
      <c r="R84" s="1674"/>
      <c r="S84" s="1674"/>
      <c r="T84" s="1674"/>
    </row>
    <row r="85" spans="1:20" x14ac:dyDescent="0.25">
      <c r="A85" s="1673" t="s">
        <v>2475</v>
      </c>
      <c r="B85" s="1668">
        <v>0.59794553578470699</v>
      </c>
      <c r="C85" s="1668">
        <v>0.56627917122918003</v>
      </c>
      <c r="D85" s="1249">
        <v>0.538649077430289</v>
      </c>
      <c r="E85" s="1249">
        <v>0.51620553615847597</v>
      </c>
      <c r="F85" s="1249">
        <v>0.49314541356657399</v>
      </c>
      <c r="G85" s="1249"/>
      <c r="H85" s="1249"/>
      <c r="N85" s="510"/>
      <c r="O85" s="510"/>
      <c r="P85" s="510"/>
      <c r="R85" s="1674"/>
      <c r="S85" s="1674"/>
      <c r="T85" s="1674"/>
    </row>
    <row r="86" spans="1:20" x14ac:dyDescent="0.25">
      <c r="A86" s="1673" t="s">
        <v>2476</v>
      </c>
      <c r="B86" s="1668">
        <v>0.68234195357144001</v>
      </c>
      <c r="C86" s="1668">
        <v>0.64578018787757496</v>
      </c>
      <c r="D86" s="1249">
        <v>0.61388467606820396</v>
      </c>
      <c r="E86" s="1249">
        <v>0.58794750415156405</v>
      </c>
      <c r="F86" s="1249">
        <v>0.56112725207935299</v>
      </c>
      <c r="G86" s="1249"/>
      <c r="H86" s="1249"/>
      <c r="N86" s="510"/>
      <c r="O86" s="510"/>
      <c r="P86" s="510"/>
      <c r="R86" s="1674"/>
      <c r="S86" s="1674"/>
      <c r="T86" s="1674"/>
    </row>
    <row r="87" spans="1:20" x14ac:dyDescent="0.25">
      <c r="A87" s="1673" t="s">
        <v>2477</v>
      </c>
      <c r="B87" s="1668">
        <v>0.76184297021983505</v>
      </c>
      <c r="C87" s="1668">
        <v>0.72101578651549003</v>
      </c>
      <c r="D87" s="1249">
        <v>0.68562664406129203</v>
      </c>
      <c r="E87" s="1249">
        <v>0.655929342664343</v>
      </c>
      <c r="F87" s="1249">
        <v>0.62610046595636804</v>
      </c>
      <c r="G87" s="1249"/>
      <c r="H87" s="1249"/>
      <c r="N87" s="510"/>
      <c r="O87" s="510"/>
      <c r="P87" s="510"/>
      <c r="R87" s="1674"/>
      <c r="S87" s="1674"/>
      <c r="T87" s="1674"/>
    </row>
    <row r="88" spans="1:20" x14ac:dyDescent="0.25">
      <c r="A88" s="1673" t="s">
        <v>2478</v>
      </c>
      <c r="B88" s="1668">
        <v>0.83707856885775</v>
      </c>
      <c r="C88" s="1668">
        <v>0.79275775450857799</v>
      </c>
      <c r="D88" s="1249">
        <v>0.75360848257407098</v>
      </c>
      <c r="E88" s="1249">
        <v>0.72090255654135904</v>
      </c>
      <c r="F88" s="1249">
        <v>0.68818090039030699</v>
      </c>
      <c r="G88" s="1249"/>
      <c r="H88" s="1249"/>
      <c r="N88" s="510"/>
      <c r="O88" s="510"/>
      <c r="P88" s="510"/>
      <c r="R88" s="1674"/>
      <c r="S88" s="1674"/>
      <c r="T88" s="1674"/>
    </row>
    <row r="89" spans="1:20" x14ac:dyDescent="0.25">
      <c r="A89" s="1673" t="s">
        <v>2479</v>
      </c>
      <c r="B89" s="1668">
        <v>0.12218265722831925</v>
      </c>
      <c r="C89" s="1668">
        <v>0.11433900171094821</v>
      </c>
      <c r="D89" s="1249">
        <v>0.10556308362787219</v>
      </c>
      <c r="E89" s="1249">
        <v>9.6278547961797079E-2</v>
      </c>
      <c r="F89" s="1249">
        <v>9.3430540950719926E-2</v>
      </c>
      <c r="G89" s="1249"/>
      <c r="H89" s="1249"/>
      <c r="N89" s="510"/>
      <c r="O89" s="510"/>
      <c r="P89" s="510"/>
      <c r="R89" s="1674"/>
      <c r="S89" s="1674"/>
      <c r="T89" s="1674"/>
    </row>
    <row r="90" spans="1:20" x14ac:dyDescent="0.25">
      <c r="A90" s="1673" t="s">
        <v>2480</v>
      </c>
      <c r="B90" s="1668">
        <v>0.94703961869439535</v>
      </c>
      <c r="C90" s="1668">
        <v>0.89555883811934534</v>
      </c>
      <c r="D90" s="1249">
        <v>0.848219229059478</v>
      </c>
      <c r="E90" s="1249">
        <v>0.80668986501513207</v>
      </c>
      <c r="F90" s="1249">
        <v>0.77159369178142578</v>
      </c>
      <c r="G90" s="1249"/>
      <c r="H90" s="1249"/>
      <c r="N90" s="510"/>
      <c r="O90" s="510"/>
      <c r="P90" s="510"/>
      <c r="R90" s="1674"/>
      <c r="S90" s="1674"/>
      <c r="T90" s="1674"/>
    </row>
    <row r="91" spans="1:20" x14ac:dyDescent="0.25">
      <c r="A91" s="1673" t="s">
        <v>2481</v>
      </c>
      <c r="B91" s="1668">
        <v>1.0177414953476644</v>
      </c>
      <c r="C91" s="1668">
        <v>0.96255823077042613</v>
      </c>
      <c r="D91" s="1249">
        <v>0.91225294864300444</v>
      </c>
      <c r="E91" s="1249">
        <v>0.86787223974322292</v>
      </c>
      <c r="F91" s="1249">
        <v>0.8298005149284986</v>
      </c>
      <c r="G91" s="1249"/>
      <c r="H91" s="1249"/>
      <c r="N91" s="510"/>
      <c r="O91" s="510"/>
      <c r="P91" s="510"/>
      <c r="R91" s="1674"/>
      <c r="S91" s="1674"/>
      <c r="T91" s="1674"/>
    </row>
    <row r="92" spans="1:20" x14ac:dyDescent="0.25">
      <c r="A92" s="1673" t="s">
        <v>2482</v>
      </c>
      <c r="B92" s="1668">
        <v>1.0847408879987457</v>
      </c>
      <c r="C92" s="1668">
        <v>1.0265919503539525</v>
      </c>
      <c r="D92" s="1249">
        <v>0.97343532337109495</v>
      </c>
      <c r="E92" s="1249">
        <v>0.92607906289029573</v>
      </c>
      <c r="F92" s="1249">
        <v>0.88541529625699977</v>
      </c>
      <c r="G92" s="1249"/>
      <c r="H92" s="1249"/>
      <c r="N92" s="510"/>
      <c r="O92" s="510"/>
      <c r="P92" s="510"/>
      <c r="R92" s="1674"/>
      <c r="S92" s="1674"/>
      <c r="T92" s="1674"/>
    </row>
    <row r="93" spans="1:20" x14ac:dyDescent="0.25">
      <c r="A93" s="1673" t="s">
        <v>2483</v>
      </c>
      <c r="B93" s="1668">
        <v>1.1487746075822718</v>
      </c>
      <c r="C93" s="1668">
        <v>1.0877743250820431</v>
      </c>
      <c r="D93" s="1249">
        <v>1.031642146518168</v>
      </c>
      <c r="E93" s="1249">
        <v>0.98169384421879702</v>
      </c>
      <c r="F93" s="1249">
        <v>0.93855352984271578</v>
      </c>
      <c r="G93" s="1249"/>
      <c r="H93" s="1249"/>
      <c r="N93" s="510"/>
      <c r="O93" s="510"/>
      <c r="P93" s="510"/>
      <c r="R93" s="1674"/>
      <c r="S93" s="1674"/>
      <c r="T93" s="1674"/>
    </row>
    <row r="94" spans="1:20" x14ac:dyDescent="0.25">
      <c r="A94" s="1673" t="s">
        <v>2484</v>
      </c>
      <c r="B94" s="1668">
        <v>1.2099569823103624</v>
      </c>
      <c r="C94" s="1668">
        <v>1.1459811482291162</v>
      </c>
      <c r="D94" s="1249">
        <v>1.0872569278466691</v>
      </c>
      <c r="E94" s="1249">
        <v>1.0348320778045128</v>
      </c>
      <c r="F94" s="1249">
        <v>0.98932556073454136</v>
      </c>
      <c r="G94" s="1249"/>
      <c r="H94" s="1249"/>
      <c r="N94" s="510"/>
      <c r="O94" s="510"/>
      <c r="P94" s="510"/>
      <c r="R94" s="1674"/>
      <c r="S94" s="1674"/>
      <c r="T94" s="1674"/>
    </row>
    <row r="95" spans="1:20" x14ac:dyDescent="0.25">
      <c r="A95" s="1673" t="s">
        <v>2485</v>
      </c>
      <c r="B95" s="1668">
        <v>1.2681638054574353</v>
      </c>
      <c r="C95" s="1668">
        <v>1.2015959295576175</v>
      </c>
      <c r="D95" s="1249">
        <v>1.1403951614323851</v>
      </c>
      <c r="E95" s="1249">
        <v>1.0856041086963384</v>
      </c>
      <c r="F95" s="1249">
        <v>1.037836814641389</v>
      </c>
      <c r="G95" s="1249"/>
      <c r="H95" s="1249"/>
      <c r="N95" s="510"/>
      <c r="O95" s="510"/>
      <c r="P95" s="510"/>
      <c r="R95" s="1674"/>
      <c r="S95" s="1674"/>
      <c r="T95" s="1674"/>
    </row>
    <row r="96" spans="1:20" x14ac:dyDescent="0.25">
      <c r="A96" s="1673" t="s">
        <v>2486</v>
      </c>
      <c r="B96" s="1668">
        <v>1.3237785867859366</v>
      </c>
      <c r="C96" s="1668">
        <v>1.2547341631433331</v>
      </c>
      <c r="D96" s="1249">
        <v>1.1911671923242109</v>
      </c>
      <c r="E96" s="1249">
        <v>1.1341153626031861</v>
      </c>
      <c r="F96" s="1249">
        <v>1.0841880173675242</v>
      </c>
      <c r="G96" s="1249"/>
      <c r="H96" s="1249"/>
      <c r="N96" s="510"/>
      <c r="O96" s="510"/>
      <c r="P96" s="510"/>
      <c r="R96" s="1674"/>
      <c r="S96" s="1674"/>
      <c r="T96" s="1674"/>
    </row>
    <row r="97" spans="1:20" x14ac:dyDescent="0.25">
      <c r="A97" s="1673" t="s">
        <v>2487</v>
      </c>
      <c r="B97" s="1668">
        <v>1.3769168203716526</v>
      </c>
      <c r="C97" s="1668">
        <v>1.3055061940351593</v>
      </c>
      <c r="D97" s="1249">
        <v>1.2396784462310584</v>
      </c>
      <c r="E97" s="1249">
        <v>1.1804665653293211</v>
      </c>
      <c r="F97" s="1249">
        <v>1.1286611993333333</v>
      </c>
      <c r="G97" s="1249"/>
      <c r="H97" s="1249"/>
      <c r="N97" s="510"/>
      <c r="O97" s="510"/>
      <c r="P97" s="510"/>
      <c r="R97" s="1674"/>
      <c r="S97" s="1674"/>
      <c r="T97" s="1674"/>
    </row>
    <row r="98" spans="1:20" x14ac:dyDescent="0.25">
      <c r="A98" s="1673" t="s">
        <v>2488</v>
      </c>
      <c r="B98" s="1668">
        <v>1.4276888512634784</v>
      </c>
      <c r="C98" s="1668">
        <v>1.3540174479420068</v>
      </c>
      <c r="D98" s="1249">
        <v>1.2860296489571936</v>
      </c>
      <c r="E98" s="1249">
        <v>1.2249397472951309</v>
      </c>
      <c r="F98" s="1249">
        <v>1.1711540612592681</v>
      </c>
      <c r="G98" s="1249"/>
      <c r="H98" s="1249"/>
      <c r="N98" s="510"/>
      <c r="O98" s="510"/>
      <c r="P98" s="510"/>
      <c r="R98" s="1674"/>
      <c r="S98" s="1674"/>
      <c r="T98" s="1674"/>
    </row>
    <row r="99" spans="1:20" x14ac:dyDescent="0.25">
      <c r="A99" s="1673" t="s">
        <v>2489</v>
      </c>
      <c r="B99" s="1668">
        <v>1.476200105170326</v>
      </c>
      <c r="C99" s="1668">
        <v>1.4003686506681416</v>
      </c>
      <c r="D99" s="1249">
        <v>1.3305028309230029</v>
      </c>
      <c r="E99" s="1249">
        <v>1.2674326092210655</v>
      </c>
      <c r="F99" s="1249">
        <v>1.2117548343821629</v>
      </c>
      <c r="G99" s="1249"/>
      <c r="H99" s="1249"/>
      <c r="N99" s="510"/>
      <c r="O99" s="510"/>
      <c r="P99" s="510"/>
      <c r="R99" s="1674"/>
      <c r="S99" s="1674"/>
      <c r="T99" s="1674"/>
    </row>
    <row r="100" spans="1:20" x14ac:dyDescent="0.25">
      <c r="A100" s="1673" t="s">
        <v>2490</v>
      </c>
      <c r="B100" s="1668">
        <v>0.23652165893926744</v>
      </c>
      <c r="C100" s="1668">
        <v>0.21990208533882039</v>
      </c>
      <c r="D100" s="1249">
        <v>0.20184163158966925</v>
      </c>
      <c r="E100" s="1249">
        <v>0.189709088912517</v>
      </c>
      <c r="F100" s="1249">
        <v>0.184836980714504</v>
      </c>
      <c r="G100" s="1249"/>
      <c r="H100" s="1249"/>
      <c r="N100" s="510"/>
      <c r="O100" s="510"/>
      <c r="P100" s="510"/>
      <c r="R100" s="1674"/>
      <c r="S100" s="1674"/>
      <c r="T100" s="1674"/>
    </row>
    <row r="101" spans="1:20" x14ac:dyDescent="0.25">
      <c r="A101" s="1673" t="s">
        <v>2491</v>
      </c>
      <c r="B101" s="1668">
        <v>1.5225513078964612</v>
      </c>
      <c r="C101" s="1668">
        <v>1.4448418326339514</v>
      </c>
      <c r="D101" s="1249">
        <v>1.3729956928489373</v>
      </c>
      <c r="E101" s="1249">
        <v>1.3080333823439603</v>
      </c>
      <c r="F101" s="1249">
        <v>1.2505478166363977</v>
      </c>
      <c r="G101" s="1249"/>
      <c r="H101" s="1249"/>
      <c r="N101" s="510"/>
      <c r="O101" s="510"/>
      <c r="P101" s="510"/>
      <c r="R101" s="1674"/>
      <c r="S101" s="1674"/>
      <c r="T101" s="1674"/>
    </row>
    <row r="102" spans="1:20" x14ac:dyDescent="0.25">
      <c r="A102" s="1673" t="s">
        <v>2492</v>
      </c>
      <c r="B102" s="1668">
        <v>1.5670244898622705</v>
      </c>
      <c r="C102" s="1668">
        <v>1.4873346945598858</v>
      </c>
      <c r="D102" s="1249">
        <v>1.4135964659718323</v>
      </c>
      <c r="E102" s="1249">
        <v>1.3468263645981948</v>
      </c>
      <c r="F102" s="1249">
        <v>1.2876135480977782</v>
      </c>
      <c r="G102" s="1249"/>
      <c r="H102" s="1249"/>
      <c r="N102" s="510"/>
      <c r="O102" s="510"/>
      <c r="P102" s="510"/>
      <c r="R102" s="1674"/>
      <c r="S102" s="1674"/>
      <c r="T102" s="1674"/>
    </row>
    <row r="103" spans="1:20" x14ac:dyDescent="0.25">
      <c r="A103" s="1673" t="s">
        <v>2493</v>
      </c>
      <c r="B103" s="1668">
        <v>1.6095173517882051</v>
      </c>
      <c r="C103" s="1668">
        <v>1.5279354676827805</v>
      </c>
      <c r="D103" s="1249">
        <v>1.4523894482260669</v>
      </c>
      <c r="E103" s="1249">
        <v>1.3838920960595753</v>
      </c>
      <c r="F103" s="1249">
        <v>1.3222998025067063</v>
      </c>
      <c r="G103" s="1249"/>
      <c r="H103" s="1249"/>
      <c r="N103" s="510"/>
      <c r="O103" s="510"/>
      <c r="P103" s="510"/>
      <c r="R103" s="1674"/>
      <c r="S103" s="1674"/>
      <c r="T103" s="1674"/>
    </row>
    <row r="104" spans="1:20" x14ac:dyDescent="0.25">
      <c r="A104" s="1673" t="s">
        <v>2494</v>
      </c>
      <c r="B104" s="1668">
        <v>1.6501181249110999</v>
      </c>
      <c r="C104" s="1668">
        <v>1.5667284499370151</v>
      </c>
      <c r="D104" s="1249">
        <v>1.4894551796874473</v>
      </c>
      <c r="E104" s="1249">
        <v>1.4185783504685032</v>
      </c>
      <c r="F104" s="1249">
        <v>1.3547593331158472</v>
      </c>
      <c r="G104" s="1249"/>
      <c r="H104" s="1249"/>
      <c r="N104" s="510"/>
      <c r="O104" s="510"/>
      <c r="P104" s="510"/>
      <c r="R104" s="1674"/>
      <c r="S104" s="1674"/>
      <c r="T104" s="1674"/>
    </row>
    <row r="105" spans="1:20" x14ac:dyDescent="0.25">
      <c r="A105" s="1673" t="s">
        <v>2495</v>
      </c>
      <c r="B105" s="1668">
        <v>1.6889111071653344</v>
      </c>
      <c r="C105" s="1668">
        <v>1.6037941813983958</v>
      </c>
      <c r="D105" s="1249">
        <v>1.5241414340963757</v>
      </c>
      <c r="E105" s="1249">
        <v>1.4510378810776443</v>
      </c>
      <c r="F105" s="1249">
        <v>1.3851350870079877</v>
      </c>
      <c r="G105" s="1249"/>
      <c r="H105" s="1249"/>
      <c r="N105" s="510"/>
      <c r="O105" s="510"/>
      <c r="P105" s="510"/>
      <c r="R105" s="1674"/>
      <c r="S105" s="1674"/>
      <c r="T105" s="1674"/>
    </row>
    <row r="106" spans="1:20" x14ac:dyDescent="0.25">
      <c r="A106" s="1673" t="s">
        <v>2496</v>
      </c>
      <c r="B106" s="1668">
        <v>1.7259768386267149</v>
      </c>
      <c r="C106" s="1668">
        <v>1.6384804358073239</v>
      </c>
      <c r="D106" s="1249">
        <v>1.5566009647055168</v>
      </c>
      <c r="E106" s="1249">
        <v>1.4814136349697848</v>
      </c>
      <c r="F106" s="1249">
        <v>1.4135608346143329</v>
      </c>
      <c r="G106" s="1249"/>
      <c r="H106" s="1249"/>
      <c r="N106" s="510"/>
      <c r="O106" s="510"/>
      <c r="P106" s="510"/>
      <c r="R106" s="1674"/>
      <c r="S106" s="1674"/>
      <c r="T106" s="1674"/>
    </row>
    <row r="107" spans="1:20" x14ac:dyDescent="0.25">
      <c r="A107" s="1673" t="s">
        <v>2497</v>
      </c>
      <c r="B107" s="1668">
        <v>0.34208474256713955</v>
      </c>
      <c r="C107" s="1668">
        <v>0.31618063330061752</v>
      </c>
      <c r="D107" s="1249">
        <v>0.29527217254038923</v>
      </c>
      <c r="E107" s="1249">
        <v>0.28111552867630107</v>
      </c>
      <c r="F107" s="1249">
        <v>0.27302741347453752</v>
      </c>
      <c r="G107" s="1249"/>
      <c r="H107" s="1249"/>
      <c r="N107" s="510"/>
      <c r="O107" s="510"/>
      <c r="P107" s="510"/>
      <c r="R107" s="1674"/>
      <c r="S107" s="1674"/>
      <c r="T107" s="1674"/>
    </row>
    <row r="108" spans="1:20" x14ac:dyDescent="0.25">
      <c r="A108" s="1673" t="s">
        <v>2498</v>
      </c>
      <c r="B108" s="1668">
        <v>0.43836329052893674</v>
      </c>
      <c r="C108" s="1668">
        <v>0.40961117425133742</v>
      </c>
      <c r="D108" s="1249">
        <v>0.38667861230417327</v>
      </c>
      <c r="E108" s="1249">
        <v>0.3693059614363346</v>
      </c>
      <c r="F108" s="1249">
        <v>0.35618829216917203</v>
      </c>
      <c r="G108" s="1249"/>
      <c r="H108" s="1249"/>
      <c r="N108" s="510"/>
      <c r="O108" s="510"/>
      <c r="P108" s="510"/>
      <c r="R108" s="1674"/>
      <c r="S108" s="1674"/>
      <c r="T108" s="1674"/>
    </row>
    <row r="109" spans="1:20" x14ac:dyDescent="0.25">
      <c r="A109" s="1673" t="s">
        <v>2499</v>
      </c>
      <c r="B109" s="1668">
        <v>0.53179383147965675</v>
      </c>
      <c r="C109" s="1668">
        <v>0.50101761401512157</v>
      </c>
      <c r="D109" s="1249">
        <v>0.4748690450642068</v>
      </c>
      <c r="E109" s="1249">
        <v>0.45246684013096905</v>
      </c>
      <c r="F109" s="1249">
        <v>0.43453194489723268</v>
      </c>
      <c r="G109" s="1249"/>
      <c r="H109" s="1249"/>
      <c r="N109" s="510"/>
      <c r="O109" s="510"/>
      <c r="P109" s="510"/>
      <c r="R109" s="1674"/>
      <c r="S109" s="1674"/>
      <c r="T109" s="1674"/>
    </row>
    <row r="110" spans="1:20" x14ac:dyDescent="0.25">
      <c r="A110" s="1673" t="s">
        <v>2500</v>
      </c>
      <c r="B110" s="1668">
        <v>0.6232002712434408</v>
      </c>
      <c r="C110" s="1668">
        <v>0.58920804677515504</v>
      </c>
      <c r="D110" s="1249">
        <v>0.5580299237588412</v>
      </c>
      <c r="E110" s="1249">
        <v>0.53081049285902981</v>
      </c>
      <c r="F110" s="1249">
        <v>0.50867632816545871</v>
      </c>
      <c r="G110" s="1249"/>
      <c r="H110" s="1249"/>
      <c r="N110" s="510"/>
      <c r="O110" s="510"/>
      <c r="P110" s="510"/>
      <c r="R110" s="1674"/>
      <c r="S110" s="1674"/>
      <c r="T110" s="1674"/>
    </row>
    <row r="111" spans="1:20" x14ac:dyDescent="0.25">
      <c r="A111" s="1673" t="s">
        <v>2501</v>
      </c>
      <c r="B111" s="1668">
        <v>0.71139070400347426</v>
      </c>
      <c r="C111" s="1668">
        <v>0.67236892546978944</v>
      </c>
      <c r="D111" s="1249">
        <v>0.63637357648690207</v>
      </c>
      <c r="E111" s="1249">
        <v>0.60495487612725563</v>
      </c>
      <c r="F111" s="1249">
        <v>0.57937820481872793</v>
      </c>
      <c r="G111" s="1249"/>
      <c r="H111" s="1249"/>
      <c r="N111" s="510"/>
      <c r="O111" s="510"/>
      <c r="P111" s="510"/>
      <c r="R111" s="1674"/>
      <c r="S111" s="1674"/>
      <c r="T111" s="1674"/>
    </row>
    <row r="112" spans="1:20" x14ac:dyDescent="0.25">
      <c r="A112" s="1673" t="s">
        <v>2502</v>
      </c>
      <c r="B112" s="1668">
        <v>0.79455158269810888</v>
      </c>
      <c r="C112" s="1668">
        <v>0.75071257819785031</v>
      </c>
      <c r="D112" s="1249">
        <v>0.71051795975512799</v>
      </c>
      <c r="E112" s="1249">
        <v>0.67565675278052484</v>
      </c>
      <c r="F112" s="1249">
        <v>0.64637759746980872</v>
      </c>
      <c r="G112" s="1249"/>
      <c r="H112" s="1249"/>
      <c r="N112" s="510"/>
      <c r="O112" s="510"/>
      <c r="P112" s="510"/>
      <c r="R112" s="1674"/>
      <c r="S112" s="1674"/>
      <c r="T112" s="1674"/>
    </row>
    <row r="113" spans="1:20" x14ac:dyDescent="0.25">
      <c r="A113" s="1673" t="s">
        <v>2503</v>
      </c>
      <c r="B113" s="1668">
        <v>0.87289523542616954</v>
      </c>
      <c r="C113" s="1668">
        <v>0.82485696146607612</v>
      </c>
      <c r="D113" s="1249">
        <v>0.78121983640839709</v>
      </c>
      <c r="E113" s="1249">
        <v>0.74265614543160563</v>
      </c>
      <c r="F113" s="1249">
        <v>0.71041131705333505</v>
      </c>
      <c r="G113" s="1249"/>
      <c r="H113" s="1249"/>
      <c r="N113" s="510"/>
      <c r="O113" s="510"/>
      <c r="P113" s="510"/>
      <c r="R113" s="1674"/>
      <c r="S113" s="1674"/>
      <c r="T113" s="1674"/>
    </row>
    <row r="114" spans="1:20" x14ac:dyDescent="0.25">
      <c r="A114" s="1673" t="s">
        <v>2504</v>
      </c>
      <c r="B114" s="1668">
        <v>7.8011359814874462E-2</v>
      </c>
      <c r="C114" s="1668">
        <v>7.3003331288484408E-2</v>
      </c>
      <c r="D114" s="1249">
        <v>6.6242667143126363E-2</v>
      </c>
      <c r="E114" s="1249">
        <v>5.8959167856672497E-2</v>
      </c>
      <c r="F114" s="1249">
        <v>5.7826612047720286E-2</v>
      </c>
      <c r="G114" s="1249"/>
      <c r="H114" s="1249"/>
      <c r="N114" s="510"/>
      <c r="O114" s="510"/>
      <c r="P114" s="510"/>
      <c r="R114" s="1674"/>
      <c r="S114" s="1674"/>
      <c r="T114" s="1674"/>
    </row>
    <row r="115" spans="1:20" x14ac:dyDescent="0.25">
      <c r="A115" s="1673" t="s">
        <v>2505</v>
      </c>
      <c r="B115" s="1668">
        <v>0.5941049962338939</v>
      </c>
      <c r="C115" s="1668">
        <v>0.55996127401319229</v>
      </c>
      <c r="D115" s="1249">
        <v>0.52837144778758227</v>
      </c>
      <c r="E115" s="1249">
        <v>0.50173558834071963</v>
      </c>
      <c r="F115" s="1249">
        <v>0.48063932738174608</v>
      </c>
      <c r="G115" s="1249"/>
      <c r="H115" s="1249"/>
      <c r="N115" s="510"/>
      <c r="O115" s="510"/>
      <c r="P115" s="510"/>
      <c r="R115" s="1674"/>
      <c r="S115" s="1674"/>
      <c r="T115" s="1674"/>
    </row>
    <row r="116" spans="1:20" x14ac:dyDescent="0.25">
      <c r="A116" s="1673" t="s">
        <v>2506</v>
      </c>
      <c r="B116" s="1668">
        <v>0.63797263382806679</v>
      </c>
      <c r="C116" s="1668">
        <v>0.60137477907606673</v>
      </c>
      <c r="D116" s="1249">
        <v>0.56797825548384606</v>
      </c>
      <c r="E116" s="1249">
        <v>0.53959849523841863</v>
      </c>
      <c r="F116" s="1249">
        <v>0.51659832124022065</v>
      </c>
      <c r="G116" s="1249"/>
      <c r="H116" s="1249"/>
      <c r="N116" s="510"/>
      <c r="O116" s="510"/>
      <c r="P116" s="510"/>
      <c r="R116" s="1674"/>
      <c r="S116" s="1674"/>
      <c r="T116" s="1674"/>
    </row>
    <row r="117" spans="1:20" x14ac:dyDescent="0.25">
      <c r="A117" s="1673" t="s">
        <v>2507</v>
      </c>
      <c r="B117" s="1668">
        <v>0.67938613889094113</v>
      </c>
      <c r="C117" s="1668">
        <v>0.6409815867723303</v>
      </c>
      <c r="D117" s="1249">
        <v>0.60584116238154517</v>
      </c>
      <c r="E117" s="1249">
        <v>0.57555748909689297</v>
      </c>
      <c r="F117" s="1249">
        <v>0.55097393968953789</v>
      </c>
      <c r="G117" s="1249"/>
      <c r="H117" s="1249"/>
      <c r="N117" s="510"/>
      <c r="O117" s="510"/>
      <c r="P117" s="510"/>
      <c r="R117" s="1674"/>
      <c r="S117" s="1674"/>
      <c r="T117" s="1674"/>
    </row>
    <row r="118" spans="1:20" x14ac:dyDescent="0.25">
      <c r="A118" s="1673" t="s">
        <v>2508</v>
      </c>
      <c r="B118" s="1668">
        <v>0.71899294658720481</v>
      </c>
      <c r="C118" s="1668">
        <v>0.67884449367002941</v>
      </c>
      <c r="D118" s="1249">
        <v>0.64180015624001951</v>
      </c>
      <c r="E118" s="1249">
        <v>0.60993310754621033</v>
      </c>
      <c r="F118" s="1249">
        <v>0.58383593978669479</v>
      </c>
      <c r="G118" s="1249"/>
      <c r="H118" s="1249"/>
      <c r="N118" s="510"/>
      <c r="O118" s="510"/>
      <c r="P118" s="510"/>
      <c r="R118" s="1674"/>
      <c r="S118" s="1674"/>
      <c r="T118" s="1674"/>
    </row>
    <row r="119" spans="1:20" x14ac:dyDescent="0.25">
      <c r="A119" s="1673" t="s">
        <v>2509</v>
      </c>
      <c r="B119" s="1668">
        <v>0.75685585348490381</v>
      </c>
      <c r="C119" s="1668">
        <v>0.71480348752850398</v>
      </c>
      <c r="D119" s="1249">
        <v>0.67617577468933676</v>
      </c>
      <c r="E119" s="1249">
        <v>0.64279510764336745</v>
      </c>
      <c r="F119" s="1249">
        <v>0.6152510037397757</v>
      </c>
      <c r="G119" s="1249"/>
      <c r="H119" s="1249"/>
      <c r="N119" s="510"/>
      <c r="O119" s="510"/>
      <c r="P119" s="510"/>
      <c r="R119" s="1674"/>
      <c r="S119" s="1674"/>
      <c r="T119" s="1674"/>
    </row>
    <row r="120" spans="1:20" x14ac:dyDescent="0.25">
      <c r="A120" s="1673" t="s">
        <v>2510</v>
      </c>
      <c r="B120" s="1668">
        <v>0.79281484734337837</v>
      </c>
      <c r="C120" s="1668">
        <v>0.74917910597782122</v>
      </c>
      <c r="D120" s="1249">
        <v>0.70903777478649377</v>
      </c>
      <c r="E120" s="1249">
        <v>0.67421017159644825</v>
      </c>
      <c r="F120" s="1249">
        <v>0.64528287451869071</v>
      </c>
      <c r="G120" s="1249"/>
      <c r="H120" s="1249"/>
      <c r="N120" s="510"/>
      <c r="O120" s="510"/>
      <c r="P120" s="510"/>
      <c r="R120" s="1674"/>
      <c r="S120" s="1674"/>
      <c r="T120" s="1674"/>
    </row>
    <row r="121" spans="1:20" x14ac:dyDescent="0.25">
      <c r="A121" s="1673" t="s">
        <v>2511</v>
      </c>
      <c r="B121" s="1668">
        <v>0.82719046579269584</v>
      </c>
      <c r="C121" s="1668">
        <v>0.78204110607497801</v>
      </c>
      <c r="D121" s="1249">
        <v>0.74045283873957446</v>
      </c>
      <c r="E121" s="1249">
        <v>0.70424204237536303</v>
      </c>
      <c r="F121" s="1249">
        <v>0.6739924854817686</v>
      </c>
      <c r="G121" s="1249"/>
      <c r="H121" s="1249"/>
      <c r="N121" s="510"/>
      <c r="O121" s="510"/>
      <c r="P121" s="510"/>
      <c r="R121" s="1674"/>
      <c r="S121" s="1674"/>
      <c r="T121" s="1674"/>
    </row>
    <row r="122" spans="1:20" x14ac:dyDescent="0.25">
      <c r="A122" s="1673" t="s">
        <v>2512</v>
      </c>
      <c r="B122" s="1668">
        <v>0.86005246588985251</v>
      </c>
      <c r="C122" s="1668">
        <v>0.81345617002805892</v>
      </c>
      <c r="D122" s="1249">
        <v>0.77048470951848946</v>
      </c>
      <c r="E122" s="1249">
        <v>0.73295165333844114</v>
      </c>
      <c r="F122" s="1249">
        <v>0.70150523387784958</v>
      </c>
      <c r="G122" s="1249"/>
      <c r="H122" s="1249"/>
      <c r="N122" s="510"/>
      <c r="O122" s="510"/>
      <c r="P122" s="510"/>
      <c r="R122" s="1674"/>
      <c r="S122" s="1674"/>
      <c r="T122" s="1674"/>
    </row>
    <row r="123" spans="1:20" x14ac:dyDescent="0.25">
      <c r="A123" s="1673" t="s">
        <v>2513</v>
      </c>
      <c r="B123" s="1668">
        <v>0.89146752984293332</v>
      </c>
      <c r="C123" s="1668">
        <v>0.84348804080697393</v>
      </c>
      <c r="D123" s="1249">
        <v>0.79919432048156736</v>
      </c>
      <c r="E123" s="1249">
        <v>0.76046440173452212</v>
      </c>
      <c r="F123" s="1249">
        <v>0.72780659653112123</v>
      </c>
      <c r="G123" s="1249"/>
      <c r="H123" s="1249"/>
      <c r="N123" s="510"/>
      <c r="O123" s="510"/>
      <c r="P123" s="510"/>
      <c r="R123" s="1674"/>
      <c r="S123" s="1674"/>
      <c r="T123" s="1674"/>
    </row>
    <row r="124" spans="1:20" x14ac:dyDescent="0.25">
      <c r="A124" s="1673" t="s">
        <v>2514</v>
      </c>
      <c r="B124" s="1668">
        <v>0.92149940062184843</v>
      </c>
      <c r="C124" s="1668">
        <v>0.87219765177005193</v>
      </c>
      <c r="D124" s="1249">
        <v>0.82670706887764844</v>
      </c>
      <c r="E124" s="1249">
        <v>0.78676576438779389</v>
      </c>
      <c r="F124" s="1249">
        <v>0.75294993867159798</v>
      </c>
      <c r="G124" s="1249"/>
      <c r="H124" s="1249"/>
      <c r="N124" s="510"/>
      <c r="O124" s="510"/>
      <c r="P124" s="510"/>
      <c r="R124" s="1674"/>
      <c r="S124" s="1674"/>
      <c r="T124" s="1674"/>
    </row>
    <row r="125" spans="1:20" x14ac:dyDescent="0.25">
      <c r="A125" s="1673" t="s">
        <v>2515</v>
      </c>
      <c r="B125" s="1668">
        <v>0.15101469110335886</v>
      </c>
      <c r="C125" s="1668">
        <v>0.13924599843161081</v>
      </c>
      <c r="D125" s="1249">
        <v>0.12520183499979884</v>
      </c>
      <c r="E125" s="1249">
        <v>0.11678577990439276</v>
      </c>
      <c r="F125" s="1249">
        <v>0.11516122936670729</v>
      </c>
      <c r="G125" s="1249"/>
      <c r="H125" s="1249"/>
      <c r="N125" s="510"/>
      <c r="O125" s="510"/>
      <c r="P125" s="510"/>
      <c r="R125" s="1674"/>
      <c r="S125" s="1674"/>
      <c r="T125" s="1674"/>
    </row>
    <row r="126" spans="1:20" x14ac:dyDescent="0.25">
      <c r="A126" s="1673" t="s">
        <v>2516</v>
      </c>
      <c r="B126" s="1668">
        <v>0.95020901158492632</v>
      </c>
      <c r="C126" s="1668">
        <v>0.8997104001661328</v>
      </c>
      <c r="D126" s="1249">
        <v>0.85300843153092032</v>
      </c>
      <c r="E126" s="1249">
        <v>0.8119091065282702</v>
      </c>
      <c r="F126" s="1249">
        <v>0.77698627337790449</v>
      </c>
      <c r="G126" s="1249"/>
      <c r="H126" s="1249"/>
      <c r="N126" s="510"/>
      <c r="O126" s="510"/>
      <c r="P126" s="510"/>
      <c r="R126" s="1674"/>
      <c r="S126" s="1674"/>
      <c r="T126" s="1674"/>
    </row>
    <row r="127" spans="1:20" x14ac:dyDescent="0.25">
      <c r="A127" s="1673" t="s">
        <v>2517</v>
      </c>
      <c r="B127" s="1668">
        <v>0.97772175998100741</v>
      </c>
      <c r="C127" s="1668">
        <v>0.92601176281940456</v>
      </c>
      <c r="D127" s="1249">
        <v>0.87815177367139663</v>
      </c>
      <c r="E127" s="1249">
        <v>0.83594544123457659</v>
      </c>
      <c r="F127" s="1249">
        <v>0.79996436530776571</v>
      </c>
      <c r="G127" s="1249"/>
      <c r="H127" s="1249"/>
      <c r="N127" s="510"/>
      <c r="O127" s="510"/>
      <c r="P127" s="510"/>
      <c r="R127" s="1674"/>
      <c r="S127" s="1674"/>
      <c r="T127" s="1674"/>
    </row>
    <row r="128" spans="1:20" x14ac:dyDescent="0.25">
      <c r="A128" s="1673" t="s">
        <v>2518</v>
      </c>
      <c r="B128" s="1668">
        <v>1.0040231226342788</v>
      </c>
      <c r="C128" s="1668">
        <v>0.95115510495988098</v>
      </c>
      <c r="D128" s="1249">
        <v>0.90218810837770302</v>
      </c>
      <c r="E128" s="1249">
        <v>0.85892353316443826</v>
      </c>
      <c r="F128" s="1249">
        <v>0.8214673523280368</v>
      </c>
      <c r="G128" s="1249"/>
      <c r="H128" s="1249"/>
      <c r="N128" s="510"/>
      <c r="O128" s="510"/>
      <c r="P128" s="510"/>
      <c r="R128" s="1674"/>
      <c r="S128" s="1674"/>
      <c r="T128" s="1674"/>
    </row>
    <row r="129" spans="1:20" x14ac:dyDescent="0.25">
      <c r="A129" s="1673" t="s">
        <v>2519</v>
      </c>
      <c r="B129" s="1668">
        <v>1.0291664647747554</v>
      </c>
      <c r="C129" s="1668">
        <v>0.97519143966618738</v>
      </c>
      <c r="D129" s="1249">
        <v>0.92516620030756469</v>
      </c>
      <c r="E129" s="1249">
        <v>0.88042652018470946</v>
      </c>
      <c r="F129" s="1249">
        <v>0.84158993048662845</v>
      </c>
      <c r="G129" s="1249"/>
      <c r="H129" s="1249"/>
      <c r="N129" s="510"/>
      <c r="O129" s="510"/>
      <c r="P129" s="510"/>
      <c r="R129" s="1674"/>
      <c r="S129" s="1674"/>
      <c r="T129" s="1674"/>
    </row>
    <row r="130" spans="1:20" x14ac:dyDescent="0.25">
      <c r="A130" s="1673" t="s">
        <v>2520</v>
      </c>
      <c r="B130" s="1668">
        <v>1.053202799481062</v>
      </c>
      <c r="C130" s="1668">
        <v>0.99816953159604915</v>
      </c>
      <c r="D130" s="1249">
        <v>0.94666918732783567</v>
      </c>
      <c r="E130" s="1249">
        <v>0.9005490983433011</v>
      </c>
      <c r="F130" s="1249">
        <v>0.86042071671027753</v>
      </c>
      <c r="G130" s="1249"/>
      <c r="H130" s="1249"/>
      <c r="N130" s="510"/>
      <c r="O130" s="510"/>
      <c r="P130" s="510"/>
      <c r="R130" s="1674"/>
      <c r="S130" s="1674"/>
      <c r="T130" s="1674"/>
    </row>
    <row r="131" spans="1:20" x14ac:dyDescent="0.25">
      <c r="A131" s="1673" t="s">
        <v>2521</v>
      </c>
      <c r="B131" s="1668">
        <v>1.0761808914109234</v>
      </c>
      <c r="C131" s="1668">
        <v>1.01967251861632</v>
      </c>
      <c r="D131" s="1249">
        <v>0.96679176548642742</v>
      </c>
      <c r="E131" s="1249">
        <v>0.91937988456695008</v>
      </c>
      <c r="F131" s="1249">
        <v>0.87804263906068858</v>
      </c>
      <c r="G131" s="1249"/>
      <c r="H131" s="1249"/>
      <c r="N131" s="510"/>
      <c r="O131" s="510"/>
      <c r="P131" s="510"/>
      <c r="R131" s="1674"/>
      <c r="S131" s="1674"/>
      <c r="T131" s="1674"/>
    </row>
    <row r="132" spans="1:20" x14ac:dyDescent="0.25">
      <c r="A132" s="1673" t="s">
        <v>2522</v>
      </c>
      <c r="B132" s="1668">
        <v>0.21725735824648523</v>
      </c>
      <c r="C132" s="1668">
        <v>0.19820516628828327</v>
      </c>
      <c r="D132" s="1249">
        <v>0.18302844704751914</v>
      </c>
      <c r="E132" s="1249">
        <v>0.17412039722337971</v>
      </c>
      <c r="F132" s="1249">
        <v>0.17081406495308565</v>
      </c>
      <c r="G132" s="1249"/>
      <c r="H132" s="1249"/>
      <c r="N132" s="510"/>
      <c r="O132" s="510"/>
      <c r="P132" s="510"/>
      <c r="R132" s="1674"/>
      <c r="S132" s="1674"/>
      <c r="T132" s="1674"/>
    </row>
    <row r="133" spans="1:20" x14ac:dyDescent="0.25">
      <c r="A133" s="1673" t="s">
        <v>2523</v>
      </c>
      <c r="B133" s="1668">
        <v>0.27621652610315767</v>
      </c>
      <c r="C133" s="1668">
        <v>0.2560317783360036</v>
      </c>
      <c r="D133" s="1249">
        <v>0.24036306436650609</v>
      </c>
      <c r="E133" s="1249">
        <v>0.22977323280975814</v>
      </c>
      <c r="F133" s="1249">
        <v>0.22301243981694213</v>
      </c>
      <c r="G133" s="1249"/>
      <c r="H133" s="1249"/>
      <c r="N133" s="510"/>
      <c r="O133" s="510"/>
      <c r="P133" s="510"/>
      <c r="R133" s="1674"/>
      <c r="S133" s="1674"/>
      <c r="T133" s="1674"/>
    </row>
    <row r="134" spans="1:20" x14ac:dyDescent="0.25">
      <c r="A134" s="1673" t="s">
        <v>2524</v>
      </c>
      <c r="B134" s="1668">
        <v>0.33404313815087799</v>
      </c>
      <c r="C134" s="1668">
        <v>0.31336639565499053</v>
      </c>
      <c r="D134" s="1249">
        <v>0.29601589995288452</v>
      </c>
      <c r="E134" s="1249">
        <v>0.28197160767361457</v>
      </c>
      <c r="F134" s="1249">
        <v>0.27186112942349389</v>
      </c>
      <c r="G134" s="1249"/>
      <c r="H134" s="1249"/>
      <c r="N134" s="510"/>
      <c r="O134" s="510"/>
      <c r="P134" s="510"/>
      <c r="R134" s="1674"/>
      <c r="S134" s="1674"/>
      <c r="T134" s="1674"/>
    </row>
    <row r="135" spans="1:20" x14ac:dyDescent="0.25">
      <c r="A135" s="1673" t="s">
        <v>2525</v>
      </c>
      <c r="B135" s="1668">
        <v>0.39137775546986492</v>
      </c>
      <c r="C135" s="1668">
        <v>0.36901923124136887</v>
      </c>
      <c r="D135" s="1249">
        <v>0.348214274816741</v>
      </c>
      <c r="E135" s="1249">
        <v>0.33082029728016649</v>
      </c>
      <c r="F135" s="1249">
        <v>0.31788847013073618</v>
      </c>
      <c r="G135" s="1249"/>
      <c r="H135" s="1249"/>
      <c r="N135" s="510"/>
      <c r="O135" s="510"/>
      <c r="P135" s="510"/>
      <c r="R135" s="1674"/>
      <c r="S135" s="1674"/>
      <c r="T135" s="1674"/>
    </row>
    <row r="136" spans="1:20" x14ac:dyDescent="0.25">
      <c r="A136" s="1673" t="s">
        <v>2526</v>
      </c>
      <c r="B136" s="1668">
        <v>0.44703059105624343</v>
      </c>
      <c r="C136" s="1668">
        <v>0.42121760610522535</v>
      </c>
      <c r="D136" s="1249">
        <v>0.39706296442329281</v>
      </c>
      <c r="E136" s="1249">
        <v>0.37684763798740878</v>
      </c>
      <c r="F136" s="1249">
        <v>0.36175610772490902</v>
      </c>
      <c r="G136" s="1249"/>
      <c r="H136" s="1249"/>
      <c r="N136" s="510"/>
      <c r="O136" s="510"/>
      <c r="P136" s="510"/>
      <c r="R136" s="1674"/>
      <c r="S136" s="1674"/>
      <c r="T136" s="1674"/>
    </row>
    <row r="137" spans="1:20" x14ac:dyDescent="0.25">
      <c r="A137" s="1673" t="s">
        <v>2527</v>
      </c>
      <c r="B137" s="1668">
        <v>0.4992289659200998</v>
      </c>
      <c r="C137" s="1668">
        <v>0.47006629571177727</v>
      </c>
      <c r="D137" s="1249">
        <v>0.44309030513053493</v>
      </c>
      <c r="E137" s="1249">
        <v>0.4207152755815815</v>
      </c>
      <c r="F137" s="1249">
        <v>0.40316961278778352</v>
      </c>
      <c r="G137" s="1249"/>
      <c r="H137" s="1249"/>
      <c r="N137" s="510"/>
      <c r="O137" s="510"/>
      <c r="P137" s="510"/>
      <c r="R137" s="1674"/>
      <c r="S137" s="1674"/>
      <c r="T137" s="1674"/>
    </row>
    <row r="138" spans="1:20" x14ac:dyDescent="0.25">
      <c r="A138" s="1673" t="s">
        <v>2528</v>
      </c>
      <c r="B138" s="1668">
        <v>0.54807765552665177</v>
      </c>
      <c r="C138" s="1668">
        <v>0.51609363641901951</v>
      </c>
      <c r="D138" s="1249">
        <v>0.48695794272470788</v>
      </c>
      <c r="E138" s="1249">
        <v>0.46212878064445589</v>
      </c>
      <c r="F138" s="1249">
        <v>0.44277642048404714</v>
      </c>
      <c r="G138" s="1249"/>
      <c r="H138" s="1249"/>
      <c r="N138" s="510"/>
      <c r="O138" s="510"/>
      <c r="P138" s="510"/>
      <c r="R138" s="1674"/>
      <c r="S138" s="1674"/>
      <c r="T138" s="1674"/>
    </row>
    <row r="139" spans="1:20" x14ac:dyDescent="0.25">
      <c r="A139" s="1673" t="s">
        <v>2529</v>
      </c>
      <c r="B139" s="1668">
        <v>7.4236944463054733E-2</v>
      </c>
      <c r="C139" s="1668">
        <v>6.9471218849948266E-2</v>
      </c>
      <c r="D139" s="1249">
        <v>6.2874424815599836E-2</v>
      </c>
      <c r="E139" s="1249">
        <v>5.5752154658685084E-2</v>
      </c>
      <c r="F139" s="1249">
        <v>5.4771120800961998E-2</v>
      </c>
      <c r="G139" s="1249"/>
      <c r="H139" s="1249"/>
      <c r="N139" s="510"/>
      <c r="O139" s="510"/>
      <c r="P139" s="510"/>
      <c r="R139" s="1674"/>
      <c r="S139" s="1674"/>
      <c r="T139" s="1674"/>
    </row>
    <row r="140" spans="1:20" x14ac:dyDescent="0.25">
      <c r="A140" s="1673" t="s">
        <v>2530</v>
      </c>
      <c r="B140" s="1668">
        <v>0.56387086941845532</v>
      </c>
      <c r="C140" s="1668">
        <v>0.53119941702981677</v>
      </c>
      <c r="D140" s="1249">
        <v>0.50094557962027941</v>
      </c>
      <c r="E140" s="1249">
        <v>0.47558149787684023</v>
      </c>
      <c r="F140" s="1249">
        <v>0.45569096770625822</v>
      </c>
      <c r="G140" s="1249"/>
      <c r="H140" s="1249"/>
      <c r="N140" s="510"/>
      <c r="O140" s="510"/>
      <c r="P140" s="510"/>
      <c r="R140" s="1674"/>
      <c r="S140" s="1674"/>
      <c r="T140" s="1674"/>
    </row>
    <row r="141" spans="1:20" x14ac:dyDescent="0.25">
      <c r="A141" s="1673" t="s">
        <v>2531</v>
      </c>
      <c r="B141" s="1668">
        <v>0.60543636149287139</v>
      </c>
      <c r="C141" s="1668">
        <v>0.57041679847022753</v>
      </c>
      <c r="D141" s="1249">
        <v>0.53845592269244003</v>
      </c>
      <c r="E141" s="1249">
        <v>0.51144312236494327</v>
      </c>
      <c r="F141" s="1249">
        <v>0.48974022077228607</v>
      </c>
      <c r="G141" s="1249"/>
      <c r="H141" s="1249"/>
      <c r="N141" s="510"/>
      <c r="O141" s="510"/>
      <c r="P141" s="510"/>
      <c r="R141" s="1674"/>
      <c r="S141" s="1674"/>
      <c r="T141" s="1674"/>
    </row>
    <row r="142" spans="1:20" x14ac:dyDescent="0.25">
      <c r="A142" s="1673" t="s">
        <v>2532</v>
      </c>
      <c r="B142" s="1668">
        <v>0.64465374293328237</v>
      </c>
      <c r="C142" s="1668">
        <v>0.60792714154238836</v>
      </c>
      <c r="D142" s="1249">
        <v>0.5743175471805434</v>
      </c>
      <c r="E142" s="1249">
        <v>0.54549237543097129</v>
      </c>
      <c r="F142" s="1249">
        <v>0.52229280389665222</v>
      </c>
      <c r="G142" s="1249"/>
      <c r="H142" s="1249"/>
      <c r="N142" s="510"/>
      <c r="O142" s="510"/>
      <c r="P142" s="510"/>
      <c r="R142" s="1674"/>
      <c r="S142" s="1674"/>
      <c r="T142" s="1674"/>
    </row>
    <row r="143" spans="1:20" x14ac:dyDescent="0.25">
      <c r="A143" s="1673" t="s">
        <v>2533</v>
      </c>
      <c r="B143" s="1668">
        <v>0.6821640860054432</v>
      </c>
      <c r="C143" s="1668">
        <v>0.64378876603049151</v>
      </c>
      <c r="D143" s="1249">
        <v>0.60836680024657108</v>
      </c>
      <c r="E143" s="1249">
        <v>0.57804495855533722</v>
      </c>
      <c r="F143" s="1249">
        <v>0.55341453725110079</v>
      </c>
      <c r="G143" s="1249"/>
      <c r="H143" s="1249"/>
      <c r="N143" s="510"/>
      <c r="O143" s="510"/>
      <c r="P143" s="510"/>
      <c r="R143" s="1674"/>
      <c r="S143" s="1674"/>
      <c r="T143" s="1674"/>
    </row>
    <row r="144" spans="1:20" x14ac:dyDescent="0.25">
      <c r="A144" s="1673" t="s">
        <v>2534</v>
      </c>
      <c r="B144" s="1668">
        <v>0.71802571049354624</v>
      </c>
      <c r="C144" s="1668">
        <v>0.67783801909651942</v>
      </c>
      <c r="D144" s="1249">
        <v>0.64091938337093712</v>
      </c>
      <c r="E144" s="1249">
        <v>0.60916669190978578</v>
      </c>
      <c r="F144" s="1249">
        <v>0.58316834492726721</v>
      </c>
      <c r="G144" s="1249"/>
      <c r="H144" s="1249"/>
      <c r="N144" s="510"/>
      <c r="O144" s="510"/>
      <c r="P144" s="510"/>
      <c r="R144" s="1674"/>
      <c r="S144" s="1674"/>
      <c r="T144" s="1674"/>
    </row>
    <row r="145" spans="1:20" x14ac:dyDescent="0.25">
      <c r="A145" s="1673" t="s">
        <v>2535</v>
      </c>
      <c r="B145" s="1668">
        <v>0.75207496355957382</v>
      </c>
      <c r="C145" s="1668">
        <v>0.71039060222088535</v>
      </c>
      <c r="D145" s="1249">
        <v>0.67204111672538569</v>
      </c>
      <c r="E145" s="1249">
        <v>0.63892049958595221</v>
      </c>
      <c r="F145" s="1249">
        <v>0.61161438242917354</v>
      </c>
      <c r="G145" s="1249"/>
      <c r="H145" s="1249"/>
      <c r="N145" s="510"/>
      <c r="O145" s="510"/>
      <c r="P145" s="510"/>
      <c r="R145" s="1674"/>
      <c r="S145" s="1674"/>
      <c r="T145" s="1674"/>
    </row>
    <row r="146" spans="1:20" x14ac:dyDescent="0.25">
      <c r="A146" s="1673" t="s">
        <v>2536</v>
      </c>
      <c r="B146" s="1668">
        <v>0.78462754668394019</v>
      </c>
      <c r="C146" s="1668">
        <v>0.74151233557533403</v>
      </c>
      <c r="D146" s="1249">
        <v>0.70179492440155222</v>
      </c>
      <c r="E146" s="1249">
        <v>0.66736653708785876</v>
      </c>
      <c r="F146" s="1249">
        <v>0.63881015855027212</v>
      </c>
      <c r="G146" s="1249"/>
      <c r="H146" s="1249"/>
      <c r="N146" s="510"/>
      <c r="O146" s="510"/>
      <c r="P146" s="510"/>
      <c r="R146" s="1674"/>
      <c r="S146" s="1674"/>
      <c r="T146" s="1674"/>
    </row>
    <row r="147" spans="1:20" x14ac:dyDescent="0.25">
      <c r="A147" s="1673" t="s">
        <v>2537</v>
      </c>
      <c r="B147" s="1668">
        <v>0.81574928003838854</v>
      </c>
      <c r="C147" s="1668">
        <v>0.77126614325150034</v>
      </c>
      <c r="D147" s="1249">
        <v>0.73024096190345855</v>
      </c>
      <c r="E147" s="1249">
        <v>0.69456231320895723</v>
      </c>
      <c r="F147" s="1249">
        <v>0.6648672927063799</v>
      </c>
      <c r="G147" s="1249"/>
      <c r="H147" s="1249"/>
      <c r="N147" s="510"/>
      <c r="O147" s="510"/>
      <c r="P147" s="510"/>
      <c r="R147" s="1674"/>
      <c r="S147" s="1674"/>
      <c r="T147" s="1674"/>
    </row>
    <row r="148" spans="1:20" x14ac:dyDescent="0.25">
      <c r="A148" s="1673" t="s">
        <v>2538</v>
      </c>
      <c r="B148" s="1668">
        <v>0.84550308771455507</v>
      </c>
      <c r="C148" s="1668">
        <v>0.79971218075340689</v>
      </c>
      <c r="D148" s="1249">
        <v>0.75743673802455713</v>
      </c>
      <c r="E148" s="1249">
        <v>0.72061944736506489</v>
      </c>
      <c r="F148" s="1249">
        <v>0.68977912781316253</v>
      </c>
      <c r="G148" s="1249"/>
      <c r="H148" s="1249"/>
      <c r="N148" s="510"/>
      <c r="O148" s="510"/>
      <c r="P148" s="510"/>
      <c r="R148" s="1674"/>
      <c r="S148" s="1674"/>
      <c r="T148" s="1674"/>
    </row>
    <row r="149" spans="1:20" x14ac:dyDescent="0.25">
      <c r="A149" s="1673" t="s">
        <v>2539</v>
      </c>
      <c r="B149" s="1668">
        <v>0.87394912521646162</v>
      </c>
      <c r="C149" s="1668">
        <v>0.82690795687450558</v>
      </c>
      <c r="D149" s="1249">
        <v>0.7834938721806648</v>
      </c>
      <c r="E149" s="1249">
        <v>0.74553128247184752</v>
      </c>
      <c r="F149" s="1249">
        <v>0.71359602844501391</v>
      </c>
      <c r="G149" s="1249"/>
      <c r="H149" s="1249"/>
      <c r="N149" s="510"/>
      <c r="O149" s="510"/>
      <c r="P149" s="510"/>
      <c r="R149" s="1674"/>
      <c r="S149" s="1674"/>
      <c r="T149" s="1674"/>
    </row>
    <row r="150" spans="1:20" x14ac:dyDescent="0.25">
      <c r="A150" s="1673" t="s">
        <v>2540</v>
      </c>
      <c r="B150" s="1668">
        <v>0.14370816331300298</v>
      </c>
      <c r="C150" s="1668">
        <v>0.13234564366554813</v>
      </c>
      <c r="D150" s="1249">
        <v>0.11862657947428493</v>
      </c>
      <c r="E150" s="1249">
        <v>0.11052327545964706</v>
      </c>
      <c r="F150" s="1249">
        <v>0.10918692650144518</v>
      </c>
      <c r="G150" s="1249"/>
      <c r="H150" s="1249"/>
      <c r="N150" s="510"/>
      <c r="O150" s="510"/>
      <c r="P150" s="510"/>
      <c r="R150" s="1674"/>
      <c r="S150" s="1674"/>
      <c r="T150" s="1674"/>
    </row>
    <row r="151" spans="1:20" x14ac:dyDescent="0.25">
      <c r="A151" s="1673" t="s">
        <v>2541</v>
      </c>
      <c r="B151" s="1668">
        <v>0.90114490133756009</v>
      </c>
      <c r="C151" s="1668">
        <v>0.85296509103061313</v>
      </c>
      <c r="D151" s="1249">
        <v>0.80840570728744732</v>
      </c>
      <c r="E151" s="1249">
        <v>0.76934818310369912</v>
      </c>
      <c r="F151" s="1249">
        <v>0.73636614327953898</v>
      </c>
      <c r="G151" s="1249"/>
      <c r="H151" s="1249"/>
      <c r="N151" s="510"/>
      <c r="O151" s="510"/>
      <c r="P151" s="510"/>
      <c r="R151" s="1674"/>
      <c r="S151" s="1674"/>
      <c r="T151" s="1674"/>
    </row>
    <row r="152" spans="1:20" x14ac:dyDescent="0.25">
      <c r="A152" s="1673" t="s">
        <v>2542</v>
      </c>
      <c r="B152" s="1668">
        <v>0.92720203549366809</v>
      </c>
      <c r="C152" s="1668">
        <v>0.87787692613739565</v>
      </c>
      <c r="D152" s="1249">
        <v>0.83222260791929903</v>
      </c>
      <c r="E152" s="1249">
        <v>0.79211829793822408</v>
      </c>
      <c r="F152" s="1249">
        <v>0.75813550264050833</v>
      </c>
      <c r="G152" s="1249"/>
      <c r="H152" s="1249"/>
      <c r="N152" s="510"/>
      <c r="O152" s="510"/>
      <c r="P152" s="510"/>
      <c r="R152" s="1674"/>
      <c r="S152" s="1674"/>
      <c r="T152" s="1674"/>
    </row>
    <row r="153" spans="1:20" x14ac:dyDescent="0.25">
      <c r="A153" s="1673" t="s">
        <v>2543</v>
      </c>
      <c r="B153" s="1668">
        <v>0.9521138706004505</v>
      </c>
      <c r="C153" s="1668">
        <v>0.90169382676924748</v>
      </c>
      <c r="D153" s="1249">
        <v>0.85499272275382399</v>
      </c>
      <c r="E153" s="1249">
        <v>0.81388765729919355</v>
      </c>
      <c r="F153" s="1249">
        <v>0.77850735306252716</v>
      </c>
      <c r="G153" s="1249"/>
      <c r="H153" s="1249"/>
      <c r="N153" s="510"/>
      <c r="O153" s="510"/>
      <c r="P153" s="510"/>
      <c r="R153" s="1674"/>
      <c r="S153" s="1674"/>
      <c r="T153" s="1674"/>
    </row>
    <row r="154" spans="1:20" x14ac:dyDescent="0.25">
      <c r="A154" s="1673" t="s">
        <v>2544</v>
      </c>
      <c r="B154" s="1668">
        <v>0.97593077123230199</v>
      </c>
      <c r="C154" s="1668">
        <v>0.92446394160377221</v>
      </c>
      <c r="D154" s="1249">
        <v>0.87676208211479334</v>
      </c>
      <c r="E154" s="1249">
        <v>0.83425950772121216</v>
      </c>
      <c r="F154" s="1249">
        <v>0.79757140923136394</v>
      </c>
      <c r="G154" s="1249"/>
      <c r="H154" s="1249"/>
      <c r="N154" s="510"/>
      <c r="O154" s="510"/>
      <c r="P154" s="510"/>
      <c r="R154" s="1674"/>
      <c r="S154" s="1674"/>
      <c r="T154" s="1674"/>
    </row>
    <row r="155" spans="1:20" x14ac:dyDescent="0.25">
      <c r="A155" s="1673" t="s">
        <v>2545</v>
      </c>
      <c r="B155" s="1668">
        <v>0.99870088606682716</v>
      </c>
      <c r="C155" s="1668">
        <v>0.9462333009647419</v>
      </c>
      <c r="D155" s="1249">
        <v>0.89713393253681195</v>
      </c>
      <c r="E155" s="1249">
        <v>0.85332356389004871</v>
      </c>
      <c r="F155" s="1249">
        <v>0.8154116264958563</v>
      </c>
      <c r="G155" s="1249"/>
      <c r="H155" s="1249"/>
      <c r="N155" s="510"/>
      <c r="O155" s="510"/>
      <c r="P155" s="510"/>
      <c r="R155" s="1674"/>
      <c r="S155" s="1674"/>
      <c r="T155" s="1674"/>
    </row>
    <row r="156" spans="1:20" x14ac:dyDescent="0.25">
      <c r="A156" s="1673" t="s">
        <v>2546</v>
      </c>
      <c r="B156" s="1668">
        <v>1.0204702454277965</v>
      </c>
      <c r="C156" s="1668">
        <v>0.96660515138676051</v>
      </c>
      <c r="D156" s="1249">
        <v>0.91619798870564872</v>
      </c>
      <c r="E156" s="1249">
        <v>0.87116378115454141</v>
      </c>
      <c r="F156" s="1249">
        <v>0.83210657059513804</v>
      </c>
      <c r="G156" s="1249"/>
      <c r="H156" s="1249"/>
      <c r="N156" s="510"/>
      <c r="O156" s="510"/>
      <c r="P156" s="510"/>
      <c r="R156" s="1674"/>
      <c r="S156" s="1674"/>
      <c r="T156" s="1674"/>
    </row>
    <row r="157" spans="1:20" x14ac:dyDescent="0.25">
      <c r="A157" s="1673" t="s">
        <v>2547</v>
      </c>
      <c r="B157" s="1668">
        <v>0.20658258812860286</v>
      </c>
      <c r="C157" s="1668">
        <v>0.18809779832423318</v>
      </c>
      <c r="D157" s="1249">
        <v>0.1733977002752469</v>
      </c>
      <c r="E157" s="1249">
        <v>0.16493908116013026</v>
      </c>
      <c r="F157" s="1249">
        <v>0.16205472431214935</v>
      </c>
      <c r="G157" s="1249"/>
      <c r="H157" s="1249"/>
      <c r="N157" s="510"/>
      <c r="O157" s="510"/>
      <c r="P157" s="510"/>
      <c r="R157" s="1674"/>
      <c r="S157" s="1674"/>
      <c r="T157" s="1674"/>
    </row>
    <row r="158" spans="1:20" x14ac:dyDescent="0.25">
      <c r="A158" s="1673" t="s">
        <v>2548</v>
      </c>
      <c r="B158" s="1668">
        <v>0.26233474278728797</v>
      </c>
      <c r="C158" s="1668">
        <v>0.24286891912519526</v>
      </c>
      <c r="D158" s="1249">
        <v>0.22781350597573014</v>
      </c>
      <c r="E158" s="1249">
        <v>0.21780687897083445</v>
      </c>
      <c r="F158" s="1249">
        <v>0.21160090162222633</v>
      </c>
      <c r="G158" s="1249"/>
      <c r="H158" s="1249"/>
      <c r="N158" s="510"/>
      <c r="O158" s="510"/>
      <c r="P158" s="510"/>
      <c r="R158" s="1674"/>
      <c r="S158" s="1674"/>
      <c r="T158" s="1674"/>
    </row>
    <row r="159" spans="1:20" x14ac:dyDescent="0.25">
      <c r="A159" s="1673" t="s">
        <v>2549</v>
      </c>
      <c r="B159" s="1668">
        <v>0.31710586358824999</v>
      </c>
      <c r="C159" s="1668">
        <v>0.29728472482567836</v>
      </c>
      <c r="D159" s="1249">
        <v>0.2806813037864343</v>
      </c>
      <c r="E159" s="1249">
        <v>0.26735305628091138</v>
      </c>
      <c r="F159" s="1249">
        <v>0.2579208219007269</v>
      </c>
      <c r="G159" s="1249"/>
      <c r="H159" s="1249"/>
      <c r="N159" s="510"/>
      <c r="O159" s="510"/>
      <c r="P159" s="510"/>
      <c r="R159" s="1674"/>
      <c r="S159" s="1674"/>
      <c r="T159" s="1674"/>
    </row>
    <row r="160" spans="1:20" x14ac:dyDescent="0.25">
      <c r="A160" s="1673" t="s">
        <v>2550</v>
      </c>
      <c r="B160" s="1668">
        <v>0.37152166928873304</v>
      </c>
      <c r="C160" s="1668">
        <v>0.35015252263638258</v>
      </c>
      <c r="D160" s="1249">
        <v>0.33022748109651118</v>
      </c>
      <c r="E160" s="1249">
        <v>0.31367297655941201</v>
      </c>
      <c r="F160" s="1249">
        <v>0.30153612663116747</v>
      </c>
      <c r="G160" s="1249"/>
      <c r="H160" s="1249"/>
      <c r="N160" s="510"/>
      <c r="O160" s="510"/>
      <c r="P160" s="510"/>
      <c r="R160" s="1674"/>
      <c r="S160" s="1674"/>
      <c r="T160" s="1674"/>
    </row>
    <row r="161" spans="1:20" x14ac:dyDescent="0.25">
      <c r="A161" s="1673" t="s">
        <v>2551</v>
      </c>
      <c r="B161" s="1668">
        <v>0.42438946709943737</v>
      </c>
      <c r="C161" s="1668">
        <v>0.39969869994645951</v>
      </c>
      <c r="D161" s="1249">
        <v>0.37654740137501191</v>
      </c>
      <c r="E161" s="1249">
        <v>0.35728828128985257</v>
      </c>
      <c r="F161" s="1249">
        <v>0.34310161870558348</v>
      </c>
      <c r="G161" s="1249"/>
      <c r="H161" s="1249"/>
      <c r="N161" s="510"/>
      <c r="O161" s="510"/>
      <c r="P161" s="510"/>
      <c r="R161" s="1674"/>
      <c r="S161" s="1674"/>
      <c r="T161" s="1674"/>
    </row>
    <row r="162" spans="1:20" x14ac:dyDescent="0.25">
      <c r="A162" s="1673" t="s">
        <v>2552</v>
      </c>
      <c r="B162" s="1668">
        <v>0.47393564440951436</v>
      </c>
      <c r="C162" s="1668">
        <v>0.44601862022496025</v>
      </c>
      <c r="D162" s="1249">
        <v>0.42016270610545242</v>
      </c>
      <c r="E162" s="1249">
        <v>0.39885377336426853</v>
      </c>
      <c r="F162" s="1249">
        <v>0.38231900014599429</v>
      </c>
      <c r="G162" s="1249"/>
      <c r="H162" s="1249"/>
      <c r="N162" s="510"/>
      <c r="O162" s="510"/>
      <c r="P162" s="510"/>
      <c r="R162" s="1674"/>
      <c r="S162" s="1674"/>
      <c r="T162" s="1674"/>
    </row>
    <row r="163" spans="1:20" x14ac:dyDescent="0.25">
      <c r="A163" s="1673" t="s">
        <v>2553</v>
      </c>
      <c r="B163" s="1668">
        <v>0.52025556468801493</v>
      </c>
      <c r="C163" s="1668">
        <v>0.48963392495540065</v>
      </c>
      <c r="D163" s="1249">
        <v>0.46172819817986849</v>
      </c>
      <c r="E163" s="1249">
        <v>0.43807115480467934</v>
      </c>
      <c r="F163" s="1249">
        <v>0.41982934321815518</v>
      </c>
      <c r="G163" s="1249"/>
      <c r="H163" s="1249"/>
      <c r="N163" s="510"/>
      <c r="O163" s="510"/>
      <c r="P163" s="510"/>
      <c r="R163" s="1674"/>
      <c r="S163" s="1674"/>
      <c r="T163" s="1674"/>
    </row>
    <row r="164" spans="1:20" x14ac:dyDescent="0.25">
      <c r="A164" s="1673" t="s">
        <v>2554</v>
      </c>
      <c r="B164" s="1668">
        <v>6.8173847036115662E-2</v>
      </c>
      <c r="C164" s="1668">
        <v>6.379734890147451E-2</v>
      </c>
      <c r="D164" s="1249">
        <v>5.7702319419803742E-2</v>
      </c>
      <c r="E164" s="1249">
        <v>5.1118396214027716E-2</v>
      </c>
      <c r="F164" s="1249">
        <v>5.0239416873718558E-2</v>
      </c>
      <c r="G164" s="1249"/>
      <c r="H164" s="1249"/>
      <c r="N164" s="510"/>
      <c r="O164" s="510"/>
      <c r="P164" s="510"/>
      <c r="R164" s="1674"/>
      <c r="S164" s="1674"/>
      <c r="T164" s="1674"/>
    </row>
    <row r="165" spans="1:20" x14ac:dyDescent="0.25">
      <c r="A165" s="1673" t="s">
        <v>2555</v>
      </c>
      <c r="B165" s="1668">
        <v>0.51748052401153344</v>
      </c>
      <c r="C165" s="1668">
        <v>0.48743667710415822</v>
      </c>
      <c r="D165" s="1249">
        <v>0.45961010992909185</v>
      </c>
      <c r="E165" s="1249">
        <v>0.43631372807800806</v>
      </c>
      <c r="F165" s="1249">
        <v>0.41808965578964086</v>
      </c>
      <c r="G165" s="1249"/>
      <c r="H165" s="1249"/>
      <c r="N165" s="510"/>
      <c r="O165" s="510"/>
      <c r="P165" s="510"/>
      <c r="R165" s="1674"/>
      <c r="S165" s="1674"/>
      <c r="T165" s="1674"/>
    </row>
    <row r="166" spans="1:20" x14ac:dyDescent="0.25">
      <c r="A166" s="1673" t="s">
        <v>2556</v>
      </c>
      <c r="B166" s="1668">
        <v>0.5556105241402739</v>
      </c>
      <c r="C166" s="1668">
        <v>0.52340745883056639</v>
      </c>
      <c r="D166" s="1249">
        <v>0.49401604749781169</v>
      </c>
      <c r="E166" s="1249">
        <v>0.46920805200366855</v>
      </c>
      <c r="F166" s="1249">
        <v>0.44931949830365447</v>
      </c>
      <c r="G166" s="1249"/>
      <c r="H166" s="1249"/>
      <c r="N166" s="510"/>
      <c r="O166" s="510"/>
      <c r="P166" s="510"/>
      <c r="R166" s="1674"/>
      <c r="S166" s="1674"/>
      <c r="T166" s="1674"/>
    </row>
    <row r="167" spans="1:20" x14ac:dyDescent="0.25">
      <c r="A167" s="1673" t="s">
        <v>2557</v>
      </c>
      <c r="B167" s="1668">
        <v>0.59158130586668189</v>
      </c>
      <c r="C167" s="1668">
        <v>0.55781339639928629</v>
      </c>
      <c r="D167" s="1249">
        <v>0.52691037142347241</v>
      </c>
      <c r="E167" s="1249">
        <v>0.50043789451768239</v>
      </c>
      <c r="F167" s="1249">
        <v>0.47917719666616326</v>
      </c>
      <c r="G167" s="1249"/>
      <c r="H167" s="1249"/>
      <c r="N167" s="510"/>
      <c r="O167" s="510"/>
      <c r="P167" s="510"/>
      <c r="R167" s="1674"/>
      <c r="S167" s="1674"/>
      <c r="T167" s="1674"/>
    </row>
    <row r="168" spans="1:20" x14ac:dyDescent="0.25">
      <c r="A168" s="1673" t="s">
        <v>2558</v>
      </c>
      <c r="B168" s="1668">
        <v>0.62598724343540191</v>
      </c>
      <c r="C168" s="1668">
        <v>0.59070772032494678</v>
      </c>
      <c r="D168" s="1249">
        <v>0.55814021393748603</v>
      </c>
      <c r="E168" s="1249">
        <v>0.53029559288019101</v>
      </c>
      <c r="F168" s="1249">
        <v>0.50772306797887634</v>
      </c>
      <c r="G168" s="1249"/>
      <c r="H168" s="1249"/>
      <c r="N168" s="510"/>
      <c r="O168" s="510"/>
      <c r="P168" s="510"/>
      <c r="R168" s="1674"/>
      <c r="S168" s="1674"/>
      <c r="T168" s="1674"/>
    </row>
    <row r="169" spans="1:20" x14ac:dyDescent="0.25">
      <c r="A169" s="1673" t="s">
        <v>2559</v>
      </c>
      <c r="B169" s="1668">
        <v>0.65888156736106251</v>
      </c>
      <c r="C169" s="1668">
        <v>0.6219375628389604</v>
      </c>
      <c r="D169" s="1249">
        <v>0.58799791229999454</v>
      </c>
      <c r="E169" s="1249">
        <v>0.55884146419290404</v>
      </c>
      <c r="F169" s="1249">
        <v>0.53501477659455987</v>
      </c>
      <c r="G169" s="1249"/>
      <c r="H169" s="1249"/>
      <c r="N169" s="510"/>
      <c r="O169" s="510"/>
      <c r="P169" s="510"/>
      <c r="R169" s="1674"/>
      <c r="S169" s="1674"/>
      <c r="T169" s="1674"/>
    </row>
    <row r="170" spans="1:20" x14ac:dyDescent="0.25">
      <c r="A170" s="1673" t="s">
        <v>2560</v>
      </c>
      <c r="B170" s="1668">
        <v>0.69011140987507613</v>
      </c>
      <c r="C170" s="1668">
        <v>0.65179526120146924</v>
      </c>
      <c r="D170" s="1249">
        <v>0.61654378361270779</v>
      </c>
      <c r="E170" s="1249">
        <v>0.58613317280858745</v>
      </c>
      <c r="F170" s="1249">
        <v>0.56110745084390623</v>
      </c>
      <c r="G170" s="1249"/>
      <c r="H170" s="1249"/>
      <c r="N170" s="510"/>
      <c r="O170" s="510"/>
      <c r="P170" s="510"/>
      <c r="R170" s="1674"/>
      <c r="S170" s="1674"/>
      <c r="T170" s="1674"/>
    </row>
    <row r="171" spans="1:20" x14ac:dyDescent="0.25">
      <c r="A171" s="1673" t="s">
        <v>2561</v>
      </c>
      <c r="B171" s="1668">
        <v>0.71996910823758498</v>
      </c>
      <c r="C171" s="1668">
        <v>0.68034113251418227</v>
      </c>
      <c r="D171" s="1249">
        <v>0.64383549222839132</v>
      </c>
      <c r="E171" s="1249">
        <v>0.61222584705793393</v>
      </c>
      <c r="F171" s="1249">
        <v>0.58605379462352325</v>
      </c>
      <c r="G171" s="1249"/>
      <c r="H171" s="1249"/>
      <c r="N171" s="510"/>
      <c r="O171" s="510"/>
      <c r="P171" s="510"/>
      <c r="R171" s="1674"/>
      <c r="S171" s="1674"/>
      <c r="T171" s="1674"/>
    </row>
    <row r="172" spans="1:20" x14ac:dyDescent="0.25">
      <c r="A172" s="1673" t="s">
        <v>2562</v>
      </c>
      <c r="B172" s="1668">
        <v>0.74851497955029789</v>
      </c>
      <c r="C172" s="1668">
        <v>0.7076328411298658</v>
      </c>
      <c r="D172" s="1249">
        <v>0.66992816647773767</v>
      </c>
      <c r="E172" s="1249">
        <v>0.63717219083755083</v>
      </c>
      <c r="F172" s="1249">
        <v>0.60995456282840321</v>
      </c>
      <c r="G172" s="1249"/>
      <c r="H172" s="1249"/>
      <c r="N172" s="510"/>
      <c r="O172" s="510"/>
      <c r="P172" s="510"/>
      <c r="R172" s="1674"/>
      <c r="S172" s="1674"/>
      <c r="T172" s="1674"/>
    </row>
    <row r="173" spans="1:20" x14ac:dyDescent="0.25">
      <c r="A173" s="1673" t="s">
        <v>2563</v>
      </c>
      <c r="B173" s="1668">
        <v>0.77580668816598142</v>
      </c>
      <c r="C173" s="1668">
        <v>0.73372551537921205</v>
      </c>
      <c r="D173" s="1249">
        <v>0.69487451025735447</v>
      </c>
      <c r="E173" s="1249">
        <v>0.66107295904243102</v>
      </c>
      <c r="F173" s="1249">
        <v>0.63280526628578004</v>
      </c>
      <c r="G173" s="1249"/>
      <c r="H173" s="1249"/>
      <c r="N173" s="510"/>
      <c r="O173" s="510"/>
      <c r="P173" s="510"/>
      <c r="R173" s="1674"/>
      <c r="S173" s="1674"/>
      <c r="T173" s="1674"/>
    </row>
    <row r="174" spans="1:20" x14ac:dyDescent="0.25">
      <c r="A174" s="1673" t="s">
        <v>2564</v>
      </c>
      <c r="B174" s="1668">
        <v>0.80189936241532767</v>
      </c>
      <c r="C174" s="1668">
        <v>0.75867185915882906</v>
      </c>
      <c r="D174" s="1249">
        <v>0.71877527846223455</v>
      </c>
      <c r="E174" s="1249">
        <v>0.68392366249980752</v>
      </c>
      <c r="F174" s="1249">
        <v>0.65465206124966102</v>
      </c>
      <c r="G174" s="1249"/>
      <c r="H174" s="1249"/>
      <c r="N174" s="510"/>
      <c r="O174" s="510"/>
      <c r="P174" s="510"/>
      <c r="R174" s="1674"/>
      <c r="S174" s="1674"/>
      <c r="T174" s="1674"/>
    </row>
    <row r="175" spans="1:20" x14ac:dyDescent="0.25">
      <c r="A175" s="1673" t="s">
        <v>2565</v>
      </c>
      <c r="B175" s="1668">
        <v>0.13197119593759019</v>
      </c>
      <c r="C175" s="1668">
        <v>0.12149966832127829</v>
      </c>
      <c r="D175" s="1249">
        <v>0.10882071563383144</v>
      </c>
      <c r="E175" s="1249">
        <v>0.10135781308774626</v>
      </c>
      <c r="F175" s="1249">
        <v>0.10017813108869017</v>
      </c>
      <c r="G175" s="1249"/>
      <c r="H175" s="1249"/>
      <c r="N175" s="510"/>
      <c r="O175" s="510"/>
      <c r="P175" s="510"/>
      <c r="R175" s="1674"/>
      <c r="S175" s="1674"/>
      <c r="T175" s="1674"/>
    </row>
    <row r="176" spans="1:20" x14ac:dyDescent="0.25">
      <c r="A176" s="1673" t="s">
        <v>2566</v>
      </c>
      <c r="B176" s="1668">
        <v>0.82684570619494469</v>
      </c>
      <c r="C176" s="1668">
        <v>0.78257262736370903</v>
      </c>
      <c r="D176" s="1249">
        <v>0.74162598191961127</v>
      </c>
      <c r="E176" s="1249">
        <v>0.70577045746368861</v>
      </c>
      <c r="F176" s="1249">
        <v>0.67553907414492465</v>
      </c>
      <c r="G176" s="1249"/>
      <c r="H176" s="1249"/>
      <c r="N176" s="510"/>
      <c r="O176" s="510"/>
      <c r="P176" s="510"/>
      <c r="R176" s="1674"/>
      <c r="S176" s="1674"/>
      <c r="T176" s="1674"/>
    </row>
    <row r="177" spans="1:20" x14ac:dyDescent="0.25">
      <c r="A177" s="1673" t="s">
        <v>2567</v>
      </c>
      <c r="B177" s="1668">
        <v>0.85074647439982498</v>
      </c>
      <c r="C177" s="1668">
        <v>0.80542333082108586</v>
      </c>
      <c r="D177" s="1249">
        <v>0.76347277688349235</v>
      </c>
      <c r="E177" s="1249">
        <v>0.72665747035895234</v>
      </c>
      <c r="F177" s="1249">
        <v>0.69550849087872257</v>
      </c>
      <c r="G177" s="1249"/>
      <c r="H177" s="1249"/>
      <c r="N177" s="510"/>
      <c r="O177" s="510"/>
      <c r="P177" s="510"/>
      <c r="R177" s="1674"/>
      <c r="S177" s="1674"/>
      <c r="T177" s="1674"/>
    </row>
    <row r="178" spans="1:20" x14ac:dyDescent="0.25">
      <c r="A178" s="1673" t="s">
        <v>2568</v>
      </c>
      <c r="B178" s="1668">
        <v>0.87359717785720126</v>
      </c>
      <c r="C178" s="1668">
        <v>0.82727012578496695</v>
      </c>
      <c r="D178" s="1249">
        <v>0.78435978977875609</v>
      </c>
      <c r="E178" s="1249">
        <v>0.74662688709275027</v>
      </c>
      <c r="F178" s="1249">
        <v>0.71419594805053421</v>
      </c>
      <c r="G178" s="1249"/>
      <c r="H178" s="1249"/>
      <c r="N178" s="510"/>
      <c r="O178" s="510"/>
      <c r="P178" s="510"/>
      <c r="R178" s="1674"/>
      <c r="S178" s="1674"/>
      <c r="T178" s="1674"/>
    </row>
    <row r="179" spans="1:20" x14ac:dyDescent="0.25">
      <c r="A179" s="1673" t="s">
        <v>2569</v>
      </c>
      <c r="B179" s="1668">
        <v>0.89544397282108257</v>
      </c>
      <c r="C179" s="1668">
        <v>0.84815713868023068</v>
      </c>
      <c r="D179" s="1249">
        <v>0.80432920651255402</v>
      </c>
      <c r="E179" s="1249">
        <v>0.76531434426456202</v>
      </c>
      <c r="F179" s="1249">
        <v>0.73168374252162915</v>
      </c>
      <c r="G179" s="1249"/>
      <c r="H179" s="1249"/>
      <c r="N179" s="510"/>
      <c r="O179" s="510"/>
      <c r="P179" s="510"/>
      <c r="R179" s="1674"/>
      <c r="S179" s="1674"/>
      <c r="T179" s="1674"/>
    </row>
    <row r="180" spans="1:20" x14ac:dyDescent="0.25">
      <c r="A180" s="1673" t="s">
        <v>2570</v>
      </c>
      <c r="B180" s="1668">
        <v>0.91633098571634597</v>
      </c>
      <c r="C180" s="1668">
        <v>0.8681265554140285</v>
      </c>
      <c r="D180" s="1249">
        <v>0.82301666368436588</v>
      </c>
      <c r="E180" s="1249">
        <v>0.78280213873565685</v>
      </c>
      <c r="F180" s="1249">
        <v>0.74804888801207903</v>
      </c>
      <c r="G180" s="1249"/>
      <c r="H180" s="1249"/>
      <c r="N180" s="510"/>
      <c r="O180" s="510"/>
      <c r="P180" s="510"/>
      <c r="R180" s="1674"/>
      <c r="S180" s="1674"/>
      <c r="T180" s="1674"/>
    </row>
    <row r="181" spans="1:20" x14ac:dyDescent="0.25">
      <c r="A181" s="1673" t="s">
        <v>2571</v>
      </c>
      <c r="B181" s="1668">
        <v>0.93630040245014412</v>
      </c>
      <c r="C181" s="1668">
        <v>0.88681401258584047</v>
      </c>
      <c r="D181" s="1249">
        <v>0.84050445815546038</v>
      </c>
      <c r="E181" s="1249">
        <v>0.79916728422610661</v>
      </c>
      <c r="F181" s="1249">
        <v>0.76336345425805463</v>
      </c>
      <c r="G181" s="1249"/>
      <c r="H181" s="1249"/>
      <c r="N181" s="510"/>
      <c r="O181" s="510"/>
      <c r="P181" s="510"/>
      <c r="R181" s="1674"/>
      <c r="S181" s="1674"/>
      <c r="T181" s="1674"/>
    </row>
    <row r="182" spans="1:20" x14ac:dyDescent="0.25">
      <c r="A182" s="1673" t="s">
        <v>2572</v>
      </c>
      <c r="B182" s="1668">
        <v>0.18967351535739391</v>
      </c>
      <c r="C182" s="1668">
        <v>0.17261806453530595</v>
      </c>
      <c r="D182" s="1249">
        <v>0.15906013250755008</v>
      </c>
      <c r="E182" s="1249">
        <v>0.15129652730271792</v>
      </c>
      <c r="F182" s="1249">
        <v>0.14870714869886487</v>
      </c>
      <c r="G182" s="1249"/>
      <c r="H182" s="1249"/>
      <c r="N182" s="510"/>
      <c r="O182" s="510"/>
      <c r="P182" s="510"/>
      <c r="R182" s="1674"/>
      <c r="S182" s="1674"/>
      <c r="T182" s="1674"/>
    </row>
    <row r="183" spans="1:20" x14ac:dyDescent="0.25">
      <c r="A183" s="1673" t="s">
        <v>2573</v>
      </c>
      <c r="B183" s="1668">
        <v>0.24079191157142166</v>
      </c>
      <c r="C183" s="1668">
        <v>0.2228574814090245</v>
      </c>
      <c r="D183" s="1249">
        <v>0.20899884672252167</v>
      </c>
      <c r="E183" s="1249">
        <v>0.19982554491289259</v>
      </c>
      <c r="F183" s="1249">
        <v>0.19417805368200017</v>
      </c>
      <c r="G183" s="1249"/>
      <c r="H183" s="1249"/>
      <c r="N183" s="510"/>
      <c r="O183" s="510"/>
      <c r="P183" s="510"/>
      <c r="R183" s="1674"/>
      <c r="S183" s="1674"/>
      <c r="T183" s="1674"/>
    </row>
    <row r="184" spans="1:20" x14ac:dyDescent="0.25">
      <c r="A184" s="1673" t="s">
        <v>2574</v>
      </c>
      <c r="B184" s="1668">
        <v>0.29103132844514024</v>
      </c>
      <c r="C184" s="1668">
        <v>0.27279619562399621</v>
      </c>
      <c r="D184" s="1249">
        <v>0.25752786433269637</v>
      </c>
      <c r="E184" s="1249">
        <v>0.24529644989602784</v>
      </c>
      <c r="F184" s="1249">
        <v>0.23667743631800195</v>
      </c>
      <c r="G184" s="1249"/>
      <c r="H184" s="1249"/>
      <c r="N184" s="510"/>
      <c r="O184" s="510"/>
      <c r="P184" s="510"/>
      <c r="R184" s="1674"/>
      <c r="S184" s="1674"/>
      <c r="T184" s="1674"/>
    </row>
    <row r="185" spans="1:20" x14ac:dyDescent="0.25">
      <c r="A185" s="1673" t="s">
        <v>2575</v>
      </c>
      <c r="B185" s="1668">
        <v>0.34097004266011177</v>
      </c>
      <c r="C185" s="1668">
        <v>0.32132521323417085</v>
      </c>
      <c r="D185" s="1249">
        <v>0.30299876931583158</v>
      </c>
      <c r="E185" s="1249">
        <v>0.28779583253202973</v>
      </c>
      <c r="F185" s="1249">
        <v>0.27668861244011189</v>
      </c>
      <c r="G185" s="1249"/>
      <c r="H185" s="1249"/>
      <c r="N185" s="510"/>
      <c r="O185" s="510"/>
      <c r="P185" s="510"/>
      <c r="R185" s="1674"/>
      <c r="S185" s="1674"/>
      <c r="T185" s="1674"/>
    </row>
    <row r="186" spans="1:20" x14ac:dyDescent="0.25">
      <c r="A186" s="1673" t="s">
        <v>2576</v>
      </c>
      <c r="B186" s="1668">
        <v>0.38949906027028652</v>
      </c>
      <c r="C186" s="1668">
        <v>0.36679611821730612</v>
      </c>
      <c r="D186" s="1249">
        <v>0.34549815195183348</v>
      </c>
      <c r="E186" s="1249">
        <v>0.32780700865413959</v>
      </c>
      <c r="F186" s="1249">
        <v>0.3148186125688523</v>
      </c>
      <c r="G186" s="1249"/>
      <c r="H186" s="1249"/>
      <c r="N186" s="510"/>
      <c r="O186" s="510"/>
      <c r="P186" s="510"/>
      <c r="R186" s="1674"/>
      <c r="S186" s="1674"/>
      <c r="T186" s="1674"/>
    </row>
    <row r="187" spans="1:20" x14ac:dyDescent="0.25">
      <c r="A187" s="1673" t="s">
        <v>2577</v>
      </c>
      <c r="B187" s="1668">
        <v>0.4349699652534218</v>
      </c>
      <c r="C187" s="1668">
        <v>0.40929550085330796</v>
      </c>
      <c r="D187" s="1249">
        <v>0.38550932807394334</v>
      </c>
      <c r="E187" s="1249">
        <v>0.3659370087828801</v>
      </c>
      <c r="F187" s="1249">
        <v>0.3507893942952604</v>
      </c>
      <c r="G187" s="1249"/>
      <c r="H187" s="1249"/>
      <c r="N187" s="510"/>
      <c r="O187" s="510"/>
      <c r="P187" s="510"/>
      <c r="R187" s="1674"/>
      <c r="S187" s="1674"/>
      <c r="T187" s="1674"/>
    </row>
    <row r="188" spans="1:20" x14ac:dyDescent="0.25">
      <c r="A188" s="1673" t="s">
        <v>2578</v>
      </c>
      <c r="B188" s="1668">
        <v>0.47746934788942352</v>
      </c>
      <c r="C188" s="1668">
        <v>0.44930667697541793</v>
      </c>
      <c r="D188" s="1249">
        <v>0.42363932820268385</v>
      </c>
      <c r="E188" s="1249">
        <v>0.4019077905092881</v>
      </c>
      <c r="F188" s="1249">
        <v>0.38519533186398025</v>
      </c>
      <c r="G188" s="1249"/>
      <c r="H188" s="1249"/>
      <c r="N188" s="510"/>
      <c r="O188" s="510"/>
      <c r="P188" s="510"/>
      <c r="R188" s="1674"/>
      <c r="S188" s="1674"/>
      <c r="T188" s="1674"/>
    </row>
    <row r="189" spans="1:20" x14ac:dyDescent="0.25">
      <c r="A189" s="1673" t="s">
        <v>2579</v>
      </c>
      <c r="B189" s="1668">
        <v>8.0089093812004006E-2</v>
      </c>
      <c r="C189" s="1668">
        <v>7.2776954124957494E-2</v>
      </c>
      <c r="D189" s="1249">
        <v>6.4909155565011298E-2</v>
      </c>
      <c r="E189" s="1249">
        <v>6.3604618915221497E-2</v>
      </c>
      <c r="F189" s="1249">
        <v>6.29924558153344E-2</v>
      </c>
      <c r="G189" s="1249"/>
      <c r="H189" s="1249"/>
      <c r="N189" s="510"/>
      <c r="O189" s="510"/>
      <c r="P189" s="510"/>
      <c r="R189" s="1674"/>
      <c r="S189" s="1674"/>
      <c r="T189" s="1674"/>
    </row>
    <row r="190" spans="1:20" x14ac:dyDescent="0.25">
      <c r="A190" s="1673" t="s">
        <v>2580</v>
      </c>
      <c r="B190" s="1668">
        <v>0.615382510487686</v>
      </c>
      <c r="C190" s="1668">
        <v>0.58084999560624195</v>
      </c>
      <c r="D190" s="1249">
        <v>0.55163970730626899</v>
      </c>
      <c r="E190" s="1249">
        <v>0.52837711898287998</v>
      </c>
      <c r="F190" s="1249">
        <v>0.50433072794839295</v>
      </c>
      <c r="G190" s="1249"/>
      <c r="H190" s="1249"/>
      <c r="N190" s="510"/>
      <c r="O190" s="510"/>
      <c r="P190" s="510"/>
      <c r="R190" s="1674"/>
      <c r="S190" s="1674"/>
      <c r="T190" s="1674"/>
    </row>
    <row r="191" spans="1:20" x14ac:dyDescent="0.25">
      <c r="A191" s="1673" t="s">
        <v>2581</v>
      </c>
      <c r="B191" s="1668">
        <v>0.66093908941824597</v>
      </c>
      <c r="C191" s="1668">
        <v>0.62441666143122698</v>
      </c>
      <c r="D191" s="1249">
        <v>0.59328627454789196</v>
      </c>
      <c r="E191" s="1249">
        <v>0.56793534686361502</v>
      </c>
      <c r="F191" s="1249">
        <v>0.54214541889928003</v>
      </c>
      <c r="G191" s="1249"/>
      <c r="H191" s="1249"/>
      <c r="N191" s="510"/>
      <c r="O191" s="510"/>
      <c r="P191" s="510"/>
      <c r="R191" s="1674"/>
      <c r="S191" s="1674"/>
      <c r="T191" s="1674"/>
    </row>
    <row r="192" spans="1:20" x14ac:dyDescent="0.25">
      <c r="A192" s="1673" t="s">
        <v>2582</v>
      </c>
      <c r="B192" s="1668">
        <v>0.704505755243231</v>
      </c>
      <c r="C192" s="1668">
        <v>0.66606322867284895</v>
      </c>
      <c r="D192" s="1249">
        <v>0.632844502428626</v>
      </c>
      <c r="E192" s="1249">
        <v>0.60575003781450198</v>
      </c>
      <c r="F192" s="1249">
        <v>0.57829346109877</v>
      </c>
      <c r="G192" s="1249"/>
      <c r="H192" s="1249"/>
      <c r="N192" s="510"/>
      <c r="O192" s="510"/>
      <c r="P192" s="510"/>
      <c r="R192" s="1674"/>
      <c r="S192" s="1674"/>
      <c r="T192" s="1674"/>
    </row>
    <row r="193" spans="1:20" x14ac:dyDescent="0.25">
      <c r="A193" s="1673" t="s">
        <v>2583</v>
      </c>
      <c r="B193" s="1668">
        <v>0.74615232248485297</v>
      </c>
      <c r="C193" s="1668">
        <v>0.70562145655358299</v>
      </c>
      <c r="D193" s="1249">
        <v>0.67065919337951296</v>
      </c>
      <c r="E193" s="1249">
        <v>0.64189808001399196</v>
      </c>
      <c r="F193" s="1249">
        <v>0.61284835018348005</v>
      </c>
      <c r="G193" s="1249"/>
      <c r="H193" s="1249"/>
      <c r="N193" s="510"/>
      <c r="O193" s="510"/>
      <c r="P193" s="510"/>
      <c r="R193" s="1674"/>
      <c r="S193" s="1674"/>
      <c r="T193" s="1674"/>
    </row>
    <row r="194" spans="1:20" x14ac:dyDescent="0.25">
      <c r="A194" s="1673" t="s">
        <v>2584</v>
      </c>
      <c r="B194" s="1668">
        <v>0.78571055036558701</v>
      </c>
      <c r="C194" s="1668">
        <v>0.74343614750447096</v>
      </c>
      <c r="D194" s="1249">
        <v>0.70680723557900305</v>
      </c>
      <c r="E194" s="1249">
        <v>0.67645296909870101</v>
      </c>
      <c r="F194" s="1249">
        <v>0.64588033902030895</v>
      </c>
      <c r="G194" s="1249"/>
      <c r="H194" s="1249"/>
      <c r="N194" s="510"/>
      <c r="O194" s="510"/>
      <c r="P194" s="510"/>
      <c r="R194" s="1674"/>
      <c r="S194" s="1674"/>
      <c r="T194" s="1674"/>
    </row>
    <row r="195" spans="1:20" x14ac:dyDescent="0.25">
      <c r="A195" s="1673" t="s">
        <v>2585</v>
      </c>
      <c r="B195" s="1668">
        <v>0.82352524131647498</v>
      </c>
      <c r="C195" s="1668">
        <v>0.77958418970396104</v>
      </c>
      <c r="D195" s="1249">
        <v>0.74136212466371298</v>
      </c>
      <c r="E195" s="1249">
        <v>0.70948495793553101</v>
      </c>
      <c r="F195" s="1249">
        <v>0.67745658086280303</v>
      </c>
      <c r="G195" s="1249"/>
      <c r="H195" s="1249"/>
      <c r="N195" s="510"/>
      <c r="O195" s="510"/>
      <c r="P195" s="510"/>
      <c r="R195" s="1674"/>
      <c r="S195" s="1674"/>
      <c r="T195" s="1674"/>
    </row>
    <row r="196" spans="1:20" x14ac:dyDescent="0.25">
      <c r="A196" s="1673" t="s">
        <v>2586</v>
      </c>
      <c r="B196" s="1668">
        <v>0.85967328351596395</v>
      </c>
      <c r="C196" s="1668">
        <v>0.81413907878866998</v>
      </c>
      <c r="D196" s="1249">
        <v>0.77439411350054199</v>
      </c>
      <c r="E196" s="1249">
        <v>0.74106119977802398</v>
      </c>
      <c r="F196" s="1249">
        <v>0.70771959092952297</v>
      </c>
      <c r="G196" s="1249"/>
      <c r="H196" s="1249"/>
      <c r="N196" s="510"/>
      <c r="O196" s="510"/>
      <c r="P196" s="510"/>
      <c r="R196" s="1674"/>
      <c r="S196" s="1674"/>
      <c r="T196" s="1674"/>
    </row>
    <row r="197" spans="1:20" x14ac:dyDescent="0.25">
      <c r="A197" s="1673" t="s">
        <v>2587</v>
      </c>
      <c r="B197" s="1668">
        <v>0.894228172600674</v>
      </c>
      <c r="C197" s="1668">
        <v>0.84717106762549998</v>
      </c>
      <c r="D197" s="1249">
        <v>0.80597035534303596</v>
      </c>
      <c r="E197" s="1249">
        <v>0.77132420984474503</v>
      </c>
      <c r="F197" s="1249">
        <v>0.73664884074234105</v>
      </c>
      <c r="G197" s="1249"/>
      <c r="H197" s="1249"/>
      <c r="N197" s="510"/>
      <c r="O197" s="510"/>
      <c r="P197" s="510"/>
      <c r="R197" s="1674"/>
      <c r="S197" s="1674"/>
      <c r="T197" s="1674"/>
    </row>
    <row r="198" spans="1:20" x14ac:dyDescent="0.25">
      <c r="A198" s="1673" t="s">
        <v>2588</v>
      </c>
      <c r="B198" s="1668">
        <v>0.927260161437504</v>
      </c>
      <c r="C198" s="1668">
        <v>0.87874730946799295</v>
      </c>
      <c r="D198" s="1249">
        <v>0.83623336540975601</v>
      </c>
      <c r="E198" s="1249">
        <v>0.800253459657563</v>
      </c>
      <c r="F198" s="1249">
        <v>0.76430314381403996</v>
      </c>
      <c r="G198" s="1249"/>
      <c r="H198" s="1249"/>
      <c r="N198" s="510"/>
      <c r="O198" s="510"/>
      <c r="P198" s="510"/>
      <c r="R198" s="1674"/>
      <c r="S198" s="1674"/>
      <c r="T198" s="1674"/>
    </row>
    <row r="199" spans="1:20" x14ac:dyDescent="0.25">
      <c r="A199" s="1673" t="s">
        <v>2589</v>
      </c>
      <c r="B199" s="1668">
        <v>0.95883640327999697</v>
      </c>
      <c r="C199" s="1668">
        <v>0.90901031953471301</v>
      </c>
      <c r="D199" s="1249">
        <v>0.86516261522257398</v>
      </c>
      <c r="E199" s="1249">
        <v>0.82790776272926203</v>
      </c>
      <c r="F199" s="1249">
        <v>0.79073871880110402</v>
      </c>
      <c r="G199" s="1249"/>
      <c r="H199" s="1249"/>
      <c r="N199" s="510"/>
      <c r="O199" s="510"/>
      <c r="P199" s="510"/>
      <c r="R199" s="1674"/>
      <c r="S199" s="1674"/>
      <c r="T199" s="1674"/>
    </row>
    <row r="200" spans="1:20" x14ac:dyDescent="0.25">
      <c r="A200" s="1673" t="s">
        <v>2590</v>
      </c>
      <c r="B200" s="1668">
        <v>0.15286604793696201</v>
      </c>
      <c r="C200" s="1668">
        <v>0.137686109689969</v>
      </c>
      <c r="D200" s="1249">
        <v>0.12851377448023299</v>
      </c>
      <c r="E200" s="1249">
        <v>0.12659707473055601</v>
      </c>
      <c r="F200" s="1249">
        <v>0.12410627491764201</v>
      </c>
      <c r="G200" s="1249"/>
      <c r="H200" s="1249"/>
      <c r="N200" s="510"/>
      <c r="O200" s="510"/>
      <c r="P200" s="510"/>
      <c r="R200" s="1674"/>
      <c r="S200" s="1674"/>
      <c r="T200" s="1674"/>
    </row>
    <row r="201" spans="1:20" x14ac:dyDescent="0.25">
      <c r="A201" s="1673" t="s">
        <v>2591</v>
      </c>
      <c r="B201" s="1668">
        <v>0.98909941334671803</v>
      </c>
      <c r="C201" s="1668">
        <v>0.93793956934753098</v>
      </c>
      <c r="D201" s="1249">
        <v>0.89281691829427301</v>
      </c>
      <c r="E201" s="1249">
        <v>0.85434333771632598</v>
      </c>
      <c r="F201" s="1249">
        <v>0.81600930405218297</v>
      </c>
      <c r="G201" s="1249"/>
      <c r="H201" s="1249"/>
      <c r="N201" s="510"/>
      <c r="O201" s="510"/>
      <c r="P201" s="510"/>
      <c r="R201" s="1674"/>
      <c r="S201" s="1674"/>
      <c r="T201" s="1674"/>
    </row>
    <row r="202" spans="1:20" x14ac:dyDescent="0.25">
      <c r="A202" s="1673" t="s">
        <v>2592</v>
      </c>
      <c r="B202" s="1668">
        <v>1.0180286631595401</v>
      </c>
      <c r="C202" s="1668">
        <v>0.96559387241923</v>
      </c>
      <c r="D202" s="1249">
        <v>0.91925249328133696</v>
      </c>
      <c r="E202" s="1249">
        <v>0.87961392296740504</v>
      </c>
      <c r="F202" s="1249">
        <v>0.840166267097055</v>
      </c>
      <c r="G202" s="1249"/>
      <c r="H202" s="1249"/>
      <c r="N202" s="510"/>
      <c r="O202" s="510"/>
      <c r="P202" s="510"/>
      <c r="R202" s="1674"/>
      <c r="S202" s="1674"/>
      <c r="T202" s="1674"/>
    </row>
    <row r="203" spans="1:20" x14ac:dyDescent="0.25">
      <c r="A203" s="1673" t="s">
        <v>2593</v>
      </c>
      <c r="B203" s="1668">
        <v>1.0456829662312299</v>
      </c>
      <c r="C203" s="1668">
        <v>0.99202944740629495</v>
      </c>
      <c r="D203" s="1249">
        <v>0.94452307853241602</v>
      </c>
      <c r="E203" s="1249">
        <v>0.90377088601227695</v>
      </c>
      <c r="F203" s="1249">
        <v>0.86277244625190397</v>
      </c>
      <c r="G203" s="1249"/>
      <c r="H203" s="1249"/>
      <c r="N203" s="510"/>
      <c r="O203" s="510"/>
      <c r="P203" s="510"/>
      <c r="R203" s="1674"/>
      <c r="S203" s="1674"/>
      <c r="T203" s="1674"/>
    </row>
    <row r="204" spans="1:20" x14ac:dyDescent="0.25">
      <c r="A204" s="1673" t="s">
        <v>2594</v>
      </c>
      <c r="B204" s="1668">
        <v>1.0721185412183001</v>
      </c>
      <c r="C204" s="1668">
        <v>1.01730003265737</v>
      </c>
      <c r="D204" s="1249">
        <v>0.96868004157728804</v>
      </c>
      <c r="E204" s="1249">
        <v>0.92637706516712603</v>
      </c>
      <c r="F204" s="1249">
        <v>0.88392739586340396</v>
      </c>
      <c r="G204" s="1249"/>
      <c r="H204" s="1249"/>
      <c r="N204" s="510"/>
      <c r="O204" s="510"/>
      <c r="P204" s="510"/>
      <c r="R204" s="1674"/>
      <c r="S204" s="1674"/>
      <c r="T204" s="1674"/>
    </row>
    <row r="205" spans="1:20" x14ac:dyDescent="0.25">
      <c r="A205" s="1673" t="s">
        <v>2595</v>
      </c>
      <c r="B205" s="1668">
        <v>1.09738912646938</v>
      </c>
      <c r="C205" s="1668">
        <v>1.0414569957022499</v>
      </c>
      <c r="D205" s="1249">
        <v>0.99128622073213701</v>
      </c>
      <c r="E205" s="1249">
        <v>0.94753201477862603</v>
      </c>
      <c r="F205" s="1249">
        <v>0.90372427927300603</v>
      </c>
      <c r="G205" s="1249"/>
      <c r="H205" s="1249"/>
      <c r="N205" s="510"/>
      <c r="O205" s="510"/>
      <c r="P205" s="510"/>
      <c r="R205" s="1674"/>
      <c r="S205" s="1674"/>
      <c r="T205" s="1674"/>
    </row>
    <row r="206" spans="1:20" x14ac:dyDescent="0.25">
      <c r="A206" s="1673" t="s">
        <v>2596</v>
      </c>
      <c r="B206" s="1668">
        <v>1.1215460895142499</v>
      </c>
      <c r="C206" s="1668">
        <v>1.0640631748570899</v>
      </c>
      <c r="D206" s="1249">
        <v>1.01244117034364</v>
      </c>
      <c r="E206" s="1249">
        <v>0.96732889818822798</v>
      </c>
      <c r="F206" s="1249">
        <v>0.92225027909483104</v>
      </c>
      <c r="G206" s="1249"/>
      <c r="H206" s="1249"/>
      <c r="N206" s="510"/>
      <c r="O206" s="510"/>
      <c r="P206" s="510"/>
      <c r="R206" s="1674"/>
      <c r="S206" s="1674"/>
      <c r="T206" s="1674"/>
    </row>
    <row r="207" spans="1:20" x14ac:dyDescent="0.25">
      <c r="A207" s="1673" t="s">
        <v>2597</v>
      </c>
      <c r="B207" s="1668">
        <v>1.1441522686690999</v>
      </c>
      <c r="C207" s="1668">
        <v>1.0852181244685899</v>
      </c>
      <c r="D207" s="1249">
        <v>1.0322380537532401</v>
      </c>
      <c r="E207" s="1249">
        <v>0.98585489801005199</v>
      </c>
      <c r="F207" s="1249">
        <v>0.93958698115530703</v>
      </c>
      <c r="G207" s="1249"/>
      <c r="H207" s="1249"/>
      <c r="N207" s="510"/>
      <c r="O207" s="510"/>
      <c r="P207" s="510"/>
      <c r="R207" s="1674"/>
      <c r="S207" s="1674"/>
      <c r="T207" s="1674"/>
    </row>
    <row r="208" spans="1:20" x14ac:dyDescent="0.25">
      <c r="A208" s="1673" t="s">
        <v>2598</v>
      </c>
      <c r="B208" s="1668">
        <v>1.1653072182805999</v>
      </c>
      <c r="C208" s="1668">
        <v>1.1050150078782</v>
      </c>
      <c r="D208" s="1249">
        <v>1.05076405357506</v>
      </c>
      <c r="E208" s="1249">
        <v>1.0031916000705301</v>
      </c>
      <c r="F208" s="1249">
        <v>0.95581073378536097</v>
      </c>
      <c r="G208" s="1249"/>
      <c r="H208" s="1249"/>
      <c r="N208" s="510"/>
      <c r="O208" s="510"/>
      <c r="P208" s="510"/>
      <c r="R208" s="1674"/>
      <c r="S208" s="1674"/>
      <c r="T208" s="1674"/>
    </row>
    <row r="209" spans="1:20" x14ac:dyDescent="0.25">
      <c r="A209" s="1673" t="s">
        <v>2599</v>
      </c>
      <c r="B209" s="1668">
        <v>1.1851041016902</v>
      </c>
      <c r="C209" s="1668">
        <v>1.1235410077000201</v>
      </c>
      <c r="D209" s="1249">
        <v>1.06810075563554</v>
      </c>
      <c r="E209" s="1249">
        <v>1.01941535270058</v>
      </c>
      <c r="F209" s="1249">
        <v>0.97099298404743595</v>
      </c>
      <c r="G209" s="1249"/>
      <c r="H209" s="1249"/>
      <c r="N209" s="510"/>
      <c r="O209" s="510"/>
      <c r="P209" s="510"/>
      <c r="R209" s="1674"/>
      <c r="S209" s="1674"/>
      <c r="T209" s="1674"/>
    </row>
    <row r="210" spans="1:20" x14ac:dyDescent="0.25">
      <c r="A210" s="1673" t="s">
        <v>2600</v>
      </c>
      <c r="B210" s="1668">
        <v>1.2036301015120301</v>
      </c>
      <c r="C210" s="1668">
        <v>1.1408777097605001</v>
      </c>
      <c r="D210" s="1249">
        <v>1.0843245082655899</v>
      </c>
      <c r="E210" s="1249">
        <v>1.03459760296266</v>
      </c>
      <c r="F210" s="1249">
        <v>0.98520059237803304</v>
      </c>
      <c r="G210" s="1249"/>
      <c r="H210" s="1249"/>
      <c r="N210" s="510"/>
      <c r="O210" s="510"/>
      <c r="P210" s="510"/>
      <c r="R210" s="1674"/>
      <c r="S210" s="1674"/>
      <c r="T210" s="1674"/>
    </row>
    <row r="211" spans="1:20" x14ac:dyDescent="0.25">
      <c r="A211" s="1673" t="s">
        <v>2601</v>
      </c>
      <c r="B211" s="1668">
        <v>0.21777520350197299</v>
      </c>
      <c r="C211" s="1668">
        <v>0.20129072860519001</v>
      </c>
      <c r="D211" s="1249">
        <v>0.19150623029556699</v>
      </c>
      <c r="E211" s="1249">
        <v>0.18771089383286399</v>
      </c>
      <c r="F211" s="1249">
        <v>0.18145234341802799</v>
      </c>
      <c r="G211" s="1249"/>
      <c r="H211" s="1249"/>
      <c r="N211" s="510"/>
      <c r="O211" s="510"/>
      <c r="P211" s="510"/>
      <c r="R211" s="1674"/>
      <c r="S211" s="1674"/>
      <c r="T211" s="1674"/>
    </row>
    <row r="212" spans="1:20" x14ac:dyDescent="0.25">
      <c r="A212" s="1673" t="s">
        <v>2602</v>
      </c>
      <c r="B212" s="1668">
        <v>1.2209668035725001</v>
      </c>
      <c r="C212" s="1668">
        <v>1.15710146239055</v>
      </c>
      <c r="D212" s="1249">
        <v>1.0995067585276701</v>
      </c>
      <c r="E212" s="1249">
        <v>1.04880521129325</v>
      </c>
      <c r="F212" s="1249">
        <v>0.998496127031408</v>
      </c>
      <c r="G212" s="1249"/>
      <c r="H212" s="1249"/>
      <c r="N212" s="510"/>
      <c r="O212" s="510"/>
      <c r="P212" s="510"/>
      <c r="R212" s="1674"/>
      <c r="S212" s="1674"/>
      <c r="T212" s="1674"/>
    </row>
    <row r="213" spans="1:20" x14ac:dyDescent="0.25">
      <c r="A213" s="1673" t="s">
        <v>2603</v>
      </c>
      <c r="B213" s="1668">
        <v>0.281379822417194</v>
      </c>
      <c r="C213" s="1668">
        <v>0.26428318442052501</v>
      </c>
      <c r="D213" s="1249">
        <v>0.25262004939787502</v>
      </c>
      <c r="E213" s="1249">
        <v>0.245056962333249</v>
      </c>
      <c r="F213" s="1249">
        <v>0.23514839239219601</v>
      </c>
      <c r="G213" s="1249"/>
      <c r="H213" s="1249"/>
      <c r="N213" s="510"/>
      <c r="O213" s="510"/>
      <c r="P213" s="510"/>
      <c r="R213" s="1674"/>
      <c r="S213" s="1674"/>
      <c r="T213" s="1674"/>
    </row>
    <row r="214" spans="1:20" x14ac:dyDescent="0.25">
      <c r="A214" s="1673" t="s">
        <v>2604</v>
      </c>
      <c r="B214" s="1668">
        <v>0.34437227823252903</v>
      </c>
      <c r="C214" s="1668">
        <v>0.32539700352283202</v>
      </c>
      <c r="D214" s="1249">
        <v>0.30996611789826101</v>
      </c>
      <c r="E214" s="1249">
        <v>0.29875301130741699</v>
      </c>
      <c r="F214" s="1249">
        <v>0.28576193451774501</v>
      </c>
      <c r="G214" s="1249"/>
      <c r="H214" s="1249"/>
      <c r="N214" s="510"/>
      <c r="O214" s="510"/>
      <c r="P214" s="510"/>
      <c r="R214" s="1674"/>
      <c r="S214" s="1674"/>
      <c r="T214" s="1674"/>
    </row>
    <row r="215" spans="1:20" x14ac:dyDescent="0.25">
      <c r="A215" s="1673" t="s">
        <v>2605</v>
      </c>
      <c r="B215" s="1668">
        <v>0.40548609733483598</v>
      </c>
      <c r="C215" s="1668">
        <v>0.382743072023218</v>
      </c>
      <c r="D215" s="1249">
        <v>0.36366216687242803</v>
      </c>
      <c r="E215" s="1249">
        <v>0.34936655343296702</v>
      </c>
      <c r="F215" s="1249">
        <v>0.33400268807049099</v>
      </c>
      <c r="G215" s="1249"/>
      <c r="H215" s="1249"/>
      <c r="N215" s="510"/>
      <c r="O215" s="510"/>
      <c r="P215" s="510"/>
      <c r="R215" s="1674"/>
      <c r="S215" s="1674"/>
      <c r="T215" s="1674"/>
    </row>
    <row r="216" spans="1:20" x14ac:dyDescent="0.25">
      <c r="A216" s="1673" t="s">
        <v>2606</v>
      </c>
      <c r="B216" s="1668">
        <v>0.46283216583522202</v>
      </c>
      <c r="C216" s="1668">
        <v>0.43643912099738602</v>
      </c>
      <c r="D216" s="1249">
        <v>0.414275708997978</v>
      </c>
      <c r="E216" s="1249">
        <v>0.397607306985713</v>
      </c>
      <c r="F216" s="1249">
        <v>0.37955926700105103</v>
      </c>
      <c r="G216" s="1249"/>
      <c r="H216" s="1249"/>
      <c r="N216" s="510"/>
      <c r="O216" s="510"/>
      <c r="P216" s="510"/>
      <c r="R216" s="1674"/>
      <c r="S216" s="1674"/>
      <c r="T216" s="1674"/>
    </row>
    <row r="217" spans="1:20" x14ac:dyDescent="0.25">
      <c r="A217" s="1673" t="s">
        <v>2607</v>
      </c>
      <c r="B217" s="1668">
        <v>0.51652821480939004</v>
      </c>
      <c r="C217" s="1668">
        <v>0.48705266312293599</v>
      </c>
      <c r="D217" s="1249">
        <v>0.46251646255072398</v>
      </c>
      <c r="E217" s="1249">
        <v>0.44316388591627298</v>
      </c>
      <c r="F217" s="1249">
        <v>0.423125932826037</v>
      </c>
      <c r="G217" s="1249"/>
      <c r="H217" s="1249"/>
      <c r="N217" s="510"/>
      <c r="O217" s="510"/>
      <c r="P217" s="510"/>
      <c r="R217" s="1674"/>
      <c r="S217" s="1674"/>
      <c r="T217" s="1674"/>
    </row>
    <row r="218" spans="1:20" x14ac:dyDescent="0.25">
      <c r="A218" s="1673" t="s">
        <v>2608</v>
      </c>
      <c r="B218" s="1668">
        <v>0.56714175693493996</v>
      </c>
      <c r="C218" s="1668">
        <v>0.53529341667568198</v>
      </c>
      <c r="D218" s="1249">
        <v>0.50807304148128396</v>
      </c>
      <c r="E218" s="1249">
        <v>0.48673055174125801</v>
      </c>
      <c r="F218" s="1249">
        <v>0.46477250006765902</v>
      </c>
      <c r="G218" s="1249"/>
      <c r="H218" s="1249"/>
      <c r="N218" s="510"/>
      <c r="O218" s="510"/>
      <c r="P218" s="510"/>
      <c r="R218" s="1674"/>
      <c r="S218" s="1674"/>
      <c r="T218" s="1674"/>
    </row>
    <row r="219" spans="1:20" x14ac:dyDescent="0.25">
      <c r="A219" s="1673" t="s">
        <v>2609</v>
      </c>
      <c r="B219" s="1668">
        <v>7.6611274509476482E-2</v>
      </c>
      <c r="C219" s="1668">
        <v>7.1693126061647461E-2</v>
      </c>
      <c r="D219" s="1249">
        <v>6.5060886140863278E-2</v>
      </c>
      <c r="E219" s="1249">
        <v>5.7916407845878273E-2</v>
      </c>
      <c r="F219" s="1249">
        <v>5.6799977356007579E-2</v>
      </c>
      <c r="G219" s="1249"/>
      <c r="H219" s="1249"/>
      <c r="N219" s="510"/>
      <c r="O219" s="510"/>
      <c r="P219" s="510"/>
      <c r="R219" s="1674"/>
      <c r="S219" s="1674"/>
      <c r="T219" s="1674"/>
    </row>
    <row r="220" spans="1:20" x14ac:dyDescent="0.25">
      <c r="A220" s="1673" t="s">
        <v>2610</v>
      </c>
      <c r="B220" s="1668">
        <v>0.58350717140584685</v>
      </c>
      <c r="C220" s="1668">
        <v>0.54998403795830875</v>
      </c>
      <c r="D220" s="1249">
        <v>0.51896951750295384</v>
      </c>
      <c r="E220" s="1249">
        <v>0.49281243291238341</v>
      </c>
      <c r="F220" s="1249">
        <v>0.47208675458199389</v>
      </c>
      <c r="G220" s="1249"/>
      <c r="H220" s="1249"/>
      <c r="N220" s="510"/>
      <c r="O220" s="510"/>
      <c r="P220" s="510"/>
      <c r="R220" s="1674"/>
      <c r="S220" s="1674"/>
      <c r="T220" s="1674"/>
    </row>
    <row r="221" spans="1:20" x14ac:dyDescent="0.25">
      <c r="A221" s="1673" t="s">
        <v>2611</v>
      </c>
      <c r="B221" s="1668">
        <v>0.62659531246778533</v>
      </c>
      <c r="C221" s="1668">
        <v>0.5906626435646013</v>
      </c>
      <c r="D221" s="1249">
        <v>0.55787331905324677</v>
      </c>
      <c r="E221" s="1249">
        <v>0.53000316242787215</v>
      </c>
      <c r="F221" s="1249">
        <v>0.50740776594388581</v>
      </c>
      <c r="G221" s="1249"/>
      <c r="H221" s="1249"/>
      <c r="N221" s="510"/>
      <c r="O221" s="510"/>
      <c r="P221" s="510"/>
      <c r="R221" s="1674"/>
      <c r="S221" s="1674"/>
      <c r="T221" s="1674"/>
    </row>
    <row r="222" spans="1:20" x14ac:dyDescent="0.25">
      <c r="A222" s="1673" t="s">
        <v>2612</v>
      </c>
      <c r="B222" s="1668">
        <v>0.66727391807407777</v>
      </c>
      <c r="C222" s="1668">
        <v>0.62956644511489412</v>
      </c>
      <c r="D222" s="1249">
        <v>0.59506404856873552</v>
      </c>
      <c r="E222" s="1249">
        <v>0.56532417378976429</v>
      </c>
      <c r="F222" s="1249">
        <v>0.54117338051821184</v>
      </c>
      <c r="G222" s="1249"/>
      <c r="H222" s="1249"/>
      <c r="N222" s="510"/>
      <c r="O222" s="510"/>
      <c r="P222" s="510"/>
      <c r="R222" s="1674"/>
      <c r="S222" s="1674"/>
      <c r="T222" s="1674"/>
    </row>
    <row r="223" spans="1:20" x14ac:dyDescent="0.25">
      <c r="A223" s="1673" t="s">
        <v>2613</v>
      </c>
      <c r="B223" s="1668">
        <v>0.70617771962437081</v>
      </c>
      <c r="C223" s="1668">
        <v>0.66675717463038287</v>
      </c>
      <c r="D223" s="1249">
        <v>0.63038505993062743</v>
      </c>
      <c r="E223" s="1249">
        <v>0.59908978836409021</v>
      </c>
      <c r="F223" s="1249">
        <v>0.57345212781937172</v>
      </c>
      <c r="G223" s="1249"/>
      <c r="H223" s="1249"/>
      <c r="N223" s="510"/>
      <c r="O223" s="510"/>
      <c r="P223" s="510"/>
      <c r="R223" s="1674"/>
      <c r="S223" s="1674"/>
      <c r="T223" s="1674"/>
    </row>
    <row r="224" spans="1:20" x14ac:dyDescent="0.25">
      <c r="A224" s="1673" t="s">
        <v>2614</v>
      </c>
      <c r="B224" s="1668">
        <v>0.74336844913985944</v>
      </c>
      <c r="C224" s="1668">
        <v>0.70207818599227501</v>
      </c>
      <c r="D224" s="1249">
        <v>0.66415067450495335</v>
      </c>
      <c r="E224" s="1249">
        <v>0.63136853566525009</v>
      </c>
      <c r="F224" s="1249">
        <v>0.60430951639490249</v>
      </c>
      <c r="G224" s="1249"/>
      <c r="H224" s="1249"/>
      <c r="N224" s="510"/>
      <c r="O224" s="510"/>
      <c r="P224" s="510"/>
      <c r="R224" s="1674"/>
      <c r="S224" s="1674"/>
      <c r="T224" s="1674"/>
    </row>
    <row r="225" spans="1:20" x14ac:dyDescent="0.25">
      <c r="A225" s="1673" t="s">
        <v>2615</v>
      </c>
      <c r="B225" s="1668">
        <v>0.77868946050175125</v>
      </c>
      <c r="C225" s="1668">
        <v>0.73584380056660093</v>
      </c>
      <c r="D225" s="1249">
        <v>0.696429421806113</v>
      </c>
      <c r="E225" s="1249">
        <v>0.66222592424078053</v>
      </c>
      <c r="F225" s="1249">
        <v>0.63380816707000542</v>
      </c>
      <c r="G225" s="1249"/>
      <c r="H225" s="1249"/>
      <c r="N225" s="510"/>
      <c r="O225" s="510"/>
      <c r="P225" s="510"/>
      <c r="R225" s="1674"/>
      <c r="S225" s="1674"/>
      <c r="T225" s="1674"/>
    </row>
    <row r="226" spans="1:20" x14ac:dyDescent="0.25">
      <c r="A226" s="1673" t="s">
        <v>2616</v>
      </c>
      <c r="B226" s="1668">
        <v>0.81245507507607739</v>
      </c>
      <c r="C226" s="1668">
        <v>0.76812254786776069</v>
      </c>
      <c r="D226" s="1249">
        <v>0.72728681038164389</v>
      </c>
      <c r="E226" s="1249">
        <v>0.69172457491588379</v>
      </c>
      <c r="F226" s="1249">
        <v>0.66200794031188992</v>
      </c>
      <c r="G226" s="1249"/>
      <c r="H226" s="1249"/>
      <c r="N226" s="510"/>
      <c r="O226" s="510"/>
      <c r="P226" s="510"/>
      <c r="R226" s="1674"/>
      <c r="S226" s="1674"/>
      <c r="T226" s="1674"/>
    </row>
    <row r="227" spans="1:20" x14ac:dyDescent="0.25">
      <c r="A227" s="1673" t="s">
        <v>2617</v>
      </c>
      <c r="B227" s="1668">
        <v>0.84473382237723738</v>
      </c>
      <c r="C227" s="1668">
        <v>0.79897993644329146</v>
      </c>
      <c r="D227" s="1249">
        <v>0.75678546105674716</v>
      </c>
      <c r="E227" s="1249">
        <v>0.71992434815776818</v>
      </c>
      <c r="F227" s="1249">
        <v>0.68903231772528417</v>
      </c>
      <c r="G227" s="1249"/>
      <c r="H227" s="1249"/>
      <c r="N227" s="510"/>
      <c r="O227" s="510"/>
      <c r="P227" s="510"/>
      <c r="R227" s="1674"/>
      <c r="S227" s="1674"/>
      <c r="T227" s="1674"/>
    </row>
    <row r="228" spans="1:20" x14ac:dyDescent="0.25">
      <c r="A228" s="1673" t="s">
        <v>2618</v>
      </c>
      <c r="B228" s="1668">
        <v>0.87559121095276793</v>
      </c>
      <c r="C228" s="1668">
        <v>0.82847858711839462</v>
      </c>
      <c r="D228" s="1249">
        <v>0.78498523429863154</v>
      </c>
      <c r="E228" s="1249">
        <v>0.74694872557116254</v>
      </c>
      <c r="F228" s="1249">
        <v>0.7148667256707516</v>
      </c>
      <c r="G228" s="1249"/>
      <c r="H228" s="1249"/>
      <c r="N228" s="510"/>
      <c r="O228" s="510"/>
      <c r="P228" s="510"/>
      <c r="R228" s="1674"/>
      <c r="S228" s="1674"/>
      <c r="T228" s="1674"/>
    </row>
    <row r="229" spans="1:20" x14ac:dyDescent="0.25">
      <c r="A229" s="1673" t="s">
        <v>2619</v>
      </c>
      <c r="B229" s="1668">
        <v>0.90508986162787108</v>
      </c>
      <c r="C229" s="1668">
        <v>0.856678360360279</v>
      </c>
      <c r="D229" s="1249">
        <v>0.81200961171202568</v>
      </c>
      <c r="E229" s="1249">
        <v>0.77278313351662997</v>
      </c>
      <c r="F229" s="1249">
        <v>0.73956358980612347</v>
      </c>
      <c r="G229" s="1249"/>
      <c r="H229" s="1249"/>
      <c r="N229" s="510"/>
      <c r="O229" s="510"/>
      <c r="P229" s="510"/>
      <c r="R229" s="1674"/>
      <c r="S229" s="1674"/>
      <c r="T229" s="1674"/>
    </row>
    <row r="230" spans="1:20" x14ac:dyDescent="0.25">
      <c r="A230" s="1673" t="s">
        <v>2620</v>
      </c>
      <c r="B230" s="1668">
        <v>0.14830440057112396</v>
      </c>
      <c r="C230" s="1668">
        <v>0.13675401220251074</v>
      </c>
      <c r="D230" s="1249">
        <v>0.12297729398674156</v>
      </c>
      <c r="E230" s="1249">
        <v>0.11471638520188587</v>
      </c>
      <c r="F230" s="1249">
        <v>0.11311188762178154</v>
      </c>
      <c r="G230" s="1249"/>
      <c r="H230" s="1249"/>
      <c r="N230" s="510"/>
      <c r="O230" s="510"/>
      <c r="P230" s="510"/>
      <c r="R230" s="1674"/>
      <c r="S230" s="1674"/>
      <c r="T230" s="1674"/>
    </row>
    <row r="231" spans="1:20" x14ac:dyDescent="0.25">
      <c r="A231" s="1673" t="s">
        <v>2621</v>
      </c>
      <c r="B231" s="1668">
        <v>0.93328963486975525</v>
      </c>
      <c r="C231" s="1668">
        <v>0.88370273777367314</v>
      </c>
      <c r="D231" s="1249">
        <v>0.837844019657493</v>
      </c>
      <c r="E231" s="1249">
        <v>0.7974799976520015</v>
      </c>
      <c r="F231" s="1249">
        <v>0.76317302487731253</v>
      </c>
      <c r="G231" s="1249"/>
      <c r="H231" s="1249"/>
      <c r="N231" s="510"/>
      <c r="O231" s="510"/>
      <c r="P231" s="510"/>
      <c r="R231" s="1674"/>
      <c r="S231" s="1674"/>
      <c r="T231" s="1674"/>
    </row>
    <row r="232" spans="1:20" x14ac:dyDescent="0.25">
      <c r="A232" s="1673" t="s">
        <v>2622</v>
      </c>
      <c r="B232" s="1668">
        <v>0.96031401228314972</v>
      </c>
      <c r="C232" s="1668">
        <v>0.90953714571914057</v>
      </c>
      <c r="D232" s="1249">
        <v>0.86254088379286487</v>
      </c>
      <c r="E232" s="1249">
        <v>0.8210894327231909</v>
      </c>
      <c r="F232" s="1249">
        <v>0.78574293663789241</v>
      </c>
      <c r="G232" s="1249"/>
      <c r="H232" s="1249"/>
      <c r="N232" s="510"/>
      <c r="O232" s="510"/>
      <c r="P232" s="510"/>
      <c r="R232" s="1674"/>
      <c r="S232" s="1674"/>
      <c r="T232" s="1674"/>
    </row>
    <row r="233" spans="1:20" x14ac:dyDescent="0.25">
      <c r="A233" s="1673" t="s">
        <v>2623</v>
      </c>
      <c r="B233" s="1668">
        <v>0.98614842022861704</v>
      </c>
      <c r="C233" s="1668">
        <v>0.9342340098545121</v>
      </c>
      <c r="D233" s="1249">
        <v>0.88615031886405426</v>
      </c>
      <c r="E233" s="1249">
        <v>0.84365934448377067</v>
      </c>
      <c r="F233" s="1249">
        <v>0.80686394708200582</v>
      </c>
      <c r="G233" s="1249"/>
      <c r="H233" s="1249"/>
      <c r="N233" s="510"/>
      <c r="O233" s="510"/>
      <c r="P233" s="510"/>
      <c r="R233" s="1674"/>
      <c r="S233" s="1674"/>
      <c r="T233" s="1674"/>
    </row>
    <row r="234" spans="1:20" x14ac:dyDescent="0.25">
      <c r="A234" s="1673" t="s">
        <v>2624</v>
      </c>
      <c r="B234" s="1668">
        <v>1.010845284363989</v>
      </c>
      <c r="C234" s="1668">
        <v>0.95784344492570173</v>
      </c>
      <c r="D234" s="1249">
        <v>0.90872023062463403</v>
      </c>
      <c r="E234" s="1249">
        <v>0.8647803549278843</v>
      </c>
      <c r="F234" s="1249">
        <v>0.8266290700879142</v>
      </c>
      <c r="G234" s="1249"/>
      <c r="H234" s="1249"/>
      <c r="N234" s="510"/>
      <c r="O234" s="510"/>
      <c r="P234" s="510"/>
      <c r="R234" s="1674"/>
      <c r="S234" s="1674"/>
      <c r="T234" s="1674"/>
    </row>
    <row r="235" spans="1:20" x14ac:dyDescent="0.25">
      <c r="A235" s="1673" t="s">
        <v>2625</v>
      </c>
      <c r="B235" s="1668">
        <v>1.0344547194351779</v>
      </c>
      <c r="C235" s="1668">
        <v>0.98041335668628138</v>
      </c>
      <c r="D235" s="1249">
        <v>0.92984124106874755</v>
      </c>
      <c r="E235" s="1249">
        <v>0.88454547793379268</v>
      </c>
      <c r="F235" s="1249">
        <v>0.84512534840150966</v>
      </c>
      <c r="G235" s="1249"/>
      <c r="H235" s="1249"/>
      <c r="N235" s="510"/>
      <c r="O235" s="510"/>
      <c r="P235" s="510"/>
      <c r="R235" s="1674"/>
      <c r="S235" s="1674"/>
      <c r="T235" s="1674"/>
    </row>
    <row r="236" spans="1:20" x14ac:dyDescent="0.25">
      <c r="A236" s="1673" t="s">
        <v>2626</v>
      </c>
      <c r="B236" s="1668">
        <v>1.0570246311957578</v>
      </c>
      <c r="C236" s="1668">
        <v>1.0015343671303949</v>
      </c>
      <c r="D236" s="1249">
        <v>0.94960636407465582</v>
      </c>
      <c r="E236" s="1249">
        <v>0.90304175624738814</v>
      </c>
      <c r="F236" s="1249">
        <v>0.86243423695999344</v>
      </c>
      <c r="G236" s="1249"/>
      <c r="H236" s="1249"/>
      <c r="N236" s="510"/>
      <c r="O236" s="510"/>
      <c r="P236" s="510"/>
      <c r="R236" s="1674"/>
      <c r="S236" s="1674"/>
      <c r="T236" s="1674"/>
    </row>
    <row r="237" spans="1:20" x14ac:dyDescent="0.25">
      <c r="A237" s="1673" t="s">
        <v>2627</v>
      </c>
      <c r="B237" s="1668">
        <v>0.21336528671198721</v>
      </c>
      <c r="C237" s="1668">
        <v>0.194670420048389</v>
      </c>
      <c r="D237" s="1249">
        <v>0.17977727134274918</v>
      </c>
      <c r="E237" s="1249">
        <v>0.17102829546765985</v>
      </c>
      <c r="F237" s="1249">
        <v>0.16776992345345676</v>
      </c>
      <c r="G237" s="1249"/>
      <c r="H237" s="1249"/>
      <c r="N237" s="510"/>
      <c r="O237" s="510"/>
      <c r="P237" s="510"/>
      <c r="R237" s="1674"/>
      <c r="S237" s="1674"/>
      <c r="T237" s="1674"/>
    </row>
    <row r="238" spans="1:20" x14ac:dyDescent="0.25">
      <c r="A238" s="1673" t="s">
        <v>2628</v>
      </c>
      <c r="B238" s="1668">
        <v>0.27128169455786549</v>
      </c>
      <c r="C238" s="1668">
        <v>0.25147039740439658</v>
      </c>
      <c r="D238" s="1249">
        <v>0.23608918160852313</v>
      </c>
      <c r="E238" s="1249">
        <v>0.22568633129933507</v>
      </c>
      <c r="F238" s="1249">
        <v>0.21903698598517091</v>
      </c>
      <c r="G238" s="1249"/>
      <c r="H238" s="1249"/>
      <c r="N238" s="510"/>
      <c r="O238" s="510"/>
      <c r="P238" s="510"/>
      <c r="R238" s="1674"/>
      <c r="S238" s="1674"/>
      <c r="T238" s="1674"/>
    </row>
    <row r="239" spans="1:20" x14ac:dyDescent="0.25">
      <c r="A239" s="1673" t="s">
        <v>2629</v>
      </c>
      <c r="B239" s="1668">
        <v>0.32808167191387311</v>
      </c>
      <c r="C239" s="1668">
        <v>0.30778230767017056</v>
      </c>
      <c r="D239" s="1249">
        <v>0.29074721744019832</v>
      </c>
      <c r="E239" s="1249">
        <v>0.27695339383104911</v>
      </c>
      <c r="F239" s="1249">
        <v>0.26701615886173979</v>
      </c>
      <c r="G239" s="1249"/>
      <c r="H239" s="1249"/>
      <c r="N239" s="510"/>
      <c r="O239" s="510"/>
      <c r="P239" s="510"/>
      <c r="R239" s="1674"/>
      <c r="S239" s="1674"/>
      <c r="T239" s="1674"/>
    </row>
    <row r="240" spans="1:20" x14ac:dyDescent="0.25">
      <c r="A240" s="1673" t="s">
        <v>2630</v>
      </c>
      <c r="B240" s="1668">
        <v>0.38439358217964698</v>
      </c>
      <c r="C240" s="1668">
        <v>0.36244034350184579</v>
      </c>
      <c r="D240" s="1249">
        <v>0.34201427997191247</v>
      </c>
      <c r="E240" s="1249">
        <v>0.32493256670761816</v>
      </c>
      <c r="F240" s="1249">
        <v>0.3122254768479813</v>
      </c>
      <c r="G240" s="1249"/>
      <c r="H240" s="1249"/>
      <c r="N240" s="510"/>
      <c r="O240" s="510"/>
      <c r="P240" s="510"/>
      <c r="R240" s="1674"/>
      <c r="S240" s="1674"/>
      <c r="T240" s="1674"/>
    </row>
    <row r="241" spans="1:20" x14ac:dyDescent="0.25">
      <c r="A241" s="1673" t="s">
        <v>2631</v>
      </c>
      <c r="B241" s="1668">
        <v>0.43905161801132236</v>
      </c>
      <c r="C241" s="1668">
        <v>0.41370740603355982</v>
      </c>
      <c r="D241" s="1249">
        <v>0.3899934528484813</v>
      </c>
      <c r="E241" s="1249">
        <v>0.37014188469385961</v>
      </c>
      <c r="F241" s="1249">
        <v>0.35531361790991972</v>
      </c>
      <c r="G241" s="1249"/>
      <c r="H241" s="1249"/>
      <c r="N241" s="510"/>
      <c r="O241" s="510"/>
      <c r="P241" s="510"/>
      <c r="R241" s="1674"/>
      <c r="S241" s="1674"/>
      <c r="T241" s="1674"/>
    </row>
    <row r="242" spans="1:20" x14ac:dyDescent="0.25">
      <c r="A242" s="1673" t="s">
        <v>2632</v>
      </c>
      <c r="B242" s="1668">
        <v>0.49031868054303634</v>
      </c>
      <c r="C242" s="1668">
        <v>0.46168657891012876</v>
      </c>
      <c r="D242" s="1249">
        <v>0.43520277083472281</v>
      </c>
      <c r="E242" s="1249">
        <v>0.41323002575579804</v>
      </c>
      <c r="F242" s="1249">
        <v>0.39599222351621222</v>
      </c>
      <c r="G242" s="1249"/>
      <c r="H242" s="1249"/>
      <c r="N242" s="510"/>
      <c r="O242" s="510"/>
      <c r="P242" s="510"/>
      <c r="R242" s="1674"/>
      <c r="S242" s="1674"/>
      <c r="T242" s="1674"/>
    </row>
    <row r="243" spans="1:20" x14ac:dyDescent="0.25">
      <c r="A243" s="1673" t="s">
        <v>2633</v>
      </c>
      <c r="B243" s="1668">
        <v>0.53829785341960523</v>
      </c>
      <c r="C243" s="1668">
        <v>0.50689589689637027</v>
      </c>
      <c r="D243" s="1249">
        <v>0.4782909118966614</v>
      </c>
      <c r="E243" s="1249">
        <v>0.45390863136209059</v>
      </c>
      <c r="F243" s="1249">
        <v>0.43489602506650515</v>
      </c>
      <c r="G243" s="1249"/>
      <c r="H243" s="1249"/>
      <c r="N243" s="510"/>
      <c r="O243" s="510"/>
      <c r="P243" s="510"/>
      <c r="R243" s="1674"/>
      <c r="S243" s="1674"/>
      <c r="T243" s="1674"/>
    </row>
    <row r="244" spans="1:20" x14ac:dyDescent="0.25">
      <c r="A244" s="1673" t="s">
        <v>2634</v>
      </c>
      <c r="B244" s="1668">
        <v>0.18100507251543599</v>
      </c>
      <c r="C244" s="1668">
        <v>0.16914887436097201</v>
      </c>
      <c r="D244" s="1249">
        <v>0.15683607030069899</v>
      </c>
      <c r="E244" s="1249">
        <v>0.151120699948011</v>
      </c>
      <c r="F244" s="1249">
        <v>0.14650812197367299</v>
      </c>
      <c r="G244" s="1249"/>
      <c r="H244" s="1249"/>
      <c r="N244" s="510"/>
      <c r="O244" s="510"/>
      <c r="P244" s="510"/>
      <c r="R244" s="1674"/>
      <c r="S244" s="1674"/>
      <c r="T244" s="1674"/>
    </row>
    <row r="245" spans="1:20" x14ac:dyDescent="0.25">
      <c r="A245" s="1673" t="s">
        <v>2635</v>
      </c>
      <c r="B245" s="1668">
        <v>1.4385474790086299</v>
      </c>
      <c r="C245" s="1668">
        <v>1.36600695800589</v>
      </c>
      <c r="D245" s="1249">
        <v>1.30047502147455</v>
      </c>
      <c r="E245" s="1249">
        <v>1.2426072110739601</v>
      </c>
      <c r="F245" s="1249">
        <v>1.18575148212459</v>
      </c>
      <c r="G245" s="1249"/>
      <c r="H245" s="1249"/>
      <c r="N245" s="510"/>
      <c r="O245" s="510"/>
      <c r="P245" s="510"/>
      <c r="R245" s="1674"/>
      <c r="S245" s="1674"/>
      <c r="T245" s="1674"/>
    </row>
    <row r="246" spans="1:20" x14ac:dyDescent="0.25">
      <c r="A246" s="1673" t="s">
        <v>2636</v>
      </c>
      <c r="B246" s="1668">
        <v>1.54701203052133</v>
      </c>
      <c r="C246" s="1668">
        <v>1.4696238958355199</v>
      </c>
      <c r="D246" s="1249">
        <v>1.39944328137466</v>
      </c>
      <c r="E246" s="1249">
        <v>1.3368721820725999</v>
      </c>
      <c r="F246" s="1249">
        <v>1.2757871257351201</v>
      </c>
      <c r="G246" s="1249"/>
      <c r="H246" s="1249"/>
      <c r="N246" s="510"/>
      <c r="O246" s="510"/>
      <c r="P246" s="510"/>
      <c r="R246" s="1674"/>
      <c r="S246" s="1674"/>
      <c r="T246" s="1674"/>
    </row>
    <row r="247" spans="1:20" x14ac:dyDescent="0.25">
      <c r="A247" s="1673" t="s">
        <v>2637</v>
      </c>
      <c r="B247" s="1668">
        <v>1.6506289683509601</v>
      </c>
      <c r="C247" s="1668">
        <v>1.5685921557356299</v>
      </c>
      <c r="D247" s="1249">
        <v>1.4937082523733001</v>
      </c>
      <c r="E247" s="1249">
        <v>1.42690782568313</v>
      </c>
      <c r="F247" s="1249">
        <v>1.3617832854393701</v>
      </c>
      <c r="G247" s="1249"/>
      <c r="H247" s="1249"/>
      <c r="N247" s="510"/>
      <c r="O247" s="510"/>
      <c r="P247" s="510"/>
      <c r="R247" s="1674"/>
      <c r="S247" s="1674"/>
      <c r="T247" s="1674"/>
    </row>
    <row r="248" spans="1:20" x14ac:dyDescent="0.25">
      <c r="A248" s="1673" t="s">
        <v>2638</v>
      </c>
      <c r="B248" s="1668">
        <v>1.7495972282510699</v>
      </c>
      <c r="C248" s="1668">
        <v>1.66285712673428</v>
      </c>
      <c r="D248" s="1249">
        <v>1.5837438959838299</v>
      </c>
      <c r="E248" s="1249">
        <v>1.51290398538738</v>
      </c>
      <c r="F248" s="1249">
        <v>1.4439212792354801</v>
      </c>
      <c r="G248" s="1249"/>
      <c r="H248" s="1249"/>
      <c r="N248" s="510"/>
      <c r="O248" s="510"/>
      <c r="P248" s="510"/>
      <c r="R248" s="1674"/>
      <c r="S248" s="1674"/>
      <c r="T248" s="1674"/>
    </row>
    <row r="249" spans="1:20" x14ac:dyDescent="0.25">
      <c r="A249" s="1673" t="s">
        <v>2639</v>
      </c>
      <c r="B249" s="1668">
        <v>1.84386219924971</v>
      </c>
      <c r="C249" s="1668">
        <v>1.7528927703448001</v>
      </c>
      <c r="D249" s="1249">
        <v>1.6697400556880799</v>
      </c>
      <c r="E249" s="1249">
        <v>1.59504197918349</v>
      </c>
      <c r="F249" s="1249">
        <v>1.52237428267137</v>
      </c>
      <c r="G249" s="1249"/>
      <c r="H249" s="1249"/>
      <c r="N249" s="510"/>
      <c r="O249" s="510"/>
      <c r="P249" s="510"/>
      <c r="R249" s="1674"/>
      <c r="S249" s="1674"/>
      <c r="T249" s="1674"/>
    </row>
    <row r="250" spans="1:20" x14ac:dyDescent="0.25">
      <c r="A250" s="1673" t="s">
        <v>2640</v>
      </c>
      <c r="B250" s="1668">
        <v>1.93389784286023</v>
      </c>
      <c r="C250" s="1668">
        <v>1.8388889300490501</v>
      </c>
      <c r="D250" s="1249">
        <v>1.7518780494841899</v>
      </c>
      <c r="E250" s="1249">
        <v>1.6734949826193799</v>
      </c>
      <c r="F250" s="1249">
        <v>1.5973076946617599</v>
      </c>
      <c r="G250" s="1249"/>
      <c r="H250" s="1249"/>
      <c r="N250" s="510"/>
      <c r="O250" s="510"/>
      <c r="P250" s="510"/>
      <c r="R250" s="1674"/>
      <c r="S250" s="1674"/>
      <c r="T250" s="1674"/>
    </row>
    <row r="251" spans="1:20" x14ac:dyDescent="0.25">
      <c r="A251" s="1673" t="s">
        <v>2641</v>
      </c>
      <c r="B251" s="1668">
        <v>2.0198940025644898</v>
      </c>
      <c r="C251" s="1668">
        <v>1.9210269238451601</v>
      </c>
      <c r="D251" s="1249">
        <v>1.83033105292008</v>
      </c>
      <c r="E251" s="1249">
        <v>1.7484283946097701</v>
      </c>
      <c r="F251" s="1249">
        <v>1.66926418983446</v>
      </c>
      <c r="G251" s="1249"/>
      <c r="H251" s="1249"/>
      <c r="N251" s="510"/>
      <c r="O251" s="510"/>
      <c r="P251" s="510"/>
      <c r="R251" s="1674"/>
      <c r="S251" s="1674"/>
      <c r="T251" s="1674"/>
    </row>
    <row r="252" spans="1:20" x14ac:dyDescent="0.25">
      <c r="A252" s="1673" t="s">
        <v>2642</v>
      </c>
      <c r="B252" s="1668">
        <v>2.1020319963606</v>
      </c>
      <c r="C252" s="1668">
        <v>1.99947992728105</v>
      </c>
      <c r="D252" s="1249">
        <v>1.90526446491047</v>
      </c>
      <c r="E252" s="1249">
        <v>1.8203848897824799</v>
      </c>
      <c r="F252" s="1249">
        <v>1.7379924469705299</v>
      </c>
      <c r="G252" s="1249"/>
      <c r="H252" s="1249"/>
      <c r="N252" s="510"/>
      <c r="O252" s="510"/>
      <c r="P252" s="510"/>
      <c r="R252" s="1674"/>
      <c r="S252" s="1674"/>
      <c r="T252" s="1674"/>
    </row>
    <row r="253" spans="1:20" x14ac:dyDescent="0.25">
      <c r="A253" s="1673" t="s">
        <v>2643</v>
      </c>
      <c r="B253" s="1668">
        <v>2.1804849997964801</v>
      </c>
      <c r="C253" s="1668">
        <v>2.0744133392714401</v>
      </c>
      <c r="D253" s="1249">
        <v>1.9772209600831701</v>
      </c>
      <c r="E253" s="1249">
        <v>1.88911314691854</v>
      </c>
      <c r="F253" s="1249">
        <v>1.8036373649614601</v>
      </c>
      <c r="G253" s="1249"/>
      <c r="H253" s="1249"/>
      <c r="N253" s="510"/>
      <c r="O253" s="510"/>
      <c r="P253" s="510"/>
      <c r="R253" s="1674"/>
      <c r="S253" s="1674"/>
      <c r="T253" s="1674"/>
    </row>
    <row r="254" spans="1:20" x14ac:dyDescent="0.25">
      <c r="A254" s="1673" t="s">
        <v>2644</v>
      </c>
      <c r="B254" s="1668">
        <v>2.2554184117868701</v>
      </c>
      <c r="C254" s="1668">
        <v>2.1463698344441502</v>
      </c>
      <c r="D254" s="1249">
        <v>2.0459492172192402</v>
      </c>
      <c r="E254" s="1249">
        <v>1.95475806490947</v>
      </c>
      <c r="F254" s="1249">
        <v>1.8663373359493001</v>
      </c>
      <c r="G254" s="1249"/>
      <c r="H254" s="1249"/>
      <c r="N254" s="510"/>
      <c r="O254" s="510"/>
      <c r="P254" s="510"/>
      <c r="R254" s="1674"/>
      <c r="S254" s="1674"/>
      <c r="T254" s="1674"/>
    </row>
    <row r="255" spans="1:20" x14ac:dyDescent="0.25">
      <c r="A255" s="1673" t="s">
        <v>2645</v>
      </c>
      <c r="B255" s="1668">
        <v>0.350153946876408</v>
      </c>
      <c r="C255" s="1668">
        <v>0.32598494466167099</v>
      </c>
      <c r="D255" s="1249">
        <v>0.30795677024870999</v>
      </c>
      <c r="E255" s="1249">
        <v>0.29762882192168399</v>
      </c>
      <c r="F255" s="1249">
        <v>0.28727129110062</v>
      </c>
      <c r="G255" s="1249"/>
      <c r="H255" s="1249"/>
      <c r="N255" s="510"/>
      <c r="O255" s="510"/>
      <c r="P255" s="510"/>
      <c r="R255" s="1674"/>
      <c r="S255" s="1674"/>
      <c r="T255" s="1674"/>
    </row>
    <row r="256" spans="1:20" x14ac:dyDescent="0.25">
      <c r="A256" s="1673" t="s">
        <v>2646</v>
      </c>
      <c r="B256" s="1668">
        <v>2.3273749069595802</v>
      </c>
      <c r="C256" s="1668">
        <v>2.2150980915802099</v>
      </c>
      <c r="D256" s="1249">
        <v>2.1115941352101699</v>
      </c>
      <c r="E256" s="1249">
        <v>2.01745803589731</v>
      </c>
      <c r="F256" s="1249">
        <v>1.9262245376463201</v>
      </c>
      <c r="G256" s="1249"/>
      <c r="H256" s="1249"/>
      <c r="N256" s="510"/>
      <c r="O256" s="510"/>
      <c r="P256" s="510"/>
      <c r="R256" s="1674"/>
      <c r="S256" s="1674"/>
      <c r="T256" s="1674"/>
    </row>
    <row r="257" spans="1:20" x14ac:dyDescent="0.25">
      <c r="A257" s="1673" t="s">
        <v>2647</v>
      </c>
      <c r="B257" s="1668">
        <v>2.3961031640956398</v>
      </c>
      <c r="C257" s="1668">
        <v>2.2807430095711401</v>
      </c>
      <c r="D257" s="1249">
        <v>2.1742941061980101</v>
      </c>
      <c r="E257" s="1249">
        <v>2.0773452375943302</v>
      </c>
      <c r="F257" s="1249">
        <v>1.9834252125163001</v>
      </c>
      <c r="G257" s="1249"/>
      <c r="H257" s="1249"/>
      <c r="N257" s="510"/>
      <c r="O257" s="510"/>
      <c r="P257" s="510"/>
      <c r="R257" s="1674"/>
      <c r="S257" s="1674"/>
      <c r="T257" s="1674"/>
    </row>
    <row r="258" spans="1:20" x14ac:dyDescent="0.25">
      <c r="A258" s="1673" t="s">
        <v>2648</v>
      </c>
      <c r="B258" s="1668">
        <v>2.4617480820865798</v>
      </c>
      <c r="C258" s="1668">
        <v>2.3434429805589798</v>
      </c>
      <c r="D258" s="1249">
        <v>2.2341813078950299</v>
      </c>
      <c r="E258" s="1249">
        <v>2.1345459124643198</v>
      </c>
      <c r="F258" s="1249">
        <v>2.0369538245975201</v>
      </c>
      <c r="G258" s="1249"/>
      <c r="H258" s="1249"/>
      <c r="N258" s="510"/>
      <c r="O258" s="510"/>
      <c r="P258" s="510"/>
      <c r="R258" s="1674"/>
      <c r="S258" s="1674"/>
      <c r="T258" s="1674"/>
    </row>
    <row r="259" spans="1:20" x14ac:dyDescent="0.25">
      <c r="A259" s="1673" t="s">
        <v>2649</v>
      </c>
      <c r="B259" s="1668">
        <v>2.52444805307442</v>
      </c>
      <c r="C259" s="1668">
        <v>2.403330182256</v>
      </c>
      <c r="D259" s="1249">
        <v>2.2913819827650102</v>
      </c>
      <c r="E259" s="1249">
        <v>2.18807452454553</v>
      </c>
      <c r="F259" s="1249">
        <v>2.0870461061633301</v>
      </c>
      <c r="G259" s="1249"/>
      <c r="H259" s="1249"/>
      <c r="N259" s="510"/>
      <c r="O259" s="510"/>
      <c r="P259" s="510"/>
      <c r="R259" s="1674"/>
      <c r="S259" s="1674"/>
      <c r="T259" s="1674"/>
    </row>
    <row r="260" spans="1:20" x14ac:dyDescent="0.25">
      <c r="A260" s="1673" t="s">
        <v>2650</v>
      </c>
      <c r="B260" s="1668">
        <v>2.58433525477143</v>
      </c>
      <c r="C260" s="1668">
        <v>2.4605308571259901</v>
      </c>
      <c r="D260" s="1249">
        <v>2.3449105948462301</v>
      </c>
      <c r="E260" s="1249">
        <v>2.23816680611134</v>
      </c>
      <c r="F260" s="1249">
        <v>2.1339226563839899</v>
      </c>
      <c r="G260" s="1249"/>
      <c r="H260" s="1249"/>
      <c r="N260" s="510"/>
      <c r="O260" s="510"/>
      <c r="P260" s="510"/>
      <c r="R260" s="1674"/>
      <c r="S260" s="1674"/>
      <c r="T260" s="1674"/>
    </row>
    <row r="261" spans="1:20" x14ac:dyDescent="0.25">
      <c r="A261" s="1673" t="s">
        <v>2651</v>
      </c>
      <c r="B261" s="1668">
        <v>2.64153592964142</v>
      </c>
      <c r="C261" s="1668">
        <v>2.5140594692071998</v>
      </c>
      <c r="D261" s="1249">
        <v>2.3950028764120401</v>
      </c>
      <c r="E261" s="1249">
        <v>2.2850433563319998</v>
      </c>
      <c r="F261" s="1249">
        <v>2.1777899128135898</v>
      </c>
      <c r="G261" s="1249"/>
      <c r="H261" s="1249"/>
      <c r="N261" s="510"/>
      <c r="O261" s="510"/>
      <c r="P261" s="510"/>
      <c r="R261" s="1674"/>
      <c r="S261" s="1674"/>
      <c r="T261" s="1674"/>
    </row>
    <row r="262" spans="1:20" x14ac:dyDescent="0.25">
      <c r="A262" s="1673" t="s">
        <v>2652</v>
      </c>
      <c r="B262" s="1668">
        <v>2.69506454172264</v>
      </c>
      <c r="C262" s="1668">
        <v>2.5641517507730098</v>
      </c>
      <c r="D262" s="1249">
        <v>2.4418794266327</v>
      </c>
      <c r="E262" s="1249">
        <v>2.3289106127616002</v>
      </c>
      <c r="F262" s="1249">
        <v>2.2188410605111302</v>
      </c>
      <c r="G262" s="1249"/>
      <c r="H262" s="1249"/>
      <c r="N262" s="510"/>
      <c r="O262" s="510"/>
      <c r="P262" s="510"/>
      <c r="R262" s="1674"/>
      <c r="S262" s="1674"/>
      <c r="T262" s="1674"/>
    </row>
    <row r="263" spans="1:20" x14ac:dyDescent="0.25">
      <c r="A263" s="1673" t="s">
        <v>2653</v>
      </c>
      <c r="B263" s="1668">
        <v>2.7451568232884398</v>
      </c>
      <c r="C263" s="1668">
        <v>2.6110283009936701</v>
      </c>
      <c r="D263" s="1249">
        <v>2.4857466830622998</v>
      </c>
      <c r="E263" s="1249">
        <v>2.3699617604591401</v>
      </c>
      <c r="F263" s="1249">
        <v>2.25725688279968</v>
      </c>
      <c r="G263" s="1249"/>
      <c r="H263" s="1249"/>
      <c r="N263" s="510"/>
      <c r="O263" s="510"/>
      <c r="P263" s="510"/>
      <c r="R263" s="1674"/>
      <c r="S263" s="1674"/>
      <c r="T263" s="1674"/>
    </row>
    <row r="264" spans="1:20" x14ac:dyDescent="0.25">
      <c r="A264" s="1673" t="s">
        <v>2654</v>
      </c>
      <c r="B264" s="1668">
        <v>2.7920333735091099</v>
      </c>
      <c r="C264" s="1668">
        <v>2.65489555742327</v>
      </c>
      <c r="D264" s="1249">
        <v>2.5267978307598402</v>
      </c>
      <c r="E264" s="1249">
        <v>2.4083775827476899</v>
      </c>
      <c r="F264" s="1249">
        <v>2.29320655740996</v>
      </c>
      <c r="G264" s="1249"/>
      <c r="H264" s="1249"/>
      <c r="N264" s="510"/>
      <c r="O264" s="510"/>
      <c r="P264" s="510"/>
      <c r="R264" s="1674"/>
      <c r="S264" s="1674"/>
      <c r="T264" s="1674"/>
    </row>
    <row r="265" spans="1:20" x14ac:dyDescent="0.25">
      <c r="A265" s="1673" t="s">
        <v>2655</v>
      </c>
      <c r="B265" s="1668">
        <v>2.8359006299387</v>
      </c>
      <c r="C265" s="1668">
        <v>2.6959467051208099</v>
      </c>
      <c r="D265" s="1249">
        <v>2.56521365304839</v>
      </c>
      <c r="E265" s="1249">
        <v>2.44432725735797</v>
      </c>
      <c r="F265" s="1249">
        <v>2.3268484015146602</v>
      </c>
      <c r="G265" s="1249"/>
      <c r="H265" s="1249"/>
      <c r="N265" s="510"/>
      <c r="O265" s="510"/>
      <c r="P265" s="510"/>
      <c r="R265" s="1674"/>
      <c r="S265" s="1674"/>
      <c r="T265" s="1674"/>
    </row>
    <row r="266" spans="1:20" x14ac:dyDescent="0.25">
      <c r="A266" s="1673" t="s">
        <v>2656</v>
      </c>
      <c r="B266" s="1668">
        <v>0.50699001717710701</v>
      </c>
      <c r="C266" s="1668">
        <v>0.47710564460968202</v>
      </c>
      <c r="D266" s="1249">
        <v>0.45446489222238301</v>
      </c>
      <c r="E266" s="1249">
        <v>0.43839199104863102</v>
      </c>
      <c r="F266" s="1249">
        <v>0.42050030082272999</v>
      </c>
      <c r="G266" s="1249"/>
      <c r="H266" s="1249"/>
      <c r="N266" s="510"/>
      <c r="O266" s="510"/>
      <c r="P266" s="510"/>
      <c r="R266" s="1674"/>
      <c r="S266" s="1674"/>
      <c r="T266" s="1674"/>
    </row>
    <row r="267" spans="1:20" x14ac:dyDescent="0.25">
      <c r="A267" s="1673" t="s">
        <v>2657</v>
      </c>
      <c r="B267" s="1668">
        <v>2.8769517776362501</v>
      </c>
      <c r="C267" s="1668">
        <v>2.7343625274093601</v>
      </c>
      <c r="D267" s="1249">
        <v>2.6011633276586701</v>
      </c>
      <c r="E267" s="1249">
        <v>2.4779691014626799</v>
      </c>
      <c r="F267" s="1249">
        <v>2.3583305689343699</v>
      </c>
      <c r="G267" s="1249"/>
      <c r="H267" s="1249"/>
      <c r="N267" s="510"/>
      <c r="O267" s="510"/>
      <c r="P267" s="510"/>
      <c r="R267" s="1674"/>
      <c r="S267" s="1674"/>
      <c r="T267" s="1674"/>
    </row>
    <row r="268" spans="1:20" x14ac:dyDescent="0.25">
      <c r="A268" s="1673" t="s">
        <v>2658</v>
      </c>
      <c r="B268" s="1668">
        <v>0.65811071712511804</v>
      </c>
      <c r="C268" s="1668">
        <v>0.62361376658335499</v>
      </c>
      <c r="D268" s="1249">
        <v>0.59522806134933004</v>
      </c>
      <c r="E268" s="1249">
        <v>0.57162100077074096</v>
      </c>
      <c r="F268" s="1249">
        <v>0.54658546041130696</v>
      </c>
      <c r="G268" s="1249"/>
      <c r="H268" s="1249"/>
      <c r="N268" s="510"/>
      <c r="O268" s="510"/>
      <c r="P268" s="510"/>
      <c r="R268" s="1674"/>
      <c r="S268" s="1674"/>
      <c r="T268" s="1674"/>
    </row>
    <row r="269" spans="1:20" x14ac:dyDescent="0.25">
      <c r="A269" s="1673" t="s">
        <v>2659</v>
      </c>
      <c r="B269" s="1668">
        <v>0.80461883909879095</v>
      </c>
      <c r="C269" s="1668">
        <v>0.76437693571030196</v>
      </c>
      <c r="D269" s="1249">
        <v>0.72845707107143998</v>
      </c>
      <c r="E269" s="1249">
        <v>0.69770616035931798</v>
      </c>
      <c r="F269" s="1249">
        <v>0.66626962510883903</v>
      </c>
      <c r="G269" s="1249"/>
      <c r="H269" s="1249"/>
      <c r="N269" s="510"/>
      <c r="O269" s="510"/>
      <c r="P269" s="510"/>
      <c r="R269" s="1674"/>
      <c r="S269" s="1674"/>
      <c r="T269" s="1674"/>
    </row>
    <row r="270" spans="1:20" x14ac:dyDescent="0.25">
      <c r="A270" s="1673" t="s">
        <v>2660</v>
      </c>
      <c r="B270" s="1668">
        <v>0.94538200822573804</v>
      </c>
      <c r="C270" s="1668">
        <v>0.89760594543241201</v>
      </c>
      <c r="D270" s="1249">
        <v>0.854542230660017</v>
      </c>
      <c r="E270" s="1249">
        <v>0.81739032505685005</v>
      </c>
      <c r="F270" s="1249">
        <v>0.78043676188351396</v>
      </c>
      <c r="G270" s="1249"/>
      <c r="H270" s="1249"/>
      <c r="N270" s="510"/>
      <c r="O270" s="510"/>
      <c r="P270" s="510"/>
      <c r="R270" s="1674"/>
      <c r="S270" s="1674"/>
      <c r="T270" s="1674"/>
    </row>
    <row r="271" spans="1:20" x14ac:dyDescent="0.25">
      <c r="A271" s="1673" t="s">
        <v>2661</v>
      </c>
      <c r="B271" s="1668">
        <v>1.0786110179478501</v>
      </c>
      <c r="C271" s="1668">
        <v>1.02369110502099</v>
      </c>
      <c r="D271" s="1249">
        <v>0.97422639535754896</v>
      </c>
      <c r="E271" s="1249">
        <v>0.93155746183152499</v>
      </c>
      <c r="F271" s="1249">
        <v>0.88890131339621303</v>
      </c>
      <c r="G271" s="1249"/>
      <c r="H271" s="1249"/>
      <c r="N271" s="510"/>
      <c r="O271" s="510"/>
      <c r="P271" s="510"/>
      <c r="R271" s="1674"/>
      <c r="S271" s="1674"/>
      <c r="T271" s="1674"/>
    </row>
    <row r="272" spans="1:20" x14ac:dyDescent="0.25">
      <c r="A272" s="1673" t="s">
        <v>2662</v>
      </c>
      <c r="B272" s="1668">
        <v>1.20469617753643</v>
      </c>
      <c r="C272" s="1668">
        <v>1.14337526971852</v>
      </c>
      <c r="D272" s="1249">
        <v>1.08839353213222</v>
      </c>
      <c r="E272" s="1249">
        <v>1.04002201334422</v>
      </c>
      <c r="F272" s="1249">
        <v>0.99251825122583903</v>
      </c>
      <c r="G272" s="1249"/>
      <c r="H272" s="1249"/>
      <c r="N272" s="510"/>
      <c r="O272" s="510"/>
      <c r="P272" s="510"/>
      <c r="R272" s="1674"/>
      <c r="S272" s="1674"/>
      <c r="T272" s="1674"/>
    </row>
    <row r="273" spans="1:20" x14ac:dyDescent="0.25">
      <c r="A273" s="1673" t="s">
        <v>2663</v>
      </c>
      <c r="B273" s="1668">
        <v>1.32438034223396</v>
      </c>
      <c r="C273" s="1668">
        <v>1.2575424064931999</v>
      </c>
      <c r="D273" s="1249">
        <v>1.1968580836449201</v>
      </c>
      <c r="E273" s="1249">
        <v>1.1436389511738501</v>
      </c>
      <c r="F273" s="1249">
        <v>1.09148651112595</v>
      </c>
      <c r="G273" s="1249"/>
      <c r="H273" s="1249"/>
      <c r="N273" s="510"/>
      <c r="O273" s="510"/>
      <c r="P273" s="510"/>
      <c r="R273" s="1674"/>
      <c r="S273" s="1674"/>
      <c r="T273" s="1674"/>
    </row>
    <row r="274" spans="1:20" x14ac:dyDescent="0.25">
      <c r="A274" s="1673" t="s">
        <v>2664</v>
      </c>
      <c r="B274" s="1668">
        <v>0.19315680364299076</v>
      </c>
      <c r="C274" s="1668">
        <v>0.18075688156746281</v>
      </c>
      <c r="D274" s="1249">
        <v>0.16877071105329161</v>
      </c>
      <c r="E274" s="1249">
        <v>0.1563035332280287</v>
      </c>
      <c r="F274" s="1249">
        <v>0.1506826510005696</v>
      </c>
      <c r="G274" s="1249"/>
      <c r="H274" s="1249"/>
      <c r="N274" s="510"/>
      <c r="O274" s="510"/>
      <c r="P274" s="510"/>
      <c r="R274" s="1674"/>
      <c r="S274" s="1674"/>
      <c r="T274" s="1674"/>
    </row>
    <row r="275" spans="1:20" x14ac:dyDescent="0.25">
      <c r="A275" s="1673" t="s">
        <v>2665</v>
      </c>
      <c r="B275" s="1668">
        <v>1.5143867191281133</v>
      </c>
      <c r="C275" s="1668">
        <v>1.4350795226650532</v>
      </c>
      <c r="D275" s="1249">
        <v>1.3624660905928456</v>
      </c>
      <c r="E275" s="1249">
        <v>1.2970088326269875</v>
      </c>
      <c r="F275" s="1249">
        <v>1.2393861303760394</v>
      </c>
      <c r="G275" s="1249"/>
      <c r="H275" s="1249"/>
      <c r="N275" s="510"/>
      <c r="O275" s="510"/>
      <c r="P275" s="510"/>
      <c r="R275" s="1674"/>
      <c r="S275" s="1674"/>
      <c r="T275" s="1674"/>
    </row>
    <row r="276" spans="1:20" x14ac:dyDescent="0.25">
      <c r="A276" s="1673" t="s">
        <v>2666</v>
      </c>
      <c r="B276" s="1668">
        <v>1.6282363263080439</v>
      </c>
      <c r="C276" s="1668">
        <v>1.5432229721603086</v>
      </c>
      <c r="D276" s="1249">
        <v>1.4657795436802792</v>
      </c>
      <c r="E276" s="1249">
        <v>1.3956896636040681</v>
      </c>
      <c r="F276" s="1249">
        <v>1.333369606222143</v>
      </c>
      <c r="G276" s="1249"/>
      <c r="H276" s="1249"/>
      <c r="N276" s="510"/>
      <c r="O276" s="510"/>
      <c r="P276" s="510"/>
      <c r="R276" s="1674"/>
      <c r="S276" s="1674"/>
      <c r="T276" s="1674"/>
    </row>
    <row r="277" spans="1:20" x14ac:dyDescent="0.25">
      <c r="A277" s="1673" t="s">
        <v>2667</v>
      </c>
      <c r="B277" s="1668">
        <v>1.7363797758032993</v>
      </c>
      <c r="C277" s="1668">
        <v>1.6465364252477421</v>
      </c>
      <c r="D277" s="1249">
        <v>1.5644603746573598</v>
      </c>
      <c r="E277" s="1249">
        <v>1.4896731394501719</v>
      </c>
      <c r="F277" s="1249">
        <v>1.423138599384812</v>
      </c>
      <c r="G277" s="1249"/>
      <c r="H277" s="1249"/>
      <c r="N277" s="510"/>
      <c r="O277" s="510"/>
      <c r="P277" s="510"/>
      <c r="R277" s="1674"/>
      <c r="S277" s="1674"/>
      <c r="T277" s="1674"/>
    </row>
    <row r="278" spans="1:20" x14ac:dyDescent="0.25">
      <c r="A278" s="1673" t="s">
        <v>2668</v>
      </c>
      <c r="B278" s="1668">
        <v>1.8396932288907328</v>
      </c>
      <c r="C278" s="1668">
        <v>1.7452172562248225</v>
      </c>
      <c r="D278" s="1249">
        <v>1.6584438505034635</v>
      </c>
      <c r="E278" s="1249">
        <v>1.5794421326128407</v>
      </c>
      <c r="F278" s="1249">
        <v>1.5088821897162121</v>
      </c>
      <c r="G278" s="1249"/>
      <c r="H278" s="1249"/>
      <c r="N278" s="510"/>
      <c r="O278" s="510"/>
      <c r="P278" s="510"/>
      <c r="R278" s="1674"/>
      <c r="S278" s="1674"/>
      <c r="T278" s="1674"/>
    </row>
    <row r="279" spans="1:20" x14ac:dyDescent="0.25">
      <c r="A279" s="1673" t="s">
        <v>2669</v>
      </c>
      <c r="B279" s="1668">
        <v>1.9383740598678132</v>
      </c>
      <c r="C279" s="1668">
        <v>1.8392007320709263</v>
      </c>
      <c r="D279" s="1249">
        <v>1.7482128436661322</v>
      </c>
      <c r="E279" s="1249">
        <v>1.6651857229442406</v>
      </c>
      <c r="F279" s="1249">
        <v>1.5907809701490174</v>
      </c>
      <c r="G279" s="1249"/>
      <c r="H279" s="1249"/>
      <c r="N279" s="510"/>
      <c r="O279" s="510"/>
      <c r="P279" s="510"/>
      <c r="R279" s="1674"/>
      <c r="S279" s="1674"/>
      <c r="T279" s="1674"/>
    </row>
    <row r="280" spans="1:20" x14ac:dyDescent="0.25">
      <c r="A280" s="1673" t="s">
        <v>2670</v>
      </c>
      <c r="B280" s="1668">
        <v>2.032357535713917</v>
      </c>
      <c r="C280" s="1668">
        <v>1.9289697252335953</v>
      </c>
      <c r="D280" s="1249">
        <v>1.8339564339975325</v>
      </c>
      <c r="E280" s="1249">
        <v>1.7470845033770459</v>
      </c>
      <c r="F280" s="1249">
        <v>1.6690074278098805</v>
      </c>
      <c r="G280" s="1249"/>
      <c r="H280" s="1249"/>
      <c r="N280" s="510"/>
      <c r="O280" s="510"/>
      <c r="P280" s="510"/>
      <c r="R280" s="1674"/>
      <c r="S280" s="1674"/>
      <c r="T280" s="1674"/>
    </row>
    <row r="281" spans="1:20" x14ac:dyDescent="0.25">
      <c r="A281" s="1673" t="s">
        <v>2671</v>
      </c>
      <c r="B281" s="1668">
        <v>2.1221265288765858</v>
      </c>
      <c r="C281" s="1668">
        <v>2.0147133155649954</v>
      </c>
      <c r="D281" s="1249">
        <v>1.9158552144303376</v>
      </c>
      <c r="E281" s="1249">
        <v>1.825310961037909</v>
      </c>
      <c r="F281" s="1249">
        <v>1.7437263080109511</v>
      </c>
      <c r="G281" s="1249"/>
      <c r="H281" s="1249"/>
      <c r="N281" s="510"/>
      <c r="O281" s="510"/>
      <c r="P281" s="510"/>
      <c r="R281" s="1674"/>
      <c r="S281" s="1674"/>
      <c r="T281" s="1674"/>
    </row>
    <row r="282" spans="1:20" x14ac:dyDescent="0.25">
      <c r="A282" s="1673" t="s">
        <v>2672</v>
      </c>
      <c r="B282" s="1668">
        <v>2.2078701192079859</v>
      </c>
      <c r="C282" s="1668">
        <v>2.0966120959978007</v>
      </c>
      <c r="D282" s="1249">
        <v>1.9940816720912007</v>
      </c>
      <c r="E282" s="1249">
        <v>1.9000298412389796</v>
      </c>
      <c r="F282" s="1249">
        <v>1.8154726336247564</v>
      </c>
      <c r="G282" s="1249"/>
      <c r="H282" s="1249"/>
      <c r="N282" s="510"/>
      <c r="O282" s="510"/>
      <c r="P282" s="510"/>
      <c r="R282" s="1674"/>
      <c r="S282" s="1674"/>
      <c r="T282" s="1674"/>
    </row>
    <row r="283" spans="1:20" x14ac:dyDescent="0.25">
      <c r="A283" s="1673" t="s">
        <v>2673</v>
      </c>
      <c r="B283" s="1668">
        <v>2.2897688996407912</v>
      </c>
      <c r="C283" s="1668">
        <v>2.1748385536586636</v>
      </c>
      <c r="D283" s="1249">
        <v>2.0688005522922714</v>
      </c>
      <c r="E283" s="1249">
        <v>1.9717761668527853</v>
      </c>
      <c r="F283" s="1249">
        <v>1.8840018453626157</v>
      </c>
      <c r="G283" s="1249"/>
      <c r="H283" s="1249"/>
      <c r="N283" s="510"/>
      <c r="O283" s="510"/>
      <c r="P283" s="510"/>
      <c r="R283" s="1674"/>
      <c r="S283" s="1674"/>
      <c r="T283" s="1674"/>
    </row>
    <row r="284" spans="1:20" x14ac:dyDescent="0.25">
      <c r="A284" s="1673" t="s">
        <v>2674</v>
      </c>
      <c r="B284" s="1668">
        <v>2.3679953573016546</v>
      </c>
      <c r="C284" s="1668">
        <v>2.2495574338597342</v>
      </c>
      <c r="D284" s="1249">
        <v>2.1405468779060772</v>
      </c>
      <c r="E284" s="1249">
        <v>2.0403053785906446</v>
      </c>
      <c r="F284" s="1249">
        <v>1.9494582683500667</v>
      </c>
      <c r="G284" s="1249"/>
      <c r="H284" s="1249"/>
      <c r="N284" s="510"/>
      <c r="O284" s="510"/>
      <c r="P284" s="510"/>
      <c r="R284" s="1674"/>
      <c r="S284" s="1674"/>
      <c r="T284" s="1674"/>
    </row>
    <row r="285" spans="1:20" x14ac:dyDescent="0.25">
      <c r="A285" s="1673" t="s">
        <v>2675</v>
      </c>
      <c r="B285" s="1668">
        <v>0.37391368521045359</v>
      </c>
      <c r="C285" s="1668">
        <v>0.34952759262075445</v>
      </c>
      <c r="D285" s="1249">
        <v>0.32507424428132031</v>
      </c>
      <c r="E285" s="1249">
        <v>0.30698618422859825</v>
      </c>
      <c r="F285" s="1249">
        <v>0.29686016783231706</v>
      </c>
      <c r="G285" s="1249"/>
      <c r="H285" s="1249"/>
      <c r="N285" s="510"/>
      <c r="O285" s="510"/>
      <c r="P285" s="510"/>
      <c r="R285" s="1674"/>
      <c r="S285" s="1674"/>
      <c r="T285" s="1674"/>
    </row>
    <row r="286" spans="1:20" x14ac:dyDescent="0.25">
      <c r="A286" s="1673" t="s">
        <v>2676</v>
      </c>
      <c r="B286" s="1668">
        <v>2.4427142375027251</v>
      </c>
      <c r="C286" s="1668">
        <v>2.32130375947354</v>
      </c>
      <c r="D286" s="1249">
        <v>2.2090760896439363</v>
      </c>
      <c r="E286" s="1249">
        <v>2.1057618015780952</v>
      </c>
      <c r="F286" s="1249">
        <v>2.0119797499975056</v>
      </c>
      <c r="G286" s="1249"/>
      <c r="H286" s="1249"/>
      <c r="N286" s="510"/>
      <c r="O286" s="510"/>
      <c r="P286" s="510"/>
      <c r="R286" s="1674"/>
      <c r="S286" s="1674"/>
      <c r="T286" s="1674"/>
    </row>
    <row r="287" spans="1:20" x14ac:dyDescent="0.25">
      <c r="A287" s="1673" t="s">
        <v>2677</v>
      </c>
      <c r="B287" s="1668">
        <v>2.5144605631165309</v>
      </c>
      <c r="C287" s="1668">
        <v>2.3898329712113995</v>
      </c>
      <c r="D287" s="1249">
        <v>2.2745325126313873</v>
      </c>
      <c r="E287" s="1249">
        <v>2.1682832832255343</v>
      </c>
      <c r="F287" s="1249">
        <v>2.0716979508720361</v>
      </c>
      <c r="G287" s="1249"/>
      <c r="H287" s="1249"/>
      <c r="N287" s="510"/>
      <c r="O287" s="510"/>
      <c r="P287" s="510"/>
      <c r="R287" s="1674"/>
      <c r="S287" s="1674"/>
      <c r="T287" s="1674"/>
    </row>
    <row r="288" spans="1:20" x14ac:dyDescent="0.25">
      <c r="A288" s="1673" t="s">
        <v>2678</v>
      </c>
      <c r="B288" s="1668">
        <v>2.58298977485439</v>
      </c>
      <c r="C288" s="1668">
        <v>2.4552893941988501</v>
      </c>
      <c r="D288" s="1249">
        <v>2.3370539942788264</v>
      </c>
      <c r="E288" s="1249">
        <v>2.2280014841000648</v>
      </c>
      <c r="F288" s="1249">
        <v>2.1275824734946553</v>
      </c>
      <c r="G288" s="1249"/>
      <c r="H288" s="1249"/>
      <c r="N288" s="510"/>
      <c r="O288" s="510"/>
      <c r="P288" s="510"/>
      <c r="R288" s="1674"/>
      <c r="S288" s="1674"/>
      <c r="T288" s="1674"/>
    </row>
    <row r="289" spans="1:20" x14ac:dyDescent="0.25">
      <c r="A289" s="1673" t="s">
        <v>2679</v>
      </c>
      <c r="B289" s="1668">
        <v>2.648446197841841</v>
      </c>
      <c r="C289" s="1668">
        <v>2.5178108758462892</v>
      </c>
      <c r="D289" s="1249">
        <v>2.3967721951533569</v>
      </c>
      <c r="E289" s="1249">
        <v>2.2838860067226836</v>
      </c>
      <c r="F289" s="1249">
        <v>2.1798794252283433</v>
      </c>
      <c r="G289" s="1249"/>
      <c r="H289" s="1249"/>
      <c r="N289" s="510"/>
      <c r="O289" s="510"/>
      <c r="P289" s="510"/>
      <c r="R289" s="1674"/>
      <c r="S289" s="1674"/>
      <c r="T289" s="1674"/>
    </row>
    <row r="290" spans="1:20" x14ac:dyDescent="0.25">
      <c r="A290" s="1673" t="s">
        <v>2680</v>
      </c>
      <c r="B290" s="1668">
        <v>2.7109676794892801</v>
      </c>
      <c r="C290" s="1668">
        <v>2.5775290767208197</v>
      </c>
      <c r="D290" s="1249">
        <v>2.4526567177759757</v>
      </c>
      <c r="E290" s="1249">
        <v>2.3361829584563725</v>
      </c>
      <c r="F290" s="1249">
        <v>2.2288191142922473</v>
      </c>
      <c r="G290" s="1249"/>
      <c r="H290" s="1249"/>
      <c r="N290" s="510"/>
      <c r="O290" s="510"/>
      <c r="P290" s="510"/>
      <c r="R290" s="1674"/>
      <c r="S290" s="1674"/>
      <c r="T290" s="1674"/>
    </row>
    <row r="291" spans="1:20" x14ac:dyDescent="0.25">
      <c r="A291" s="1673" t="s">
        <v>2681</v>
      </c>
      <c r="B291" s="1668">
        <v>2.7706858803638101</v>
      </c>
      <c r="C291" s="1668">
        <v>2.6334135993434389</v>
      </c>
      <c r="D291" s="1249">
        <v>2.5049536695096637</v>
      </c>
      <c r="E291" s="1249">
        <v>2.385122647520276</v>
      </c>
      <c r="F291" s="1249">
        <v>2.2746170640058021</v>
      </c>
      <c r="G291" s="1249"/>
      <c r="H291" s="1249"/>
      <c r="N291" s="510"/>
      <c r="O291" s="510"/>
      <c r="P291" s="510"/>
      <c r="R291" s="1674"/>
      <c r="S291" s="1674"/>
      <c r="T291" s="1674"/>
    </row>
    <row r="292" spans="1:20" x14ac:dyDescent="0.25">
      <c r="A292" s="1673" t="s">
        <v>2682</v>
      </c>
      <c r="B292" s="1668">
        <v>0.54268439626374521</v>
      </c>
      <c r="C292" s="1668">
        <v>0.50583112584878309</v>
      </c>
      <c r="D292" s="1249">
        <v>0.47575689528188997</v>
      </c>
      <c r="E292" s="1249">
        <v>0.45316370106034581</v>
      </c>
      <c r="F292" s="1249">
        <v>0.4373475554709349</v>
      </c>
      <c r="G292" s="1249"/>
      <c r="H292" s="1249"/>
      <c r="N292" s="510"/>
      <c r="O292" s="510"/>
      <c r="P292" s="510"/>
      <c r="R292" s="1674"/>
      <c r="S292" s="1674"/>
      <c r="T292" s="1674"/>
    </row>
    <row r="293" spans="1:20" x14ac:dyDescent="0.25">
      <c r="A293" s="1673" t="s">
        <v>2683</v>
      </c>
      <c r="B293" s="1668">
        <v>0.69898792949177391</v>
      </c>
      <c r="C293" s="1668">
        <v>0.65651377684935264</v>
      </c>
      <c r="D293" s="1249">
        <v>0.62193441211363742</v>
      </c>
      <c r="E293" s="1249">
        <v>0.59365108869896366</v>
      </c>
      <c r="F293" s="1249">
        <v>0.5702803899351615</v>
      </c>
      <c r="G293" s="1249"/>
      <c r="H293" s="1249"/>
      <c r="N293" s="510"/>
      <c r="O293" s="510"/>
      <c r="P293" s="510"/>
      <c r="R293" s="1674"/>
      <c r="S293" s="1674"/>
      <c r="T293" s="1674"/>
    </row>
    <row r="294" spans="1:20" x14ac:dyDescent="0.25">
      <c r="A294" s="1673" t="s">
        <v>2684</v>
      </c>
      <c r="B294" s="1668">
        <v>0.84967058049234345</v>
      </c>
      <c r="C294" s="1668">
        <v>0.80269129368110015</v>
      </c>
      <c r="D294" s="1249">
        <v>0.76242179975225521</v>
      </c>
      <c r="E294" s="1249">
        <v>0.7265839231631902</v>
      </c>
      <c r="F294" s="1249">
        <v>0.6960445549580504</v>
      </c>
      <c r="G294" s="1249"/>
      <c r="H294" s="1249"/>
      <c r="N294" s="510"/>
      <c r="O294" s="510"/>
      <c r="P294" s="510"/>
      <c r="R294" s="1674"/>
      <c r="S294" s="1674"/>
      <c r="T294" s="1674"/>
    </row>
    <row r="295" spans="1:20" x14ac:dyDescent="0.25">
      <c r="A295" s="1673" t="s">
        <v>2685</v>
      </c>
      <c r="B295" s="1668">
        <v>0.99584809732409096</v>
      </c>
      <c r="C295" s="1668">
        <v>0.94317868131971816</v>
      </c>
      <c r="D295" s="1249">
        <v>0.89535463421648187</v>
      </c>
      <c r="E295" s="1249">
        <v>0.85234808818607921</v>
      </c>
      <c r="F295" s="1249">
        <v>0.81539878963633905</v>
      </c>
      <c r="G295" s="1249"/>
      <c r="H295" s="1249"/>
      <c r="N295" s="510"/>
      <c r="O295" s="510"/>
      <c r="P295" s="510"/>
      <c r="R295" s="1674"/>
      <c r="S295" s="1674"/>
      <c r="T295" s="1674"/>
    </row>
    <row r="296" spans="1:20" x14ac:dyDescent="0.25">
      <c r="A296" s="1673" t="s">
        <v>2686</v>
      </c>
      <c r="B296" s="1668">
        <v>0.99584809732409096</v>
      </c>
      <c r="C296" s="1668">
        <v>0.94317868131971816</v>
      </c>
      <c r="D296" s="1249">
        <v>0.89535463421648187</v>
      </c>
      <c r="E296" s="1249">
        <v>0.85234808818607921</v>
      </c>
      <c r="F296" s="1249">
        <v>0.81539878963633905</v>
      </c>
      <c r="G296" s="1249"/>
      <c r="H296" s="1249"/>
      <c r="N296" s="510"/>
      <c r="O296" s="510"/>
      <c r="P296" s="510"/>
      <c r="R296" s="1674"/>
      <c r="S296" s="1674"/>
      <c r="T296" s="1674"/>
    </row>
    <row r="297" spans="1:20" x14ac:dyDescent="0.25">
      <c r="A297" s="1673" t="s">
        <v>2687</v>
      </c>
      <c r="B297" s="1668">
        <v>1.1363354849627088</v>
      </c>
      <c r="C297" s="1668">
        <v>1.0761115157839447</v>
      </c>
      <c r="D297" s="1249">
        <v>1.0211187992393707</v>
      </c>
      <c r="E297" s="1249">
        <v>0.97170232286436775</v>
      </c>
      <c r="F297" s="1249">
        <v>0.92924839681627003</v>
      </c>
      <c r="G297" s="1249"/>
      <c r="H297" s="1249"/>
      <c r="N297" s="510"/>
      <c r="O297" s="510"/>
      <c r="P297" s="510"/>
      <c r="R297" s="1674"/>
      <c r="S297" s="1674"/>
      <c r="T297" s="1674"/>
    </row>
    <row r="298" spans="1:20" x14ac:dyDescent="0.25">
      <c r="A298" s="1673" t="s">
        <v>2688</v>
      </c>
      <c r="B298" s="1668">
        <v>1.2692683194269354</v>
      </c>
      <c r="C298" s="1668">
        <v>1.2018756808068338</v>
      </c>
      <c r="D298" s="1249">
        <v>1.1404730339176594</v>
      </c>
      <c r="E298" s="1249">
        <v>1.0855519300442988</v>
      </c>
      <c r="F298" s="1249">
        <v>1.0373918463115253</v>
      </c>
      <c r="G298" s="1249"/>
      <c r="H298" s="1249"/>
      <c r="N298" s="510"/>
      <c r="O298" s="510"/>
      <c r="P298" s="510"/>
      <c r="R298" s="1674"/>
      <c r="S298" s="1674"/>
      <c r="T298" s="1674"/>
    </row>
    <row r="299" spans="1:20" x14ac:dyDescent="0.25">
      <c r="A299" s="1673" t="s">
        <v>2689</v>
      </c>
      <c r="B299" s="1668">
        <v>1.3950324844498243</v>
      </c>
      <c r="C299" s="1668">
        <v>1.3212299154851226</v>
      </c>
      <c r="D299" s="1249">
        <v>1.2543226410975905</v>
      </c>
      <c r="E299" s="1249">
        <v>1.193695379539554</v>
      </c>
      <c r="F299" s="1249">
        <v>1.1407052993989586</v>
      </c>
      <c r="G299" s="1249"/>
      <c r="H299" s="1249"/>
      <c r="N299" s="510"/>
      <c r="O299" s="510"/>
      <c r="P299" s="510"/>
      <c r="R299" s="1674"/>
      <c r="S299" s="1674"/>
      <c r="T299" s="1674"/>
    </row>
    <row r="300" spans="1:20" x14ac:dyDescent="0.25">
      <c r="A300" s="1673" t="s">
        <v>2690</v>
      </c>
      <c r="B300" s="1668">
        <v>1.2939208023167001</v>
      </c>
      <c r="C300" s="1668">
        <v>1.2316598723389451</v>
      </c>
      <c r="D300" s="1249">
        <v>1.1734459180757892</v>
      </c>
      <c r="E300" s="1249">
        <v>1.1194280786667059</v>
      </c>
      <c r="F300" s="1249">
        <v>1.0686030557262765</v>
      </c>
      <c r="G300" s="1249"/>
      <c r="H300" s="1249"/>
      <c r="I300" s="50" t="s">
        <v>2691</v>
      </c>
      <c r="N300" s="510"/>
      <c r="O300" s="510"/>
      <c r="P300" s="510"/>
      <c r="R300" s="1674"/>
      <c r="S300" s="1674"/>
      <c r="T300" s="1674"/>
    </row>
    <row r="301" spans="1:20" x14ac:dyDescent="0.25">
      <c r="A301" s="1673" t="s">
        <v>2692</v>
      </c>
      <c r="B301" s="1668">
        <v>6.5806458771008033E-2</v>
      </c>
      <c r="C301" s="1668">
        <v>6.1581937835493199E-2</v>
      </c>
      <c r="D301" s="1249">
        <v>5.5440170655037584E-2</v>
      </c>
      <c r="E301" s="1249">
        <v>4.878226253096684E-2</v>
      </c>
      <c r="F301" s="1249">
        <v>4.8086922181543611E-2</v>
      </c>
      <c r="G301" s="1249"/>
      <c r="H301" s="1249"/>
      <c r="N301" s="510"/>
      <c r="O301" s="510"/>
      <c r="P301" s="510"/>
      <c r="R301" s="1674"/>
      <c r="S301" s="1674"/>
      <c r="T301" s="1674"/>
    </row>
    <row r="302" spans="1:20" x14ac:dyDescent="0.25">
      <c r="A302" s="1673" t="s">
        <v>2693</v>
      </c>
      <c r="B302" s="1668">
        <v>0.49715258709923615</v>
      </c>
      <c r="C302" s="1668">
        <v>0.4678675684178582</v>
      </c>
      <c r="D302" s="1249">
        <v>0.44070270323018229</v>
      </c>
      <c r="E302" s="1249">
        <v>0.41818848637032224</v>
      </c>
      <c r="F302" s="1249">
        <v>0.4008901636879274</v>
      </c>
      <c r="G302" s="1249"/>
      <c r="H302" s="1249"/>
      <c r="N302" s="510"/>
      <c r="O302" s="510"/>
      <c r="P302" s="510"/>
      <c r="R302" s="1674"/>
      <c r="S302" s="1674"/>
      <c r="T302" s="1674"/>
    </row>
    <row r="303" spans="1:20" x14ac:dyDescent="0.25">
      <c r="A303" s="1673" t="s">
        <v>2694</v>
      </c>
      <c r="B303" s="1668">
        <v>0.53367402718886625</v>
      </c>
      <c r="C303" s="1668">
        <v>0.50228464106567539</v>
      </c>
      <c r="D303" s="1249">
        <v>0.47362865702535972</v>
      </c>
      <c r="E303" s="1249">
        <v>0.44967242621889431</v>
      </c>
      <c r="F303" s="1249">
        <v>0.43076651195232391</v>
      </c>
      <c r="G303" s="1249"/>
      <c r="H303" s="1249"/>
      <c r="N303" s="510"/>
      <c r="O303" s="510"/>
      <c r="P303" s="510"/>
      <c r="R303" s="1674"/>
      <c r="S303" s="1674"/>
      <c r="T303" s="1674"/>
    </row>
    <row r="304" spans="1:20" x14ac:dyDescent="0.25">
      <c r="A304" s="1673" t="s">
        <v>2695</v>
      </c>
      <c r="B304" s="1668">
        <v>0.56809109983668338</v>
      </c>
      <c r="C304" s="1668">
        <v>0.53521059486085298</v>
      </c>
      <c r="D304" s="1249">
        <v>0.50511259687393184</v>
      </c>
      <c r="E304" s="1249">
        <v>0.47954877448329064</v>
      </c>
      <c r="F304" s="1249">
        <v>0.45933434855342231</v>
      </c>
      <c r="G304" s="1249"/>
      <c r="H304" s="1249"/>
      <c r="N304" s="510"/>
      <c r="O304" s="510"/>
      <c r="P304" s="510"/>
      <c r="R304" s="1674"/>
      <c r="S304" s="1674"/>
      <c r="T304" s="1674"/>
    </row>
    <row r="305" spans="1:20" x14ac:dyDescent="0.25">
      <c r="A305" s="1673" t="s">
        <v>2696</v>
      </c>
      <c r="B305" s="1668">
        <v>0.60101705363186098</v>
      </c>
      <c r="C305" s="1668">
        <v>0.56669453470942499</v>
      </c>
      <c r="D305" s="1249">
        <v>0.53498894513832829</v>
      </c>
      <c r="E305" s="1249">
        <v>0.5081166110843891</v>
      </c>
      <c r="F305" s="1249">
        <v>0.48665100665335059</v>
      </c>
      <c r="G305" s="1249"/>
      <c r="H305" s="1249"/>
      <c r="N305" s="510"/>
      <c r="O305" s="510"/>
      <c r="P305" s="510"/>
      <c r="R305" s="1674"/>
      <c r="S305" s="1674"/>
      <c r="T305" s="1674"/>
    </row>
    <row r="306" spans="1:20" x14ac:dyDescent="0.25">
      <c r="A306" s="1673" t="s">
        <v>2697</v>
      </c>
      <c r="B306" s="1668">
        <v>0.63250099348043309</v>
      </c>
      <c r="C306" s="1668">
        <v>0.59657088297382155</v>
      </c>
      <c r="D306" s="1249">
        <v>0.56355678173942658</v>
      </c>
      <c r="E306" s="1249">
        <v>0.53543326918431744</v>
      </c>
      <c r="F306" s="1249">
        <v>0.5127713062716891</v>
      </c>
      <c r="G306" s="1249"/>
      <c r="H306" s="1249"/>
      <c r="N306" s="510"/>
      <c r="O306" s="510"/>
      <c r="P306" s="510"/>
      <c r="R306" s="1674"/>
      <c r="S306" s="1674"/>
      <c r="T306" s="1674"/>
    </row>
    <row r="307" spans="1:20" x14ac:dyDescent="0.25">
      <c r="A307" s="1673" t="s">
        <v>2698</v>
      </c>
      <c r="B307" s="1668">
        <v>0.66237734174482943</v>
      </c>
      <c r="C307" s="1668">
        <v>0.62513871957491984</v>
      </c>
      <c r="D307" s="1249">
        <v>0.59087343983935503</v>
      </c>
      <c r="E307" s="1249">
        <v>0.56155356880265594</v>
      </c>
      <c r="F307" s="1249">
        <v>0.53774766449419242</v>
      </c>
      <c r="G307" s="1249"/>
      <c r="H307" s="1249"/>
      <c r="N307" s="510"/>
      <c r="O307" s="510"/>
      <c r="P307" s="510"/>
      <c r="R307" s="1674"/>
      <c r="S307" s="1674"/>
      <c r="T307" s="1674"/>
    </row>
    <row r="308" spans="1:20" x14ac:dyDescent="0.25">
      <c r="A308" s="1673" t="s">
        <v>2699</v>
      </c>
      <c r="B308" s="1668">
        <v>0.69094517834592806</v>
      </c>
      <c r="C308" s="1668">
        <v>0.65245537767484818</v>
      </c>
      <c r="D308" s="1249">
        <v>0.61699373945769354</v>
      </c>
      <c r="E308" s="1249">
        <v>0.58652992702515938</v>
      </c>
      <c r="F308" s="1249">
        <v>0.56163020084639304</v>
      </c>
      <c r="G308" s="1249"/>
      <c r="H308" s="1249"/>
      <c r="N308" s="510"/>
      <c r="O308" s="510"/>
      <c r="P308" s="510"/>
      <c r="R308" s="1674"/>
      <c r="S308" s="1674"/>
      <c r="T308" s="1674"/>
    </row>
    <row r="309" spans="1:20" x14ac:dyDescent="0.25">
      <c r="A309" s="1673" t="s">
        <v>2700</v>
      </c>
      <c r="B309" s="1668">
        <v>0.71826183644585617</v>
      </c>
      <c r="C309" s="1668">
        <v>0.67857567729318669</v>
      </c>
      <c r="D309" s="1249">
        <v>0.64197009768019697</v>
      </c>
      <c r="E309" s="1249">
        <v>0.61041246337735988</v>
      </c>
      <c r="F309" s="1249">
        <v>0.58450396538546046</v>
      </c>
      <c r="G309" s="1249"/>
      <c r="H309" s="1249"/>
      <c r="N309" s="510"/>
      <c r="O309" s="510"/>
      <c r="P309" s="510"/>
      <c r="R309" s="1674"/>
      <c r="S309" s="1674"/>
      <c r="T309" s="1674"/>
    </row>
    <row r="310" spans="1:20" x14ac:dyDescent="0.25">
      <c r="A310" s="1673" t="s">
        <v>2701</v>
      </c>
      <c r="B310" s="1668">
        <v>0.7443821360641949</v>
      </c>
      <c r="C310" s="1668">
        <v>0.70355203551569001</v>
      </c>
      <c r="D310" s="1249">
        <v>0.66585263403239747</v>
      </c>
      <c r="E310" s="1249">
        <v>0.63328622791642697</v>
      </c>
      <c r="F310" s="1249">
        <v>0.60637596445349951</v>
      </c>
      <c r="G310" s="1249"/>
      <c r="H310" s="1249"/>
      <c r="N310" s="510"/>
      <c r="O310" s="510"/>
      <c r="P310" s="510"/>
      <c r="R310" s="1674"/>
      <c r="S310" s="1674"/>
      <c r="T310" s="1674"/>
    </row>
    <row r="311" spans="1:20" x14ac:dyDescent="0.25">
      <c r="A311" s="1673" t="s">
        <v>2702</v>
      </c>
      <c r="B311" s="1668">
        <v>0.76935849428669822</v>
      </c>
      <c r="C311" s="1668">
        <v>0.72743457186789062</v>
      </c>
      <c r="D311" s="1249">
        <v>0.68872639857146478</v>
      </c>
      <c r="E311" s="1249">
        <v>0.65515822698446646</v>
      </c>
      <c r="F311" s="1249">
        <v>0.62729008870922798</v>
      </c>
      <c r="G311" s="1249"/>
      <c r="H311" s="1249"/>
      <c r="N311" s="510"/>
      <c r="O311" s="510"/>
      <c r="P311" s="510"/>
      <c r="R311" s="1674"/>
      <c r="S311" s="1674"/>
      <c r="T311" s="1674"/>
    </row>
    <row r="312" spans="1:20" x14ac:dyDescent="0.25">
      <c r="A312" s="1673" t="s">
        <v>2703</v>
      </c>
      <c r="B312" s="1668">
        <v>0.1273883966065012</v>
      </c>
      <c r="C312" s="1668">
        <v>0.11702210849053077</v>
      </c>
      <c r="D312" s="1249">
        <v>0.10422243318600444</v>
      </c>
      <c r="E312" s="1249">
        <v>9.6869184712510464E-2</v>
      </c>
      <c r="F312" s="1249">
        <v>9.6062264705810793E-2</v>
      </c>
      <c r="G312" s="1249"/>
      <c r="H312" s="1249"/>
      <c r="N312" s="510"/>
      <c r="O312" s="510"/>
      <c r="P312" s="510"/>
      <c r="R312" s="1674"/>
      <c r="S312" s="1674"/>
      <c r="T312" s="1674"/>
    </row>
    <row r="313" spans="1:20" x14ac:dyDescent="0.25">
      <c r="A313" s="1673" t="s">
        <v>2704</v>
      </c>
      <c r="B313" s="1668">
        <v>0.79324103063889861</v>
      </c>
      <c r="C313" s="1668">
        <v>0.75030833640695782</v>
      </c>
      <c r="D313" s="1249">
        <v>0.71059839763950394</v>
      </c>
      <c r="E313" s="1249">
        <v>0.67607235124019482</v>
      </c>
      <c r="F313" s="1249">
        <v>0.6472883050088456</v>
      </c>
      <c r="G313" s="1249"/>
      <c r="H313" s="1249"/>
      <c r="N313" s="510"/>
      <c r="O313" s="510"/>
      <c r="P313" s="510"/>
      <c r="R313" s="1674"/>
      <c r="S313" s="1674"/>
      <c r="T313" s="1674"/>
    </row>
    <row r="314" spans="1:20" x14ac:dyDescent="0.25">
      <c r="A314" s="1673" t="s">
        <v>2705</v>
      </c>
      <c r="B314" s="1668">
        <v>0.81611479517796581</v>
      </c>
      <c r="C314" s="1668">
        <v>0.77218033547499709</v>
      </c>
      <c r="D314" s="1249">
        <v>0.7315125218952323</v>
      </c>
      <c r="E314" s="1249">
        <v>0.69607056753981256</v>
      </c>
      <c r="F314" s="1249">
        <v>0.66641074076590756</v>
      </c>
      <c r="G314" s="1249"/>
      <c r="H314" s="1249"/>
      <c r="N314" s="510"/>
      <c r="O314" s="510"/>
      <c r="P314" s="510"/>
      <c r="R314" s="1674"/>
      <c r="S314" s="1674"/>
      <c r="T314" s="1674"/>
    </row>
    <row r="315" spans="1:20" x14ac:dyDescent="0.25">
      <c r="A315" s="1673" t="s">
        <v>2706</v>
      </c>
      <c r="B315" s="1668">
        <v>0.83798679424600531</v>
      </c>
      <c r="C315" s="1668">
        <v>0.79309445973072545</v>
      </c>
      <c r="D315" s="1249">
        <v>0.75151073819484993</v>
      </c>
      <c r="E315" s="1249">
        <v>0.71519300329687452</v>
      </c>
      <c r="F315" s="1249">
        <v>0.68430558987414447</v>
      </c>
      <c r="G315" s="1249"/>
      <c r="H315" s="1249"/>
      <c r="N315" s="510"/>
      <c r="O315" s="510"/>
      <c r="P315" s="510"/>
      <c r="R315" s="1674"/>
      <c r="S315" s="1674"/>
      <c r="T315" s="1674"/>
    </row>
    <row r="316" spans="1:20" x14ac:dyDescent="0.25">
      <c r="A316" s="1673" t="s">
        <v>2707</v>
      </c>
      <c r="B316" s="1668">
        <v>0.85890091850173378</v>
      </c>
      <c r="C316" s="1668">
        <v>0.81309267603034308</v>
      </c>
      <c r="D316" s="1249">
        <v>0.77063317395191189</v>
      </c>
      <c r="E316" s="1249">
        <v>0.73308785240511132</v>
      </c>
      <c r="F316" s="1249">
        <v>0.70105165866343599</v>
      </c>
      <c r="G316" s="1249"/>
      <c r="H316" s="1249"/>
      <c r="N316" s="510"/>
      <c r="O316" s="510"/>
      <c r="P316" s="510"/>
      <c r="R316" s="1674"/>
      <c r="S316" s="1674"/>
      <c r="T316" s="1674"/>
    </row>
    <row r="317" spans="1:20" x14ac:dyDescent="0.25">
      <c r="A317" s="1673" t="s">
        <v>2708</v>
      </c>
      <c r="B317" s="1668">
        <v>0.87889913480135129</v>
      </c>
      <c r="C317" s="1668">
        <v>0.83221511178740515</v>
      </c>
      <c r="D317" s="1249">
        <v>0.78852802306014902</v>
      </c>
      <c r="E317" s="1249">
        <v>0.74983392119440295</v>
      </c>
      <c r="F317" s="1249">
        <v>0.71672269440112235</v>
      </c>
      <c r="G317" s="1249"/>
      <c r="H317" s="1249"/>
      <c r="N317" s="510"/>
      <c r="O317" s="510"/>
      <c r="P317" s="510"/>
      <c r="R317" s="1674"/>
      <c r="S317" s="1674"/>
      <c r="T317" s="1674"/>
    </row>
    <row r="318" spans="1:20" x14ac:dyDescent="0.25">
      <c r="A318" s="1673" t="s">
        <v>2709</v>
      </c>
      <c r="B318" s="1668">
        <v>0.89802157055841325</v>
      </c>
      <c r="C318" s="1668">
        <v>0.85010996089564206</v>
      </c>
      <c r="D318" s="1249">
        <v>0.80527409184944032</v>
      </c>
      <c r="E318" s="1249">
        <v>0.7655049569320892</v>
      </c>
      <c r="F318" s="1249">
        <v>0.73138771006431358</v>
      </c>
      <c r="G318" s="1249"/>
      <c r="H318" s="1249"/>
      <c r="N318" s="510"/>
      <c r="O318" s="510"/>
      <c r="P318" s="510"/>
      <c r="R318" s="1674"/>
      <c r="S318" s="1674"/>
      <c r="T318" s="1674"/>
    </row>
    <row r="319" spans="1:20" x14ac:dyDescent="0.25">
      <c r="A319" s="1673" t="s">
        <v>2710</v>
      </c>
      <c r="B319" s="1668">
        <v>0.18282856726153876</v>
      </c>
      <c r="C319" s="1668">
        <v>0.16580437102149759</v>
      </c>
      <c r="D319" s="1249">
        <v>0.15230935536754805</v>
      </c>
      <c r="E319" s="1249">
        <v>0.14484452723677763</v>
      </c>
      <c r="F319" s="1249">
        <v>0.14275981904655938</v>
      </c>
      <c r="G319" s="1249"/>
      <c r="H319" s="1249"/>
      <c r="N319" s="510"/>
      <c r="O319" s="510"/>
      <c r="P319" s="510"/>
      <c r="R319" s="1674"/>
      <c r="S319" s="1674"/>
      <c r="T319" s="1674"/>
    </row>
    <row r="320" spans="1:20" x14ac:dyDescent="0.25">
      <c r="A320" s="1673" t="s">
        <v>2711</v>
      </c>
      <c r="B320" s="1668">
        <v>0.23161082979250566</v>
      </c>
      <c r="C320" s="1668">
        <v>0.21389129320304126</v>
      </c>
      <c r="D320" s="1249">
        <v>0.20028469789181516</v>
      </c>
      <c r="E320" s="1249">
        <v>0.19154208157752625</v>
      </c>
      <c r="F320" s="1249">
        <v>0.18645116485026669</v>
      </c>
      <c r="G320" s="1249"/>
      <c r="H320" s="1249"/>
      <c r="N320" s="510"/>
      <c r="O320" s="510"/>
      <c r="P320" s="510"/>
      <c r="R320" s="1674"/>
      <c r="S320" s="1674"/>
      <c r="T320" s="1674"/>
    </row>
    <row r="321" spans="1:20" x14ac:dyDescent="0.25">
      <c r="A321" s="1673" t="s">
        <v>2712</v>
      </c>
      <c r="B321" s="1668">
        <v>0.27969775197404922</v>
      </c>
      <c r="C321" s="1668">
        <v>0.26186663572730845</v>
      </c>
      <c r="D321" s="1249">
        <v>0.2469822522325639</v>
      </c>
      <c r="E321" s="1249">
        <v>0.23523342738123343</v>
      </c>
      <c r="F321" s="1249">
        <v>0.22721301109973979</v>
      </c>
      <c r="G321" s="1249"/>
      <c r="H321" s="1249"/>
      <c r="N321" s="510"/>
      <c r="O321" s="510"/>
      <c r="P321" s="510"/>
      <c r="R321" s="1674"/>
      <c r="S321" s="1674"/>
      <c r="T321" s="1674"/>
    </row>
    <row r="322" spans="1:20" x14ac:dyDescent="0.25">
      <c r="A322" s="1673" t="s">
        <v>2713</v>
      </c>
      <c r="B322" s="1668">
        <v>0.3276730944983165</v>
      </c>
      <c r="C322" s="1668">
        <v>0.30856419006805702</v>
      </c>
      <c r="D322" s="1249">
        <v>0.29067359803627107</v>
      </c>
      <c r="E322" s="1249">
        <v>0.27599527363070664</v>
      </c>
      <c r="F322" s="1249">
        <v>0.26554175730673063</v>
      </c>
      <c r="G322" s="1249"/>
      <c r="H322" s="1249"/>
      <c r="N322" s="510"/>
      <c r="O322" s="510"/>
      <c r="P322" s="510"/>
      <c r="R322" s="1674"/>
      <c r="S322" s="1674"/>
      <c r="T322" s="1674"/>
    </row>
    <row r="323" spans="1:20" x14ac:dyDescent="0.25">
      <c r="A323" s="1673" t="s">
        <v>2714</v>
      </c>
      <c r="B323" s="1668">
        <v>0.37437064883906507</v>
      </c>
      <c r="C323" s="1668">
        <v>0.35225553587176417</v>
      </c>
      <c r="D323" s="1249">
        <v>0.33143544428574412</v>
      </c>
      <c r="E323" s="1249">
        <v>0.31432401983769742</v>
      </c>
      <c r="F323" s="1249">
        <v>0.30206319739636073</v>
      </c>
      <c r="G323" s="1249"/>
      <c r="H323" s="1249"/>
      <c r="N323" s="510"/>
      <c r="O323" s="510"/>
      <c r="P323" s="510"/>
      <c r="R323" s="1674"/>
      <c r="S323" s="1674"/>
      <c r="T323" s="1674"/>
    </row>
    <row r="324" spans="1:20" x14ac:dyDescent="0.25">
      <c r="A324" s="1673" t="s">
        <v>2715</v>
      </c>
      <c r="B324" s="1668">
        <v>0.41806199464277233</v>
      </c>
      <c r="C324" s="1668">
        <v>0.39301738212123749</v>
      </c>
      <c r="D324" s="1249">
        <v>0.36976419049273512</v>
      </c>
      <c r="E324" s="1249">
        <v>0.35084545992732746</v>
      </c>
      <c r="F324" s="1249">
        <v>0.3364802700441778</v>
      </c>
      <c r="G324" s="1249"/>
      <c r="H324" s="1249"/>
      <c r="N324" s="510"/>
      <c r="O324" s="510"/>
      <c r="P324" s="510"/>
      <c r="R324" s="1674"/>
      <c r="S324" s="1674"/>
      <c r="T324" s="1674"/>
    </row>
    <row r="325" spans="1:20" x14ac:dyDescent="0.25">
      <c r="A325" s="1673" t="s">
        <v>2716</v>
      </c>
      <c r="B325" s="1668">
        <v>0.45882384089224548</v>
      </c>
      <c r="C325" s="1668">
        <v>0.43134612832822816</v>
      </c>
      <c r="D325" s="1249">
        <v>0.40628563058236505</v>
      </c>
      <c r="E325" s="1249">
        <v>0.3852625325751447</v>
      </c>
      <c r="F325" s="1249">
        <v>0.36940622383935529</v>
      </c>
      <c r="G325" s="1249"/>
      <c r="H325" s="1249"/>
      <c r="N325" s="510"/>
      <c r="O325" s="510"/>
      <c r="P325" s="510"/>
      <c r="R325" s="1674"/>
      <c r="S325" s="1674"/>
      <c r="T325" s="1674"/>
    </row>
    <row r="326" spans="1:20" x14ac:dyDescent="0.25">
      <c r="A326" s="1673" t="s">
        <v>2717</v>
      </c>
      <c r="B326" s="1668">
        <v>4.4564911431382498E-2</v>
      </c>
      <c r="C326" s="1668">
        <v>3.9539894861179099E-2</v>
      </c>
      <c r="D326" s="1249">
        <v>3.4042024321826798E-2</v>
      </c>
      <c r="E326" s="1249">
        <v>3.3882764310127697E-2</v>
      </c>
      <c r="F326" s="1249">
        <v>3.4203379104143797E-2</v>
      </c>
      <c r="G326" s="1249"/>
      <c r="H326" s="1249"/>
      <c r="N326" s="510"/>
      <c r="O326" s="510"/>
      <c r="P326" s="510"/>
      <c r="R326" s="1674"/>
      <c r="S326" s="1674"/>
      <c r="T326" s="1674"/>
    </row>
    <row r="327" spans="1:20" x14ac:dyDescent="0.25">
      <c r="A327" s="1673" t="s">
        <v>2718</v>
      </c>
      <c r="B327" s="1668">
        <v>0.33264532852883699</v>
      </c>
      <c r="C327" s="1668">
        <v>0.31230277076828999</v>
      </c>
      <c r="D327" s="1249">
        <v>0.29594969707543201</v>
      </c>
      <c r="E327" s="1249">
        <v>0.28408938207781698</v>
      </c>
      <c r="F327" s="1249">
        <v>0.27122291831731699</v>
      </c>
      <c r="G327" s="1249"/>
      <c r="H327" s="1249"/>
      <c r="N327" s="510"/>
      <c r="O327" s="510"/>
      <c r="P327" s="510"/>
      <c r="R327" s="1674"/>
      <c r="S327" s="1674"/>
      <c r="T327" s="1674"/>
    </row>
    <row r="328" spans="1:20" x14ac:dyDescent="0.25">
      <c r="A328" s="1673" t="s">
        <v>2719</v>
      </c>
      <c r="B328" s="1668">
        <v>0.35686768219967202</v>
      </c>
      <c r="C328" s="1668">
        <v>0.33548959193661099</v>
      </c>
      <c r="D328" s="1249">
        <v>0.31813140639964399</v>
      </c>
      <c r="E328" s="1249">
        <v>0.30510568262744497</v>
      </c>
      <c r="F328" s="1249">
        <v>0.29132819358781498</v>
      </c>
      <c r="G328" s="1249"/>
      <c r="H328" s="1249"/>
      <c r="N328" s="510"/>
      <c r="O328" s="510"/>
      <c r="P328" s="510"/>
      <c r="R328" s="1674"/>
      <c r="S328" s="1674"/>
      <c r="T328" s="1674"/>
    </row>
    <row r="329" spans="1:20" x14ac:dyDescent="0.25">
      <c r="A329" s="1673" t="s">
        <v>2720</v>
      </c>
      <c r="B329" s="1668">
        <v>0.38005450336799401</v>
      </c>
      <c r="C329" s="1668">
        <v>0.35767130126082303</v>
      </c>
      <c r="D329" s="1249">
        <v>0.33914770694927199</v>
      </c>
      <c r="E329" s="1249">
        <v>0.32521095789794302</v>
      </c>
      <c r="F329" s="1249">
        <v>0.31056193601148202</v>
      </c>
      <c r="G329" s="1249"/>
      <c r="H329" s="1249"/>
      <c r="N329" s="510"/>
      <c r="O329" s="510"/>
      <c r="P329" s="510"/>
      <c r="R329" s="1674"/>
      <c r="S329" s="1674"/>
      <c r="T329" s="1674"/>
    </row>
    <row r="330" spans="1:20" x14ac:dyDescent="0.25">
      <c r="A330" s="1673" t="s">
        <v>2721</v>
      </c>
      <c r="B330" s="1668">
        <v>0.402236212692206</v>
      </c>
      <c r="C330" s="1668">
        <v>0.37868760181045102</v>
      </c>
      <c r="D330" s="1249">
        <v>0.35925298221976898</v>
      </c>
      <c r="E330" s="1249">
        <v>0.34444470032161001</v>
      </c>
      <c r="F330" s="1249">
        <v>0.32896192600750801</v>
      </c>
      <c r="G330" s="1249"/>
      <c r="H330" s="1249"/>
      <c r="N330" s="510"/>
      <c r="O330" s="510"/>
      <c r="P330" s="510"/>
      <c r="R330" s="1674"/>
      <c r="S330" s="1674"/>
      <c r="T330" s="1674"/>
    </row>
    <row r="331" spans="1:20" x14ac:dyDescent="0.25">
      <c r="A331" s="1673" t="s">
        <v>2722</v>
      </c>
      <c r="B331" s="1668">
        <v>0.42325251324183299</v>
      </c>
      <c r="C331" s="1668">
        <v>0.39879287708094902</v>
      </c>
      <c r="D331" s="1249">
        <v>0.37848672464343702</v>
      </c>
      <c r="E331" s="1249">
        <v>0.362844690317636</v>
      </c>
      <c r="F331" s="1249">
        <v>0.34656430620018702</v>
      </c>
      <c r="G331" s="1249"/>
      <c r="H331" s="1249"/>
      <c r="N331" s="510"/>
      <c r="O331" s="510"/>
      <c r="P331" s="510"/>
      <c r="R331" s="1674"/>
      <c r="S331" s="1674"/>
      <c r="T331" s="1674"/>
    </row>
    <row r="332" spans="1:20" x14ac:dyDescent="0.25">
      <c r="A332" s="1673" t="s">
        <v>2723</v>
      </c>
      <c r="B332" s="1668">
        <v>0.44335778851233099</v>
      </c>
      <c r="C332" s="1668">
        <v>0.418026619504616</v>
      </c>
      <c r="D332" s="1249">
        <v>0.39688671463946301</v>
      </c>
      <c r="E332" s="1249">
        <v>0.38044707051031501</v>
      </c>
      <c r="F332" s="1249">
        <v>0.36340365241959099</v>
      </c>
      <c r="G332" s="1249"/>
      <c r="H332" s="1249"/>
      <c r="N332" s="510"/>
      <c r="O332" s="510"/>
      <c r="P332" s="510"/>
      <c r="R332" s="1674"/>
      <c r="S332" s="1674"/>
      <c r="T332" s="1674"/>
    </row>
    <row r="333" spans="1:20" x14ac:dyDescent="0.25">
      <c r="A333" s="1673" t="s">
        <v>2724</v>
      </c>
      <c r="B333" s="1668">
        <v>0.46259153093599797</v>
      </c>
      <c r="C333" s="1668">
        <v>0.43642660950064199</v>
      </c>
      <c r="D333" s="1249">
        <v>0.41448909483214202</v>
      </c>
      <c r="E333" s="1249">
        <v>0.39728641672971898</v>
      </c>
      <c r="F333" s="1249">
        <v>0.37951409491098698</v>
      </c>
      <c r="G333" s="1249"/>
      <c r="H333" s="1249"/>
      <c r="N333" s="510"/>
      <c r="O333" s="510"/>
      <c r="P333" s="510"/>
      <c r="R333" s="1674"/>
      <c r="S333" s="1674"/>
      <c r="T333" s="1674"/>
    </row>
    <row r="334" spans="1:20" x14ac:dyDescent="0.25">
      <c r="A334" s="1673" t="s">
        <v>2725</v>
      </c>
      <c r="B334" s="1668">
        <v>0.48099152093202402</v>
      </c>
      <c r="C334" s="1668">
        <v>0.45402898969332101</v>
      </c>
      <c r="D334" s="1249">
        <v>0.431328441051546</v>
      </c>
      <c r="E334" s="1249">
        <v>0.41339685922111502</v>
      </c>
      <c r="F334" s="1249">
        <v>0.39492617554889298</v>
      </c>
      <c r="G334" s="1249"/>
      <c r="H334" s="1249"/>
      <c r="N334" s="510"/>
      <c r="O334" s="510"/>
      <c r="P334" s="510"/>
      <c r="R334" s="1674"/>
      <c r="S334" s="1674"/>
      <c r="T334" s="1674"/>
    </row>
    <row r="335" spans="1:20" x14ac:dyDescent="0.25">
      <c r="A335" s="1673" t="s">
        <v>2726</v>
      </c>
      <c r="B335" s="1668">
        <v>0.49859390112470298</v>
      </c>
      <c r="C335" s="1668">
        <v>0.47086833591272498</v>
      </c>
      <c r="D335" s="1249">
        <v>0.44743888354294198</v>
      </c>
      <c r="E335" s="1249">
        <v>0.42880893985902002</v>
      </c>
      <c r="F335" s="1249">
        <v>0.40967016784430099</v>
      </c>
      <c r="G335" s="1249"/>
      <c r="H335" s="1249"/>
      <c r="N335" s="510"/>
      <c r="O335" s="510"/>
      <c r="P335" s="510"/>
      <c r="R335" s="1674"/>
      <c r="S335" s="1674"/>
      <c r="T335" s="1674"/>
    </row>
    <row r="336" spans="1:20" x14ac:dyDescent="0.25">
      <c r="A336" s="1673" t="s">
        <v>2727</v>
      </c>
      <c r="B336" s="1668">
        <v>0.515433247344107</v>
      </c>
      <c r="C336" s="1668">
        <v>0.48697877840412102</v>
      </c>
      <c r="D336" s="1249">
        <v>0.46285096418084698</v>
      </c>
      <c r="E336" s="1249">
        <v>0.44355293215442898</v>
      </c>
      <c r="F336" s="1249">
        <v>0.42377503294282298</v>
      </c>
      <c r="G336" s="1249"/>
      <c r="H336" s="1249"/>
      <c r="N336" s="510"/>
      <c r="O336" s="510"/>
      <c r="P336" s="510"/>
      <c r="R336" s="1674"/>
      <c r="S336" s="1674"/>
      <c r="T336" s="1674"/>
    </row>
    <row r="337" spans="1:20" x14ac:dyDescent="0.25">
      <c r="A337" s="1673" t="s">
        <v>2728</v>
      </c>
      <c r="B337" s="1668">
        <v>8.4104806292561701E-2</v>
      </c>
      <c r="C337" s="1668">
        <v>7.3581919183005898E-2</v>
      </c>
      <c r="D337" s="1249">
        <v>6.7924788631954502E-2</v>
      </c>
      <c r="E337" s="1249">
        <v>6.8086143414271494E-2</v>
      </c>
      <c r="F337" s="1249">
        <v>6.7668402003890904E-2</v>
      </c>
      <c r="G337" s="1249"/>
      <c r="H337" s="1249"/>
      <c r="N337" s="510"/>
      <c r="O337" s="510"/>
      <c r="P337" s="510"/>
      <c r="R337" s="1674"/>
      <c r="S337" s="1674"/>
      <c r="T337" s="1674"/>
    </row>
    <row r="338" spans="1:20" x14ac:dyDescent="0.25">
      <c r="A338" s="1673" t="s">
        <v>2729</v>
      </c>
      <c r="B338" s="1668">
        <v>0.53154368983550304</v>
      </c>
      <c r="C338" s="1668">
        <v>0.50239085904202596</v>
      </c>
      <c r="D338" s="1249">
        <v>0.47759495647625599</v>
      </c>
      <c r="E338" s="1249">
        <v>0.45765779725295103</v>
      </c>
      <c r="F338" s="1249">
        <v>0.437268476517433</v>
      </c>
      <c r="G338" s="1249"/>
      <c r="H338" s="1249"/>
      <c r="N338" s="510"/>
      <c r="O338" s="510"/>
      <c r="P338" s="510"/>
      <c r="R338" s="1674"/>
      <c r="S338" s="1674"/>
      <c r="T338" s="1674"/>
    </row>
    <row r="339" spans="1:20" x14ac:dyDescent="0.25">
      <c r="A339" s="1673" t="s">
        <v>2730</v>
      </c>
      <c r="B339" s="1668">
        <v>0.54695577047340904</v>
      </c>
      <c r="C339" s="1668">
        <v>0.51713485133743498</v>
      </c>
      <c r="D339" s="1249">
        <v>0.49169982157477798</v>
      </c>
      <c r="E339" s="1249">
        <v>0.47115124082756099</v>
      </c>
      <c r="F339" s="1249">
        <v>0.45017700319477899</v>
      </c>
      <c r="G339" s="1249"/>
      <c r="H339" s="1249"/>
      <c r="N339" s="510"/>
      <c r="O339" s="510"/>
      <c r="P339" s="510"/>
      <c r="R339" s="1674"/>
      <c r="S339" s="1674"/>
      <c r="T339" s="1674"/>
    </row>
    <row r="340" spans="1:20" x14ac:dyDescent="0.25">
      <c r="A340" s="1673" t="s">
        <v>2731</v>
      </c>
      <c r="B340" s="1668">
        <v>0.56169976276881695</v>
      </c>
      <c r="C340" s="1668">
        <v>0.53123971643595702</v>
      </c>
      <c r="D340" s="1249">
        <v>0.505193265149388</v>
      </c>
      <c r="E340" s="1249">
        <v>0.48405976750490698</v>
      </c>
      <c r="F340" s="1249">
        <v>0.462256852228417</v>
      </c>
      <c r="G340" s="1249"/>
      <c r="H340" s="1249"/>
      <c r="N340" s="510"/>
      <c r="O340" s="510"/>
      <c r="P340" s="510"/>
      <c r="R340" s="1674"/>
      <c r="S340" s="1674"/>
      <c r="T340" s="1674"/>
    </row>
    <row r="341" spans="1:20" x14ac:dyDescent="0.25">
      <c r="A341" s="1673" t="s">
        <v>2732</v>
      </c>
      <c r="B341" s="1668">
        <v>0.57580462786733999</v>
      </c>
      <c r="C341" s="1668">
        <v>0.54473316001056704</v>
      </c>
      <c r="D341" s="1249">
        <v>0.51810179182673399</v>
      </c>
      <c r="E341" s="1249">
        <v>0.49613961653854499</v>
      </c>
      <c r="F341" s="1249">
        <v>0.47356122152809699</v>
      </c>
      <c r="G341" s="1249"/>
      <c r="H341" s="1249"/>
      <c r="N341" s="510"/>
      <c r="O341" s="510"/>
      <c r="P341" s="510"/>
      <c r="R341" s="1674"/>
      <c r="S341" s="1674"/>
      <c r="T341" s="1674"/>
    </row>
    <row r="342" spans="1:20" x14ac:dyDescent="0.25">
      <c r="A342" s="1673" t="s">
        <v>2733</v>
      </c>
      <c r="B342" s="1668">
        <v>0.58929807144195001</v>
      </c>
      <c r="C342" s="1668">
        <v>0.55764168668791303</v>
      </c>
      <c r="D342" s="1249">
        <v>0.53018164086037201</v>
      </c>
      <c r="E342" s="1249">
        <v>0.50744398583822503</v>
      </c>
      <c r="F342" s="1249">
        <v>0.48413989390286799</v>
      </c>
      <c r="G342" s="1249"/>
      <c r="H342" s="1249"/>
      <c r="N342" s="510"/>
      <c r="O342" s="510"/>
      <c r="P342" s="510"/>
      <c r="R342" s="1674"/>
      <c r="S342" s="1674"/>
      <c r="T342" s="1674"/>
    </row>
    <row r="343" spans="1:20" x14ac:dyDescent="0.25">
      <c r="A343" s="1673" t="s">
        <v>2734</v>
      </c>
      <c r="B343" s="1668">
        <v>0.602206598119295</v>
      </c>
      <c r="C343" s="1668">
        <v>0.56972153572155104</v>
      </c>
      <c r="D343" s="1249">
        <v>0.54148601016005204</v>
      </c>
      <c r="E343" s="1249">
        <v>0.51802265821299598</v>
      </c>
      <c r="F343" s="1249">
        <v>0.494039456297376</v>
      </c>
      <c r="G343" s="1249"/>
      <c r="H343" s="1249"/>
      <c r="N343" s="510"/>
      <c r="O343" s="510"/>
      <c r="P343" s="510"/>
      <c r="R343" s="1674"/>
      <c r="S343" s="1674"/>
      <c r="T343" s="1674"/>
    </row>
    <row r="344" spans="1:20" x14ac:dyDescent="0.25">
      <c r="A344" s="1673" t="s">
        <v>2735</v>
      </c>
      <c r="B344" s="1668">
        <v>0.61428644715293301</v>
      </c>
      <c r="C344" s="1668">
        <v>0.58102590502123097</v>
      </c>
      <c r="D344" s="1249">
        <v>0.55206468253482299</v>
      </c>
      <c r="E344" s="1249">
        <v>0.52792222060750404</v>
      </c>
      <c r="F344" s="1249">
        <v>0.50330350495403697</v>
      </c>
      <c r="G344" s="1249"/>
      <c r="H344" s="1249"/>
      <c r="N344" s="510"/>
      <c r="O344" s="510"/>
      <c r="P344" s="510"/>
      <c r="R344" s="1674"/>
      <c r="S344" s="1674"/>
      <c r="T344" s="1674"/>
    </row>
    <row r="345" spans="1:20" x14ac:dyDescent="0.25">
      <c r="A345" s="1673" t="s">
        <v>2736</v>
      </c>
      <c r="B345" s="1668">
        <v>0.62559081645261405</v>
      </c>
      <c r="C345" s="1668">
        <v>0.59160457739600203</v>
      </c>
      <c r="D345" s="1249">
        <v>0.56196424492932995</v>
      </c>
      <c r="E345" s="1249">
        <v>0.53718626926416402</v>
      </c>
      <c r="F345" s="1249">
        <v>0.51197283740458899</v>
      </c>
      <c r="G345" s="1249"/>
      <c r="H345" s="1249"/>
      <c r="N345" s="510"/>
      <c r="O345" s="510"/>
      <c r="P345" s="510"/>
      <c r="R345" s="1674"/>
      <c r="S345" s="1674"/>
      <c r="T345" s="1674"/>
    </row>
    <row r="346" spans="1:20" x14ac:dyDescent="0.25">
      <c r="A346" s="1673" t="s">
        <v>2737</v>
      </c>
      <c r="B346" s="1668">
        <v>0.636169488827384</v>
      </c>
      <c r="C346" s="1668">
        <v>0.60150413979050998</v>
      </c>
      <c r="D346" s="1249">
        <v>0.57122829358599103</v>
      </c>
      <c r="E346" s="1249">
        <v>0.54585560171471703</v>
      </c>
      <c r="F346" s="1249">
        <v>0.52008563213653103</v>
      </c>
      <c r="G346" s="1249"/>
      <c r="H346" s="1249"/>
      <c r="N346" s="510"/>
      <c r="O346" s="510"/>
      <c r="P346" s="510"/>
      <c r="R346" s="1674"/>
      <c r="S346" s="1674"/>
      <c r="T346" s="1674"/>
    </row>
    <row r="347" spans="1:20" x14ac:dyDescent="0.25">
      <c r="A347" s="1673" t="s">
        <v>2738</v>
      </c>
      <c r="B347" s="1668">
        <v>0.64606905122189195</v>
      </c>
      <c r="C347" s="1668">
        <v>0.61076818844716996</v>
      </c>
      <c r="D347" s="1249">
        <v>0.57989762603654404</v>
      </c>
      <c r="E347" s="1249">
        <v>0.55396839644665896</v>
      </c>
      <c r="F347" s="1249">
        <v>0.52767761672565805</v>
      </c>
      <c r="G347" s="1249"/>
      <c r="H347" s="1249"/>
      <c r="N347" s="510"/>
      <c r="O347" s="510"/>
      <c r="P347" s="510"/>
      <c r="R347" s="1674"/>
      <c r="S347" s="1674"/>
      <c r="T347" s="1674"/>
    </row>
    <row r="348" spans="1:20" x14ac:dyDescent="0.25">
      <c r="A348" s="1673" t="s">
        <v>2739</v>
      </c>
      <c r="B348" s="1668">
        <v>0.11814683061438799</v>
      </c>
      <c r="C348" s="1668">
        <v>0.107464683493134</v>
      </c>
      <c r="D348" s="1249">
        <v>0.10212816773609799</v>
      </c>
      <c r="E348" s="1249">
        <v>0.101551166314019</v>
      </c>
      <c r="F348" s="1249">
        <v>9.8835974914980501E-2</v>
      </c>
      <c r="G348" s="1249"/>
      <c r="H348" s="1249"/>
      <c r="N348" s="510"/>
      <c r="O348" s="510"/>
      <c r="P348" s="510"/>
      <c r="R348" s="1674"/>
      <c r="S348" s="1674"/>
      <c r="T348" s="1674"/>
    </row>
    <row r="349" spans="1:20" x14ac:dyDescent="0.25">
      <c r="A349" s="1673" t="s">
        <v>2740</v>
      </c>
      <c r="B349" s="1668">
        <v>0.65533309987855304</v>
      </c>
      <c r="C349" s="1668">
        <v>0.61943752089772297</v>
      </c>
      <c r="D349" s="1249">
        <v>0.58801042076848498</v>
      </c>
      <c r="E349" s="1249">
        <v>0.56156038103578598</v>
      </c>
      <c r="F349" s="1249">
        <v>0.53478222517515095</v>
      </c>
      <c r="G349" s="1249"/>
      <c r="H349" s="1249"/>
      <c r="N349" s="510"/>
      <c r="O349" s="510"/>
      <c r="P349" s="510"/>
      <c r="R349" s="1674"/>
      <c r="S349" s="1674"/>
      <c r="T349" s="1674"/>
    </row>
    <row r="350" spans="1:20" x14ac:dyDescent="0.25">
      <c r="A350" s="1673" t="s">
        <v>2741</v>
      </c>
      <c r="B350" s="1668">
        <v>0.15202959492451601</v>
      </c>
      <c r="C350" s="1668">
        <v>0.14166806259727699</v>
      </c>
      <c r="D350" s="1249">
        <v>0.13559319063584499</v>
      </c>
      <c r="E350" s="1249">
        <v>0.13271873922510799</v>
      </c>
      <c r="F350" s="1249">
        <v>0.12774616814637799</v>
      </c>
      <c r="G350" s="1249"/>
      <c r="H350" s="1249"/>
      <c r="N350" s="510"/>
      <c r="O350" s="510"/>
      <c r="P350" s="510"/>
      <c r="R350" s="1674"/>
      <c r="S350" s="1674"/>
      <c r="T350" s="1674"/>
    </row>
    <row r="351" spans="1:20" x14ac:dyDescent="0.25">
      <c r="A351" s="1673" t="s">
        <v>2742</v>
      </c>
      <c r="B351" s="1668">
        <v>0.18623297402865999</v>
      </c>
      <c r="C351" s="1668">
        <v>0.175133085497025</v>
      </c>
      <c r="D351" s="1249">
        <v>0.166760763546935</v>
      </c>
      <c r="E351" s="1249">
        <v>0.161628932456506</v>
      </c>
      <c r="F351" s="1249">
        <v>0.15482529950403601</v>
      </c>
      <c r="G351" s="1249"/>
      <c r="H351" s="1249"/>
      <c r="N351" s="510"/>
      <c r="O351" s="510"/>
      <c r="P351" s="510"/>
      <c r="R351" s="1674"/>
      <c r="S351" s="1674"/>
      <c r="T351" s="1674"/>
    </row>
    <row r="352" spans="1:20" x14ac:dyDescent="0.25">
      <c r="A352" s="1673" t="s">
        <v>2743</v>
      </c>
      <c r="B352" s="1668">
        <v>0.219697996928407</v>
      </c>
      <c r="C352" s="1668">
        <v>0.20630065840811401</v>
      </c>
      <c r="D352" s="1249">
        <v>0.19567095677833199</v>
      </c>
      <c r="E352" s="1249">
        <v>0.188708063814164</v>
      </c>
      <c r="F352" s="1249">
        <v>0.18061573360432001</v>
      </c>
      <c r="G352" s="1249"/>
      <c r="H352" s="1249"/>
      <c r="N352" s="510"/>
      <c r="O352" s="510"/>
      <c r="P352" s="510"/>
      <c r="R352" s="1674"/>
      <c r="S352" s="1674"/>
      <c r="T352" s="1674"/>
    </row>
    <row r="353" spans="1:20" x14ac:dyDescent="0.25">
      <c r="A353" s="1673" t="s">
        <v>2744</v>
      </c>
      <c r="B353" s="1668">
        <v>0.25086556983949698</v>
      </c>
      <c r="C353" s="1668">
        <v>0.235210851639512</v>
      </c>
      <c r="D353" s="1249">
        <v>0.22275008813599101</v>
      </c>
      <c r="E353" s="1249">
        <v>0.214498497914448</v>
      </c>
      <c r="F353" s="1249">
        <v>0.20483808727515601</v>
      </c>
      <c r="G353" s="1249"/>
      <c r="H353" s="1249"/>
      <c r="N353" s="510"/>
      <c r="O353" s="510"/>
      <c r="P353" s="510"/>
      <c r="R353" s="1674"/>
      <c r="S353" s="1674"/>
      <c r="T353" s="1674"/>
    </row>
    <row r="354" spans="1:20" x14ac:dyDescent="0.25">
      <c r="A354" s="1673" t="s">
        <v>2745</v>
      </c>
      <c r="B354" s="1668">
        <v>0.27977576307089402</v>
      </c>
      <c r="C354" s="1668">
        <v>0.26228998299716999</v>
      </c>
      <c r="D354" s="1249">
        <v>0.24854052223627501</v>
      </c>
      <c r="E354" s="1249">
        <v>0.238720851585284</v>
      </c>
      <c r="F354" s="1249">
        <v>0.228024908443477</v>
      </c>
      <c r="G354" s="1249"/>
      <c r="H354" s="1249"/>
      <c r="N354" s="510"/>
      <c r="O354" s="510"/>
      <c r="P354" s="510"/>
      <c r="R354" s="1674"/>
      <c r="S354" s="1674"/>
      <c r="T354" s="1674"/>
    </row>
    <row r="355" spans="1:20" x14ac:dyDescent="0.25">
      <c r="A355" s="1673" t="s">
        <v>2746</v>
      </c>
      <c r="B355" s="1668">
        <v>0.30685489442855302</v>
      </c>
      <c r="C355" s="1668">
        <v>0.28808041709745402</v>
      </c>
      <c r="D355" s="1249">
        <v>0.27276287590711101</v>
      </c>
      <c r="E355" s="1249">
        <v>0.26190767275360499</v>
      </c>
      <c r="F355" s="1249">
        <v>0.25020661776768899</v>
      </c>
      <c r="G355" s="1249"/>
      <c r="H355" s="1249"/>
      <c r="N355" s="510"/>
      <c r="O355" s="510"/>
      <c r="P355" s="510"/>
      <c r="R355" s="1674"/>
      <c r="S355" s="1674"/>
      <c r="T355" s="1674"/>
    </row>
    <row r="356" spans="1:20" x14ac:dyDescent="0.25">
      <c r="A356" s="1673" t="s">
        <v>2747</v>
      </c>
      <c r="B356" s="1668">
        <v>7.2138214284916596E-2</v>
      </c>
      <c r="C356" s="1668">
        <v>6.7507219057567472E-2</v>
      </c>
      <c r="D356" s="1249">
        <v>6.120204054935674E-2</v>
      </c>
      <c r="E356" s="1249">
        <v>5.4404232951077165E-2</v>
      </c>
      <c r="F356" s="1249">
        <v>5.3388642782205252E-2</v>
      </c>
      <c r="G356" s="1249"/>
      <c r="H356" s="1249"/>
      <c r="N356" s="510"/>
      <c r="O356" s="510"/>
      <c r="P356" s="510"/>
      <c r="R356" s="1674"/>
      <c r="S356" s="1674"/>
      <c r="T356" s="1674"/>
    </row>
    <row r="357" spans="1:20" x14ac:dyDescent="0.25">
      <c r="A357" s="1673" t="s">
        <v>2748</v>
      </c>
      <c r="B357" s="1668">
        <v>0.54888914682689161</v>
      </c>
      <c r="C357" s="1668">
        <v>0.5172570665411812</v>
      </c>
      <c r="D357" s="1249">
        <v>0.48798244270263469</v>
      </c>
      <c r="E357" s="1249">
        <v>0.46334633196577735</v>
      </c>
      <c r="F357" s="1249">
        <v>0.44389896085346059</v>
      </c>
      <c r="G357" s="1249"/>
      <c r="H357" s="1249"/>
      <c r="N357" s="510"/>
      <c r="O357" s="510"/>
      <c r="P357" s="510"/>
      <c r="R357" s="1674"/>
      <c r="S357" s="1674"/>
      <c r="T357" s="1674"/>
    </row>
    <row r="358" spans="1:20" x14ac:dyDescent="0.25">
      <c r="A358" s="1673" t="s">
        <v>2749</v>
      </c>
      <c r="B358" s="1668">
        <v>0.58939528082609782</v>
      </c>
      <c r="C358" s="1668">
        <v>0.55548966176020231</v>
      </c>
      <c r="D358" s="1249">
        <v>0.52454837251513409</v>
      </c>
      <c r="E358" s="1249">
        <v>0.4983031938045378</v>
      </c>
      <c r="F358" s="1249">
        <v>0.47709505870338764</v>
      </c>
      <c r="G358" s="1249"/>
      <c r="H358" s="1249"/>
      <c r="N358" s="510"/>
      <c r="O358" s="510"/>
      <c r="P358" s="510"/>
      <c r="R358" s="1674"/>
      <c r="S358" s="1674"/>
      <c r="T358" s="1674"/>
    </row>
    <row r="359" spans="1:20" x14ac:dyDescent="0.25">
      <c r="A359" s="1673" t="s">
        <v>2750</v>
      </c>
      <c r="B359" s="1668">
        <v>0.62762787604511894</v>
      </c>
      <c r="C359" s="1668">
        <v>0.59205559157270149</v>
      </c>
      <c r="D359" s="1249">
        <v>0.55950523435389454</v>
      </c>
      <c r="E359" s="1249">
        <v>0.53149929165446474</v>
      </c>
      <c r="F359" s="1249">
        <v>0.50883029597861285</v>
      </c>
      <c r="G359" s="1249"/>
      <c r="H359" s="1249"/>
      <c r="N359" s="510"/>
      <c r="O359" s="510"/>
      <c r="P359" s="510"/>
      <c r="R359" s="1674"/>
      <c r="S359" s="1674"/>
      <c r="T359" s="1674"/>
    </row>
    <row r="360" spans="1:20" x14ac:dyDescent="0.25">
      <c r="A360" s="1673" t="s">
        <v>2751</v>
      </c>
      <c r="B360" s="1668">
        <v>0.66419380585761811</v>
      </c>
      <c r="C360" s="1668">
        <v>0.62701245341146206</v>
      </c>
      <c r="D360" s="1249">
        <v>0.59270133220382148</v>
      </c>
      <c r="E360" s="1249">
        <v>0.56323452892968995</v>
      </c>
      <c r="F360" s="1249">
        <v>0.5391689938889529</v>
      </c>
      <c r="G360" s="1249"/>
      <c r="H360" s="1249"/>
      <c r="N360" s="510"/>
      <c r="O360" s="510"/>
      <c r="P360" s="510"/>
      <c r="R360" s="1674"/>
      <c r="S360" s="1674"/>
      <c r="T360" s="1674"/>
    </row>
    <row r="361" spans="1:20" x14ac:dyDescent="0.25">
      <c r="A361" s="1673" t="s">
        <v>2752</v>
      </c>
      <c r="B361" s="1668">
        <v>0.69915066769637857</v>
      </c>
      <c r="C361" s="1668">
        <v>0.66020855126138889</v>
      </c>
      <c r="D361" s="1249">
        <v>0.62443656947904669</v>
      </c>
      <c r="E361" s="1249">
        <v>0.59357322684003</v>
      </c>
      <c r="F361" s="1249">
        <v>0.5681726401192958</v>
      </c>
      <c r="G361" s="1249"/>
      <c r="H361" s="1249"/>
      <c r="N361" s="510"/>
      <c r="O361" s="510"/>
      <c r="P361" s="510"/>
      <c r="R361" s="1674"/>
      <c r="S361" s="1674"/>
      <c r="T361" s="1674"/>
    </row>
    <row r="362" spans="1:20" x14ac:dyDescent="0.25">
      <c r="A362" s="1673" t="s">
        <v>2753</v>
      </c>
      <c r="B362" s="1668">
        <v>0.73234676554630562</v>
      </c>
      <c r="C362" s="1668">
        <v>0.6919437885366142</v>
      </c>
      <c r="D362" s="1249">
        <v>0.65477526738938663</v>
      </c>
      <c r="E362" s="1249">
        <v>0.62257687307037279</v>
      </c>
      <c r="F362" s="1249">
        <v>0.59590001372049661</v>
      </c>
      <c r="G362" s="1249"/>
      <c r="H362" s="1249"/>
      <c r="N362" s="510"/>
      <c r="O362" s="510"/>
      <c r="P362" s="510"/>
      <c r="R362" s="1674"/>
      <c r="S362" s="1674"/>
      <c r="T362" s="1674"/>
    </row>
    <row r="363" spans="1:20" x14ac:dyDescent="0.25">
      <c r="A363" s="1673" t="s">
        <v>2754</v>
      </c>
      <c r="B363" s="1668">
        <v>0.7640820028215306</v>
      </c>
      <c r="C363" s="1668">
        <v>0.72228248644695414</v>
      </c>
      <c r="D363" s="1249">
        <v>0.68377891361972964</v>
      </c>
      <c r="E363" s="1249">
        <v>0.65030424667157394</v>
      </c>
      <c r="F363" s="1249">
        <v>0.62240730449259396</v>
      </c>
      <c r="G363" s="1249"/>
      <c r="H363" s="1249"/>
      <c r="N363" s="510"/>
      <c r="O363" s="510"/>
      <c r="P363" s="510"/>
      <c r="R363" s="1674"/>
      <c r="S363" s="1674"/>
      <c r="T363" s="1674"/>
    </row>
    <row r="364" spans="1:20" x14ac:dyDescent="0.25">
      <c r="A364" s="1673" t="s">
        <v>2755</v>
      </c>
      <c r="B364" s="1668">
        <v>0.79442070073187065</v>
      </c>
      <c r="C364" s="1668">
        <v>0.75128613267729694</v>
      </c>
      <c r="D364" s="1249">
        <v>0.71150628722093046</v>
      </c>
      <c r="E364" s="1249">
        <v>0.67681153744367106</v>
      </c>
      <c r="F364" s="1249">
        <v>0.64780794197827851</v>
      </c>
      <c r="G364" s="1249"/>
      <c r="H364" s="1249"/>
      <c r="N364" s="510"/>
      <c r="O364" s="510"/>
      <c r="P364" s="510"/>
      <c r="R364" s="1674"/>
      <c r="S364" s="1674"/>
      <c r="T364" s="1674"/>
    </row>
    <row r="365" spans="1:20" x14ac:dyDescent="0.25">
      <c r="A365" s="1673" t="s">
        <v>2756</v>
      </c>
      <c r="B365" s="1668">
        <v>0.82342434696221356</v>
      </c>
      <c r="C365" s="1668">
        <v>0.77901350627849797</v>
      </c>
      <c r="D365" s="1249">
        <v>0.73801357799302758</v>
      </c>
      <c r="E365" s="1249">
        <v>0.70221217492935539</v>
      </c>
      <c r="F365" s="1249">
        <v>0.67209084408780628</v>
      </c>
      <c r="G365" s="1249"/>
      <c r="H365" s="1249"/>
      <c r="N365" s="510"/>
      <c r="O365" s="510"/>
      <c r="P365" s="510"/>
      <c r="R365" s="1674"/>
      <c r="S365" s="1674"/>
      <c r="T365" s="1674"/>
    </row>
    <row r="366" spans="1:20" x14ac:dyDescent="0.25">
      <c r="A366" s="1673" t="s">
        <v>2757</v>
      </c>
      <c r="B366" s="1668">
        <v>0.8511517205634147</v>
      </c>
      <c r="C366" s="1668">
        <v>0.80552079705059532</v>
      </c>
      <c r="D366" s="1249">
        <v>0.76341421547871224</v>
      </c>
      <c r="E366" s="1249">
        <v>0.72649507703888339</v>
      </c>
      <c r="F366" s="1249">
        <v>0.69530522118909577</v>
      </c>
      <c r="G366" s="1249"/>
      <c r="H366" s="1249"/>
      <c r="N366" s="510"/>
      <c r="O366" s="510"/>
      <c r="P366" s="510"/>
      <c r="R366" s="1674"/>
      <c r="S366" s="1674"/>
      <c r="T366" s="1674"/>
    </row>
    <row r="367" spans="1:20" x14ac:dyDescent="0.25">
      <c r="A367" s="1673" t="s">
        <v>2758</v>
      </c>
      <c r="B367" s="1668">
        <v>0.13964543334248405</v>
      </c>
      <c r="C367" s="1668">
        <v>0.12870925960692423</v>
      </c>
      <c r="D367" s="1249">
        <v>0.11560627350043388</v>
      </c>
      <c r="E367" s="1249">
        <v>0.10779287573328242</v>
      </c>
      <c r="F367" s="1249">
        <v>0.106359324207235</v>
      </c>
      <c r="G367" s="1249"/>
      <c r="H367" s="1249"/>
      <c r="N367" s="510"/>
      <c r="O367" s="510"/>
      <c r="P367" s="510"/>
      <c r="R367" s="1674"/>
      <c r="S367" s="1674"/>
      <c r="T367" s="1674"/>
    </row>
    <row r="368" spans="1:20" x14ac:dyDescent="0.25">
      <c r="A368" s="1673" t="s">
        <v>2759</v>
      </c>
      <c r="B368" s="1668">
        <v>0.87765901133551172</v>
      </c>
      <c r="C368" s="1668">
        <v>0.83092143453627987</v>
      </c>
      <c r="D368" s="1249">
        <v>0.78769711758824024</v>
      </c>
      <c r="E368" s="1249">
        <v>0.74970945414017276</v>
      </c>
      <c r="F368" s="1249">
        <v>0.71749811594007828</v>
      </c>
      <c r="G368" s="1249"/>
      <c r="H368" s="1249"/>
      <c r="N368" s="510"/>
      <c r="O368" s="510"/>
      <c r="P368" s="510"/>
      <c r="R368" s="1674"/>
      <c r="S368" s="1674"/>
      <c r="T368" s="1674"/>
    </row>
    <row r="369" spans="1:20" x14ac:dyDescent="0.25">
      <c r="A369" s="1673" t="s">
        <v>2760</v>
      </c>
      <c r="B369" s="1668">
        <v>0.9030596488211966</v>
      </c>
      <c r="C369" s="1668">
        <v>0.85520433664580753</v>
      </c>
      <c r="D369" s="1249">
        <v>0.81091149468952972</v>
      </c>
      <c r="E369" s="1249">
        <v>0.77190234889115572</v>
      </c>
      <c r="F369" s="1249">
        <v>0.73871449882671758</v>
      </c>
      <c r="G369" s="1249"/>
      <c r="H369" s="1249"/>
      <c r="N369" s="510"/>
      <c r="O369" s="510"/>
      <c r="P369" s="510"/>
      <c r="R369" s="1674"/>
      <c r="S369" s="1674"/>
      <c r="T369" s="1674"/>
    </row>
    <row r="370" spans="1:20" x14ac:dyDescent="0.25">
      <c r="A370" s="1673" t="s">
        <v>2761</v>
      </c>
      <c r="B370" s="1668">
        <v>0.92734255093072415</v>
      </c>
      <c r="C370" s="1668">
        <v>0.87841871374709724</v>
      </c>
      <c r="D370" s="1249">
        <v>0.83310438944051257</v>
      </c>
      <c r="E370" s="1249">
        <v>0.79311873177779457</v>
      </c>
      <c r="F370" s="1249">
        <v>0.7585688717320509</v>
      </c>
      <c r="G370" s="1249"/>
      <c r="H370" s="1249"/>
      <c r="N370" s="510"/>
      <c r="O370" s="510"/>
      <c r="P370" s="510"/>
      <c r="R370" s="1674"/>
      <c r="S370" s="1674"/>
      <c r="T370" s="1674"/>
    </row>
    <row r="371" spans="1:20" x14ac:dyDescent="0.25">
      <c r="A371" s="1673" t="s">
        <v>2762</v>
      </c>
      <c r="B371" s="1668">
        <v>0.95055692803201364</v>
      </c>
      <c r="C371" s="1668">
        <v>0.90061160849807975</v>
      </c>
      <c r="D371" s="1249">
        <v>0.85432077232715153</v>
      </c>
      <c r="E371" s="1249">
        <v>0.812973104683128</v>
      </c>
      <c r="F371" s="1249">
        <v>0.77714867044563274</v>
      </c>
      <c r="G371" s="1249"/>
      <c r="H371" s="1249"/>
      <c r="N371" s="510"/>
      <c r="O371" s="510"/>
      <c r="P371" s="510"/>
      <c r="R371" s="1674"/>
      <c r="S371" s="1674"/>
      <c r="T371" s="1674"/>
    </row>
    <row r="372" spans="1:20" x14ac:dyDescent="0.25">
      <c r="A372" s="1673" t="s">
        <v>2763</v>
      </c>
      <c r="B372" s="1668">
        <v>0.97274982278299627</v>
      </c>
      <c r="C372" s="1668">
        <v>0.92182799138471894</v>
      </c>
      <c r="D372" s="1249">
        <v>0.87417514523248485</v>
      </c>
      <c r="E372" s="1249">
        <v>0.83155290339670973</v>
      </c>
      <c r="F372" s="1249">
        <v>0.79453571771643672</v>
      </c>
      <c r="G372" s="1249"/>
      <c r="H372" s="1249"/>
      <c r="N372" s="510"/>
      <c r="O372" s="510"/>
      <c r="P372" s="510"/>
      <c r="R372" s="1674"/>
      <c r="S372" s="1674"/>
      <c r="T372" s="1674"/>
    </row>
    <row r="373" spans="1:20" x14ac:dyDescent="0.25">
      <c r="A373" s="1673" t="s">
        <v>2764</v>
      </c>
      <c r="B373" s="1668">
        <v>0.99396620566963578</v>
      </c>
      <c r="C373" s="1668">
        <v>0.94168236429005203</v>
      </c>
      <c r="D373" s="1249">
        <v>0.89275494394606625</v>
      </c>
      <c r="E373" s="1249">
        <v>0.84893995066751393</v>
      </c>
      <c r="F373" s="1249">
        <v>0.81080658358842306</v>
      </c>
      <c r="G373" s="1249"/>
      <c r="H373" s="1249"/>
      <c r="N373" s="510"/>
      <c r="O373" s="510"/>
      <c r="P373" s="510"/>
      <c r="R373" s="1674"/>
      <c r="S373" s="1674"/>
      <c r="T373" s="1674"/>
    </row>
    <row r="374" spans="1:20" x14ac:dyDescent="0.25">
      <c r="A374" s="1673" t="s">
        <v>2765</v>
      </c>
      <c r="B374" s="1668">
        <v>0.20084747389184082</v>
      </c>
      <c r="C374" s="1668">
        <v>0.18311349255800136</v>
      </c>
      <c r="D374" s="1249">
        <v>0.16899491628263913</v>
      </c>
      <c r="E374" s="1249">
        <v>0.16076355715831214</v>
      </c>
      <c r="F374" s="1249">
        <v>0.15779201284663077</v>
      </c>
      <c r="G374" s="1249"/>
      <c r="H374" s="1249"/>
      <c r="N374" s="510"/>
      <c r="O374" s="510"/>
      <c r="P374" s="510"/>
      <c r="R374" s="1674"/>
      <c r="S374" s="1674"/>
      <c r="T374" s="1674"/>
    </row>
    <row r="375" spans="1:20" x14ac:dyDescent="0.25">
      <c r="A375" s="1673" t="s">
        <v>2766</v>
      </c>
      <c r="B375" s="1668">
        <v>0.25525170684291792</v>
      </c>
      <c r="C375" s="1668">
        <v>0.23650213534020664</v>
      </c>
      <c r="D375" s="1249">
        <v>0.22196559770766888</v>
      </c>
      <c r="E375" s="1249">
        <v>0.21219624579770791</v>
      </c>
      <c r="F375" s="1249">
        <v>0.20601907234360284</v>
      </c>
      <c r="G375" s="1249"/>
      <c r="H375" s="1249"/>
      <c r="N375" s="510"/>
      <c r="O375" s="510"/>
      <c r="P375" s="510"/>
      <c r="R375" s="1674"/>
      <c r="S375" s="1674"/>
      <c r="T375" s="1674"/>
    </row>
    <row r="376" spans="1:20" x14ac:dyDescent="0.25">
      <c r="A376" s="1673" t="s">
        <v>2767</v>
      </c>
      <c r="B376" s="1668">
        <v>0.30864034962512327</v>
      </c>
      <c r="C376" s="1668">
        <v>0.28947281676523634</v>
      </c>
      <c r="D376" s="1249">
        <v>0.27339828634706465</v>
      </c>
      <c r="E376" s="1249">
        <v>0.26042330529468</v>
      </c>
      <c r="F376" s="1249">
        <v>0.25113596682435069</v>
      </c>
      <c r="G376" s="1249"/>
      <c r="H376" s="1249"/>
      <c r="N376" s="510"/>
      <c r="O376" s="510"/>
      <c r="P376" s="510"/>
      <c r="R376" s="1674"/>
      <c r="S376" s="1674"/>
      <c r="T376" s="1674"/>
    </row>
    <row r="377" spans="1:20" x14ac:dyDescent="0.25">
      <c r="A377" s="1673" t="s">
        <v>2768</v>
      </c>
      <c r="B377" s="1668">
        <v>0.36161103105015302</v>
      </c>
      <c r="C377" s="1668">
        <v>0.34090550540463205</v>
      </c>
      <c r="D377" s="1249">
        <v>0.32162534584403668</v>
      </c>
      <c r="E377" s="1249">
        <v>0.30554019977542801</v>
      </c>
      <c r="F377" s="1249">
        <v>0.29363743998397362</v>
      </c>
      <c r="G377" s="1249"/>
      <c r="H377" s="1249"/>
      <c r="N377" s="510"/>
      <c r="O377" s="510"/>
      <c r="P377" s="510"/>
      <c r="R377" s="1674"/>
      <c r="S377" s="1674"/>
      <c r="T377" s="1674"/>
    </row>
    <row r="378" spans="1:20" x14ac:dyDescent="0.25">
      <c r="A378" s="1673" t="s">
        <v>2769</v>
      </c>
      <c r="B378" s="1668">
        <v>0.41304371968954873</v>
      </c>
      <c r="C378" s="1668">
        <v>0.38913256490160414</v>
      </c>
      <c r="D378" s="1249">
        <v>0.36674224032478464</v>
      </c>
      <c r="E378" s="1249">
        <v>0.34804167293505067</v>
      </c>
      <c r="F378" s="1249">
        <v>0.33414357398318001</v>
      </c>
      <c r="G378" s="1249"/>
      <c r="H378" s="1249"/>
      <c r="N378" s="510"/>
      <c r="O378" s="510"/>
      <c r="P378" s="510"/>
      <c r="R378" s="1674"/>
      <c r="S378" s="1674"/>
      <c r="T378" s="1674"/>
    </row>
    <row r="379" spans="1:20" x14ac:dyDescent="0.25">
      <c r="A379" s="1673" t="s">
        <v>2770</v>
      </c>
      <c r="B379" s="1668">
        <v>0.46127077918652071</v>
      </c>
      <c r="C379" s="1668">
        <v>0.43424945938235215</v>
      </c>
      <c r="D379" s="1249">
        <v>0.40924371348440758</v>
      </c>
      <c r="E379" s="1249">
        <v>0.38854780693425706</v>
      </c>
      <c r="F379" s="1249">
        <v>0.3723761692022009</v>
      </c>
      <c r="G379" s="1249"/>
      <c r="H379" s="1249"/>
      <c r="N379" s="510"/>
      <c r="O379" s="510"/>
      <c r="P379" s="510"/>
      <c r="R379" s="1674"/>
      <c r="S379" s="1674"/>
      <c r="T379" s="1674"/>
    </row>
    <row r="380" spans="1:20" x14ac:dyDescent="0.25">
      <c r="A380" s="1673" t="s">
        <v>2771</v>
      </c>
      <c r="B380" s="1668">
        <v>0.50638767366726878</v>
      </c>
      <c r="C380" s="1668">
        <v>0.47675093254197498</v>
      </c>
      <c r="D380" s="1249">
        <v>0.44974984748361391</v>
      </c>
      <c r="E380" s="1249">
        <v>0.42678040215327817</v>
      </c>
      <c r="F380" s="1249">
        <v>0.4089420990147003</v>
      </c>
      <c r="G380" s="1249"/>
      <c r="H380" s="1249"/>
      <c r="N380" s="510"/>
      <c r="O380" s="510"/>
      <c r="P380" s="510"/>
      <c r="R380" s="1674"/>
      <c r="S380" s="1674"/>
      <c r="T380" s="1674"/>
    </row>
    <row r="381" spans="1:20" x14ac:dyDescent="0.25">
      <c r="A381" s="1673" t="s">
        <v>2772</v>
      </c>
      <c r="B381" s="1668">
        <v>5.2467220237808899E-2</v>
      </c>
      <c r="C381" s="1668">
        <v>4.65232797959566E-2</v>
      </c>
      <c r="D381" s="1249">
        <v>4.0017866344826701E-2</v>
      </c>
      <c r="E381" s="1249">
        <v>3.9846887800983798E-2</v>
      </c>
      <c r="F381" s="1249">
        <v>4.0243634649090303E-2</v>
      </c>
      <c r="G381" s="1249"/>
      <c r="H381" s="1249"/>
      <c r="N381" s="510"/>
      <c r="O381" s="510"/>
      <c r="P381" s="510"/>
      <c r="R381" s="1674"/>
      <c r="S381" s="1674"/>
      <c r="T381" s="1674"/>
    </row>
    <row r="382" spans="1:20" x14ac:dyDescent="0.25">
      <c r="A382" s="1673" t="s">
        <v>2773</v>
      </c>
      <c r="B382" s="1668">
        <v>0.39134530228154202</v>
      </c>
      <c r="C382" s="1668">
        <v>0.367362708473638</v>
      </c>
      <c r="D382" s="1249">
        <v>0.34810699230907199</v>
      </c>
      <c r="E382" s="1249">
        <v>0.334175195976466</v>
      </c>
      <c r="F382" s="1249">
        <v>0.31904221934323401</v>
      </c>
      <c r="G382" s="1249"/>
      <c r="H382" s="1249"/>
      <c r="N382" s="510"/>
      <c r="O382" s="510"/>
      <c r="P382" s="510"/>
      <c r="R382" s="1674"/>
      <c r="S382" s="1674"/>
      <c r="T382" s="1674"/>
    </row>
    <row r="383" spans="1:20" x14ac:dyDescent="0.25">
      <c r="A383" s="1673" t="s">
        <v>2774</v>
      </c>
      <c r="B383" s="1668">
        <v>0.41982992871144598</v>
      </c>
      <c r="C383" s="1668">
        <v>0.39463027210502899</v>
      </c>
      <c r="D383" s="1249">
        <v>0.37419306232129301</v>
      </c>
      <c r="E383" s="1249">
        <v>0.35888910714421801</v>
      </c>
      <c r="F383" s="1249">
        <v>0.34268528572469897</v>
      </c>
      <c r="G383" s="1249"/>
      <c r="H383" s="1249"/>
      <c r="N383" s="510"/>
      <c r="O383" s="510"/>
      <c r="P383" s="510"/>
      <c r="R383" s="1674"/>
      <c r="S383" s="1674"/>
      <c r="T383" s="1674"/>
    </row>
    <row r="384" spans="1:20" x14ac:dyDescent="0.25">
      <c r="A384" s="1673" t="s">
        <v>2775</v>
      </c>
      <c r="B384" s="1668">
        <v>0.44709749234283802</v>
      </c>
      <c r="C384" s="1668">
        <v>0.42071634211725001</v>
      </c>
      <c r="D384" s="1249">
        <v>0.39890697348904502</v>
      </c>
      <c r="E384" s="1249">
        <v>0.38253217352568297</v>
      </c>
      <c r="F384" s="1249">
        <v>0.36530390663516499</v>
      </c>
      <c r="G384" s="1249"/>
      <c r="H384" s="1249"/>
      <c r="N384" s="510"/>
      <c r="O384" s="510"/>
      <c r="P384" s="510"/>
      <c r="R384" s="1674"/>
      <c r="S384" s="1674"/>
      <c r="T384" s="1674"/>
    </row>
    <row r="385" spans="1:20" x14ac:dyDescent="0.25">
      <c r="A385" s="1673" t="s">
        <v>2776</v>
      </c>
      <c r="B385" s="1668">
        <v>0.47318356235505799</v>
      </c>
      <c r="C385" s="1668">
        <v>0.44543025328500102</v>
      </c>
      <c r="D385" s="1249">
        <v>0.42255003987050899</v>
      </c>
      <c r="E385" s="1249">
        <v>0.40515079443614899</v>
      </c>
      <c r="F385" s="1249">
        <v>0.38694247092446099</v>
      </c>
      <c r="G385" s="1249"/>
      <c r="H385" s="1249"/>
      <c r="N385" s="510"/>
      <c r="O385" s="510"/>
      <c r="P385" s="510"/>
      <c r="R385" s="1674"/>
      <c r="S385" s="1674"/>
      <c r="T385" s="1674"/>
    </row>
    <row r="386" spans="1:20" x14ac:dyDescent="0.25">
      <c r="A386" s="1673" t="s">
        <v>2777</v>
      </c>
      <c r="B386" s="1668">
        <v>0.49789747352281</v>
      </c>
      <c r="C386" s="1668">
        <v>0.46907331966646598</v>
      </c>
      <c r="D386" s="1249">
        <v>0.445168660780976</v>
      </c>
      <c r="E386" s="1249">
        <v>0.42678935872544499</v>
      </c>
      <c r="F386" s="1249">
        <v>0.407643444089686</v>
      </c>
      <c r="G386" s="1249"/>
      <c r="H386" s="1249"/>
      <c r="N386" s="510"/>
      <c r="O386" s="510"/>
      <c r="P386" s="510"/>
      <c r="R386" s="1674"/>
      <c r="S386" s="1674"/>
      <c r="T386" s="1674"/>
    </row>
    <row r="387" spans="1:20" x14ac:dyDescent="0.25">
      <c r="A387" s="1673" t="s">
        <v>2778</v>
      </c>
      <c r="B387" s="1668">
        <v>0.52154053990427496</v>
      </c>
      <c r="C387" s="1668">
        <v>0.491691940576932</v>
      </c>
      <c r="D387" s="1249">
        <v>0.466807225070271</v>
      </c>
      <c r="E387" s="1249">
        <v>0.44749033189067</v>
      </c>
      <c r="F387" s="1249">
        <v>0.42744745161339198</v>
      </c>
      <c r="G387" s="1249"/>
      <c r="H387" s="1249"/>
      <c r="N387" s="510"/>
      <c r="O387" s="510"/>
      <c r="P387" s="510"/>
      <c r="R387" s="1674"/>
      <c r="S387" s="1674"/>
      <c r="T387" s="1674"/>
    </row>
    <row r="388" spans="1:20" x14ac:dyDescent="0.25">
      <c r="A388" s="1673" t="s">
        <v>2779</v>
      </c>
      <c r="B388" s="1668">
        <v>0.54415916081474103</v>
      </c>
      <c r="C388" s="1668">
        <v>0.513330504866228</v>
      </c>
      <c r="D388" s="1249">
        <v>0.48750819823549701</v>
      </c>
      <c r="E388" s="1249">
        <v>0.46729433941437498</v>
      </c>
      <c r="F388" s="1249">
        <v>0.44639335869073599</v>
      </c>
      <c r="G388" s="1249"/>
      <c r="H388" s="1249"/>
      <c r="N388" s="510"/>
      <c r="O388" s="510"/>
      <c r="P388" s="510"/>
      <c r="R388" s="1674"/>
      <c r="S388" s="1674"/>
      <c r="T388" s="1674"/>
    </row>
    <row r="389" spans="1:20" x14ac:dyDescent="0.25">
      <c r="A389" s="1673" t="s">
        <v>2780</v>
      </c>
      <c r="B389" s="1668">
        <v>0.56579772510403703</v>
      </c>
      <c r="C389" s="1668">
        <v>0.53403147803145301</v>
      </c>
      <c r="D389" s="1249">
        <v>0.507312205759202</v>
      </c>
      <c r="E389" s="1249">
        <v>0.48624024649171999</v>
      </c>
      <c r="F389" s="1249">
        <v>0.464518346502103</v>
      </c>
      <c r="G389" s="1249"/>
      <c r="H389" s="1249"/>
      <c r="N389" s="510"/>
      <c r="O389" s="510"/>
      <c r="P389" s="510"/>
      <c r="R389" s="1674"/>
      <c r="S389" s="1674"/>
      <c r="T389" s="1674"/>
    </row>
    <row r="390" spans="1:20" x14ac:dyDescent="0.25">
      <c r="A390" s="1673" t="s">
        <v>2781</v>
      </c>
      <c r="B390" s="1668">
        <v>0.58649869826926204</v>
      </c>
      <c r="C390" s="1668">
        <v>0.55383548555515805</v>
      </c>
      <c r="D390" s="1249">
        <v>0.526258112836546</v>
      </c>
      <c r="E390" s="1249">
        <v>0.504365234303087</v>
      </c>
      <c r="F390" s="1249">
        <v>0.48185798518084699</v>
      </c>
      <c r="G390" s="1249"/>
      <c r="H390" s="1249"/>
      <c r="N390" s="510"/>
      <c r="O390" s="510"/>
      <c r="P390" s="510"/>
      <c r="R390" s="1674"/>
      <c r="S390" s="1674"/>
      <c r="T390" s="1674"/>
    </row>
    <row r="391" spans="1:20" x14ac:dyDescent="0.25">
      <c r="A391" s="1673" t="s">
        <v>2782</v>
      </c>
      <c r="B391" s="1668">
        <v>0.60630270579296697</v>
      </c>
      <c r="C391" s="1668">
        <v>0.57278139263250305</v>
      </c>
      <c r="D391" s="1249">
        <v>0.54438310064791395</v>
      </c>
      <c r="E391" s="1249">
        <v>0.52170487298183099</v>
      </c>
      <c r="F391" s="1249">
        <v>0.49844630361937398</v>
      </c>
      <c r="G391" s="1249"/>
      <c r="H391" s="1249"/>
      <c r="N391" s="510"/>
      <c r="O391" s="510"/>
      <c r="P391" s="510"/>
      <c r="R391" s="1674"/>
      <c r="S391" s="1674"/>
      <c r="T391" s="1674"/>
    </row>
    <row r="392" spans="1:20" x14ac:dyDescent="0.25">
      <c r="A392" s="1673" t="s">
        <v>2783</v>
      </c>
      <c r="B392" s="1668">
        <v>9.8990500033765402E-2</v>
      </c>
      <c r="C392" s="1668">
        <v>8.6541146140783204E-2</v>
      </c>
      <c r="D392" s="1249">
        <v>7.9864754145810402E-2</v>
      </c>
      <c r="E392" s="1249">
        <v>8.0090522450074003E-2</v>
      </c>
      <c r="F392" s="1249">
        <v>7.9626937968155495E-2</v>
      </c>
      <c r="G392" s="1249"/>
      <c r="H392" s="1249"/>
      <c r="N392" s="510"/>
      <c r="O392" s="510"/>
      <c r="P392" s="510"/>
      <c r="R392" s="1674"/>
      <c r="S392" s="1674"/>
      <c r="T392" s="1674"/>
    </row>
    <row r="393" spans="1:20" x14ac:dyDescent="0.25">
      <c r="A393" s="1673" t="s">
        <v>2784</v>
      </c>
      <c r="B393" s="1668">
        <v>0.62524861287031197</v>
      </c>
      <c r="C393" s="1668">
        <v>0.59090638044387001</v>
      </c>
      <c r="D393" s="1249">
        <v>0.56172273932665695</v>
      </c>
      <c r="E393" s="1249">
        <v>0.53829319142035803</v>
      </c>
      <c r="F393" s="1249">
        <v>0.51431585625055498</v>
      </c>
      <c r="G393" s="1249"/>
      <c r="H393" s="1249"/>
      <c r="N393" s="510"/>
      <c r="O393" s="510"/>
      <c r="P393" s="510"/>
      <c r="R393" s="1674"/>
      <c r="S393" s="1674"/>
      <c r="T393" s="1674"/>
    </row>
    <row r="394" spans="1:20" x14ac:dyDescent="0.25">
      <c r="A394" s="1673" t="s">
        <v>2785</v>
      </c>
      <c r="B394" s="1668">
        <v>0.64337360068167904</v>
      </c>
      <c r="C394" s="1668">
        <v>0.608246019122614</v>
      </c>
      <c r="D394" s="1249">
        <v>0.57831105776518499</v>
      </c>
      <c r="E394" s="1249">
        <v>0.55416274405153898</v>
      </c>
      <c r="F394" s="1249">
        <v>0.52949778693551897</v>
      </c>
      <c r="G394" s="1249"/>
      <c r="H394" s="1249"/>
      <c r="N394" s="510"/>
      <c r="O394" s="510"/>
      <c r="P394" s="510"/>
      <c r="R394" s="1674"/>
      <c r="S394" s="1674"/>
      <c r="T394" s="1674"/>
    </row>
    <row r="395" spans="1:20" x14ac:dyDescent="0.25">
      <c r="A395" s="1673" t="s">
        <v>2786</v>
      </c>
      <c r="B395" s="1668">
        <v>0.66071323936042303</v>
      </c>
      <c r="C395" s="1668">
        <v>0.62483433756114104</v>
      </c>
      <c r="D395" s="1249">
        <v>0.59418061039636605</v>
      </c>
      <c r="E395" s="1249">
        <v>0.56934467473650197</v>
      </c>
      <c r="F395" s="1249">
        <v>0.54370509620462204</v>
      </c>
      <c r="G395" s="1249"/>
      <c r="H395" s="1249"/>
      <c r="N395" s="510"/>
      <c r="O395" s="510"/>
      <c r="P395" s="510"/>
      <c r="R395" s="1674"/>
      <c r="S395" s="1674"/>
      <c r="T395" s="1674"/>
    </row>
    <row r="396" spans="1:20" x14ac:dyDescent="0.25">
      <c r="A396" s="1673" t="s">
        <v>2787</v>
      </c>
      <c r="B396" s="1668">
        <v>0.67730155779894996</v>
      </c>
      <c r="C396" s="1668">
        <v>0.64070389019232199</v>
      </c>
      <c r="D396" s="1249">
        <v>0.60936254108132903</v>
      </c>
      <c r="E396" s="1249">
        <v>0.58355198400560504</v>
      </c>
      <c r="F396" s="1249">
        <v>0.55700035099509804</v>
      </c>
      <c r="G396" s="1249"/>
      <c r="H396" s="1249"/>
      <c r="N396" s="510"/>
      <c r="O396" s="510"/>
      <c r="P396" s="510"/>
      <c r="R396" s="1674"/>
      <c r="S396" s="1674"/>
      <c r="T396" s="1674"/>
    </row>
    <row r="397" spans="1:20" x14ac:dyDescent="0.25">
      <c r="A397" s="1673" t="s">
        <v>2788</v>
      </c>
      <c r="B397" s="1668">
        <v>0.69317111043013102</v>
      </c>
      <c r="C397" s="1668">
        <v>0.65588582087728597</v>
      </c>
      <c r="D397" s="1249">
        <v>0.623569850350432</v>
      </c>
      <c r="E397" s="1249">
        <v>0.59684723879608204</v>
      </c>
      <c r="F397" s="1249">
        <v>0.56944210168803799</v>
      </c>
      <c r="G397" s="1249"/>
      <c r="H397" s="1249"/>
      <c r="N397" s="510"/>
      <c r="O397" s="510"/>
      <c r="P397" s="510"/>
      <c r="R397" s="1674"/>
      <c r="S397" s="1674"/>
      <c r="T397" s="1674"/>
    </row>
    <row r="398" spans="1:20" x14ac:dyDescent="0.25">
      <c r="A398" s="1673" t="s">
        <v>2789</v>
      </c>
      <c r="B398" s="1668">
        <v>0.70835304111509401</v>
      </c>
      <c r="C398" s="1668">
        <v>0.67009313014638905</v>
      </c>
      <c r="D398" s="1249">
        <v>0.63686510514090799</v>
      </c>
      <c r="E398" s="1249">
        <v>0.60928898948902199</v>
      </c>
      <c r="F398" s="1249">
        <v>0.58108513995581001</v>
      </c>
      <c r="G398" s="1249"/>
      <c r="H398" s="1249"/>
      <c r="N398" s="510"/>
      <c r="O398" s="510"/>
      <c r="P398" s="510"/>
      <c r="R398" s="1674"/>
      <c r="S398" s="1674"/>
      <c r="T398" s="1674"/>
    </row>
    <row r="399" spans="1:20" x14ac:dyDescent="0.25">
      <c r="A399" s="1673" t="s">
        <v>2790</v>
      </c>
      <c r="B399" s="1668">
        <v>0.72256035038419797</v>
      </c>
      <c r="C399" s="1668">
        <v>0.68338838493686505</v>
      </c>
      <c r="D399" s="1249">
        <v>0.64930685583384895</v>
      </c>
      <c r="E399" s="1249">
        <v>0.62093202775679401</v>
      </c>
      <c r="F399" s="1249">
        <v>0.59198074005666301</v>
      </c>
      <c r="G399" s="1249"/>
      <c r="H399" s="1249"/>
      <c r="N399" s="510"/>
      <c r="O399" s="510"/>
      <c r="P399" s="510"/>
      <c r="R399" s="1674"/>
      <c r="S399" s="1674"/>
      <c r="T399" s="1674"/>
    </row>
    <row r="400" spans="1:20" x14ac:dyDescent="0.25">
      <c r="A400" s="1673" t="s">
        <v>2791</v>
      </c>
      <c r="B400" s="1668">
        <v>0.73585560517467397</v>
      </c>
      <c r="C400" s="1668">
        <v>0.695830135629805</v>
      </c>
      <c r="D400" s="1249">
        <v>0.66094989410161997</v>
      </c>
      <c r="E400" s="1249">
        <v>0.63182762785764701</v>
      </c>
      <c r="F400" s="1249">
        <v>0.60217688463915697</v>
      </c>
      <c r="G400" s="1249"/>
      <c r="H400" s="1249"/>
      <c r="N400" s="510"/>
      <c r="O400" s="510"/>
      <c r="P400" s="510"/>
      <c r="R400" s="1674"/>
      <c r="S400" s="1674"/>
      <c r="T400" s="1674"/>
    </row>
    <row r="401" spans="1:20" x14ac:dyDescent="0.25">
      <c r="A401" s="1673" t="s">
        <v>2792</v>
      </c>
      <c r="B401" s="1668">
        <v>0.74829735586761403</v>
      </c>
      <c r="C401" s="1668">
        <v>0.70747317389757702</v>
      </c>
      <c r="D401" s="1249">
        <v>0.67184549420247297</v>
      </c>
      <c r="E401" s="1249">
        <v>0.64202377244013997</v>
      </c>
      <c r="F401" s="1249">
        <v>0.61171847605081098</v>
      </c>
      <c r="G401" s="1249"/>
      <c r="H401" s="1249"/>
      <c r="N401" s="510"/>
      <c r="O401" s="510"/>
      <c r="P401" s="510"/>
      <c r="R401" s="1674"/>
      <c r="S401" s="1674"/>
      <c r="T401" s="1674"/>
    </row>
    <row r="402" spans="1:20" x14ac:dyDescent="0.25">
      <c r="A402" s="1673" t="s">
        <v>2793</v>
      </c>
      <c r="B402" s="1668">
        <v>0.75994039413538605</v>
      </c>
      <c r="C402" s="1668">
        <v>0.71836877399843002</v>
      </c>
      <c r="D402" s="1249">
        <v>0.68204163878496704</v>
      </c>
      <c r="E402" s="1249">
        <v>0.65156536385179498</v>
      </c>
      <c r="F402" s="1249">
        <v>0.62064753408155604</v>
      </c>
      <c r="G402" s="1249"/>
      <c r="H402" s="1249"/>
      <c r="N402" s="510"/>
      <c r="O402" s="510"/>
      <c r="P402" s="510"/>
      <c r="R402" s="1674"/>
      <c r="S402" s="1674"/>
      <c r="T402" s="1674"/>
    </row>
    <row r="403" spans="1:20" x14ac:dyDescent="0.25">
      <c r="A403" s="1673" t="s">
        <v>2794</v>
      </c>
      <c r="B403" s="1668">
        <v>0.13900836637859201</v>
      </c>
      <c r="C403" s="1668">
        <v>0.12638803394176701</v>
      </c>
      <c r="D403" s="1249">
        <v>0.120108388794901</v>
      </c>
      <c r="E403" s="1249">
        <v>0.11947382576913899</v>
      </c>
      <c r="F403" s="1249">
        <v>0.116299546254616</v>
      </c>
      <c r="G403" s="1249"/>
      <c r="H403" s="1249"/>
      <c r="N403" s="510"/>
      <c r="O403" s="510"/>
      <c r="P403" s="510"/>
      <c r="R403" s="1674"/>
      <c r="S403" s="1674"/>
      <c r="T403" s="1674"/>
    </row>
    <row r="404" spans="1:20" x14ac:dyDescent="0.25">
      <c r="A404" s="1673" t="s">
        <v>2795</v>
      </c>
      <c r="B404" s="1668">
        <v>0.77083599423623805</v>
      </c>
      <c r="C404" s="1668">
        <v>0.72856491858092398</v>
      </c>
      <c r="D404" s="1249">
        <v>0.69158323019662105</v>
      </c>
      <c r="E404" s="1249">
        <v>0.66049442188254004</v>
      </c>
      <c r="F404" s="1249">
        <v>0.62900338101281705</v>
      </c>
      <c r="G404" s="1249"/>
      <c r="H404" s="1249"/>
      <c r="N404" s="510"/>
      <c r="O404" s="510"/>
      <c r="P404" s="510"/>
      <c r="R404" s="1674"/>
      <c r="S404" s="1674"/>
      <c r="T404" s="1674"/>
    </row>
    <row r="405" spans="1:20" x14ac:dyDescent="0.25">
      <c r="A405" s="1673" t="s">
        <v>2796</v>
      </c>
      <c r="B405" s="1668">
        <v>0.17885525417957601</v>
      </c>
      <c r="C405" s="1668">
        <v>0.16663166859085701</v>
      </c>
      <c r="D405" s="1249">
        <v>0.15949169211396599</v>
      </c>
      <c r="E405" s="1249">
        <v>0.1561464340556</v>
      </c>
      <c r="F405" s="1249">
        <v>0.15030789337018399</v>
      </c>
      <c r="G405" s="1249"/>
      <c r="H405" s="1249"/>
      <c r="N405" s="510"/>
      <c r="O405" s="510"/>
      <c r="P405" s="510"/>
      <c r="R405" s="1674"/>
      <c r="S405" s="1674"/>
      <c r="T405" s="1674"/>
    </row>
    <row r="406" spans="1:20" x14ac:dyDescent="0.25">
      <c r="A406" s="1673" t="s">
        <v>2797</v>
      </c>
      <c r="B406" s="1668">
        <v>0.21909888882866599</v>
      </c>
      <c r="C406" s="1668">
        <v>0.20601497190992199</v>
      </c>
      <c r="D406" s="1249">
        <v>0.19616430040042601</v>
      </c>
      <c r="E406" s="1249">
        <v>0.19015478117116799</v>
      </c>
      <c r="F406" s="1249">
        <v>0.18215711511705801</v>
      </c>
      <c r="G406" s="1249"/>
      <c r="H406" s="1249"/>
      <c r="N406" s="510"/>
      <c r="O406" s="510"/>
      <c r="P406" s="510"/>
      <c r="R406" s="1674"/>
      <c r="S406" s="1674"/>
      <c r="T406" s="1674"/>
    </row>
    <row r="407" spans="1:20" x14ac:dyDescent="0.25">
      <c r="A407" s="1249" t="s">
        <v>2798</v>
      </c>
      <c r="B407" s="1668">
        <v>0.25848219214773099</v>
      </c>
      <c r="C407" s="1668">
        <v>0.24268758019638301</v>
      </c>
      <c r="D407" s="1249">
        <v>0.230172647515995</v>
      </c>
      <c r="E407" s="1249">
        <v>0.22200400291804101</v>
      </c>
      <c r="F407" s="1249">
        <v>0.21249004810196601</v>
      </c>
      <c r="G407" s="1249"/>
      <c r="H407" s="1249"/>
      <c r="N407" s="510"/>
      <c r="O407" s="510"/>
      <c r="P407" s="510"/>
      <c r="R407" s="1674"/>
      <c r="S407" s="1674"/>
      <c r="T407" s="1674"/>
    </row>
    <row r="408" spans="1:20" x14ac:dyDescent="0.25">
      <c r="A408" s="1249" t="s">
        <v>2799</v>
      </c>
      <c r="B408" s="1668">
        <v>0.29515480043419201</v>
      </c>
      <c r="C408" s="1668">
        <v>0.27669592731195097</v>
      </c>
      <c r="D408" s="1249">
        <v>0.26202186926286802</v>
      </c>
      <c r="E408" s="1249">
        <v>0.25233693590294998</v>
      </c>
      <c r="F408" s="1249">
        <v>0.24097467453186999</v>
      </c>
      <c r="G408" s="1249"/>
      <c r="H408" s="1249"/>
      <c r="N408" s="510"/>
      <c r="O408" s="510"/>
      <c r="P408" s="510"/>
      <c r="R408" s="1674"/>
      <c r="S408" s="1674"/>
      <c r="T408" s="1674"/>
    </row>
    <row r="409" spans="1:20" x14ac:dyDescent="0.25">
      <c r="A409" s="1249" t="s">
        <v>2800</v>
      </c>
      <c r="B409" s="1668">
        <v>0.32916314754976</v>
      </c>
      <c r="C409" s="1668">
        <v>0.30854514905882502</v>
      </c>
      <c r="D409" s="1249">
        <v>0.29235480224777699</v>
      </c>
      <c r="E409" s="1249">
        <v>0.28082156233285399</v>
      </c>
      <c r="F409" s="1249">
        <v>0.26824223816326198</v>
      </c>
      <c r="G409" s="1249"/>
      <c r="H409" s="1249"/>
      <c r="N409" s="510"/>
      <c r="O409" s="510"/>
      <c r="P409" s="510"/>
      <c r="R409" s="1674"/>
      <c r="S409" s="1674"/>
      <c r="T409" s="1674"/>
    </row>
    <row r="410" spans="1:20" x14ac:dyDescent="0.25">
      <c r="A410" s="1249" t="s">
        <v>2801</v>
      </c>
      <c r="B410" s="1668">
        <v>0.361012369296633</v>
      </c>
      <c r="C410" s="1668">
        <v>0.33887808204373299</v>
      </c>
      <c r="D410" s="1249">
        <v>0.320839428677681</v>
      </c>
      <c r="E410" s="1249">
        <v>0.30808912596424598</v>
      </c>
      <c r="F410" s="1249">
        <v>0.294328308175483</v>
      </c>
      <c r="G410" s="1249"/>
      <c r="H410" s="1249"/>
      <c r="N410" s="510"/>
      <c r="O410" s="510"/>
      <c r="P410" s="510"/>
      <c r="R410" s="1674"/>
      <c r="S410" s="1674"/>
      <c r="T410" s="1674"/>
    </row>
    <row r="411" spans="1:20" x14ac:dyDescent="0.25">
      <c r="A411" s="1249" t="s">
        <v>2802</v>
      </c>
      <c r="B411" s="1668">
        <v>5.46429232060133E-2</v>
      </c>
      <c r="C411" s="1668">
        <v>5.1135058212627073E-2</v>
      </c>
      <c r="D411" s="1249">
        <v>4.5342036605443128E-2</v>
      </c>
      <c r="E411" s="1249">
        <v>3.9001797995260067E-2</v>
      </c>
      <c r="F411" s="1249">
        <v>3.8835160659550443E-2</v>
      </c>
      <c r="G411" s="1249"/>
      <c r="H411" s="1249"/>
      <c r="N411" s="510"/>
      <c r="O411" s="510"/>
      <c r="P411" s="510"/>
      <c r="R411" s="1674"/>
      <c r="S411" s="1674"/>
      <c r="T411" s="1674"/>
    </row>
    <row r="412" spans="1:20" x14ac:dyDescent="0.25">
      <c r="A412" s="1673" t="s">
        <v>2803</v>
      </c>
      <c r="B412" s="1668">
        <v>0.406489055625258</v>
      </c>
      <c r="C412" s="1668">
        <v>0.38140890107580272</v>
      </c>
      <c r="D412" s="1249">
        <v>0.35803523414817578</v>
      </c>
      <c r="E412" s="1249">
        <v>0.33926842770144661</v>
      </c>
      <c r="F412" s="1249">
        <v>0.32569036480340707</v>
      </c>
      <c r="G412" s="1249"/>
      <c r="H412" s="1249"/>
      <c r="N412" s="510"/>
      <c r="O412" s="510"/>
      <c r="P412" s="510"/>
      <c r="R412" s="1674"/>
      <c r="S412" s="1674"/>
      <c r="T412" s="1674"/>
    </row>
    <row r="413" spans="1:20" x14ac:dyDescent="0.25">
      <c r="A413" s="1673" t="s">
        <v>2804</v>
      </c>
      <c r="B413" s="1668">
        <v>0.4360518242818161</v>
      </c>
      <c r="C413" s="1668">
        <v>0.40917029236080271</v>
      </c>
      <c r="D413" s="1249">
        <v>0.38461046430688972</v>
      </c>
      <c r="E413" s="1249">
        <v>0.36469216279866717</v>
      </c>
      <c r="F413" s="1249">
        <v>0.34977678067405393</v>
      </c>
      <c r="G413" s="1249"/>
      <c r="H413" s="1249"/>
      <c r="N413" s="510"/>
      <c r="O413" s="510"/>
      <c r="P413" s="510"/>
      <c r="R413" s="1674"/>
      <c r="S413" s="1674"/>
      <c r="T413" s="1674"/>
    </row>
    <row r="414" spans="1:20" x14ac:dyDescent="0.25">
      <c r="A414" s="1673" t="s">
        <v>2805</v>
      </c>
      <c r="B414" s="1668">
        <v>0.46381321556681609</v>
      </c>
      <c r="C414" s="1668">
        <v>0.43574552251951687</v>
      </c>
      <c r="D414" s="1249">
        <v>0.41003419940411023</v>
      </c>
      <c r="E414" s="1249">
        <v>0.38877857866931398</v>
      </c>
      <c r="F414" s="1249">
        <v>0.3728195409015142</v>
      </c>
      <c r="G414" s="1249"/>
      <c r="H414" s="1249"/>
      <c r="N414" s="510"/>
      <c r="O414" s="510"/>
      <c r="P414" s="510"/>
      <c r="R414" s="1674"/>
      <c r="S414" s="1674"/>
      <c r="T414" s="1674"/>
    </row>
    <row r="415" spans="1:20" x14ac:dyDescent="0.25">
      <c r="A415" s="1673" t="s">
        <v>2806</v>
      </c>
      <c r="B415" s="1668">
        <v>0.49038844572553025</v>
      </c>
      <c r="C415" s="1668">
        <v>0.46116925761673738</v>
      </c>
      <c r="D415" s="1249">
        <v>0.4341206152747572</v>
      </c>
      <c r="E415" s="1249">
        <v>0.41182133889677436</v>
      </c>
      <c r="F415" s="1249">
        <v>0.39486386670539175</v>
      </c>
      <c r="G415" s="1249"/>
      <c r="H415" s="1249"/>
      <c r="N415" s="510"/>
      <c r="O415" s="510"/>
      <c r="P415" s="510"/>
      <c r="R415" s="1674"/>
      <c r="S415" s="1674"/>
      <c r="T415" s="1674"/>
    </row>
    <row r="416" spans="1:20" x14ac:dyDescent="0.25">
      <c r="A416" s="1673" t="s">
        <v>2807</v>
      </c>
      <c r="B416" s="1668">
        <v>0.5158121808227506</v>
      </c>
      <c r="C416" s="1668">
        <v>0.4852556734873843</v>
      </c>
      <c r="D416" s="1249">
        <v>0.45716337550221742</v>
      </c>
      <c r="E416" s="1249">
        <v>0.4338656647006518</v>
      </c>
      <c r="F416" s="1249">
        <v>0.41595301988628475</v>
      </c>
      <c r="G416" s="1249"/>
      <c r="H416" s="1249"/>
      <c r="N416" s="510"/>
      <c r="O416" s="510"/>
      <c r="P416" s="510"/>
      <c r="R416" s="1674"/>
      <c r="S416" s="1674"/>
      <c r="T416" s="1674"/>
    </row>
    <row r="417" spans="1:20" x14ac:dyDescent="0.25">
      <c r="A417" s="1673" t="s">
        <v>2808</v>
      </c>
      <c r="B417" s="1668">
        <v>0.53989859669339768</v>
      </c>
      <c r="C417" s="1668">
        <v>0.50829843371484429</v>
      </c>
      <c r="D417" s="1249">
        <v>0.4792077013060948</v>
      </c>
      <c r="E417" s="1249">
        <v>0.45495481788154474</v>
      </c>
      <c r="F417" s="1249">
        <v>0.43612838772669921</v>
      </c>
      <c r="G417" s="1249"/>
      <c r="H417" s="1249"/>
      <c r="N417" s="510"/>
      <c r="O417" s="510"/>
      <c r="P417" s="510"/>
      <c r="R417" s="1674"/>
      <c r="S417" s="1674"/>
      <c r="T417" s="1674"/>
    </row>
    <row r="418" spans="1:20" x14ac:dyDescent="0.25">
      <c r="A418" s="1673" t="s">
        <v>2809</v>
      </c>
      <c r="B418" s="1668">
        <v>0.56294135692085778</v>
      </c>
      <c r="C418" s="1668">
        <v>0.5303427595187219</v>
      </c>
      <c r="D418" s="1249">
        <v>0.50029685448698802</v>
      </c>
      <c r="E418" s="1249">
        <v>0.47513018572195925</v>
      </c>
      <c r="F418" s="1249">
        <v>0.45542956421323638</v>
      </c>
      <c r="G418" s="1249"/>
      <c r="H418" s="1249"/>
      <c r="N418" s="510"/>
      <c r="O418" s="510"/>
      <c r="P418" s="510"/>
      <c r="R418" s="1674"/>
      <c r="S418" s="1674"/>
      <c r="T418" s="1674"/>
    </row>
    <row r="419" spans="1:20" x14ac:dyDescent="0.25">
      <c r="A419" s="1249" t="s">
        <v>2810</v>
      </c>
      <c r="B419" s="1668">
        <v>0.58498568272473517</v>
      </c>
      <c r="C419" s="1668">
        <v>0.55143191269961478</v>
      </c>
      <c r="D419" s="1249">
        <v>0.52047222232740242</v>
      </c>
      <c r="E419" s="1249">
        <v>0.49443136220849654</v>
      </c>
      <c r="F419" s="1249">
        <v>0.47389442773945217</v>
      </c>
      <c r="G419" s="1249"/>
      <c r="H419" s="1249"/>
      <c r="N419" s="510"/>
      <c r="O419" s="510"/>
      <c r="P419" s="510"/>
      <c r="R419" s="1674"/>
      <c r="S419" s="1674"/>
      <c r="T419" s="1674"/>
    </row>
    <row r="420" spans="1:20" x14ac:dyDescent="0.25">
      <c r="A420" s="1249" t="s">
        <v>2811</v>
      </c>
      <c r="B420" s="1668">
        <v>0.60607483590562827</v>
      </c>
      <c r="C420" s="1668">
        <v>0.57160728054002963</v>
      </c>
      <c r="D420" s="1249">
        <v>0.53977339881393971</v>
      </c>
      <c r="E420" s="1249">
        <v>0.51289622573471227</v>
      </c>
      <c r="F420" s="1249">
        <v>0.49155921544188003</v>
      </c>
      <c r="G420" s="1249"/>
      <c r="H420" s="1249"/>
      <c r="N420" s="510"/>
      <c r="O420" s="510"/>
      <c r="P420" s="510"/>
      <c r="R420" s="1674"/>
      <c r="S420" s="1674"/>
      <c r="T420" s="1674"/>
    </row>
    <row r="421" spans="1:20" x14ac:dyDescent="0.25">
      <c r="A421" s="1249" t="s">
        <v>2812</v>
      </c>
      <c r="B421" s="1668">
        <v>0.62625020374604257</v>
      </c>
      <c r="C421" s="1668">
        <v>0.59090845702656658</v>
      </c>
      <c r="D421" s="1249">
        <v>0.55823826234015517</v>
      </c>
      <c r="E421" s="1249">
        <v>0.53056101343713979</v>
      </c>
      <c r="F421" s="1249">
        <v>0.50845859431510132</v>
      </c>
      <c r="G421" s="1249"/>
      <c r="H421" s="1249"/>
      <c r="N421" s="510"/>
      <c r="O421" s="510"/>
      <c r="P421" s="510"/>
      <c r="R421" s="1674"/>
      <c r="S421" s="1674"/>
      <c r="T421" s="1674"/>
    </row>
    <row r="422" spans="1:20" x14ac:dyDescent="0.25">
      <c r="A422" s="1249" t="s">
        <v>2813</v>
      </c>
      <c r="B422" s="1668">
        <v>0.10577798141864038</v>
      </c>
      <c r="C422" s="1668">
        <v>9.6477094818070236E-2</v>
      </c>
      <c r="D422" s="1249">
        <v>8.4343834600703202E-2</v>
      </c>
      <c r="E422" s="1249">
        <v>7.7836958654810495E-2</v>
      </c>
      <c r="F422" s="1249">
        <v>7.805699461876589E-2</v>
      </c>
      <c r="G422" s="1249"/>
      <c r="H422" s="1249"/>
      <c r="N422" s="510"/>
      <c r="O422" s="510"/>
      <c r="P422" s="510"/>
      <c r="R422" s="1674"/>
      <c r="S422" s="1674"/>
      <c r="T422" s="1674"/>
    </row>
    <row r="423" spans="1:20" x14ac:dyDescent="0.25">
      <c r="A423" s="1249" t="s">
        <v>2814</v>
      </c>
      <c r="B423" s="1668">
        <v>0.64555138023258007</v>
      </c>
      <c r="C423" s="1668">
        <v>0.60937332055278226</v>
      </c>
      <c r="D423" s="1249">
        <v>0.57590305004258313</v>
      </c>
      <c r="E423" s="1249">
        <v>0.54746039231036148</v>
      </c>
      <c r="F423" s="1249">
        <v>0.52462572924542528</v>
      </c>
      <c r="G423" s="1249"/>
      <c r="H423" s="1249"/>
      <c r="N423" s="510"/>
      <c r="O423" s="510"/>
      <c r="P423" s="510"/>
      <c r="R423" s="1674"/>
      <c r="S423" s="1674"/>
      <c r="T423" s="1674"/>
    </row>
    <row r="424" spans="1:20" x14ac:dyDescent="0.25">
      <c r="A424" s="1249" t="s">
        <v>2815</v>
      </c>
      <c r="B424" s="1668">
        <v>0.66401624375879575</v>
      </c>
      <c r="C424" s="1668">
        <v>0.62703810825521022</v>
      </c>
      <c r="D424" s="1249">
        <v>0.5928024289158047</v>
      </c>
      <c r="E424" s="1249">
        <v>0.56362752724068543</v>
      </c>
      <c r="F424" s="1249">
        <v>0.5400923480966946</v>
      </c>
      <c r="G424" s="1249"/>
      <c r="H424" s="1249"/>
      <c r="N424" s="510"/>
      <c r="O424" s="510"/>
      <c r="P424" s="510"/>
      <c r="R424" s="1674"/>
      <c r="S424" s="1674"/>
      <c r="T424" s="1674"/>
    </row>
    <row r="425" spans="1:20" x14ac:dyDescent="0.25">
      <c r="A425" s="1249" t="s">
        <v>2816</v>
      </c>
      <c r="B425" s="1668">
        <v>0.68168103146122327</v>
      </c>
      <c r="C425" s="1668">
        <v>0.64393748712843135</v>
      </c>
      <c r="D425" s="1249">
        <v>0.60896956384612866</v>
      </c>
      <c r="E425" s="1249">
        <v>0.57909414609195453</v>
      </c>
      <c r="F425" s="1249">
        <v>0.55456606964944499</v>
      </c>
      <c r="G425" s="1249"/>
      <c r="H425" s="1249"/>
      <c r="N425" s="510"/>
      <c r="O425" s="510"/>
      <c r="P425" s="510"/>
      <c r="R425" s="1674"/>
      <c r="S425" s="1674"/>
      <c r="T425" s="1674"/>
    </row>
    <row r="426" spans="1:20" x14ac:dyDescent="0.25">
      <c r="A426" s="1249" t="s">
        <v>2817</v>
      </c>
      <c r="B426" s="1668">
        <v>0.69858041033444496</v>
      </c>
      <c r="C426" s="1668">
        <v>0.66010462205875553</v>
      </c>
      <c r="D426" s="1249">
        <v>0.62443618269739765</v>
      </c>
      <c r="E426" s="1249">
        <v>0.59356786764470504</v>
      </c>
      <c r="F426" s="1249">
        <v>0.56811063408211449</v>
      </c>
      <c r="G426" s="1249"/>
      <c r="H426" s="1249"/>
      <c r="N426" s="510"/>
      <c r="O426" s="510"/>
      <c r="P426" s="510"/>
      <c r="R426" s="1674"/>
      <c r="S426" s="1674"/>
      <c r="T426" s="1674"/>
    </row>
    <row r="427" spans="1:20" x14ac:dyDescent="0.25">
      <c r="A427" s="1249" t="s">
        <v>2818</v>
      </c>
      <c r="B427" s="1668">
        <v>0.71474754526476891</v>
      </c>
      <c r="C427" s="1668">
        <v>0.67557124091002485</v>
      </c>
      <c r="D427" s="1249">
        <v>0.63890990425014826</v>
      </c>
      <c r="E427" s="1249">
        <v>0.60711243207737431</v>
      </c>
      <c r="F427" s="1249">
        <v>0.58078568969943534</v>
      </c>
      <c r="G427" s="1249"/>
      <c r="H427" s="1249"/>
      <c r="N427" s="510"/>
      <c r="O427" s="510"/>
      <c r="P427" s="510"/>
      <c r="R427" s="1674"/>
      <c r="S427" s="1674"/>
      <c r="T427" s="1674"/>
    </row>
    <row r="428" spans="1:20" x14ac:dyDescent="0.25">
      <c r="A428" s="1249" t="s">
        <v>2819</v>
      </c>
      <c r="B428" s="1668">
        <v>0.73021416411603834</v>
      </c>
      <c r="C428" s="1668">
        <v>0.69004496246277558</v>
      </c>
      <c r="D428" s="1249">
        <v>0.65245446868281742</v>
      </c>
      <c r="E428" s="1249">
        <v>0.61978748769469549</v>
      </c>
      <c r="F428" s="1249">
        <v>0.59264705561495212</v>
      </c>
      <c r="G428" s="1249"/>
      <c r="H428" s="1249"/>
      <c r="N428" s="510"/>
      <c r="O428" s="510"/>
      <c r="P428" s="510"/>
      <c r="R428" s="1674"/>
      <c r="S428" s="1674"/>
      <c r="T428" s="1674"/>
    </row>
    <row r="429" spans="1:20" x14ac:dyDescent="0.25">
      <c r="A429" s="1249" t="s">
        <v>2820</v>
      </c>
      <c r="B429" s="1668">
        <v>0.15112001802408354</v>
      </c>
      <c r="C429" s="1668">
        <v>0.13547889281333028</v>
      </c>
      <c r="D429" s="1249">
        <v>0.12317899526025368</v>
      </c>
      <c r="E429" s="1249">
        <v>0.11705879261402594</v>
      </c>
      <c r="F429" s="1249">
        <v>0.11644034137695219</v>
      </c>
      <c r="G429" s="1249"/>
      <c r="H429" s="1249"/>
      <c r="N429" s="510"/>
      <c r="O429" s="510"/>
      <c r="P429" s="510"/>
      <c r="R429" s="1674"/>
      <c r="S429" s="1674"/>
      <c r="T429" s="1674"/>
    </row>
    <row r="430" spans="1:20" x14ac:dyDescent="0.25">
      <c r="A430" s="1249" t="s">
        <v>2821</v>
      </c>
      <c r="B430" s="1668">
        <v>0.19012181601934358</v>
      </c>
      <c r="C430" s="1668">
        <v>0.17431405347288076</v>
      </c>
      <c r="D430" s="1249">
        <v>0.16240082921946913</v>
      </c>
      <c r="E430" s="1249">
        <v>0.15544213937221224</v>
      </c>
      <c r="F430" s="1249">
        <v>0.15218181864670996</v>
      </c>
      <c r="G430" s="1249"/>
      <c r="H430" s="1249"/>
      <c r="N430" s="510"/>
      <c r="O430" s="510"/>
      <c r="P430" s="510"/>
      <c r="R430" s="1674"/>
      <c r="S430" s="1674"/>
      <c r="T430" s="1674"/>
    </row>
    <row r="431" spans="1:20" x14ac:dyDescent="0.25">
      <c r="A431" s="1249" t="s">
        <v>2822</v>
      </c>
      <c r="B431" s="1668">
        <v>0.22895697667889403</v>
      </c>
      <c r="C431" s="1668">
        <v>0.21353588743209617</v>
      </c>
      <c r="D431" s="1249">
        <v>0.20078417597765541</v>
      </c>
      <c r="E431" s="1249">
        <v>0.19118361664197012</v>
      </c>
      <c r="F431" s="1249">
        <v>0.18532668131691962</v>
      </c>
      <c r="G431" s="1249"/>
      <c r="H431" s="1249"/>
      <c r="N431" s="510"/>
      <c r="O431" s="510"/>
      <c r="P431" s="510"/>
      <c r="R431" s="1674"/>
      <c r="S431" s="1674"/>
      <c r="T431" s="1674"/>
    </row>
    <row r="432" spans="1:20" x14ac:dyDescent="0.25">
      <c r="A432" s="1249" t="s">
        <v>2823</v>
      </c>
      <c r="B432" s="1668">
        <v>0.26817881063810944</v>
      </c>
      <c r="C432" s="1668">
        <v>0.25191923419028245</v>
      </c>
      <c r="D432" s="1249">
        <v>0.23652565324741312</v>
      </c>
      <c r="E432" s="1249">
        <v>0.22432847931217964</v>
      </c>
      <c r="F432" s="1249">
        <v>0.2163672396059145</v>
      </c>
      <c r="G432" s="1249"/>
      <c r="H432" s="1249"/>
      <c r="N432" s="510"/>
      <c r="O432" s="510"/>
      <c r="P432" s="510"/>
      <c r="R432" s="1674"/>
      <c r="S432" s="1674"/>
      <c r="T432" s="1674"/>
    </row>
    <row r="433" spans="1:20" x14ac:dyDescent="0.25">
      <c r="A433" s="1249" t="s">
        <v>2824</v>
      </c>
      <c r="B433" s="1668">
        <v>0.26817881063810944</v>
      </c>
      <c r="C433" s="1668">
        <v>0.25191923419028245</v>
      </c>
      <c r="D433" s="1249">
        <v>0.23652565324741312</v>
      </c>
      <c r="E433" s="1249">
        <v>0.22432847931217964</v>
      </c>
      <c r="F433" s="1249">
        <v>0.2163672396059145</v>
      </c>
      <c r="G433" s="1249"/>
      <c r="H433" s="1249"/>
      <c r="N433" s="510"/>
      <c r="O433" s="510"/>
      <c r="P433" s="510"/>
      <c r="R433" s="1674"/>
      <c r="S433" s="1674"/>
      <c r="T433" s="1674"/>
    </row>
    <row r="434" spans="1:20" x14ac:dyDescent="0.25">
      <c r="A434" s="1249" t="s">
        <v>2825</v>
      </c>
      <c r="B434" s="1668">
        <v>0.30656215739629572</v>
      </c>
      <c r="C434" s="1668">
        <v>0.2876607114600403</v>
      </c>
      <c r="D434" s="1249">
        <v>0.26967051591762287</v>
      </c>
      <c r="E434" s="1249">
        <v>0.25536903760117458</v>
      </c>
      <c r="F434" s="1249">
        <v>0.24593000826247233</v>
      </c>
      <c r="G434" s="1249"/>
      <c r="H434" s="1249"/>
      <c r="N434" s="510"/>
      <c r="O434" s="510"/>
      <c r="P434" s="510"/>
      <c r="R434" s="1674"/>
      <c r="S434" s="1674"/>
      <c r="T434" s="1674"/>
    </row>
    <row r="435" spans="1:20" x14ac:dyDescent="0.25">
      <c r="A435" s="1249" t="s">
        <v>2826</v>
      </c>
      <c r="B435" s="1668">
        <v>0.3423036346660534</v>
      </c>
      <c r="C435" s="1668">
        <v>0.32080557413024985</v>
      </c>
      <c r="D435" s="1249">
        <v>0.30071107420661769</v>
      </c>
      <c r="E435" s="1249">
        <v>0.28493180625773235</v>
      </c>
      <c r="F435" s="1249">
        <v>0.27369139954747251</v>
      </c>
      <c r="G435" s="1249"/>
      <c r="H435" s="1249"/>
      <c r="N435" s="510"/>
      <c r="O435" s="510"/>
      <c r="P435" s="510"/>
      <c r="R435" s="1674"/>
      <c r="S435" s="1674"/>
      <c r="T435" s="1674"/>
    </row>
    <row r="436" spans="1:20" x14ac:dyDescent="0.25">
      <c r="A436" s="1249" t="s">
        <v>2827</v>
      </c>
      <c r="B436" s="1668">
        <v>0.37544849733626323</v>
      </c>
      <c r="C436" s="1668">
        <v>0.35184613241924467</v>
      </c>
      <c r="D436" s="1249">
        <v>0.33027384286317563</v>
      </c>
      <c r="E436" s="1249">
        <v>0.31269319754273261</v>
      </c>
      <c r="F436" s="1249">
        <v>0.30026662970618656</v>
      </c>
      <c r="G436" s="1249"/>
      <c r="H436" s="1249"/>
      <c r="N436" s="510"/>
      <c r="O436" s="510"/>
      <c r="P436" s="510"/>
      <c r="R436" s="1674"/>
      <c r="S436" s="1674"/>
      <c r="T436" s="1674"/>
    </row>
    <row r="437" spans="1:20" x14ac:dyDescent="0.25">
      <c r="A437" s="1249" t="s">
        <v>2828</v>
      </c>
      <c r="B437" s="1668">
        <v>0.33789602526751877</v>
      </c>
      <c r="C437" s="1668">
        <v>0.31968804634974701</v>
      </c>
      <c r="D437" s="1249">
        <v>0.30324774556652645</v>
      </c>
      <c r="E437" s="1249">
        <v>0.28856774642253247</v>
      </c>
      <c r="F437" s="1249">
        <v>0.27519197583596555</v>
      </c>
      <c r="G437" s="1249"/>
      <c r="H437" s="1249"/>
      <c r="I437" s="50" t="s">
        <v>2691</v>
      </c>
      <c r="N437" s="510"/>
      <c r="O437" s="510"/>
      <c r="P437" s="510"/>
      <c r="R437" s="1674"/>
      <c r="S437" s="1674"/>
      <c r="T437" s="1674"/>
    </row>
    <row r="438" spans="1:20" x14ac:dyDescent="0.25">
      <c r="A438" s="1249" t="s">
        <v>2829</v>
      </c>
      <c r="B438" s="1668">
        <v>0.11606278234226</v>
      </c>
      <c r="C438" s="1668">
        <v>0.107131110447286</v>
      </c>
      <c r="D438" s="1249">
        <v>9.7679139909727805E-2</v>
      </c>
      <c r="E438" s="1249">
        <v>9.4802090584990201E-2</v>
      </c>
      <c r="F438" s="1249">
        <v>9.2763688218569895E-2</v>
      </c>
      <c r="G438" s="1249"/>
      <c r="H438" s="1249"/>
      <c r="N438" s="510"/>
      <c r="O438" s="510"/>
      <c r="P438" s="510"/>
      <c r="R438" s="1674"/>
      <c r="S438" s="1674"/>
      <c r="T438" s="1674"/>
    </row>
    <row r="439" spans="1:20" x14ac:dyDescent="0.25">
      <c r="A439" s="1673" t="s">
        <v>2830</v>
      </c>
      <c r="B439" s="1668">
        <v>0.90882053685083897</v>
      </c>
      <c r="C439" s="1668">
        <v>0.86073959302135605</v>
      </c>
      <c r="D439" s="1249">
        <v>0.81858169645108603</v>
      </c>
      <c r="E439" s="1249">
        <v>0.782982990975297</v>
      </c>
      <c r="F439" s="1249">
        <v>0.74724084104877897</v>
      </c>
      <c r="G439" s="1249"/>
      <c r="H439" s="1249"/>
      <c r="N439" s="510"/>
      <c r="O439" s="510"/>
      <c r="P439" s="510"/>
      <c r="R439" s="1674"/>
      <c r="S439" s="1674"/>
      <c r="T439" s="1674"/>
    </row>
    <row r="440" spans="1:20" x14ac:dyDescent="0.25">
      <c r="A440" s="1249" t="s">
        <v>2831</v>
      </c>
      <c r="B440" s="1668">
        <v>0.97680237536361703</v>
      </c>
      <c r="C440" s="1668">
        <v>0.92571280689837199</v>
      </c>
      <c r="D440" s="1249">
        <v>0.88066213088502499</v>
      </c>
      <c r="E440" s="1249">
        <v>0.84204293163376898</v>
      </c>
      <c r="F440" s="1249">
        <v>0.80367111256799695</v>
      </c>
      <c r="G440" s="1249"/>
      <c r="H440" s="1249"/>
      <c r="N440" s="510"/>
      <c r="O440" s="510"/>
      <c r="P440" s="510"/>
      <c r="R440" s="1674"/>
      <c r="S440" s="1674"/>
      <c r="T440" s="1674"/>
    </row>
    <row r="441" spans="1:20" x14ac:dyDescent="0.25">
      <c r="A441" s="1249" t="s">
        <v>2832</v>
      </c>
      <c r="B441" s="1668">
        <v>1.04177558924063</v>
      </c>
      <c r="C441" s="1668">
        <v>0.98779324133231095</v>
      </c>
      <c r="D441" s="1249">
        <v>0.93972207154349696</v>
      </c>
      <c r="E441" s="1249">
        <v>0.89847320315298695</v>
      </c>
      <c r="F441" s="1249">
        <v>0.85758886951190805</v>
      </c>
      <c r="G441" s="1249"/>
      <c r="H441" s="1249"/>
      <c r="N441" s="510"/>
      <c r="O441" s="510"/>
      <c r="P441" s="510"/>
      <c r="R441" s="1674"/>
      <c r="S441" s="1674"/>
      <c r="T441" s="1674"/>
    </row>
    <row r="442" spans="1:20" x14ac:dyDescent="0.25">
      <c r="A442" s="1249" t="s">
        <v>2833</v>
      </c>
      <c r="B442" s="1668">
        <v>1.10385602367457</v>
      </c>
      <c r="C442" s="1668">
        <v>1.04685318199078</v>
      </c>
      <c r="D442" s="1249">
        <v>0.99615234306271405</v>
      </c>
      <c r="E442" s="1249">
        <v>0.95239096009689805</v>
      </c>
      <c r="F442" s="1249">
        <v>0.90910604409981599</v>
      </c>
      <c r="G442" s="1249"/>
      <c r="H442" s="1249"/>
      <c r="N442" s="510"/>
      <c r="O442" s="510"/>
      <c r="P442" s="510"/>
      <c r="R442" s="1674"/>
      <c r="S442" s="1674"/>
      <c r="T442" s="1674"/>
    </row>
    <row r="443" spans="1:20" x14ac:dyDescent="0.25">
      <c r="A443" s="1249" t="s">
        <v>2834</v>
      </c>
      <c r="B443" s="1668">
        <v>1.16291596433304</v>
      </c>
      <c r="C443" s="1668">
        <v>1.10328345351</v>
      </c>
      <c r="D443" s="1249">
        <v>1.0500701000066299</v>
      </c>
      <c r="E443" s="1249">
        <v>1.00390813468481</v>
      </c>
      <c r="F443" s="1249">
        <v>0.95832957913239702</v>
      </c>
      <c r="G443" s="1249"/>
      <c r="H443" s="1249"/>
      <c r="N443" s="510"/>
      <c r="O443" s="510"/>
      <c r="P443" s="510"/>
      <c r="R443" s="1674"/>
      <c r="S443" s="1674"/>
      <c r="T443" s="1674"/>
    </row>
    <row r="444" spans="1:20" x14ac:dyDescent="0.25">
      <c r="A444" s="1249" t="s">
        <v>2835</v>
      </c>
      <c r="B444" s="1668">
        <v>1.21934623585226</v>
      </c>
      <c r="C444" s="1668">
        <v>1.15720121045391</v>
      </c>
      <c r="D444" s="1249">
        <v>1.1015872745945301</v>
      </c>
      <c r="E444" s="1249">
        <v>1.05313166971739</v>
      </c>
      <c r="F444" s="1249">
        <v>1.0053616505229701</v>
      </c>
      <c r="G444" s="1249"/>
      <c r="H444" s="1249"/>
      <c r="N444" s="510"/>
      <c r="O444" s="510"/>
      <c r="P444" s="510"/>
      <c r="R444" s="1674"/>
      <c r="S444" s="1674"/>
      <c r="T444" s="1674"/>
    </row>
    <row r="445" spans="1:20" x14ac:dyDescent="0.25">
      <c r="A445" s="1249" t="s">
        <v>2836</v>
      </c>
      <c r="B445" s="1668">
        <v>1.27326399279617</v>
      </c>
      <c r="C445" s="1668">
        <v>1.2087183850418199</v>
      </c>
      <c r="D445" s="1249">
        <v>1.1508108096271199</v>
      </c>
      <c r="E445" s="1249">
        <v>1.1001637411079599</v>
      </c>
      <c r="F445" s="1249">
        <v>1.05048743296748</v>
      </c>
      <c r="G445" s="1249"/>
      <c r="H445" s="1249"/>
      <c r="N445" s="510"/>
      <c r="O445" s="510"/>
      <c r="P445" s="510"/>
      <c r="R445" s="1674"/>
      <c r="S445" s="1674"/>
      <c r="T445" s="1674"/>
    </row>
    <row r="446" spans="1:20" x14ac:dyDescent="0.25">
      <c r="A446" s="1249" t="s">
        <v>2837</v>
      </c>
      <c r="B446" s="1668">
        <v>1.3247811673840799</v>
      </c>
      <c r="C446" s="1668">
        <v>1.2579419200744</v>
      </c>
      <c r="D446" s="1249">
        <v>1.19784288101769</v>
      </c>
      <c r="E446" s="1249">
        <v>1.14528952355247</v>
      </c>
      <c r="F446" s="1249">
        <v>1.09360411392371</v>
      </c>
      <c r="G446" s="1249"/>
      <c r="H446" s="1249"/>
      <c r="N446" s="510"/>
      <c r="O446" s="510"/>
      <c r="P446" s="510"/>
      <c r="R446" s="1674"/>
      <c r="S446" s="1674"/>
      <c r="T446" s="1674"/>
    </row>
    <row r="447" spans="1:20" x14ac:dyDescent="0.25">
      <c r="A447" s="1249" t="s">
        <v>2838</v>
      </c>
      <c r="B447" s="1668">
        <v>1.37400470241666</v>
      </c>
      <c r="C447" s="1668">
        <v>1.3049739914649701</v>
      </c>
      <c r="D447" s="1249">
        <v>1.2429686634621999</v>
      </c>
      <c r="E447" s="1249">
        <v>1.1884062045087</v>
      </c>
      <c r="F447" s="1249">
        <v>1.1348011946632</v>
      </c>
      <c r="G447" s="1249"/>
      <c r="H447" s="1249"/>
      <c r="N447" s="510"/>
      <c r="O447" s="510"/>
      <c r="P447" s="510"/>
      <c r="R447" s="1674"/>
      <c r="S447" s="1674"/>
      <c r="T447" s="1674"/>
    </row>
    <row r="448" spans="1:20" x14ac:dyDescent="0.25">
      <c r="A448" s="1249" t="s">
        <v>2839</v>
      </c>
      <c r="B448" s="1668">
        <v>1.42103677380723</v>
      </c>
      <c r="C448" s="1668">
        <v>1.35009977390949</v>
      </c>
      <c r="D448" s="1249">
        <v>1.2860853444184299</v>
      </c>
      <c r="E448" s="1249">
        <v>1.22960328524819</v>
      </c>
      <c r="F448" s="1249">
        <v>1.17416418708135</v>
      </c>
      <c r="G448" s="1249"/>
      <c r="H448" s="1249"/>
      <c r="N448" s="510"/>
      <c r="O448" s="510"/>
      <c r="P448" s="510"/>
      <c r="R448" s="1674"/>
      <c r="S448" s="1674"/>
      <c r="T448" s="1674"/>
    </row>
    <row r="449" spans="1:20" x14ac:dyDescent="0.25">
      <c r="A449" s="1249" t="s">
        <v>2840</v>
      </c>
      <c r="B449" s="1668">
        <v>0.22319389278954599</v>
      </c>
      <c r="C449" s="1668">
        <v>0.204810250357014</v>
      </c>
      <c r="D449" s="1249">
        <v>0.19248123049471799</v>
      </c>
      <c r="E449" s="1249">
        <v>0.18756577880356001</v>
      </c>
      <c r="F449" s="1249">
        <v>0.18227041250044301</v>
      </c>
      <c r="G449" s="1249"/>
      <c r="H449" s="1249"/>
      <c r="N449" s="510"/>
      <c r="O449" s="510"/>
      <c r="P449" s="510"/>
      <c r="R449" s="1674"/>
      <c r="S449" s="1674"/>
      <c r="T449" s="1674"/>
    </row>
    <row r="450" spans="1:20" x14ac:dyDescent="0.25">
      <c r="A450" s="1249" t="s">
        <v>2841</v>
      </c>
      <c r="B450" s="1668">
        <v>1.46616255625175</v>
      </c>
      <c r="C450" s="1668">
        <v>1.39321645486572</v>
      </c>
      <c r="D450" s="1249">
        <v>1.3272824251579201</v>
      </c>
      <c r="E450" s="1249">
        <v>1.26896627766634</v>
      </c>
      <c r="F450" s="1249">
        <v>1.2117747916184101</v>
      </c>
      <c r="G450" s="1249"/>
      <c r="H450" s="1249"/>
      <c r="N450" s="510"/>
      <c r="O450" s="510"/>
      <c r="P450" s="510"/>
      <c r="R450" s="1674"/>
      <c r="S450" s="1674"/>
      <c r="T450" s="1674"/>
    </row>
    <row r="451" spans="1:20" x14ac:dyDescent="0.25">
      <c r="A451" s="1249" t="s">
        <v>2842</v>
      </c>
      <c r="B451" s="1668">
        <v>1.50927923720798</v>
      </c>
      <c r="C451" s="1668">
        <v>1.4344135356052099</v>
      </c>
      <c r="D451" s="1249">
        <v>1.3666454175760701</v>
      </c>
      <c r="E451" s="1249">
        <v>1.3065768822034001</v>
      </c>
      <c r="F451" s="1249">
        <v>1.2477110672409999</v>
      </c>
      <c r="G451" s="1249"/>
      <c r="H451" s="1249"/>
      <c r="N451" s="510"/>
      <c r="O451" s="510"/>
      <c r="P451" s="510"/>
      <c r="R451" s="1674"/>
      <c r="S451" s="1674"/>
      <c r="T451" s="1674"/>
    </row>
    <row r="452" spans="1:20" x14ac:dyDescent="0.25">
      <c r="A452" s="1249" t="s">
        <v>2843</v>
      </c>
      <c r="B452" s="1668">
        <v>1.5504763179474701</v>
      </c>
      <c r="C452" s="1668">
        <v>1.4737765280233499</v>
      </c>
      <c r="D452" s="1249">
        <v>1.4042560221131299</v>
      </c>
      <c r="E452" s="1249">
        <v>1.3425131578259899</v>
      </c>
      <c r="F452" s="1249">
        <v>1.2813403725213499</v>
      </c>
      <c r="G452" s="1249"/>
      <c r="H452" s="1249"/>
      <c r="N452" s="510"/>
      <c r="O452" s="510"/>
      <c r="P452" s="510"/>
      <c r="R452" s="1674"/>
      <c r="S452" s="1674"/>
      <c r="T452" s="1674"/>
    </row>
    <row r="453" spans="1:20" x14ac:dyDescent="0.25">
      <c r="A453" s="1249" t="s">
        <v>2844</v>
      </c>
      <c r="B453" s="1668">
        <v>1.5898393103656101</v>
      </c>
      <c r="C453" s="1668">
        <v>1.51138713256042</v>
      </c>
      <c r="D453" s="1249">
        <v>1.44019229773572</v>
      </c>
      <c r="E453" s="1249">
        <v>1.3761424631063399</v>
      </c>
      <c r="F453" s="1249">
        <v>1.3128108060608901</v>
      </c>
      <c r="G453" s="1249"/>
      <c r="H453" s="1249"/>
      <c r="N453" s="510"/>
      <c r="O453" s="510"/>
      <c r="P453" s="510"/>
      <c r="R453" s="1674"/>
      <c r="S453" s="1674"/>
      <c r="T453" s="1674"/>
    </row>
    <row r="454" spans="1:20" x14ac:dyDescent="0.25">
      <c r="A454" s="1249" t="s">
        <v>2845</v>
      </c>
      <c r="B454" s="1668">
        <v>1.62744991490268</v>
      </c>
      <c r="C454" s="1668">
        <v>1.5473234081830001</v>
      </c>
      <c r="D454" s="1249">
        <v>1.47382160301607</v>
      </c>
      <c r="E454" s="1249">
        <v>1.4076128966458801</v>
      </c>
      <c r="F454" s="1249">
        <v>1.34226095910182</v>
      </c>
      <c r="G454" s="1249"/>
      <c r="H454" s="1249"/>
      <c r="N454" s="510"/>
      <c r="O454" s="510"/>
      <c r="P454" s="510"/>
      <c r="R454" s="1674"/>
      <c r="S454" s="1674"/>
      <c r="T454" s="1674"/>
    </row>
    <row r="455" spans="1:20" x14ac:dyDescent="0.25">
      <c r="A455" s="1249" t="s">
        <v>2846</v>
      </c>
      <c r="B455" s="1668">
        <v>1.66338619052526</v>
      </c>
      <c r="C455" s="1668">
        <v>1.5809527134633501</v>
      </c>
      <c r="D455" s="1249">
        <v>1.5052920365556</v>
      </c>
      <c r="E455" s="1249">
        <v>1.43706304968681</v>
      </c>
      <c r="F455" s="1249">
        <v>1.3698205258629299</v>
      </c>
      <c r="G455" s="1249"/>
      <c r="H455" s="1249"/>
      <c r="N455" s="510"/>
      <c r="O455" s="510"/>
      <c r="P455" s="510"/>
      <c r="R455" s="1674"/>
      <c r="S455" s="1674"/>
      <c r="T455" s="1674"/>
    </row>
    <row r="456" spans="1:20" x14ac:dyDescent="0.25">
      <c r="A456" s="1249" t="s">
        <v>2847</v>
      </c>
      <c r="B456" s="1668">
        <v>1.6970154958056101</v>
      </c>
      <c r="C456" s="1668">
        <v>1.61242314700289</v>
      </c>
      <c r="D456" s="1249">
        <v>1.5347421895965301</v>
      </c>
      <c r="E456" s="1249">
        <v>1.4646226164479199</v>
      </c>
      <c r="F456" s="1249">
        <v>1.39561087469423</v>
      </c>
      <c r="G456" s="1249"/>
      <c r="H456" s="1249"/>
      <c r="N456" s="510"/>
      <c r="O456" s="510"/>
      <c r="P456" s="510"/>
      <c r="R456" s="1674"/>
      <c r="S456" s="1674"/>
      <c r="T456" s="1674"/>
    </row>
    <row r="457" spans="1:20" x14ac:dyDescent="0.25">
      <c r="A457" s="1249" t="s">
        <v>2848</v>
      </c>
      <c r="B457" s="1668">
        <v>1.72848592934515</v>
      </c>
      <c r="C457" s="1668">
        <v>1.6418733000438199</v>
      </c>
      <c r="D457" s="1249">
        <v>1.56230175635765</v>
      </c>
      <c r="E457" s="1249">
        <v>1.49041296527922</v>
      </c>
      <c r="F457" s="1249">
        <v>1.4197455825655401</v>
      </c>
      <c r="G457" s="1249"/>
      <c r="H457" s="1249"/>
      <c r="N457" s="510"/>
      <c r="O457" s="510"/>
      <c r="P457" s="510"/>
      <c r="R457" s="1674"/>
      <c r="S457" s="1674"/>
      <c r="T457" s="1674"/>
    </row>
    <row r="458" spans="1:20" x14ac:dyDescent="0.25">
      <c r="A458" s="1249" t="s">
        <v>2849</v>
      </c>
      <c r="B458" s="1668">
        <v>1.7579360823860799</v>
      </c>
      <c r="C458" s="1668">
        <v>1.6694328668049401</v>
      </c>
      <c r="D458" s="1249">
        <v>1.5880921051889401</v>
      </c>
      <c r="E458" s="1249">
        <v>1.5145476731505301</v>
      </c>
      <c r="F458" s="1249">
        <v>1.4423309352431799</v>
      </c>
      <c r="G458" s="1249"/>
      <c r="H458" s="1249"/>
      <c r="N458" s="510"/>
      <c r="O458" s="510"/>
      <c r="P458" s="510"/>
      <c r="R458" s="1674"/>
      <c r="S458" s="1674"/>
      <c r="T458" s="1674"/>
    </row>
    <row r="459" spans="1:20" x14ac:dyDescent="0.25">
      <c r="A459" s="1249" t="s">
        <v>2850</v>
      </c>
      <c r="B459" s="1668">
        <v>1.7854956491472</v>
      </c>
      <c r="C459" s="1668">
        <v>1.6952232156362299</v>
      </c>
      <c r="D459" s="1249">
        <v>1.6122268130602599</v>
      </c>
      <c r="E459" s="1249">
        <v>1.5371330258281699</v>
      </c>
      <c r="F459" s="1249">
        <v>1.463466395357</v>
      </c>
      <c r="G459" s="1249"/>
      <c r="H459" s="1249"/>
      <c r="N459" s="510"/>
      <c r="O459" s="510"/>
      <c r="P459" s="510"/>
      <c r="R459" s="1674"/>
      <c r="S459" s="1674"/>
      <c r="T459" s="1674"/>
    </row>
    <row r="460" spans="1:20" x14ac:dyDescent="0.25">
      <c r="A460" s="1249" t="s">
        <v>2851</v>
      </c>
      <c r="B460" s="1668">
        <v>0.32087303269927397</v>
      </c>
      <c r="C460" s="1668">
        <v>0.29961234094200401</v>
      </c>
      <c r="D460" s="1249">
        <v>0.285244918713288</v>
      </c>
      <c r="E460" s="1249">
        <v>0.27707250308543302</v>
      </c>
      <c r="F460" s="1249">
        <v>0.26666683028717603</v>
      </c>
      <c r="G460" s="1249"/>
      <c r="H460" s="1249"/>
      <c r="N460" s="510"/>
      <c r="O460" s="510"/>
      <c r="P460" s="510"/>
      <c r="R460" s="1674"/>
      <c r="S460" s="1674"/>
      <c r="T460" s="1674"/>
    </row>
    <row r="461" spans="1:20" x14ac:dyDescent="0.25">
      <c r="A461" s="1249" t="s">
        <v>2852</v>
      </c>
      <c r="B461" s="1668">
        <v>1.8112859979784901</v>
      </c>
      <c r="C461" s="1668">
        <v>1.71935792350755</v>
      </c>
      <c r="D461" s="1249">
        <v>1.6348121657379</v>
      </c>
      <c r="E461" s="1249">
        <v>1.55826848594199</v>
      </c>
      <c r="F461" s="1249">
        <v>1.4832450404195401</v>
      </c>
      <c r="G461" s="1249"/>
      <c r="H461" s="1249"/>
      <c r="N461" s="510"/>
      <c r="O461" s="510"/>
      <c r="P461" s="510"/>
      <c r="R461" s="1674"/>
      <c r="S461" s="1674"/>
      <c r="T461" s="1674"/>
    </row>
    <row r="462" spans="1:20" x14ac:dyDescent="0.25">
      <c r="A462" s="1249" t="s">
        <v>2853</v>
      </c>
      <c r="B462" s="1668">
        <v>0.41567512328426498</v>
      </c>
      <c r="C462" s="1668">
        <v>0.39237602916057401</v>
      </c>
      <c r="D462" s="1249">
        <v>0.37475164299516101</v>
      </c>
      <c r="E462" s="1249">
        <v>0.36146892087216598</v>
      </c>
      <c r="F462" s="1249">
        <v>0.34616784693557001</v>
      </c>
      <c r="G462" s="1249"/>
      <c r="H462" s="1249"/>
      <c r="N462" s="510"/>
      <c r="O462" s="510"/>
      <c r="P462" s="510"/>
      <c r="R462" s="1674"/>
      <c r="S462" s="1674"/>
      <c r="T462" s="1674"/>
    </row>
    <row r="463" spans="1:20" x14ac:dyDescent="0.25">
      <c r="A463" s="1249" t="s">
        <v>2854</v>
      </c>
      <c r="B463" s="1668">
        <v>0.50843881150283399</v>
      </c>
      <c r="C463" s="1668">
        <v>0.48188275344244702</v>
      </c>
      <c r="D463" s="1249">
        <v>0.45914806078189402</v>
      </c>
      <c r="E463" s="1249">
        <v>0.44096993752056102</v>
      </c>
      <c r="F463" s="1249">
        <v>0.42140344557348602</v>
      </c>
      <c r="G463" s="1249"/>
      <c r="H463" s="1249"/>
      <c r="N463" s="510"/>
      <c r="O463" s="510"/>
      <c r="P463" s="510"/>
      <c r="R463" s="1674"/>
      <c r="S463" s="1674"/>
      <c r="T463" s="1674"/>
    </row>
    <row r="464" spans="1:20" x14ac:dyDescent="0.25">
      <c r="A464" s="1249" t="s">
        <v>2855</v>
      </c>
      <c r="B464" s="1668">
        <v>0.59794553578470699</v>
      </c>
      <c r="C464" s="1668">
        <v>0.56627917122918003</v>
      </c>
      <c r="D464" s="1249">
        <v>0.538649077430289</v>
      </c>
      <c r="E464" s="1249">
        <v>0.51620553615847597</v>
      </c>
      <c r="F464" s="1249">
        <v>0.49314541356657399</v>
      </c>
      <c r="G464" s="1249"/>
      <c r="H464" s="1249"/>
      <c r="N464" s="510"/>
      <c r="O464" s="510"/>
      <c r="P464" s="510"/>
      <c r="R464" s="1674"/>
      <c r="S464" s="1674"/>
      <c r="T464" s="1674"/>
    </row>
    <row r="465" spans="1:20" x14ac:dyDescent="0.25">
      <c r="A465" s="1249" t="s">
        <v>2856</v>
      </c>
      <c r="B465" s="1668">
        <v>0.68234195357144001</v>
      </c>
      <c r="C465" s="1668">
        <v>0.64578018787757496</v>
      </c>
      <c r="D465" s="1249">
        <v>0.61388467606820396</v>
      </c>
      <c r="E465" s="1249">
        <v>0.58794750415156405</v>
      </c>
      <c r="F465" s="1249">
        <v>0.56112725207935299</v>
      </c>
      <c r="G465" s="1249"/>
      <c r="H465" s="1249"/>
      <c r="N465" s="510"/>
      <c r="O465" s="510"/>
      <c r="P465" s="510"/>
      <c r="R465" s="1674"/>
      <c r="S465" s="1674"/>
      <c r="T465" s="1674"/>
    </row>
    <row r="466" spans="1:20" x14ac:dyDescent="0.25">
      <c r="A466" s="1249" t="s">
        <v>2857</v>
      </c>
      <c r="B466" s="1668">
        <v>0.76184297021983505</v>
      </c>
      <c r="C466" s="1668">
        <v>0.72101578651549003</v>
      </c>
      <c r="D466" s="1249">
        <v>0.68562664406129203</v>
      </c>
      <c r="E466" s="1249">
        <v>0.655929342664343</v>
      </c>
      <c r="F466" s="1249">
        <v>0.62610046595636804</v>
      </c>
      <c r="G466" s="1249"/>
      <c r="H466" s="1249"/>
      <c r="N466" s="510"/>
      <c r="O466" s="510"/>
      <c r="P466" s="510"/>
      <c r="R466" s="1674"/>
      <c r="S466" s="1674"/>
      <c r="T466" s="1674"/>
    </row>
    <row r="467" spans="1:20" x14ac:dyDescent="0.25">
      <c r="A467" s="1249" t="s">
        <v>2858</v>
      </c>
      <c r="B467" s="1668">
        <v>0.83707856885775</v>
      </c>
      <c r="C467" s="1668">
        <v>0.79275775450857799</v>
      </c>
      <c r="D467" s="1249">
        <v>0.75360848257407098</v>
      </c>
      <c r="E467" s="1249">
        <v>0.72090255654135904</v>
      </c>
      <c r="F467" s="1249">
        <v>0.68818090039030699</v>
      </c>
      <c r="G467" s="1249"/>
      <c r="H467" s="1249"/>
      <c r="N467" s="510"/>
      <c r="O467" s="510"/>
      <c r="P467" s="510"/>
      <c r="R467" s="1674"/>
      <c r="S467" s="1674"/>
      <c r="T467" s="1674"/>
    </row>
    <row r="468" spans="1:20" x14ac:dyDescent="0.25">
      <c r="A468" s="1249" t="s">
        <v>2859</v>
      </c>
      <c r="B468" s="1668">
        <v>0.12218265722831925</v>
      </c>
      <c r="C468" s="1668">
        <v>0.11433900171094821</v>
      </c>
      <c r="D468" s="1249">
        <v>0.10556308362787219</v>
      </c>
      <c r="E468" s="1249">
        <v>9.6278547961797079E-2</v>
      </c>
      <c r="F468" s="1249">
        <v>9.3430540950719926E-2</v>
      </c>
      <c r="G468" s="1249"/>
      <c r="H468" s="1249"/>
      <c r="N468" s="510"/>
      <c r="O468" s="510"/>
      <c r="P468" s="510"/>
      <c r="R468" s="1674"/>
      <c r="S468" s="1674"/>
      <c r="T468" s="1674"/>
    </row>
    <row r="469" spans="1:20" x14ac:dyDescent="0.25">
      <c r="A469" s="1249" t="s">
        <v>2860</v>
      </c>
      <c r="B469" s="1668">
        <v>0.94703961869439535</v>
      </c>
      <c r="C469" s="1668">
        <v>0.89555883811934534</v>
      </c>
      <c r="D469" s="1249">
        <v>0.848219229059478</v>
      </c>
      <c r="E469" s="1249">
        <v>0.80668986501513207</v>
      </c>
      <c r="F469" s="1249">
        <v>0.77159369178142578</v>
      </c>
      <c r="G469" s="1249"/>
      <c r="H469" s="1249"/>
      <c r="N469" s="510"/>
      <c r="O469" s="510"/>
      <c r="P469" s="510"/>
      <c r="R469" s="1674"/>
      <c r="S469" s="1674"/>
      <c r="T469" s="1674"/>
    </row>
    <row r="470" spans="1:20" x14ac:dyDescent="0.25">
      <c r="A470" s="1249" t="s">
        <v>2861</v>
      </c>
      <c r="B470" s="1668">
        <v>1.0177414953476644</v>
      </c>
      <c r="C470" s="1668">
        <v>0.96255823077042613</v>
      </c>
      <c r="D470" s="1249">
        <v>0.91225294864300444</v>
      </c>
      <c r="E470" s="1249">
        <v>0.86787223974322292</v>
      </c>
      <c r="F470" s="1249">
        <v>0.8298005149284986</v>
      </c>
      <c r="G470" s="1249"/>
      <c r="H470" s="1249"/>
      <c r="N470" s="510"/>
      <c r="O470" s="510"/>
      <c r="P470" s="510"/>
      <c r="R470" s="1674"/>
      <c r="S470" s="1674"/>
      <c r="T470" s="1674"/>
    </row>
    <row r="471" spans="1:20" x14ac:dyDescent="0.25">
      <c r="A471" s="1249" t="s">
        <v>2862</v>
      </c>
      <c r="B471" s="1668">
        <v>1.0847408879987457</v>
      </c>
      <c r="C471" s="1668">
        <v>1.0265919503539525</v>
      </c>
      <c r="D471" s="1249">
        <v>0.97343532337109495</v>
      </c>
      <c r="E471" s="1249">
        <v>0.92607906289029573</v>
      </c>
      <c r="F471" s="1249">
        <v>0.88541529625699977</v>
      </c>
      <c r="G471" s="1249"/>
      <c r="H471" s="1249"/>
      <c r="N471" s="510"/>
      <c r="O471" s="510"/>
      <c r="P471" s="510"/>
      <c r="R471" s="1674"/>
      <c r="S471" s="1674"/>
      <c r="T471" s="1674"/>
    </row>
    <row r="472" spans="1:20" x14ac:dyDescent="0.25">
      <c r="A472" s="1249" t="s">
        <v>2863</v>
      </c>
      <c r="B472" s="1668">
        <v>1.1487746075822718</v>
      </c>
      <c r="C472" s="1668">
        <v>1.0877743250820431</v>
      </c>
      <c r="D472" s="1249">
        <v>1.031642146518168</v>
      </c>
      <c r="E472" s="1249">
        <v>0.98169384421879702</v>
      </c>
      <c r="F472" s="1249">
        <v>0.93855352984271578</v>
      </c>
      <c r="G472" s="1249"/>
      <c r="H472" s="1249"/>
      <c r="N472" s="510"/>
      <c r="O472" s="510"/>
      <c r="P472" s="510"/>
      <c r="R472" s="1674"/>
      <c r="S472" s="1674"/>
      <c r="T472" s="1674"/>
    </row>
    <row r="473" spans="1:20" x14ac:dyDescent="0.25">
      <c r="A473" s="1249" t="s">
        <v>2864</v>
      </c>
      <c r="B473" s="1668">
        <v>1.2099569823103624</v>
      </c>
      <c r="C473" s="1668">
        <v>1.1459811482291162</v>
      </c>
      <c r="D473" s="1249">
        <v>1.0872569278466691</v>
      </c>
      <c r="E473" s="1249">
        <v>1.0348320778045128</v>
      </c>
      <c r="F473" s="1249">
        <v>0.98932556073454136</v>
      </c>
      <c r="G473" s="1249"/>
      <c r="H473" s="1249"/>
      <c r="N473" s="510"/>
      <c r="O473" s="510"/>
      <c r="P473" s="510"/>
      <c r="R473" s="1674"/>
      <c r="S473" s="1674"/>
      <c r="T473" s="1674"/>
    </row>
    <row r="474" spans="1:20" x14ac:dyDescent="0.25">
      <c r="A474" s="1249" t="s">
        <v>2865</v>
      </c>
      <c r="B474" s="1668">
        <v>1.2681638054574353</v>
      </c>
      <c r="C474" s="1668">
        <v>1.2015959295576175</v>
      </c>
      <c r="D474" s="1249">
        <v>1.1403951614323851</v>
      </c>
      <c r="E474" s="1249">
        <v>1.0856041086963384</v>
      </c>
      <c r="F474" s="1249">
        <v>1.037836814641389</v>
      </c>
      <c r="G474" s="1249"/>
      <c r="H474" s="1249"/>
      <c r="N474" s="510"/>
      <c r="O474" s="510"/>
      <c r="P474" s="510"/>
      <c r="R474" s="1674"/>
      <c r="S474" s="1674"/>
      <c r="T474" s="1674"/>
    </row>
    <row r="475" spans="1:20" x14ac:dyDescent="0.25">
      <c r="A475" s="1249" t="s">
        <v>2866</v>
      </c>
      <c r="B475" s="1668">
        <v>1.3237785867859366</v>
      </c>
      <c r="C475" s="1668">
        <v>1.2547341631433331</v>
      </c>
      <c r="D475" s="1249">
        <v>1.1911671923242109</v>
      </c>
      <c r="E475" s="1249">
        <v>1.1341153626031861</v>
      </c>
      <c r="F475" s="1249">
        <v>1.0841880173675242</v>
      </c>
      <c r="G475" s="1249"/>
      <c r="H475" s="1249"/>
      <c r="N475" s="510"/>
      <c r="O475" s="510"/>
      <c r="P475" s="510"/>
      <c r="R475" s="1674"/>
      <c r="S475" s="1674"/>
      <c r="T475" s="1674"/>
    </row>
    <row r="476" spans="1:20" x14ac:dyDescent="0.25">
      <c r="A476" s="1249" t="s">
        <v>2867</v>
      </c>
      <c r="B476" s="1668">
        <v>1.3769168203716526</v>
      </c>
      <c r="C476" s="1668">
        <v>1.3055061940351593</v>
      </c>
      <c r="D476" s="1249">
        <v>1.2396784462310584</v>
      </c>
      <c r="E476" s="1249">
        <v>1.1804665653293211</v>
      </c>
      <c r="F476" s="1249">
        <v>1.1286611993333333</v>
      </c>
      <c r="G476" s="1249"/>
      <c r="H476" s="1249"/>
      <c r="N476" s="510"/>
      <c r="O476" s="510"/>
      <c r="P476" s="510"/>
      <c r="R476" s="1674"/>
      <c r="S476" s="1674"/>
      <c r="T476" s="1674"/>
    </row>
    <row r="477" spans="1:20" x14ac:dyDescent="0.25">
      <c r="A477" s="1249" t="s">
        <v>2868</v>
      </c>
      <c r="B477" s="1668">
        <v>1.4276888512634784</v>
      </c>
      <c r="C477" s="1668">
        <v>1.3540174479420068</v>
      </c>
      <c r="D477" s="1249">
        <v>1.2860296489571936</v>
      </c>
      <c r="E477" s="1249">
        <v>1.2249397472951309</v>
      </c>
      <c r="F477" s="1249">
        <v>1.1711540612592681</v>
      </c>
      <c r="G477" s="1249"/>
      <c r="H477" s="1249"/>
      <c r="N477" s="510"/>
      <c r="O477" s="510"/>
      <c r="P477" s="510"/>
      <c r="R477" s="1674"/>
      <c r="S477" s="1674"/>
      <c r="T477" s="1674"/>
    </row>
    <row r="478" spans="1:20" x14ac:dyDescent="0.25">
      <c r="A478" s="1249" t="s">
        <v>2869</v>
      </c>
      <c r="B478" s="1668">
        <v>1.476200105170326</v>
      </c>
      <c r="C478" s="1668">
        <v>1.4003686506681416</v>
      </c>
      <c r="D478" s="1249">
        <v>1.3305028309230029</v>
      </c>
      <c r="E478" s="1249">
        <v>1.2674326092210655</v>
      </c>
      <c r="F478" s="1249">
        <v>1.2117548343821629</v>
      </c>
      <c r="G478" s="1249"/>
      <c r="H478" s="1249"/>
      <c r="N478" s="510"/>
      <c r="O478" s="510"/>
      <c r="P478" s="510"/>
      <c r="R478" s="1674"/>
      <c r="S478" s="1674"/>
      <c r="T478" s="1674"/>
    </row>
    <row r="479" spans="1:20" x14ac:dyDescent="0.25">
      <c r="A479" s="1249" t="s">
        <v>2870</v>
      </c>
      <c r="B479" s="1668">
        <v>0.23652165893926744</v>
      </c>
      <c r="C479" s="1668">
        <v>0.21990208533882039</v>
      </c>
      <c r="D479" s="1249">
        <v>0.20184163158966925</v>
      </c>
      <c r="E479" s="1249">
        <v>0.189709088912517</v>
      </c>
      <c r="F479" s="1249">
        <v>0.184836980714504</v>
      </c>
      <c r="G479" s="1249"/>
      <c r="H479" s="1249"/>
      <c r="N479" s="510"/>
      <c r="O479" s="510"/>
      <c r="P479" s="510"/>
      <c r="R479" s="1674"/>
      <c r="S479" s="1674"/>
      <c r="T479" s="1674"/>
    </row>
    <row r="480" spans="1:20" x14ac:dyDescent="0.25">
      <c r="A480" s="1249" t="s">
        <v>2871</v>
      </c>
      <c r="B480" s="1668">
        <v>1.5225513078964612</v>
      </c>
      <c r="C480" s="1668">
        <v>1.4448418326339514</v>
      </c>
      <c r="D480" s="1249">
        <v>1.3729956928489373</v>
      </c>
      <c r="E480" s="1249">
        <v>1.3080333823439603</v>
      </c>
      <c r="F480" s="1249">
        <v>1.2505478166363977</v>
      </c>
      <c r="G480" s="1249"/>
      <c r="H480" s="1249"/>
      <c r="N480" s="510"/>
      <c r="O480" s="510"/>
      <c r="P480" s="510"/>
      <c r="R480" s="1674"/>
      <c r="S480" s="1674"/>
      <c r="T480" s="1674"/>
    </row>
    <row r="481" spans="1:20" x14ac:dyDescent="0.25">
      <c r="A481" s="1249" t="s">
        <v>2872</v>
      </c>
      <c r="B481" s="1668">
        <v>1.5670244898622705</v>
      </c>
      <c r="C481" s="1668">
        <v>1.4873346945598858</v>
      </c>
      <c r="D481" s="1249">
        <v>1.4135964659718323</v>
      </c>
      <c r="E481" s="1249">
        <v>1.3468263645981948</v>
      </c>
      <c r="F481" s="1249">
        <v>1.2876135480977782</v>
      </c>
      <c r="G481" s="1249"/>
      <c r="H481" s="1249"/>
      <c r="N481" s="510"/>
      <c r="O481" s="510"/>
      <c r="P481" s="510"/>
      <c r="R481" s="1674"/>
      <c r="S481" s="1674"/>
      <c r="T481" s="1674"/>
    </row>
    <row r="482" spans="1:20" x14ac:dyDescent="0.25">
      <c r="A482" s="1249" t="s">
        <v>2873</v>
      </c>
      <c r="B482" s="1668">
        <v>1.6095173517882051</v>
      </c>
      <c r="C482" s="1668">
        <v>1.5279354676827805</v>
      </c>
      <c r="D482" s="1249">
        <v>1.4523894482260669</v>
      </c>
      <c r="E482" s="1249">
        <v>1.3838920960595753</v>
      </c>
      <c r="F482" s="1249">
        <v>1.3222998025067063</v>
      </c>
      <c r="G482" s="1249"/>
      <c r="H482" s="1249"/>
      <c r="N482" s="510"/>
      <c r="O482" s="510"/>
      <c r="P482" s="510"/>
      <c r="R482" s="1674"/>
      <c r="S482" s="1674"/>
      <c r="T482" s="1674"/>
    </row>
    <row r="483" spans="1:20" x14ac:dyDescent="0.25">
      <c r="A483" s="1249" t="s">
        <v>2874</v>
      </c>
      <c r="B483" s="1668">
        <v>1.6501181249110999</v>
      </c>
      <c r="C483" s="1668">
        <v>1.5667284499370151</v>
      </c>
      <c r="D483" s="1249">
        <v>1.4894551796874473</v>
      </c>
      <c r="E483" s="1249">
        <v>1.4185783504685032</v>
      </c>
      <c r="F483" s="1249">
        <v>1.3547593331158472</v>
      </c>
      <c r="G483" s="1249"/>
      <c r="H483" s="1249"/>
      <c r="N483" s="510"/>
      <c r="O483" s="510"/>
      <c r="P483" s="510"/>
      <c r="R483" s="1674"/>
      <c r="S483" s="1674"/>
      <c r="T483" s="1674"/>
    </row>
    <row r="484" spans="1:20" x14ac:dyDescent="0.25">
      <c r="A484" s="1249" t="s">
        <v>2875</v>
      </c>
      <c r="B484" s="1668">
        <v>1.6889111071653344</v>
      </c>
      <c r="C484" s="1668">
        <v>1.6037941813983958</v>
      </c>
      <c r="D484" s="1249">
        <v>1.5241414340963757</v>
      </c>
      <c r="E484" s="1249">
        <v>1.4510378810776443</v>
      </c>
      <c r="F484" s="1249">
        <v>1.3851350870079877</v>
      </c>
      <c r="G484" s="1249"/>
      <c r="H484" s="1249"/>
      <c r="N484" s="510"/>
      <c r="O484" s="510"/>
      <c r="P484" s="510"/>
      <c r="R484" s="1674"/>
      <c r="S484" s="1674"/>
      <c r="T484" s="1674"/>
    </row>
    <row r="485" spans="1:20" x14ac:dyDescent="0.25">
      <c r="A485" s="1249" t="s">
        <v>2876</v>
      </c>
      <c r="B485" s="1668">
        <v>1.7259768386267149</v>
      </c>
      <c r="C485" s="1668">
        <v>1.6384804358073239</v>
      </c>
      <c r="D485" s="1249">
        <v>1.5566009647055168</v>
      </c>
      <c r="E485" s="1249">
        <v>1.4814136349697848</v>
      </c>
      <c r="F485" s="1249">
        <v>1.4135608346143329</v>
      </c>
      <c r="G485" s="1249"/>
      <c r="H485" s="1249"/>
      <c r="N485" s="510"/>
      <c r="O485" s="510"/>
      <c r="P485" s="510"/>
      <c r="R485" s="1674"/>
      <c r="S485" s="1674"/>
      <c r="T485" s="1674"/>
    </row>
    <row r="486" spans="1:20" x14ac:dyDescent="0.25">
      <c r="A486" s="1249" t="s">
        <v>2877</v>
      </c>
      <c r="B486" s="1668">
        <v>0.34208474256713955</v>
      </c>
      <c r="C486" s="1668">
        <v>0.31618063330061752</v>
      </c>
      <c r="D486" s="1249">
        <v>0.29527217254038923</v>
      </c>
      <c r="E486" s="1249">
        <v>0.28111552867630107</v>
      </c>
      <c r="F486" s="1249">
        <v>0.27302741347453752</v>
      </c>
      <c r="G486" s="1249"/>
      <c r="H486" s="1249"/>
      <c r="N486" s="510"/>
      <c r="O486" s="510"/>
      <c r="P486" s="510"/>
      <c r="R486" s="1674"/>
      <c r="S486" s="1674"/>
      <c r="T486" s="1674"/>
    </row>
    <row r="487" spans="1:20" x14ac:dyDescent="0.25">
      <c r="A487" s="1249" t="s">
        <v>2878</v>
      </c>
      <c r="B487" s="1668">
        <v>0.43836329052893674</v>
      </c>
      <c r="C487" s="1668">
        <v>0.40961117425133742</v>
      </c>
      <c r="D487" s="1249">
        <v>0.38667861230417327</v>
      </c>
      <c r="E487" s="1249">
        <v>0.3693059614363346</v>
      </c>
      <c r="F487" s="1249">
        <v>0.35618829216917203</v>
      </c>
      <c r="G487" s="1249"/>
      <c r="H487" s="1249"/>
      <c r="N487" s="510"/>
      <c r="O487" s="510"/>
      <c r="P487" s="510"/>
      <c r="R487" s="1674"/>
      <c r="S487" s="1674"/>
      <c r="T487" s="1674"/>
    </row>
    <row r="488" spans="1:20" x14ac:dyDescent="0.25">
      <c r="A488" s="1249" t="s">
        <v>2879</v>
      </c>
      <c r="B488" s="1668">
        <v>0.53179383147965675</v>
      </c>
      <c r="C488" s="1668">
        <v>0.50101761401512157</v>
      </c>
      <c r="D488" s="1249">
        <v>0.4748690450642068</v>
      </c>
      <c r="E488" s="1249">
        <v>0.45246684013096905</v>
      </c>
      <c r="F488" s="1249">
        <v>0.43453194489723268</v>
      </c>
      <c r="G488" s="1249"/>
      <c r="H488" s="1249"/>
      <c r="N488" s="510"/>
      <c r="O488" s="510"/>
      <c r="P488" s="510"/>
      <c r="R488" s="1674"/>
      <c r="S488" s="1674"/>
      <c r="T488" s="1674"/>
    </row>
    <row r="489" spans="1:20" x14ac:dyDescent="0.25">
      <c r="A489" s="1249" t="s">
        <v>2880</v>
      </c>
      <c r="B489" s="1668">
        <v>0.6232002712434408</v>
      </c>
      <c r="C489" s="1668">
        <v>0.58920804677515504</v>
      </c>
      <c r="D489" s="1249">
        <v>0.5580299237588412</v>
      </c>
      <c r="E489" s="1249">
        <v>0.53081049285902981</v>
      </c>
      <c r="F489" s="1249">
        <v>0.50867632816545871</v>
      </c>
      <c r="G489" s="1249"/>
      <c r="H489" s="1249"/>
      <c r="N489" s="510"/>
      <c r="O489" s="510"/>
      <c r="P489" s="510"/>
      <c r="R489" s="1674"/>
      <c r="S489" s="1674"/>
      <c r="T489" s="1674"/>
    </row>
    <row r="490" spans="1:20" x14ac:dyDescent="0.25">
      <c r="A490" s="1249" t="s">
        <v>2881</v>
      </c>
      <c r="B490" s="1668">
        <v>0.6232002712434408</v>
      </c>
      <c r="C490" s="1668">
        <v>0.58920804677515504</v>
      </c>
      <c r="D490" s="1249">
        <v>0.5580299237588412</v>
      </c>
      <c r="E490" s="1249">
        <v>0.53081049285902981</v>
      </c>
      <c r="F490" s="1249">
        <v>0.50867632816545871</v>
      </c>
      <c r="G490" s="1249"/>
      <c r="H490" s="1249"/>
      <c r="N490" s="510"/>
      <c r="O490" s="510"/>
      <c r="P490" s="510"/>
      <c r="R490" s="1674"/>
      <c r="S490" s="1674"/>
      <c r="T490" s="1674"/>
    </row>
    <row r="491" spans="1:20" x14ac:dyDescent="0.25">
      <c r="A491" s="1249" t="s">
        <v>2882</v>
      </c>
      <c r="B491" s="1668">
        <v>0.71139070400347426</v>
      </c>
      <c r="C491" s="1668">
        <v>0.67236892546978944</v>
      </c>
      <c r="D491" s="1249">
        <v>0.63637357648690207</v>
      </c>
      <c r="E491" s="1249">
        <v>0.60495487612725563</v>
      </c>
      <c r="F491" s="1249">
        <v>0.57937820481872793</v>
      </c>
      <c r="G491" s="1249"/>
      <c r="H491" s="1249"/>
      <c r="N491" s="510"/>
      <c r="O491" s="510"/>
      <c r="P491" s="510"/>
      <c r="R491" s="1674"/>
      <c r="S491" s="1674"/>
      <c r="T491" s="1674"/>
    </row>
    <row r="492" spans="1:20" x14ac:dyDescent="0.25">
      <c r="A492" s="1249" t="s">
        <v>2883</v>
      </c>
      <c r="B492" s="1668">
        <v>0.79455158269810888</v>
      </c>
      <c r="C492" s="1668">
        <v>0.75071257819785031</v>
      </c>
      <c r="D492" s="1249">
        <v>0.71051795975512799</v>
      </c>
      <c r="E492" s="1249">
        <v>0.67565675278052484</v>
      </c>
      <c r="F492" s="1249">
        <v>0.64637759746980872</v>
      </c>
      <c r="G492" s="1249"/>
      <c r="H492" s="1249"/>
      <c r="N492" s="510"/>
      <c r="O492" s="510"/>
      <c r="P492" s="510"/>
      <c r="R492" s="1674"/>
      <c r="S492" s="1674"/>
      <c r="T492" s="1674"/>
    </row>
    <row r="493" spans="1:20" x14ac:dyDescent="0.25">
      <c r="A493" s="1249" t="s">
        <v>2884</v>
      </c>
      <c r="B493" s="1668">
        <v>0.87289523542616954</v>
      </c>
      <c r="C493" s="1668">
        <v>0.82485696146607612</v>
      </c>
      <c r="D493" s="1249">
        <v>0.78121983640839709</v>
      </c>
      <c r="E493" s="1249">
        <v>0.74265614543160563</v>
      </c>
      <c r="F493" s="1249">
        <v>0.71041131705333505</v>
      </c>
      <c r="G493" s="1249"/>
      <c r="H493" s="1249"/>
      <c r="N493" s="510"/>
      <c r="O493" s="510"/>
      <c r="P493" s="510"/>
      <c r="R493" s="1674"/>
      <c r="S493" s="1674"/>
      <c r="T493" s="1674"/>
    </row>
    <row r="494" spans="1:20" x14ac:dyDescent="0.25">
      <c r="A494" s="1249" t="s">
        <v>2885</v>
      </c>
      <c r="B494" s="1668">
        <v>0.80448858002003742</v>
      </c>
      <c r="C494" s="1668">
        <v>0.76480940116685148</v>
      </c>
      <c r="D494" s="1249">
        <v>0.72799972519835232</v>
      </c>
      <c r="E494" s="1249">
        <v>0.69412925443610085</v>
      </c>
      <c r="F494" s="1249">
        <v>0.66247773309380964</v>
      </c>
      <c r="G494" s="1249"/>
      <c r="H494" s="1249"/>
      <c r="I494" s="50" t="s">
        <v>2691</v>
      </c>
      <c r="N494" s="510"/>
      <c r="O494" s="510"/>
      <c r="P494" s="510"/>
      <c r="R494" s="1674"/>
      <c r="S494" s="1674"/>
      <c r="T494" s="1674"/>
    </row>
    <row r="495" spans="1:20" x14ac:dyDescent="0.25">
      <c r="A495" s="1249" t="s">
        <v>2886</v>
      </c>
      <c r="B495" s="1668">
        <v>7.4942947869214099E-2</v>
      </c>
      <c r="C495" s="1668">
        <v>6.7980816380858997E-2</v>
      </c>
      <c r="D495" s="1249">
        <v>6.0478219942876499E-2</v>
      </c>
      <c r="E495" s="1249">
        <v>5.9328517572048003E-2</v>
      </c>
      <c r="F495" s="1249">
        <v>5.8838556505590299E-2</v>
      </c>
      <c r="G495" s="1249"/>
      <c r="H495" s="1249"/>
      <c r="N495" s="510"/>
      <c r="O495" s="510"/>
      <c r="P495" s="510"/>
      <c r="R495" s="1674"/>
      <c r="S495" s="1674"/>
      <c r="T495" s="1674"/>
    </row>
    <row r="496" spans="1:20" x14ac:dyDescent="0.25">
      <c r="A496" s="1249" t="s">
        <v>2887</v>
      </c>
      <c r="B496" s="1668">
        <v>0.57461542347781702</v>
      </c>
      <c r="C496" s="1668">
        <v>0.54216054089256505</v>
      </c>
      <c r="D496" s="1249">
        <v>0.514814729278667</v>
      </c>
      <c r="E496" s="1249">
        <v>0.49318272608227098</v>
      </c>
      <c r="F496" s="1249">
        <v>0.470745850408682</v>
      </c>
      <c r="G496" s="1249"/>
      <c r="H496" s="1249"/>
      <c r="N496" s="510"/>
      <c r="O496" s="510"/>
      <c r="P496" s="510"/>
      <c r="R496" s="1674"/>
      <c r="S496" s="1674"/>
      <c r="T496" s="1674"/>
    </row>
    <row r="497" spans="1:20" x14ac:dyDescent="0.25">
      <c r="A497" s="1249" t="s">
        <v>2888</v>
      </c>
      <c r="B497" s="1668">
        <v>0.61710348876177901</v>
      </c>
      <c r="C497" s="1668">
        <v>0.58279554565952596</v>
      </c>
      <c r="D497" s="1249">
        <v>0.55366094602514804</v>
      </c>
      <c r="E497" s="1249">
        <v>0.53007436798073004</v>
      </c>
      <c r="F497" s="1249">
        <v>0.50601339963214498</v>
      </c>
      <c r="G497" s="1249"/>
      <c r="H497" s="1249"/>
      <c r="N497" s="510"/>
      <c r="O497" s="510"/>
      <c r="P497" s="510"/>
      <c r="R497" s="1674"/>
      <c r="S497" s="1674"/>
      <c r="T497" s="1674"/>
    </row>
    <row r="498" spans="1:20" x14ac:dyDescent="0.25">
      <c r="A498" s="1249" t="s">
        <v>2889</v>
      </c>
      <c r="B498" s="1668">
        <v>0.65773849352874003</v>
      </c>
      <c r="C498" s="1668">
        <v>0.62164176240600599</v>
      </c>
      <c r="D498" s="1249">
        <v>0.59055258792360699</v>
      </c>
      <c r="E498" s="1249">
        <v>0.56534191720419302</v>
      </c>
      <c r="F498" s="1249">
        <v>0.53972839141725704</v>
      </c>
      <c r="G498" s="1249"/>
      <c r="H498" s="1249"/>
      <c r="N498" s="510"/>
      <c r="O498" s="510"/>
      <c r="P498" s="510"/>
      <c r="R498" s="1674"/>
      <c r="S498" s="1674"/>
      <c r="T498" s="1674"/>
    </row>
    <row r="499" spans="1:20" x14ac:dyDescent="0.25">
      <c r="A499" s="1249" t="s">
        <v>2890</v>
      </c>
      <c r="B499" s="1668">
        <v>0.69658471027522095</v>
      </c>
      <c r="C499" s="1668">
        <v>0.65853340430446605</v>
      </c>
      <c r="D499" s="1249">
        <v>0.62582013714706897</v>
      </c>
      <c r="E499" s="1249">
        <v>0.59905690898930497</v>
      </c>
      <c r="F499" s="1249">
        <v>0.57195920847100501</v>
      </c>
      <c r="G499" s="1249"/>
      <c r="H499" s="1249"/>
      <c r="N499" s="510"/>
      <c r="O499" s="510"/>
      <c r="P499" s="510"/>
      <c r="R499" s="1674"/>
      <c r="S499" s="1674"/>
      <c r="T499" s="1674"/>
    </row>
    <row r="500" spans="1:20" x14ac:dyDescent="0.25">
      <c r="A500" s="1249" t="s">
        <v>2891</v>
      </c>
      <c r="B500" s="1668">
        <v>0.73347635217368001</v>
      </c>
      <c r="C500" s="1668">
        <v>0.69380095352792803</v>
      </c>
      <c r="D500" s="1249">
        <v>0.65953512893218103</v>
      </c>
      <c r="E500" s="1249">
        <v>0.63128772604305305</v>
      </c>
      <c r="F500" s="1249">
        <v>0.60277121997611605</v>
      </c>
      <c r="G500" s="1249"/>
      <c r="H500" s="1249"/>
      <c r="N500" s="510"/>
      <c r="O500" s="510"/>
      <c r="P500" s="510"/>
      <c r="R500" s="1674"/>
      <c r="S500" s="1674"/>
      <c r="T500" s="1674"/>
    </row>
    <row r="501" spans="1:20" x14ac:dyDescent="0.25">
      <c r="A501" s="1249" t="s">
        <v>2892</v>
      </c>
      <c r="B501" s="1668">
        <v>0.76874390139714199</v>
      </c>
      <c r="C501" s="1668">
        <v>0.72751594531303998</v>
      </c>
      <c r="D501" s="1249">
        <v>0.691765945985929</v>
      </c>
      <c r="E501" s="1249">
        <v>0.66209973754816398</v>
      </c>
      <c r="F501" s="1249">
        <v>0.63222691446391199</v>
      </c>
      <c r="G501" s="1249"/>
      <c r="H501" s="1249"/>
      <c r="N501" s="510"/>
      <c r="O501" s="510"/>
      <c r="P501" s="510"/>
      <c r="R501" s="1674"/>
      <c r="S501" s="1674"/>
      <c r="T501" s="1674"/>
    </row>
    <row r="502" spans="1:20" x14ac:dyDescent="0.25">
      <c r="A502" s="1249" t="s">
        <v>2893</v>
      </c>
      <c r="B502" s="1668">
        <v>0.80245889318225405</v>
      </c>
      <c r="C502" s="1668">
        <v>0.75974676236678795</v>
      </c>
      <c r="D502" s="1249">
        <v>0.72257795749104103</v>
      </c>
      <c r="E502" s="1249">
        <v>0.69155543203596004</v>
      </c>
      <c r="F502" s="1249">
        <v>0.660453988966615</v>
      </c>
      <c r="G502" s="1249"/>
      <c r="H502" s="1249"/>
      <c r="N502" s="510"/>
      <c r="O502" s="510"/>
      <c r="P502" s="510"/>
      <c r="R502" s="1674"/>
      <c r="S502" s="1674"/>
      <c r="T502" s="1674"/>
    </row>
    <row r="503" spans="1:20" x14ac:dyDescent="0.25">
      <c r="A503" s="1249" t="s">
        <v>2894</v>
      </c>
      <c r="B503" s="1668">
        <v>0.83468971023600302</v>
      </c>
      <c r="C503" s="1668">
        <v>0.79055877387189999</v>
      </c>
      <c r="D503" s="1249">
        <v>0.75203365197883698</v>
      </c>
      <c r="E503" s="1249">
        <v>0.71978250653866305</v>
      </c>
      <c r="F503" s="1249">
        <v>0.68743849307862004</v>
      </c>
      <c r="G503" s="1249"/>
      <c r="H503" s="1249"/>
      <c r="N503" s="510"/>
      <c r="O503" s="510"/>
      <c r="P503" s="510"/>
      <c r="R503" s="1674"/>
      <c r="S503" s="1674"/>
      <c r="T503" s="1674"/>
    </row>
    <row r="504" spans="1:20" x14ac:dyDescent="0.25">
      <c r="A504" s="1249" t="s">
        <v>2895</v>
      </c>
      <c r="B504" s="1668">
        <v>0.86550172174111395</v>
      </c>
      <c r="C504" s="1668">
        <v>0.82001446835969505</v>
      </c>
      <c r="D504" s="1249">
        <v>0.78026072648153999</v>
      </c>
      <c r="E504" s="1249">
        <v>0.74676701065066797</v>
      </c>
      <c r="F504" s="1249">
        <v>0.71323515385341096</v>
      </c>
      <c r="G504" s="1249"/>
      <c r="H504" s="1249"/>
      <c r="N504" s="510"/>
      <c r="O504" s="510"/>
      <c r="P504" s="510"/>
      <c r="R504" s="1674"/>
      <c r="S504" s="1674"/>
      <c r="T504" s="1674"/>
    </row>
    <row r="505" spans="1:20" x14ac:dyDescent="0.25">
      <c r="A505" s="1249" t="s">
        <v>2896</v>
      </c>
      <c r="B505" s="1668">
        <v>0.89495741622891001</v>
      </c>
      <c r="C505" s="1668">
        <v>0.84824154286239895</v>
      </c>
      <c r="D505" s="1249">
        <v>0.80724523059354503</v>
      </c>
      <c r="E505" s="1249">
        <v>0.77256367142545901</v>
      </c>
      <c r="F505" s="1249">
        <v>0.73789628670349405</v>
      </c>
      <c r="G505" s="1249"/>
      <c r="H505" s="1249"/>
      <c r="N505" s="510"/>
      <c r="O505" s="510"/>
      <c r="P505" s="510"/>
      <c r="R505" s="1674"/>
      <c r="S505" s="1674"/>
      <c r="T505" s="1674"/>
    </row>
    <row r="506" spans="1:20" x14ac:dyDescent="0.25">
      <c r="A506" s="1249" t="s">
        <v>2897</v>
      </c>
      <c r="B506" s="1668">
        <v>0.142923764250073</v>
      </c>
      <c r="C506" s="1668">
        <v>0.12845903632373501</v>
      </c>
      <c r="D506" s="1249">
        <v>0.119806737514924</v>
      </c>
      <c r="E506" s="1249">
        <v>0.118167074077638</v>
      </c>
      <c r="F506" s="1249">
        <v>0.115957661169617</v>
      </c>
      <c r="G506" s="1249"/>
      <c r="H506" s="1249"/>
      <c r="N506" s="510"/>
      <c r="O506" s="510"/>
      <c r="P506" s="510"/>
      <c r="R506" s="1674"/>
      <c r="S506" s="1674"/>
      <c r="T506" s="1674"/>
    </row>
    <row r="507" spans="1:20" x14ac:dyDescent="0.25">
      <c r="A507" s="1249" t="s">
        <v>2898</v>
      </c>
      <c r="B507" s="1668">
        <v>0.92318449073161302</v>
      </c>
      <c r="C507" s="1668">
        <v>0.87522604697440398</v>
      </c>
      <c r="D507" s="1249">
        <v>0.83304189136833595</v>
      </c>
      <c r="E507" s="1249">
        <v>0.79722480427554199</v>
      </c>
      <c r="F507" s="1249">
        <v>0.76147190173048696</v>
      </c>
      <c r="G507" s="1249"/>
      <c r="H507" s="1249"/>
      <c r="N507" s="510"/>
      <c r="O507" s="510"/>
      <c r="P507" s="510"/>
      <c r="R507" s="1674"/>
      <c r="S507" s="1674"/>
      <c r="T507" s="1674"/>
    </row>
    <row r="508" spans="1:20" x14ac:dyDescent="0.25">
      <c r="A508" s="1249" t="s">
        <v>2899</v>
      </c>
      <c r="B508" s="1668">
        <v>0.95016899484361805</v>
      </c>
      <c r="C508" s="1668">
        <v>0.90102270774919402</v>
      </c>
      <c r="D508" s="1249">
        <v>0.85770302421841904</v>
      </c>
      <c r="E508" s="1249">
        <v>0.820800419302535</v>
      </c>
      <c r="F508" s="1249">
        <v>0.78400980536452003</v>
      </c>
      <c r="G508" s="1249"/>
      <c r="H508" s="1249"/>
      <c r="N508" s="510"/>
      <c r="O508" s="510"/>
      <c r="P508" s="510"/>
      <c r="R508" s="1674"/>
      <c r="S508" s="1674"/>
      <c r="T508" s="1674"/>
    </row>
    <row r="509" spans="1:20" x14ac:dyDescent="0.25">
      <c r="A509" s="1249" t="s">
        <v>2900</v>
      </c>
      <c r="B509" s="1668">
        <v>0.97596565561840898</v>
      </c>
      <c r="C509" s="1668">
        <v>0.925683840599278</v>
      </c>
      <c r="D509" s="1249">
        <v>0.88127863924541106</v>
      </c>
      <c r="E509" s="1249">
        <v>0.84333832293656796</v>
      </c>
      <c r="F509" s="1249">
        <v>0.80510086248040302</v>
      </c>
      <c r="G509" s="1249"/>
      <c r="H509" s="1249"/>
      <c r="N509" s="510"/>
      <c r="O509" s="510"/>
      <c r="P509" s="510"/>
      <c r="R509" s="1674"/>
      <c r="S509" s="1674"/>
      <c r="T509" s="1674"/>
    </row>
    <row r="510" spans="1:20" x14ac:dyDescent="0.25">
      <c r="A510" s="1249" t="s">
        <v>2901</v>
      </c>
      <c r="B510" s="1668">
        <v>1.0006267884684901</v>
      </c>
      <c r="C510" s="1668">
        <v>0.94925945562627001</v>
      </c>
      <c r="D510" s="1249">
        <v>0.90381654287944402</v>
      </c>
      <c r="E510" s="1249">
        <v>0.86442938005245096</v>
      </c>
      <c r="F510" s="1249">
        <v>0.824837955046268</v>
      </c>
      <c r="G510" s="1249"/>
      <c r="H510" s="1249"/>
      <c r="N510" s="510"/>
      <c r="O510" s="510"/>
      <c r="P510" s="510"/>
      <c r="R510" s="1674"/>
      <c r="S510" s="1674"/>
      <c r="T510" s="1674"/>
    </row>
    <row r="511" spans="1:20" x14ac:dyDescent="0.25">
      <c r="A511" s="1249" t="s">
        <v>2902</v>
      </c>
      <c r="B511" s="1668">
        <v>1.02420240349548</v>
      </c>
      <c r="C511" s="1668">
        <v>0.97179735926030297</v>
      </c>
      <c r="D511" s="1249">
        <v>0.92490759999532801</v>
      </c>
      <c r="E511" s="1249">
        <v>0.88416647261831605</v>
      </c>
      <c r="F511" s="1249">
        <v>0.84330800236600001</v>
      </c>
      <c r="G511" s="1249"/>
      <c r="H511" s="1249"/>
      <c r="N511" s="510"/>
      <c r="O511" s="510"/>
      <c r="P511" s="510"/>
      <c r="R511" s="1674"/>
      <c r="S511" s="1674"/>
      <c r="T511" s="1674"/>
    </row>
    <row r="512" spans="1:20" x14ac:dyDescent="0.25">
      <c r="A512" s="1249" t="s">
        <v>2903</v>
      </c>
      <c r="B512" s="1668">
        <v>1.04674030712952</v>
      </c>
      <c r="C512" s="1668">
        <v>0.99288841637618697</v>
      </c>
      <c r="D512" s="1249">
        <v>0.94464469256119299</v>
      </c>
      <c r="E512" s="1249">
        <v>0.90263651993804705</v>
      </c>
      <c r="F512" s="1249">
        <v>0.86059234385929095</v>
      </c>
      <c r="G512" s="1249"/>
      <c r="H512" s="1249"/>
      <c r="N512" s="510"/>
      <c r="O512" s="510"/>
      <c r="P512" s="510"/>
      <c r="R512" s="1674"/>
      <c r="S512" s="1674"/>
      <c r="T512" s="1674"/>
    </row>
    <row r="513" spans="1:20" x14ac:dyDescent="0.25">
      <c r="A513" s="1249" t="s">
        <v>2904</v>
      </c>
      <c r="B513" s="1668">
        <v>1.0678313642454</v>
      </c>
      <c r="C513" s="1668">
        <v>1.0126255089420499</v>
      </c>
      <c r="D513" s="1249">
        <v>0.963114739880924</v>
      </c>
      <c r="E513" s="1249">
        <v>0.919920861431339</v>
      </c>
      <c r="F513" s="1249">
        <v>0.87676709726869795</v>
      </c>
      <c r="G513" s="1249"/>
      <c r="H513" s="1249"/>
      <c r="N513" s="510"/>
      <c r="O513" s="510"/>
      <c r="P513" s="510"/>
      <c r="R513" s="1674"/>
      <c r="S513" s="1674"/>
      <c r="T513" s="1674"/>
    </row>
    <row r="514" spans="1:20" x14ac:dyDescent="0.25">
      <c r="A514" s="1249" t="s">
        <v>2905</v>
      </c>
      <c r="B514" s="1668">
        <v>1.08756845681127</v>
      </c>
      <c r="C514" s="1668">
        <v>1.0310955562617801</v>
      </c>
      <c r="D514" s="1249">
        <v>0.98039908137421605</v>
      </c>
      <c r="E514" s="1249">
        <v>0.93609561484074599</v>
      </c>
      <c r="F514" s="1249">
        <v>0.89190349387117396</v>
      </c>
      <c r="G514" s="1249"/>
      <c r="H514" s="1249"/>
      <c r="N514" s="510"/>
      <c r="O514" s="510"/>
      <c r="P514" s="510"/>
      <c r="R514" s="1674"/>
      <c r="S514" s="1674"/>
      <c r="T514" s="1674"/>
    </row>
    <row r="515" spans="1:20" x14ac:dyDescent="0.25">
      <c r="A515" s="1249" t="s">
        <v>2906</v>
      </c>
      <c r="B515" s="1668">
        <v>1.1060385041309999</v>
      </c>
      <c r="C515" s="1668">
        <v>1.04837989775507</v>
      </c>
      <c r="D515" s="1249">
        <v>0.99657383478362205</v>
      </c>
      <c r="E515" s="1249">
        <v>0.951232011443222</v>
      </c>
      <c r="F515" s="1249">
        <v>0.90606819217032897</v>
      </c>
      <c r="G515" s="1249"/>
      <c r="H515" s="1249"/>
      <c r="N515" s="510"/>
      <c r="O515" s="510"/>
      <c r="P515" s="510"/>
      <c r="R515" s="1674"/>
      <c r="S515" s="1674"/>
      <c r="T515" s="1674"/>
    </row>
    <row r="516" spans="1:20" x14ac:dyDescent="0.25">
      <c r="A516" s="1249" t="s">
        <v>2907</v>
      </c>
      <c r="B516" s="1668">
        <v>1.1233228456242901</v>
      </c>
      <c r="C516" s="1668">
        <v>1.0645546511644799</v>
      </c>
      <c r="D516" s="1249">
        <v>1.0117102313860999</v>
      </c>
      <c r="E516" s="1249">
        <v>0.96539670974237601</v>
      </c>
      <c r="F516" s="1249">
        <v>0.91932357145083998</v>
      </c>
      <c r="G516" s="1249"/>
      <c r="H516" s="1249"/>
      <c r="N516" s="510"/>
      <c r="O516" s="510"/>
      <c r="P516" s="510"/>
      <c r="R516" s="1674"/>
      <c r="S516" s="1674"/>
      <c r="T516" s="1674"/>
    </row>
    <row r="517" spans="1:20" x14ac:dyDescent="0.25">
      <c r="A517" s="1249" t="s">
        <v>2908</v>
      </c>
      <c r="B517" s="1668">
        <v>0.20340198419295</v>
      </c>
      <c r="C517" s="1668">
        <v>0.187787553895783</v>
      </c>
      <c r="D517" s="1249">
        <v>0.17864529402051499</v>
      </c>
      <c r="E517" s="1249">
        <v>0.17528617874166499</v>
      </c>
      <c r="F517" s="1249">
        <v>0.169525934272862</v>
      </c>
      <c r="G517" s="1249"/>
      <c r="H517" s="1249"/>
      <c r="N517" s="510"/>
      <c r="O517" s="510"/>
      <c r="P517" s="510"/>
      <c r="R517" s="1674"/>
      <c r="S517" s="1674"/>
      <c r="T517" s="1674"/>
    </row>
    <row r="518" spans="1:20" x14ac:dyDescent="0.25">
      <c r="A518" s="1249" t="s">
        <v>2909</v>
      </c>
      <c r="B518" s="1668">
        <v>1.1394975990337</v>
      </c>
      <c r="C518" s="1668">
        <v>1.0796910477669599</v>
      </c>
      <c r="D518" s="1249">
        <v>1.0258749296852501</v>
      </c>
      <c r="E518" s="1249">
        <v>0.97865208902288803</v>
      </c>
      <c r="F518" s="1249">
        <v>0.93172800648781495</v>
      </c>
      <c r="G518" s="1249"/>
      <c r="H518" s="1249"/>
      <c r="N518" s="510"/>
      <c r="O518" s="510"/>
      <c r="P518" s="510"/>
      <c r="R518" s="1674"/>
      <c r="S518" s="1674"/>
      <c r="T518" s="1674"/>
    </row>
    <row r="519" spans="1:20" x14ac:dyDescent="0.25">
      <c r="A519" s="1249" t="s">
        <v>2910</v>
      </c>
      <c r="B519" s="1668">
        <v>0.26273050176499801</v>
      </c>
      <c r="C519" s="1668">
        <v>0.246626110401374</v>
      </c>
      <c r="D519" s="1249">
        <v>0.23576439868454199</v>
      </c>
      <c r="E519" s="1249">
        <v>0.22885445184490999</v>
      </c>
      <c r="F519" s="1249">
        <v>0.21965035389704399</v>
      </c>
      <c r="G519" s="1249"/>
      <c r="H519" s="1249"/>
      <c r="N519" s="510"/>
      <c r="O519" s="510"/>
      <c r="P519" s="510"/>
      <c r="R519" s="1674"/>
      <c r="S519" s="1674"/>
      <c r="T519" s="1674"/>
    </row>
    <row r="520" spans="1:20" x14ac:dyDescent="0.25">
      <c r="A520" s="1249" t="s">
        <v>2911</v>
      </c>
      <c r="B520" s="1668">
        <v>0.32156905827058802</v>
      </c>
      <c r="C520" s="1668">
        <v>0.30374521506540098</v>
      </c>
      <c r="D520" s="1249">
        <v>0.28933267178778699</v>
      </c>
      <c r="E520" s="1249">
        <v>0.278978871469093</v>
      </c>
      <c r="F520" s="1249">
        <v>0.26687581863077697</v>
      </c>
      <c r="G520" s="1249"/>
      <c r="H520" s="1249"/>
      <c r="N520" s="510"/>
      <c r="O520" s="510"/>
      <c r="P520" s="510"/>
      <c r="R520" s="1674"/>
      <c r="S520" s="1674"/>
      <c r="T520" s="1674"/>
    </row>
    <row r="521" spans="1:20" x14ac:dyDescent="0.25">
      <c r="A521" s="1249" t="s">
        <v>2912</v>
      </c>
      <c r="B521" s="1668">
        <v>0.37868816293461499</v>
      </c>
      <c r="C521" s="1668">
        <v>0.357313488168646</v>
      </c>
      <c r="D521" s="1249">
        <v>0.339457091411969</v>
      </c>
      <c r="E521" s="1249">
        <v>0.32620433620282502</v>
      </c>
      <c r="F521" s="1249">
        <v>0.31188492171281901</v>
      </c>
      <c r="G521" s="1249"/>
      <c r="H521" s="1249"/>
      <c r="N521" s="510"/>
      <c r="O521" s="510"/>
      <c r="P521" s="510"/>
      <c r="R521" s="1674"/>
      <c r="S521" s="1674"/>
      <c r="T521" s="1674"/>
    </row>
    <row r="522" spans="1:20" x14ac:dyDescent="0.25">
      <c r="A522" s="1249" t="s">
        <v>2913</v>
      </c>
      <c r="B522" s="1668">
        <v>0.43225643603786001</v>
      </c>
      <c r="C522" s="1668">
        <v>0.40743790779282801</v>
      </c>
      <c r="D522" s="1249">
        <v>0.38668255614570202</v>
      </c>
      <c r="E522" s="1249">
        <v>0.371213439284867</v>
      </c>
      <c r="F522" s="1249">
        <v>0.35437298699678199</v>
      </c>
      <c r="G522" s="1249"/>
      <c r="H522" s="1249"/>
      <c r="N522" s="510"/>
      <c r="O522" s="510"/>
      <c r="P522" s="510"/>
      <c r="R522" s="1674"/>
      <c r="S522" s="1674"/>
      <c r="T522" s="1674"/>
    </row>
    <row r="523" spans="1:20" x14ac:dyDescent="0.25">
      <c r="A523" s="1249" t="s">
        <v>2914</v>
      </c>
      <c r="B523" s="1668">
        <v>0.48238085566204197</v>
      </c>
      <c r="C523" s="1668">
        <v>0.45466337252656103</v>
      </c>
      <c r="D523" s="1249">
        <v>0.431691659227744</v>
      </c>
      <c r="E523" s="1249">
        <v>0.41370150456882998</v>
      </c>
      <c r="F523" s="1249">
        <v>0.39500799176374302</v>
      </c>
      <c r="G523" s="1249"/>
      <c r="H523" s="1249"/>
      <c r="N523" s="510"/>
      <c r="O523" s="510"/>
      <c r="P523" s="510"/>
      <c r="R523" s="1674"/>
      <c r="S523" s="1674"/>
      <c r="T523" s="1674"/>
    </row>
    <row r="524" spans="1:20" x14ac:dyDescent="0.25">
      <c r="A524" s="1249" t="s">
        <v>2915</v>
      </c>
      <c r="B524" s="1668">
        <v>0.52960632039577504</v>
      </c>
      <c r="C524" s="1668">
        <v>0.49967247560860301</v>
      </c>
      <c r="D524" s="1249">
        <v>0.47417972451170598</v>
      </c>
      <c r="E524" s="1249">
        <v>0.45433650933579101</v>
      </c>
      <c r="F524" s="1249">
        <v>0.43385420851022299</v>
      </c>
      <c r="G524" s="1249"/>
      <c r="H524" s="1249"/>
      <c r="N524" s="510"/>
      <c r="O524" s="510"/>
      <c r="P524" s="510"/>
      <c r="R524" s="1674"/>
      <c r="S524" s="1674"/>
      <c r="T524" s="1674"/>
    </row>
    <row r="525" spans="1:20" x14ac:dyDescent="0.25">
      <c r="A525" s="1249" t="s">
        <v>2916</v>
      </c>
      <c r="B525" s="1668">
        <v>6.2939947776107591E-2</v>
      </c>
      <c r="C525" s="1668">
        <v>5.889944579459816E-2</v>
      </c>
      <c r="D525" s="1249">
        <v>5.292414624354011E-2</v>
      </c>
      <c r="E525" s="1249">
        <v>4.6437891018163598E-2</v>
      </c>
      <c r="F525" s="1249">
        <v>4.5832728321793498E-2</v>
      </c>
      <c r="G525" s="1249"/>
      <c r="H525" s="1249"/>
      <c r="N525" s="510"/>
      <c r="O525" s="510"/>
      <c r="P525" s="510"/>
      <c r="R525" s="1674"/>
      <c r="S525" s="1674"/>
      <c r="T525" s="1674"/>
    </row>
    <row r="526" spans="1:20" x14ac:dyDescent="0.25">
      <c r="A526" s="1249" t="s">
        <v>2917</v>
      </c>
      <c r="B526" s="1668">
        <v>0.47457445064834375</v>
      </c>
      <c r="C526" s="1668">
        <v>0.44645381442116189</v>
      </c>
      <c r="D526" s="1249">
        <v>0.4203531050451893</v>
      </c>
      <c r="E526" s="1249">
        <v>0.39880911119171675</v>
      </c>
      <c r="F526" s="1249">
        <v>0.38237886377810698</v>
      </c>
      <c r="G526" s="1249"/>
      <c r="H526" s="1249"/>
      <c r="N526" s="510"/>
      <c r="O526" s="510"/>
      <c r="P526" s="510"/>
      <c r="R526" s="1674"/>
      <c r="S526" s="1674"/>
      <c r="T526" s="1674"/>
    </row>
    <row r="527" spans="1:20" x14ac:dyDescent="0.25">
      <c r="A527" s="1249" t="s">
        <v>2918</v>
      </c>
      <c r="B527" s="1668">
        <v>0.5093937621972694</v>
      </c>
      <c r="C527" s="1668">
        <v>0.47925255083978752</v>
      </c>
      <c r="D527" s="1249">
        <v>0.45173325743525683</v>
      </c>
      <c r="E527" s="1249">
        <v>0.42881675479627057</v>
      </c>
      <c r="F527" s="1249">
        <v>0.41084858589424939</v>
      </c>
      <c r="G527" s="1249"/>
      <c r="H527" s="1249"/>
      <c r="N527" s="510"/>
      <c r="O527" s="510"/>
      <c r="P527" s="510"/>
      <c r="R527" s="1674"/>
      <c r="S527" s="1674"/>
      <c r="T527" s="1674"/>
    </row>
    <row r="528" spans="1:20" x14ac:dyDescent="0.25">
      <c r="A528" s="1249" t="s">
        <v>2919</v>
      </c>
      <c r="B528" s="1668">
        <v>0.54219249861589514</v>
      </c>
      <c r="C528" s="1668">
        <v>0.51063270322985488</v>
      </c>
      <c r="D528" s="1249">
        <v>0.48174090103981071</v>
      </c>
      <c r="E528" s="1249">
        <v>0.45728647691241309</v>
      </c>
      <c r="F528" s="1249">
        <v>0.43807304654130136</v>
      </c>
      <c r="G528" s="1249"/>
      <c r="H528" s="1249"/>
      <c r="N528" s="510"/>
      <c r="O528" s="510"/>
      <c r="P528" s="510"/>
      <c r="R528" s="1674"/>
      <c r="S528" s="1674"/>
      <c r="T528" s="1674"/>
    </row>
    <row r="529" spans="1:20" x14ac:dyDescent="0.25">
      <c r="A529" s="1249" t="s">
        <v>2920</v>
      </c>
      <c r="B529" s="1668">
        <v>0.57357265100596266</v>
      </c>
      <c r="C529" s="1668">
        <v>0.54064034683440876</v>
      </c>
      <c r="D529" s="1249">
        <v>0.51021062315595322</v>
      </c>
      <c r="E529" s="1249">
        <v>0.48451093755946495</v>
      </c>
      <c r="F529" s="1249">
        <v>0.46410673359679344</v>
      </c>
      <c r="G529" s="1249"/>
      <c r="H529" s="1249"/>
      <c r="N529" s="510"/>
      <c r="O529" s="510"/>
      <c r="P529" s="510"/>
      <c r="R529" s="1674"/>
      <c r="S529" s="1674"/>
      <c r="T529" s="1674"/>
    </row>
    <row r="530" spans="1:20" x14ac:dyDescent="0.25">
      <c r="A530" s="1249" t="s">
        <v>2921</v>
      </c>
      <c r="B530" s="1668">
        <v>0.60358029461051643</v>
      </c>
      <c r="C530" s="1668">
        <v>0.56911006895055138</v>
      </c>
      <c r="D530" s="1249">
        <v>0.53743508380300509</v>
      </c>
      <c r="E530" s="1249">
        <v>0.51054462461495709</v>
      </c>
      <c r="F530" s="1249">
        <v>0.48900174984155836</v>
      </c>
      <c r="G530" s="1249"/>
      <c r="H530" s="1249"/>
      <c r="N530" s="510"/>
      <c r="O530" s="510"/>
      <c r="P530" s="510"/>
      <c r="R530" s="1674"/>
      <c r="S530" s="1674"/>
      <c r="T530" s="1674"/>
    </row>
    <row r="531" spans="1:20" x14ac:dyDescent="0.25">
      <c r="A531" s="1249" t="s">
        <v>2922</v>
      </c>
      <c r="B531" s="1668">
        <v>0.63205001672665895</v>
      </c>
      <c r="C531" s="1668">
        <v>0.59633452959760347</v>
      </c>
      <c r="D531" s="1249">
        <v>0.56346877085849723</v>
      </c>
      <c r="E531" s="1249">
        <v>0.53543964085972195</v>
      </c>
      <c r="F531" s="1249">
        <v>0.51280791740375542</v>
      </c>
      <c r="G531" s="1249"/>
      <c r="H531" s="1249"/>
      <c r="N531" s="510"/>
      <c r="O531" s="510"/>
      <c r="P531" s="510"/>
      <c r="R531" s="1674"/>
      <c r="S531" s="1674"/>
      <c r="T531" s="1674"/>
    </row>
    <row r="532" spans="1:20" x14ac:dyDescent="0.25">
      <c r="A532" s="1249" t="s">
        <v>2923</v>
      </c>
      <c r="B532" s="1668">
        <v>0.65927447737371103</v>
      </c>
      <c r="C532" s="1668">
        <v>0.62236821665309527</v>
      </c>
      <c r="D532" s="1249">
        <v>0.58836378710326198</v>
      </c>
      <c r="E532" s="1249">
        <v>0.55924580842191907</v>
      </c>
      <c r="F532" s="1249">
        <v>0.53557287762740635</v>
      </c>
      <c r="G532" s="1249"/>
      <c r="H532" s="1249"/>
      <c r="N532" s="510"/>
      <c r="O532" s="510"/>
      <c r="P532" s="510"/>
      <c r="R532" s="1674"/>
      <c r="S532" s="1674"/>
      <c r="T532" s="1674"/>
    </row>
    <row r="533" spans="1:20" x14ac:dyDescent="0.25">
      <c r="A533" s="1249" t="s">
        <v>2924</v>
      </c>
      <c r="B533" s="1668">
        <v>0.68530816442920295</v>
      </c>
      <c r="C533" s="1668">
        <v>0.64726323289786036</v>
      </c>
      <c r="D533" s="1249">
        <v>0.61216995466545931</v>
      </c>
      <c r="E533" s="1249">
        <v>0.58201076864557</v>
      </c>
      <c r="F533" s="1249">
        <v>0.55737320160949133</v>
      </c>
      <c r="G533" s="1249"/>
      <c r="H533" s="1249"/>
      <c r="N533" s="510"/>
      <c r="O533" s="510"/>
      <c r="P533" s="510"/>
      <c r="R533" s="1674"/>
      <c r="S533" s="1674"/>
      <c r="T533" s="1674"/>
    </row>
    <row r="534" spans="1:20" x14ac:dyDescent="0.25">
      <c r="A534" s="1249" t="s">
        <v>2925</v>
      </c>
      <c r="B534" s="1668">
        <v>0.71020318067396793</v>
      </c>
      <c r="C534" s="1668">
        <v>0.67106940046005725</v>
      </c>
      <c r="D534" s="1249">
        <v>0.63493491488911014</v>
      </c>
      <c r="E534" s="1249">
        <v>0.60381109262765498</v>
      </c>
      <c r="F534" s="1249">
        <v>0.57822002581346399</v>
      </c>
      <c r="G534" s="1249"/>
      <c r="H534" s="1249"/>
      <c r="N534" s="510"/>
      <c r="O534" s="510"/>
      <c r="P534" s="510"/>
      <c r="R534" s="1674"/>
      <c r="S534" s="1674"/>
      <c r="T534" s="1674"/>
    </row>
    <row r="535" spans="1:20" x14ac:dyDescent="0.25">
      <c r="A535" s="1249" t="s">
        <v>2926</v>
      </c>
      <c r="B535" s="1668">
        <v>0.7340093482361647</v>
      </c>
      <c r="C535" s="1668">
        <v>0.69383436068370818</v>
      </c>
      <c r="D535" s="1249">
        <v>0.65673523887119511</v>
      </c>
      <c r="E535" s="1249">
        <v>0.62465791683162741</v>
      </c>
      <c r="F535" s="1249">
        <v>0.59815506979544986</v>
      </c>
      <c r="G535" s="1249"/>
      <c r="H535" s="1249"/>
      <c r="N535" s="510"/>
      <c r="O535" s="510"/>
      <c r="P535" s="510"/>
      <c r="R535" s="1674"/>
      <c r="S535" s="1674"/>
      <c r="T535" s="1674"/>
    </row>
    <row r="536" spans="1:20" x14ac:dyDescent="0.25">
      <c r="A536" s="1249" t="s">
        <v>2927</v>
      </c>
      <c r="B536" s="1668">
        <v>0.12183939357070575</v>
      </c>
      <c r="C536" s="1668">
        <v>0.11182359203813828</v>
      </c>
      <c r="D536" s="1249">
        <v>9.9362037261703715E-2</v>
      </c>
      <c r="E536" s="1249">
        <v>9.2270619339957116E-2</v>
      </c>
      <c r="F536" s="1249">
        <v>9.1628625574283945E-2</v>
      </c>
      <c r="G536" s="1249"/>
      <c r="H536" s="1249"/>
      <c r="N536" s="510"/>
      <c r="O536" s="510"/>
      <c r="P536" s="510"/>
      <c r="R536" s="1674"/>
      <c r="S536" s="1674"/>
      <c r="T536" s="1674"/>
    </row>
    <row r="537" spans="1:20" x14ac:dyDescent="0.25">
      <c r="A537" s="1249" t="s">
        <v>2928</v>
      </c>
      <c r="B537" s="1668">
        <v>0.75677430845981597</v>
      </c>
      <c r="C537" s="1668">
        <v>0.71563468466579327</v>
      </c>
      <c r="D537" s="1249">
        <v>0.67758206307516766</v>
      </c>
      <c r="E537" s="1249">
        <v>0.6445929608136135</v>
      </c>
      <c r="F537" s="1249">
        <v>0.61721822700998263</v>
      </c>
      <c r="G537" s="1249"/>
      <c r="H537" s="1249"/>
      <c r="N537" s="510"/>
      <c r="O537" s="510"/>
      <c r="P537" s="510"/>
      <c r="R537" s="1674"/>
      <c r="S537" s="1674"/>
      <c r="T537" s="1674"/>
    </row>
    <row r="538" spans="1:20" x14ac:dyDescent="0.25">
      <c r="A538" s="1249" t="s">
        <v>2929</v>
      </c>
      <c r="B538" s="1668">
        <v>0.77857463244190084</v>
      </c>
      <c r="C538" s="1668">
        <v>0.73648150886976593</v>
      </c>
      <c r="D538" s="1249">
        <v>0.69751710705715353</v>
      </c>
      <c r="E538" s="1249">
        <v>0.66365611802814628</v>
      </c>
      <c r="F538" s="1249">
        <v>0.63544764477153526</v>
      </c>
      <c r="G538" s="1249"/>
      <c r="H538" s="1249"/>
      <c r="N538" s="510"/>
      <c r="O538" s="510"/>
      <c r="P538" s="510"/>
      <c r="R538" s="1674"/>
      <c r="S538" s="1674"/>
      <c r="T538" s="1674"/>
    </row>
    <row r="539" spans="1:20" x14ac:dyDescent="0.25">
      <c r="A539" s="1249" t="s">
        <v>2930</v>
      </c>
      <c r="B539" s="1668">
        <v>0.79942145664587316</v>
      </c>
      <c r="C539" s="1668">
        <v>0.75641655285175169</v>
      </c>
      <c r="D539" s="1249">
        <v>0.71658026427168631</v>
      </c>
      <c r="E539" s="1249">
        <v>0.6818855357896989</v>
      </c>
      <c r="F539" s="1249">
        <v>0.6525068041965334</v>
      </c>
      <c r="G539" s="1249"/>
      <c r="H539" s="1249"/>
      <c r="N539" s="510"/>
      <c r="O539" s="510"/>
      <c r="P539" s="510"/>
      <c r="R539" s="1674"/>
      <c r="S539" s="1674"/>
      <c r="T539" s="1674"/>
    </row>
    <row r="540" spans="1:20" x14ac:dyDescent="0.25">
      <c r="A540" s="1249" t="s">
        <v>2931</v>
      </c>
      <c r="B540" s="1668">
        <v>0.81935650062785936</v>
      </c>
      <c r="C540" s="1668">
        <v>0.77547971006628458</v>
      </c>
      <c r="D540" s="1249">
        <v>0.73480968203323904</v>
      </c>
      <c r="E540" s="1249">
        <v>0.69894469521469671</v>
      </c>
      <c r="F540" s="1249">
        <v>0.66847083135823826</v>
      </c>
      <c r="G540" s="1249"/>
      <c r="H540" s="1249"/>
      <c r="N540" s="510"/>
      <c r="O540" s="510"/>
      <c r="P540" s="510"/>
      <c r="R540" s="1674"/>
      <c r="S540" s="1674"/>
      <c r="T540" s="1674"/>
    </row>
    <row r="541" spans="1:20" x14ac:dyDescent="0.25">
      <c r="A541" s="1249" t="s">
        <v>2932</v>
      </c>
      <c r="B541" s="1668">
        <v>0.83841965784239214</v>
      </c>
      <c r="C541" s="1668">
        <v>0.79370912782783709</v>
      </c>
      <c r="D541" s="1249">
        <v>0.75186884145823696</v>
      </c>
      <c r="E541" s="1249">
        <v>0.7149087223764018</v>
      </c>
      <c r="F541" s="1249">
        <v>0.6834100295256581</v>
      </c>
      <c r="G541" s="1249"/>
      <c r="H541" s="1249"/>
      <c r="N541" s="510"/>
      <c r="O541" s="510"/>
      <c r="P541" s="510"/>
      <c r="R541" s="1674"/>
      <c r="S541" s="1674"/>
      <c r="T541" s="1674"/>
    </row>
    <row r="542" spans="1:20" x14ac:dyDescent="0.25">
      <c r="A542" s="1249" t="s">
        <v>2933</v>
      </c>
      <c r="B542" s="1668">
        <v>0.85664907560394499</v>
      </c>
      <c r="C542" s="1668">
        <v>0.81076828725283512</v>
      </c>
      <c r="D542" s="1249">
        <v>0.76783286861994182</v>
      </c>
      <c r="E542" s="1249">
        <v>0.72984792054382164</v>
      </c>
      <c r="F542" s="1249">
        <v>0.69739018876898595</v>
      </c>
      <c r="G542" s="1249"/>
      <c r="H542" s="1249"/>
      <c r="N542" s="510"/>
      <c r="O542" s="510"/>
      <c r="P542" s="510"/>
      <c r="R542" s="1674"/>
      <c r="S542" s="1674"/>
      <c r="T542" s="1674"/>
    </row>
    <row r="543" spans="1:20" x14ac:dyDescent="0.25">
      <c r="A543" s="1249" t="s">
        <v>2934</v>
      </c>
      <c r="B543" s="1668">
        <v>0.17476353981424586</v>
      </c>
      <c r="C543" s="1668">
        <v>0.15826148305630189</v>
      </c>
      <c r="D543" s="1249">
        <v>0.14519476558349717</v>
      </c>
      <c r="E543" s="1249">
        <v>0.13806651659244751</v>
      </c>
      <c r="F543" s="1249">
        <v>0.13623484153320792</v>
      </c>
      <c r="G543" s="1249"/>
      <c r="H543" s="1249"/>
      <c r="N543" s="510"/>
      <c r="O543" s="510"/>
      <c r="P543" s="510"/>
      <c r="R543" s="1674"/>
      <c r="S543" s="1674"/>
      <c r="T543" s="1674"/>
    </row>
    <row r="544" spans="1:20" x14ac:dyDescent="0.25">
      <c r="A544" s="1249" t="s">
        <v>2935</v>
      </c>
      <c r="B544" s="1668">
        <v>0.22120143083240948</v>
      </c>
      <c r="C544" s="1668">
        <v>0.20409421137809541</v>
      </c>
      <c r="D544" s="1249">
        <v>0.19099066283598767</v>
      </c>
      <c r="E544" s="1249">
        <v>0.18267273255137148</v>
      </c>
      <c r="F544" s="1249">
        <v>0.17794456342182069</v>
      </c>
      <c r="G544" s="1249"/>
      <c r="H544" s="1249"/>
      <c r="N544" s="510"/>
      <c r="O544" s="510"/>
      <c r="P544" s="510"/>
      <c r="R544" s="1674"/>
      <c r="S544" s="1674"/>
      <c r="T544" s="1674"/>
    </row>
    <row r="545" spans="1:20" x14ac:dyDescent="0.25">
      <c r="A545" s="1249" t="s">
        <v>2936</v>
      </c>
      <c r="B545" s="1668">
        <v>0.26703415915420303</v>
      </c>
      <c r="C545" s="1668">
        <v>0.24989010863058583</v>
      </c>
      <c r="D545" s="1249">
        <v>0.23559687879491167</v>
      </c>
      <c r="E545" s="1249">
        <v>0.22438245443998431</v>
      </c>
      <c r="F545" s="1249">
        <v>0.21682846999390507</v>
      </c>
      <c r="G545" s="1249"/>
      <c r="H545" s="1249"/>
      <c r="N545" s="510"/>
      <c r="O545" s="510"/>
      <c r="P545" s="510"/>
      <c r="R545" s="1674"/>
      <c r="S545" s="1674"/>
      <c r="T545" s="1674"/>
    </row>
    <row r="546" spans="1:20" x14ac:dyDescent="0.25">
      <c r="A546" s="1249" t="s">
        <v>2937</v>
      </c>
      <c r="B546" s="1668">
        <v>0.31283005640669348</v>
      </c>
      <c r="C546" s="1668">
        <v>0.29449632458950981</v>
      </c>
      <c r="D546" s="1249">
        <v>0.27730660068352442</v>
      </c>
      <c r="E546" s="1249">
        <v>0.26326636101206863</v>
      </c>
      <c r="F546" s="1249">
        <v>0.2533730198159343</v>
      </c>
      <c r="G546" s="1249"/>
      <c r="H546" s="1249"/>
      <c r="N546" s="510"/>
      <c r="O546" s="510"/>
      <c r="P546" s="510"/>
      <c r="R546" s="1674"/>
      <c r="S546" s="1674"/>
      <c r="T546" s="1674"/>
    </row>
    <row r="547" spans="1:20" x14ac:dyDescent="0.25">
      <c r="A547" s="1249" t="s">
        <v>2938</v>
      </c>
      <c r="B547" s="1668">
        <v>0.35743627236561748</v>
      </c>
      <c r="C547" s="1668">
        <v>0.33620604647812263</v>
      </c>
      <c r="D547" s="1249">
        <v>0.31619050725560877</v>
      </c>
      <c r="E547" s="1249">
        <v>0.29981091083409783</v>
      </c>
      <c r="F547" s="1249">
        <v>0.28819233136486</v>
      </c>
      <c r="G547" s="1249"/>
      <c r="H547" s="1249"/>
      <c r="N547" s="510"/>
      <c r="O547" s="510"/>
      <c r="P547" s="510"/>
      <c r="R547" s="1674"/>
      <c r="S547" s="1674"/>
      <c r="T547" s="1674"/>
    </row>
    <row r="548" spans="1:20" x14ac:dyDescent="0.25">
      <c r="A548" s="1249" t="s">
        <v>2939</v>
      </c>
      <c r="B548" s="1668">
        <v>0.3991459942542302</v>
      </c>
      <c r="C548" s="1668">
        <v>0.37508995305020698</v>
      </c>
      <c r="D548" s="1249">
        <v>0.35273505707763797</v>
      </c>
      <c r="E548" s="1249">
        <v>0.33463022238302353</v>
      </c>
      <c r="F548" s="1249">
        <v>0.32099106778348557</v>
      </c>
      <c r="G548" s="1249"/>
      <c r="H548" s="1249"/>
      <c r="N548" s="510"/>
      <c r="O548" s="510"/>
      <c r="P548" s="510"/>
      <c r="R548" s="1674"/>
      <c r="S548" s="1674"/>
      <c r="T548" s="1674"/>
    </row>
    <row r="549" spans="1:20" x14ac:dyDescent="0.25">
      <c r="A549" s="1249" t="s">
        <v>2940</v>
      </c>
      <c r="B549" s="1668">
        <v>0.43802990082631449</v>
      </c>
      <c r="C549" s="1668">
        <v>0.41163450287223619</v>
      </c>
      <c r="D549" s="1249">
        <v>0.38755436862656378</v>
      </c>
      <c r="E549" s="1249">
        <v>0.36742895880164911</v>
      </c>
      <c r="F549" s="1249">
        <v>0.3523712201735531</v>
      </c>
      <c r="G549" s="1249"/>
      <c r="H549" s="1249"/>
      <c r="N549" s="510"/>
      <c r="O549" s="510"/>
      <c r="P549" s="510"/>
      <c r="R549" s="1674"/>
      <c r="S549" s="1674"/>
      <c r="T549" s="1674"/>
    </row>
    <row r="550" spans="1:20" x14ac:dyDescent="0.25">
      <c r="A550" s="1249" t="s">
        <v>2941</v>
      </c>
      <c r="B550" s="1668">
        <v>6.9716271613440697E-2</v>
      </c>
      <c r="C550" s="1668">
        <v>6.3109478788013804E-2</v>
      </c>
      <c r="D550" s="1249">
        <v>5.59776275933562E-2</v>
      </c>
      <c r="E550" s="1249">
        <v>5.4985269379490498E-2</v>
      </c>
      <c r="F550" s="1249">
        <v>5.4619524087442903E-2</v>
      </c>
      <c r="G550" s="1249"/>
      <c r="H550" s="1249"/>
      <c r="N550" s="510"/>
      <c r="O550" s="510"/>
      <c r="P550" s="510"/>
      <c r="R550" s="1674"/>
      <c r="S550" s="1674"/>
      <c r="T550" s="1674"/>
    </row>
    <row r="551" spans="1:20" x14ac:dyDescent="0.25">
      <c r="A551" s="1249" t="s">
        <v>2942</v>
      </c>
      <c r="B551" s="1668">
        <v>0.533208885762264</v>
      </c>
      <c r="C551" s="1668">
        <v>0.50286397471632904</v>
      </c>
      <c r="D551" s="1249">
        <v>0.47741180113305798</v>
      </c>
      <c r="E551" s="1249">
        <v>0.45743606583441199</v>
      </c>
      <c r="F551" s="1249">
        <v>0.436633971133562</v>
      </c>
      <c r="G551" s="1249"/>
      <c r="H551" s="1249"/>
      <c r="N551" s="510"/>
      <c r="O551" s="510"/>
      <c r="P551" s="510"/>
      <c r="R551" s="1674"/>
      <c r="S551" s="1674"/>
      <c r="T551" s="1674"/>
    </row>
    <row r="552" spans="1:20" x14ac:dyDescent="0.25">
      <c r="A552" s="1249" t="s">
        <v>2943</v>
      </c>
      <c r="B552" s="1668">
        <v>0.57258024632977</v>
      </c>
      <c r="C552" s="1668">
        <v>0.54052127992107202</v>
      </c>
      <c r="D552" s="1249">
        <v>0.51341369342776799</v>
      </c>
      <c r="E552" s="1249">
        <v>0.491619240513052</v>
      </c>
      <c r="F552" s="1249">
        <v>0.46931437560960099</v>
      </c>
      <c r="G552" s="1249"/>
      <c r="H552" s="1249"/>
      <c r="N552" s="510"/>
      <c r="O552" s="510"/>
      <c r="P552" s="510"/>
      <c r="R552" s="1674"/>
      <c r="S552" s="1674"/>
      <c r="T552" s="1674"/>
    </row>
    <row r="553" spans="1:20" x14ac:dyDescent="0.25">
      <c r="A553" s="1249" t="s">
        <v>2944</v>
      </c>
      <c r="B553" s="1668">
        <v>0.61023755153451198</v>
      </c>
      <c r="C553" s="1668">
        <v>0.57652317221578198</v>
      </c>
      <c r="D553" s="1249">
        <v>0.54759686810640795</v>
      </c>
      <c r="E553" s="1249">
        <v>0.52429964498909098</v>
      </c>
      <c r="F553" s="1249">
        <v>0.50055810790656297</v>
      </c>
      <c r="G553" s="1249"/>
      <c r="H553" s="1249"/>
      <c r="N553" s="510"/>
      <c r="O553" s="510"/>
      <c r="P553" s="510"/>
      <c r="R553" s="1674"/>
      <c r="S553" s="1674"/>
      <c r="T553" s="1674"/>
    </row>
    <row r="554" spans="1:20" x14ac:dyDescent="0.25">
      <c r="A554" s="1249" t="s">
        <v>2945</v>
      </c>
      <c r="B554" s="1668">
        <v>0.64623944382922305</v>
      </c>
      <c r="C554" s="1668">
        <v>0.61070634689442205</v>
      </c>
      <c r="D554" s="1249">
        <v>0.58027727258244699</v>
      </c>
      <c r="E554" s="1249">
        <v>0.55554337728605296</v>
      </c>
      <c r="F554" s="1249">
        <v>0.53042835731331395</v>
      </c>
      <c r="G554" s="1249"/>
      <c r="H554" s="1249"/>
      <c r="N554" s="510"/>
      <c r="O554" s="510"/>
      <c r="P554" s="510"/>
      <c r="R554" s="1674"/>
      <c r="S554" s="1674"/>
      <c r="T554" s="1674"/>
    </row>
    <row r="555" spans="1:20" x14ac:dyDescent="0.25">
      <c r="A555" s="1249" t="s">
        <v>2946</v>
      </c>
      <c r="B555" s="1668">
        <v>0.68042261850786301</v>
      </c>
      <c r="C555" s="1668">
        <v>0.64338675137046097</v>
      </c>
      <c r="D555" s="1249">
        <v>0.61152100487940897</v>
      </c>
      <c r="E555" s="1249">
        <v>0.58541362669280395</v>
      </c>
      <c r="F555" s="1249">
        <v>0.55898553245286198</v>
      </c>
      <c r="G555" s="1249"/>
      <c r="H555" s="1249"/>
      <c r="N555" s="510"/>
      <c r="O555" s="510"/>
      <c r="P555" s="510"/>
      <c r="R555" s="1674"/>
      <c r="S555" s="1674"/>
      <c r="T555" s="1674"/>
    </row>
    <row r="556" spans="1:20" x14ac:dyDescent="0.25">
      <c r="A556" s="1249" t="s">
        <v>2947</v>
      </c>
      <c r="B556" s="1668">
        <v>0.71310302298390205</v>
      </c>
      <c r="C556" s="1668">
        <v>0.67463048366742295</v>
      </c>
      <c r="D556" s="1249">
        <v>0.64139125428615995</v>
      </c>
      <c r="E556" s="1249">
        <v>0.61397080183235198</v>
      </c>
      <c r="F556" s="1249">
        <v>0.58628738370945699</v>
      </c>
      <c r="G556" s="1249"/>
      <c r="H556" s="1249"/>
      <c r="N556" s="510"/>
      <c r="O556" s="510"/>
      <c r="P556" s="510"/>
      <c r="R556" s="1674"/>
      <c r="S556" s="1674"/>
      <c r="T556" s="1674"/>
    </row>
    <row r="557" spans="1:20" x14ac:dyDescent="0.25">
      <c r="A557" s="1249" t="s">
        <v>2948</v>
      </c>
      <c r="B557" s="1668">
        <v>0.74434675528086403</v>
      </c>
      <c r="C557" s="1668">
        <v>0.70450073307417405</v>
      </c>
      <c r="D557" s="1249">
        <v>0.66994842942570798</v>
      </c>
      <c r="E557" s="1249">
        <v>0.64127265308894699</v>
      </c>
      <c r="F557" s="1249">
        <v>0.61244655111442303</v>
      </c>
      <c r="G557" s="1249"/>
      <c r="H557" s="1249"/>
      <c r="N557" s="510"/>
      <c r="O557" s="510"/>
      <c r="P557" s="510"/>
      <c r="R557" s="1674"/>
      <c r="S557" s="1674"/>
      <c r="T557" s="1674"/>
    </row>
    <row r="558" spans="1:20" x14ac:dyDescent="0.25">
      <c r="A558" s="1249" t="s">
        <v>2949</v>
      </c>
      <c r="B558" s="1668">
        <v>0.77421700468761501</v>
      </c>
      <c r="C558" s="1668">
        <v>0.73305790821372196</v>
      </c>
      <c r="D558" s="1249">
        <v>0.69725028068230299</v>
      </c>
      <c r="E558" s="1249">
        <v>0.66743182049391403</v>
      </c>
      <c r="F558" s="1249">
        <v>0.637455771710566</v>
      </c>
      <c r="G558" s="1249"/>
      <c r="H558" s="1249"/>
      <c r="N558" s="510"/>
      <c r="O558" s="510"/>
      <c r="P558" s="510"/>
      <c r="R558" s="1674"/>
      <c r="S558" s="1674"/>
      <c r="T558" s="1674"/>
    </row>
    <row r="559" spans="1:20" x14ac:dyDescent="0.25">
      <c r="A559" s="1249" t="s">
        <v>2950</v>
      </c>
      <c r="B559" s="1668">
        <v>0.80277417982716304</v>
      </c>
      <c r="C559" s="1668">
        <v>0.76035975947031798</v>
      </c>
      <c r="D559" s="1249">
        <v>0.72340944808727004</v>
      </c>
      <c r="E559" s="1249">
        <v>0.692441041090057</v>
      </c>
      <c r="F559" s="1249">
        <v>0.66136562176815406</v>
      </c>
      <c r="G559" s="1249"/>
      <c r="H559" s="1249"/>
      <c r="N559" s="510"/>
      <c r="O559" s="510"/>
      <c r="P559" s="510"/>
      <c r="R559" s="1674"/>
      <c r="S559" s="1674"/>
      <c r="T559" s="1674"/>
    </row>
    <row r="560" spans="1:20" x14ac:dyDescent="0.25">
      <c r="A560" s="1249" t="s">
        <v>2951</v>
      </c>
      <c r="B560" s="1668">
        <v>0.83007603108375805</v>
      </c>
      <c r="C560" s="1668">
        <v>0.78651892687528402</v>
      </c>
      <c r="D560" s="1249">
        <v>0.748418668683413</v>
      </c>
      <c r="E560" s="1249">
        <v>0.71635089114764505</v>
      </c>
      <c r="F560" s="1249">
        <v>0.68422445201905602</v>
      </c>
      <c r="G560" s="1249"/>
      <c r="H560" s="1249"/>
      <c r="N560" s="510"/>
      <c r="O560" s="510"/>
      <c r="P560" s="510"/>
      <c r="R560" s="1674"/>
      <c r="S560" s="1674"/>
      <c r="T560" s="1674"/>
    </row>
    <row r="561" spans="1:20" x14ac:dyDescent="0.25">
      <c r="A561" s="1249" t="s">
        <v>2952</v>
      </c>
      <c r="B561" s="1668">
        <v>0.132825750401454</v>
      </c>
      <c r="C561" s="1668">
        <v>0.11908710638137</v>
      </c>
      <c r="D561" s="1249">
        <v>0.110962896972847</v>
      </c>
      <c r="E561" s="1249">
        <v>0.109604793466933</v>
      </c>
      <c r="F561" s="1249">
        <v>0.10768131933181101</v>
      </c>
      <c r="G561" s="1249"/>
      <c r="H561" s="1249"/>
      <c r="N561" s="510"/>
      <c r="O561" s="510"/>
      <c r="P561" s="510"/>
      <c r="R561" s="1674"/>
      <c r="S561" s="1674"/>
      <c r="T561" s="1674"/>
    </row>
    <row r="562" spans="1:20" x14ac:dyDescent="0.25">
      <c r="A562" s="1249" t="s">
        <v>2953</v>
      </c>
      <c r="B562" s="1668">
        <v>0.85623519848872498</v>
      </c>
      <c r="C562" s="1668">
        <v>0.81152814747142699</v>
      </c>
      <c r="D562" s="1249">
        <v>0.77232851874100095</v>
      </c>
      <c r="E562" s="1249">
        <v>0.73920972139854602</v>
      </c>
      <c r="F562" s="1249">
        <v>0.70607848563878794</v>
      </c>
      <c r="G562" s="1249"/>
      <c r="H562" s="1249"/>
      <c r="N562" s="510"/>
      <c r="O562" s="510"/>
      <c r="P562" s="510"/>
      <c r="R562" s="1674"/>
      <c r="S562" s="1674"/>
      <c r="T562" s="1674"/>
    </row>
    <row r="563" spans="1:20" x14ac:dyDescent="0.25">
      <c r="A563" s="1249" t="s">
        <v>2954</v>
      </c>
      <c r="B563" s="1668">
        <v>0.88124441908486695</v>
      </c>
      <c r="C563" s="1668">
        <v>0.83543799752901504</v>
      </c>
      <c r="D563" s="1249">
        <v>0.79518734899190302</v>
      </c>
      <c r="E563" s="1249">
        <v>0.76106375501827805</v>
      </c>
      <c r="F563" s="1249">
        <v>0.72697191191252897</v>
      </c>
      <c r="G563" s="1249"/>
      <c r="H563" s="1249"/>
      <c r="N563" s="510"/>
      <c r="O563" s="510"/>
      <c r="P563" s="510"/>
      <c r="R563" s="1674"/>
      <c r="S563" s="1674"/>
      <c r="T563" s="1674"/>
    </row>
    <row r="564" spans="1:20" x14ac:dyDescent="0.25">
      <c r="A564" s="1249" t="s">
        <v>2955</v>
      </c>
      <c r="B564" s="1668">
        <v>0.905154269142456</v>
      </c>
      <c r="C564" s="1668">
        <v>0.858296827779917</v>
      </c>
      <c r="D564" s="1249">
        <v>0.81704138261163495</v>
      </c>
      <c r="E564" s="1249">
        <v>0.78195718129201996</v>
      </c>
      <c r="F564" s="1249">
        <v>0.74652406077434996</v>
      </c>
      <c r="G564" s="1249"/>
      <c r="H564" s="1249"/>
      <c r="N564" s="510"/>
      <c r="O564" s="510"/>
      <c r="P564" s="510"/>
      <c r="R564" s="1674"/>
      <c r="S564" s="1674"/>
      <c r="T564" s="1674"/>
    </row>
    <row r="565" spans="1:20" x14ac:dyDescent="0.25">
      <c r="A565" s="1249" t="s">
        <v>2956</v>
      </c>
      <c r="B565" s="1668">
        <v>0.92801309939335697</v>
      </c>
      <c r="C565" s="1668">
        <v>0.88015086139964804</v>
      </c>
      <c r="D565" s="1249">
        <v>0.83793480888537597</v>
      </c>
      <c r="E565" s="1249">
        <v>0.80150933015383996</v>
      </c>
      <c r="F565" s="1249">
        <v>0.76482103706278404</v>
      </c>
      <c r="G565" s="1249"/>
      <c r="H565" s="1249"/>
      <c r="N565" s="510"/>
      <c r="O565" s="510"/>
      <c r="P565" s="510"/>
      <c r="R565" s="1674"/>
      <c r="S565" s="1674"/>
      <c r="T565" s="1674"/>
    </row>
    <row r="566" spans="1:20" x14ac:dyDescent="0.25">
      <c r="A566" s="1249" t="s">
        <v>2957</v>
      </c>
      <c r="B566" s="1668">
        <v>0.949867133013089</v>
      </c>
      <c r="C566" s="1668">
        <v>0.90104428767338995</v>
      </c>
      <c r="D566" s="1249">
        <v>0.85748695774719697</v>
      </c>
      <c r="E566" s="1249">
        <v>0.81980630644227404</v>
      </c>
      <c r="F566" s="1249">
        <v>0.78194341801770995</v>
      </c>
      <c r="G566" s="1249"/>
      <c r="H566" s="1249"/>
      <c r="N566" s="510"/>
      <c r="O566" s="510"/>
      <c r="P566" s="510"/>
      <c r="R566" s="1674"/>
      <c r="S566" s="1674"/>
      <c r="T566" s="1674"/>
    </row>
    <row r="567" spans="1:20" x14ac:dyDescent="0.25">
      <c r="A567" s="1249" t="s">
        <v>2958</v>
      </c>
      <c r="B567" s="1668">
        <v>0.97076055928683003</v>
      </c>
      <c r="C567" s="1668">
        <v>0.92059643653520995</v>
      </c>
      <c r="D567" s="1249">
        <v>0.87578393403563004</v>
      </c>
      <c r="E567" s="1249">
        <v>0.83692868739720006</v>
      </c>
      <c r="F567" s="1249">
        <v>0.79796660813087295</v>
      </c>
      <c r="G567" s="1249"/>
      <c r="H567" s="1249"/>
      <c r="N567" s="510"/>
      <c r="O567" s="510"/>
      <c r="P567" s="510"/>
      <c r="R567" s="1674"/>
      <c r="S567" s="1674"/>
      <c r="T567" s="1674"/>
    </row>
    <row r="568" spans="1:20" x14ac:dyDescent="0.25">
      <c r="A568" s="1249" t="s">
        <v>2959</v>
      </c>
      <c r="B568" s="1668">
        <v>0.99031270814865102</v>
      </c>
      <c r="C568" s="1668">
        <v>0.93889341282364402</v>
      </c>
      <c r="D568" s="1249">
        <v>0.89290631499055595</v>
      </c>
      <c r="E568" s="1249">
        <v>0.85295187751036305</v>
      </c>
      <c r="F568" s="1249">
        <v>0.81296117121637101</v>
      </c>
      <c r="G568" s="1249"/>
      <c r="H568" s="1249"/>
      <c r="N568" s="510"/>
      <c r="O568" s="510"/>
      <c r="P568" s="510"/>
      <c r="R568" s="1674"/>
      <c r="S568" s="1674"/>
      <c r="T568" s="1674"/>
    </row>
    <row r="569" spans="1:20" x14ac:dyDescent="0.25">
      <c r="A569" s="1249" t="s">
        <v>2960</v>
      </c>
      <c r="B569" s="1668">
        <v>1.00860968443708</v>
      </c>
      <c r="C569" s="1668">
        <v>0.95601579377857004</v>
      </c>
      <c r="D569" s="1249">
        <v>0.90892950510371995</v>
      </c>
      <c r="E569" s="1249">
        <v>0.86794644059586101</v>
      </c>
      <c r="F569" s="1249">
        <v>0.82699314116349598</v>
      </c>
      <c r="G569" s="1249"/>
      <c r="H569" s="1249"/>
      <c r="N569" s="510"/>
      <c r="O569" s="510"/>
      <c r="P569" s="510"/>
      <c r="R569" s="1674"/>
      <c r="S569" s="1674"/>
      <c r="T569" s="1674"/>
    </row>
    <row r="570" spans="1:20" x14ac:dyDescent="0.25">
      <c r="A570" s="1249" t="s">
        <v>2961</v>
      </c>
      <c r="B570" s="1668">
        <v>1.0257320653920099</v>
      </c>
      <c r="C570" s="1668">
        <v>0.97203898389173304</v>
      </c>
      <c r="D570" s="1249">
        <v>0.92392406818921702</v>
      </c>
      <c r="E570" s="1249">
        <v>0.88197841054298598</v>
      </c>
      <c r="F570" s="1249">
        <v>0.84012431274044197</v>
      </c>
      <c r="G570" s="1249"/>
      <c r="H570" s="1249"/>
      <c r="N570" s="510"/>
      <c r="O570" s="510"/>
      <c r="P570" s="510"/>
      <c r="R570" s="1674"/>
      <c r="S570" s="1674"/>
      <c r="T570" s="1674"/>
    </row>
    <row r="571" spans="1:20" x14ac:dyDescent="0.25">
      <c r="A571" s="1249" t="s">
        <v>2962</v>
      </c>
      <c r="B571" s="1668">
        <v>1.0417552555051699</v>
      </c>
      <c r="C571" s="1668">
        <v>0.987033546977231</v>
      </c>
      <c r="D571" s="1249">
        <v>0.93795603813634199</v>
      </c>
      <c r="E571" s="1249">
        <v>0.89510958211993297</v>
      </c>
      <c r="F571" s="1249">
        <v>0.85241251372953697</v>
      </c>
      <c r="G571" s="1249"/>
      <c r="H571" s="1249"/>
      <c r="N571" s="510"/>
      <c r="O571" s="510"/>
      <c r="P571" s="510"/>
      <c r="R571" s="1674"/>
      <c r="S571" s="1674"/>
      <c r="T571" s="1674"/>
    </row>
    <row r="572" spans="1:20" x14ac:dyDescent="0.25">
      <c r="A572" s="1249" t="s">
        <v>2963</v>
      </c>
      <c r="B572" s="1668">
        <v>0.18880337799481101</v>
      </c>
      <c r="C572" s="1668">
        <v>0.17407237576085999</v>
      </c>
      <c r="D572" s="1249">
        <v>0.16558242106029</v>
      </c>
      <c r="E572" s="1249">
        <v>0.16266658871130099</v>
      </c>
      <c r="F572" s="1249">
        <v>0.15741256572722701</v>
      </c>
      <c r="G572" s="1249"/>
      <c r="H572" s="1249"/>
      <c r="N572" s="510"/>
      <c r="O572" s="510"/>
      <c r="P572" s="510"/>
      <c r="R572" s="1674"/>
      <c r="S572" s="1674"/>
      <c r="T572" s="1674"/>
    </row>
    <row r="573" spans="1:20" x14ac:dyDescent="0.25">
      <c r="A573" s="1249" t="s">
        <v>2964</v>
      </c>
      <c r="B573" s="1668">
        <v>1.0567498185906701</v>
      </c>
      <c r="C573" s="1668">
        <v>1.0010655169243601</v>
      </c>
      <c r="D573" s="1249">
        <v>0.95108720971328897</v>
      </c>
      <c r="E573" s="1249">
        <v>0.90739778310902697</v>
      </c>
      <c r="F573" s="1249">
        <v>0.86391185959243699</v>
      </c>
      <c r="G573" s="1249"/>
      <c r="H573" s="1249"/>
      <c r="N573" s="510"/>
      <c r="O573" s="510"/>
      <c r="P573" s="510"/>
      <c r="R573" s="1674"/>
      <c r="S573" s="1674"/>
      <c r="T573" s="1674"/>
    </row>
    <row r="574" spans="1:20" x14ac:dyDescent="0.25">
      <c r="A574" s="1249" t="s">
        <v>2965</v>
      </c>
      <c r="B574" s="1668">
        <v>0.243788647374301</v>
      </c>
      <c r="C574" s="1668">
        <v>0.22869189984830299</v>
      </c>
      <c r="D574" s="1249">
        <v>0.218644216304657</v>
      </c>
      <c r="E574" s="1249">
        <v>0.212397835106718</v>
      </c>
      <c r="F574" s="1249">
        <v>0.20390931618864</v>
      </c>
      <c r="G574" s="1249"/>
      <c r="H574" s="1249"/>
      <c r="N574" s="510"/>
      <c r="O574" s="510"/>
      <c r="P574" s="510"/>
      <c r="R574" s="1674"/>
      <c r="S574" s="1674"/>
      <c r="T574" s="1674"/>
    </row>
    <row r="575" spans="1:20" x14ac:dyDescent="0.25">
      <c r="A575" s="1249" t="s">
        <v>2966</v>
      </c>
      <c r="B575" s="1668">
        <v>0.29840817146174398</v>
      </c>
      <c r="C575" s="1668">
        <v>0.28175369509267101</v>
      </c>
      <c r="D575" s="1249">
        <v>0.26837546270007401</v>
      </c>
      <c r="E575" s="1249">
        <v>0.258894585568131</v>
      </c>
      <c r="F575" s="1249">
        <v>0.24769351829184699</v>
      </c>
      <c r="G575" s="1249"/>
      <c r="H575" s="1249"/>
      <c r="N575" s="510"/>
      <c r="O575" s="510"/>
      <c r="P575" s="510"/>
      <c r="R575" s="1674"/>
      <c r="S575" s="1674"/>
      <c r="T575" s="1674"/>
    </row>
    <row r="576" spans="1:20" x14ac:dyDescent="0.25">
      <c r="A576" s="1249" t="s">
        <v>2967</v>
      </c>
      <c r="B576" s="1668">
        <v>0.35146996670611202</v>
      </c>
      <c r="C576" s="1668">
        <v>0.33148494148808799</v>
      </c>
      <c r="D576" s="1249">
        <v>0.314872213161487</v>
      </c>
      <c r="E576" s="1249">
        <v>0.30267878767133699</v>
      </c>
      <c r="F576" s="1249">
        <v>0.28942023838796199</v>
      </c>
      <c r="G576" s="1249"/>
      <c r="H576" s="1249"/>
      <c r="N576" s="510"/>
      <c r="O576" s="510"/>
      <c r="P576" s="510"/>
      <c r="R576" s="1674"/>
      <c r="S576" s="1674"/>
      <c r="T576" s="1674"/>
    </row>
    <row r="577" spans="1:20" x14ac:dyDescent="0.25">
      <c r="A577" s="1249" t="s">
        <v>2968</v>
      </c>
      <c r="B577" s="1668">
        <v>0.40120121310152801</v>
      </c>
      <c r="C577" s="1668">
        <v>0.37798169194950099</v>
      </c>
      <c r="D577" s="1249">
        <v>0.358656415264693</v>
      </c>
      <c r="E577" s="1249">
        <v>0.34440550776745299</v>
      </c>
      <c r="F577" s="1249">
        <v>0.328791598955469</v>
      </c>
      <c r="G577" s="1249"/>
      <c r="H577" s="1249"/>
      <c r="N577" s="510"/>
      <c r="O577" s="510"/>
      <c r="P577" s="510"/>
      <c r="R577" s="1674"/>
      <c r="S577" s="1674"/>
      <c r="T577" s="1674"/>
    </row>
    <row r="578" spans="1:20" x14ac:dyDescent="0.25">
      <c r="A578" s="1249" t="s">
        <v>2969</v>
      </c>
      <c r="B578" s="1668">
        <v>0.447697963562941</v>
      </c>
      <c r="C578" s="1668">
        <v>0.42176589405270698</v>
      </c>
      <c r="D578" s="1249">
        <v>0.40038313536080899</v>
      </c>
      <c r="E578" s="1249">
        <v>0.383776868334959</v>
      </c>
      <c r="F578" s="1249">
        <v>0.36644890416021098</v>
      </c>
      <c r="G578" s="1249"/>
      <c r="H578" s="1249"/>
      <c r="N578" s="510"/>
      <c r="O578" s="510"/>
      <c r="P578" s="510"/>
      <c r="R578" s="1674"/>
      <c r="S578" s="1674"/>
      <c r="T578" s="1674"/>
    </row>
    <row r="579" spans="1:20" x14ac:dyDescent="0.25">
      <c r="A579" s="1249" t="s">
        <v>2970</v>
      </c>
      <c r="B579" s="1668">
        <v>0.491482165666148</v>
      </c>
      <c r="C579" s="1668">
        <v>0.46349261414882298</v>
      </c>
      <c r="D579" s="1249">
        <v>0.439754495928316</v>
      </c>
      <c r="E579" s="1249">
        <v>0.42143417353970197</v>
      </c>
      <c r="F579" s="1249">
        <v>0.40245079645492099</v>
      </c>
      <c r="G579" s="1249"/>
      <c r="H579" s="1249"/>
      <c r="N579" s="510"/>
      <c r="O579" s="510"/>
      <c r="P579" s="510"/>
      <c r="R579" s="1674"/>
      <c r="S579" s="1674"/>
      <c r="T579" s="1674"/>
    </row>
    <row r="580" spans="1:20" x14ac:dyDescent="0.25">
      <c r="A580" s="1249" t="s">
        <v>2971</v>
      </c>
      <c r="B580" s="1668">
        <v>6.6098903215431201E-2</v>
      </c>
      <c r="C580" s="1668">
        <v>6.185560847410744E-2</v>
      </c>
      <c r="D580" s="1249">
        <v>5.5872641343812285E-2</v>
      </c>
      <c r="E580" s="1249">
        <v>4.9403089974068823E-2</v>
      </c>
      <c r="F580" s="1249">
        <v>4.8594385516091347E-2</v>
      </c>
      <c r="G580" s="1249"/>
      <c r="H580" s="1249"/>
      <c r="N580" s="510"/>
      <c r="O580" s="510"/>
      <c r="P580" s="510"/>
      <c r="R580" s="1674"/>
      <c r="S580" s="1674"/>
      <c r="T580" s="1674"/>
    </row>
    <row r="581" spans="1:20" x14ac:dyDescent="0.25">
      <c r="A581" s="1249" t="s">
        <v>2972</v>
      </c>
      <c r="B581" s="1668">
        <v>0.50106019485349695</v>
      </c>
      <c r="C581" s="1668">
        <v>0.47184990651739783</v>
      </c>
      <c r="D581" s="1249">
        <v>0.44478369094442571</v>
      </c>
      <c r="E581" s="1249">
        <v>0.42218873608745633</v>
      </c>
      <c r="F581" s="1249">
        <v>0.4046025893104408</v>
      </c>
      <c r="G581" s="1249"/>
      <c r="H581" s="1249"/>
      <c r="N581" s="510"/>
      <c r="O581" s="510"/>
      <c r="P581" s="510"/>
      <c r="R581" s="1674"/>
      <c r="S581" s="1674"/>
      <c r="T581" s="1674"/>
    </row>
    <row r="582" spans="1:20" x14ac:dyDescent="0.25">
      <c r="A582" s="1249" t="s">
        <v>2973</v>
      </c>
      <c r="B582" s="1668">
        <v>0.53794880973282921</v>
      </c>
      <c r="C582" s="1668">
        <v>0.50663929941853325</v>
      </c>
      <c r="D582" s="1249">
        <v>0.47806137743126853</v>
      </c>
      <c r="E582" s="1249">
        <v>0.45400567928450963</v>
      </c>
      <c r="F582" s="1249">
        <v>0.43480545254789443</v>
      </c>
      <c r="G582" s="1249"/>
      <c r="H582" s="1249"/>
      <c r="N582" s="510"/>
      <c r="O582" s="510"/>
      <c r="P582" s="510"/>
      <c r="R582" s="1674"/>
      <c r="S582" s="1674"/>
      <c r="T582" s="1674"/>
    </row>
    <row r="583" spans="1:20" x14ac:dyDescent="0.25">
      <c r="A583" s="1249" t="s">
        <v>2974</v>
      </c>
      <c r="B583" s="1668">
        <v>0.57273820263396447</v>
      </c>
      <c r="C583" s="1668">
        <v>0.53991698590537596</v>
      </c>
      <c r="D583" s="1249">
        <v>0.50987832062832195</v>
      </c>
      <c r="E583" s="1249">
        <v>0.48420854252196316</v>
      </c>
      <c r="F583" s="1249">
        <v>0.46368247758711628</v>
      </c>
      <c r="G583" s="1249"/>
      <c r="H583" s="1249"/>
      <c r="N583" s="510"/>
      <c r="O583" s="510"/>
      <c r="P583" s="510"/>
      <c r="R583" s="1674"/>
      <c r="S583" s="1674"/>
      <c r="T583" s="1674"/>
    </row>
    <row r="584" spans="1:20" x14ac:dyDescent="0.25">
      <c r="A584" s="1249" t="s">
        <v>2975</v>
      </c>
      <c r="B584" s="1668">
        <v>0.60601588912080717</v>
      </c>
      <c r="C584" s="1668">
        <v>0.57173392910242937</v>
      </c>
      <c r="D584" s="1249">
        <v>0.54008118386577553</v>
      </c>
      <c r="E584" s="1249">
        <v>0.51308556756118517</v>
      </c>
      <c r="F584" s="1249">
        <v>0.49129189291290604</v>
      </c>
      <c r="G584" s="1249"/>
      <c r="H584" s="1249"/>
      <c r="N584" s="510"/>
      <c r="O584" s="510"/>
      <c r="P584" s="510"/>
      <c r="R584" s="1674"/>
      <c r="S584" s="1674"/>
      <c r="T584" s="1674"/>
    </row>
    <row r="585" spans="1:20" x14ac:dyDescent="0.25">
      <c r="A585" s="1249" t="s">
        <v>2976</v>
      </c>
      <c r="B585" s="1668">
        <v>0.6378328323178607</v>
      </c>
      <c r="C585" s="1668">
        <v>0.60193679233988284</v>
      </c>
      <c r="D585" s="1249">
        <v>0.56895820890499738</v>
      </c>
      <c r="E585" s="1249">
        <v>0.54069498288697482</v>
      </c>
      <c r="F585" s="1249">
        <v>0.51768936849844716</v>
      </c>
      <c r="G585" s="1249"/>
      <c r="H585" s="1249"/>
      <c r="N585" s="510"/>
      <c r="O585" s="510"/>
      <c r="P585" s="510"/>
      <c r="R585" s="1674"/>
      <c r="S585" s="1674"/>
      <c r="T585" s="1674"/>
    </row>
    <row r="586" spans="1:20" x14ac:dyDescent="0.25">
      <c r="A586" s="1249" t="s">
        <v>2977</v>
      </c>
      <c r="B586" s="1668">
        <v>0.66803569555531417</v>
      </c>
      <c r="C586" s="1668">
        <v>0.6308138173791048</v>
      </c>
      <c r="D586" s="1249">
        <v>0.59656762423078713</v>
      </c>
      <c r="E586" s="1249">
        <v>0.5670924584725161</v>
      </c>
      <c r="F586" s="1249">
        <v>0.54292812827888848</v>
      </c>
      <c r="G586" s="1249"/>
      <c r="H586" s="1249"/>
      <c r="N586" s="510"/>
      <c r="O586" s="510"/>
      <c r="P586" s="510"/>
      <c r="R586" s="1674"/>
      <c r="S586" s="1674"/>
      <c r="T586" s="1674"/>
    </row>
    <row r="587" spans="1:20" x14ac:dyDescent="0.25">
      <c r="A587" s="1249" t="s">
        <v>2978</v>
      </c>
      <c r="B587" s="1668">
        <v>0.69691272059453602</v>
      </c>
      <c r="C587" s="1668">
        <v>0.65842323270489456</v>
      </c>
      <c r="D587" s="1249">
        <v>0.62296509981632842</v>
      </c>
      <c r="E587" s="1249">
        <v>0.59233121825295698</v>
      </c>
      <c r="F587" s="1249">
        <v>0.56705905767807019</v>
      </c>
      <c r="G587" s="1249"/>
      <c r="H587" s="1249"/>
      <c r="N587" s="510"/>
      <c r="O587" s="510"/>
      <c r="P587" s="510"/>
      <c r="R587" s="1674"/>
      <c r="S587" s="1674"/>
      <c r="T587" s="1674"/>
    </row>
    <row r="588" spans="1:20" x14ac:dyDescent="0.25">
      <c r="A588" s="1249" t="s">
        <v>2979</v>
      </c>
      <c r="B588" s="1668">
        <v>0.72452213592032566</v>
      </c>
      <c r="C588" s="1668">
        <v>0.68482070829043573</v>
      </c>
      <c r="D588" s="1249">
        <v>0.64820385959676952</v>
      </c>
      <c r="E588" s="1249">
        <v>0.61646214765213891</v>
      </c>
      <c r="F588" s="1249">
        <v>0.59017637551474922</v>
      </c>
      <c r="G588" s="1249"/>
      <c r="H588" s="1249"/>
      <c r="N588" s="510"/>
      <c r="O588" s="510"/>
      <c r="P588" s="510"/>
      <c r="R588" s="1674"/>
      <c r="S588" s="1674"/>
      <c r="T588" s="1674"/>
    </row>
    <row r="589" spans="1:20" x14ac:dyDescent="0.25">
      <c r="A589" s="1249" t="s">
        <v>2980</v>
      </c>
      <c r="B589" s="1668">
        <v>0.75091961150586695</v>
      </c>
      <c r="C589" s="1668">
        <v>0.71005946807087694</v>
      </c>
      <c r="D589" s="1249">
        <v>0.67233478899595123</v>
      </c>
      <c r="E589" s="1249">
        <v>0.63957946548881817</v>
      </c>
      <c r="F589" s="1249">
        <v>0.61227895246696207</v>
      </c>
      <c r="G589" s="1249"/>
      <c r="H589" s="1249"/>
      <c r="N589" s="510"/>
      <c r="O589" s="510"/>
      <c r="P589" s="510"/>
      <c r="R589" s="1674"/>
      <c r="S589" s="1674"/>
      <c r="T589" s="1674"/>
    </row>
    <row r="590" spans="1:20" x14ac:dyDescent="0.25">
      <c r="A590" s="1249" t="s">
        <v>2981</v>
      </c>
      <c r="B590" s="1668">
        <v>0.77615837128630794</v>
      </c>
      <c r="C590" s="1668">
        <v>0.73419039747005888</v>
      </c>
      <c r="D590" s="1249">
        <v>0.69545210683263037</v>
      </c>
      <c r="E590" s="1249">
        <v>0.66168204244103079</v>
      </c>
      <c r="F590" s="1249">
        <v>0.63341135158144957</v>
      </c>
      <c r="G590" s="1249"/>
      <c r="H590" s="1249"/>
      <c r="N590" s="510"/>
      <c r="O590" s="510"/>
      <c r="P590" s="510"/>
      <c r="R590" s="1674"/>
      <c r="S590" s="1674"/>
      <c r="T590" s="1674"/>
    </row>
    <row r="591" spans="1:20" x14ac:dyDescent="0.25">
      <c r="A591" s="1249" t="s">
        <v>2982</v>
      </c>
      <c r="B591" s="1668">
        <v>0.12795451168953864</v>
      </c>
      <c r="C591" s="1668">
        <v>0.11772824981791973</v>
      </c>
      <c r="D591" s="1249">
        <v>0.10527573131788111</v>
      </c>
      <c r="E591" s="1249">
        <v>9.7997475490160177E-2</v>
      </c>
      <c r="F591" s="1249">
        <v>9.6948009509917082E-2</v>
      </c>
      <c r="G591" s="1249"/>
      <c r="H591" s="1249"/>
      <c r="N591" s="510"/>
      <c r="O591" s="510"/>
      <c r="P591" s="510"/>
      <c r="R591" s="1674"/>
      <c r="S591" s="1674"/>
      <c r="T591" s="1674"/>
    </row>
    <row r="592" spans="1:20" x14ac:dyDescent="0.25">
      <c r="A592" s="1249" t="s">
        <v>2983</v>
      </c>
      <c r="B592" s="1668">
        <v>0.80028930068548987</v>
      </c>
      <c r="C592" s="1668">
        <v>0.75730771530673802</v>
      </c>
      <c r="D592" s="1249">
        <v>0.71755468378484288</v>
      </c>
      <c r="E592" s="1249">
        <v>0.6828144415555184</v>
      </c>
      <c r="F592" s="1249">
        <v>0.6536161779576567</v>
      </c>
      <c r="G592" s="1249"/>
      <c r="H592" s="1249"/>
      <c r="N592" s="510"/>
      <c r="O592" s="510"/>
      <c r="P592" s="510"/>
      <c r="R592" s="1674"/>
      <c r="S592" s="1674"/>
      <c r="T592" s="1674"/>
    </row>
    <row r="593" spans="1:20" x14ac:dyDescent="0.25">
      <c r="A593" s="1249" t="s">
        <v>2984</v>
      </c>
      <c r="B593" s="1668">
        <v>0.82340661852216901</v>
      </c>
      <c r="C593" s="1668">
        <v>0.77941029225895053</v>
      </c>
      <c r="D593" s="1249">
        <v>0.73868708289933094</v>
      </c>
      <c r="E593" s="1249">
        <v>0.70301926793172542</v>
      </c>
      <c r="F593" s="1249">
        <v>0.67293416481495794</v>
      </c>
      <c r="G593" s="1249"/>
      <c r="H593" s="1249"/>
      <c r="N593" s="510"/>
      <c r="O593" s="510"/>
      <c r="P593" s="510"/>
      <c r="R593" s="1674"/>
      <c r="S593" s="1674"/>
      <c r="T593" s="1674"/>
    </row>
    <row r="594" spans="1:20" x14ac:dyDescent="0.25">
      <c r="A594" s="1249" t="s">
        <v>2985</v>
      </c>
      <c r="B594" s="1668">
        <v>0.84550919547438164</v>
      </c>
      <c r="C594" s="1668">
        <v>0.80054269137343814</v>
      </c>
      <c r="D594" s="1249">
        <v>0.75889190927553762</v>
      </c>
      <c r="E594" s="1249">
        <v>0.72233725478902699</v>
      </c>
      <c r="F594" s="1249">
        <v>0.69101201139674873</v>
      </c>
      <c r="G594" s="1249"/>
      <c r="H594" s="1249"/>
      <c r="N594" s="510"/>
      <c r="O594" s="510"/>
      <c r="P594" s="510"/>
      <c r="R594" s="1674"/>
      <c r="S594" s="1674"/>
      <c r="T594" s="1674"/>
    </row>
    <row r="595" spans="1:20" x14ac:dyDescent="0.25">
      <c r="A595" s="1249" t="s">
        <v>2986</v>
      </c>
      <c r="B595" s="1668">
        <v>0.86664159458886958</v>
      </c>
      <c r="C595" s="1668">
        <v>0.82074751774964538</v>
      </c>
      <c r="D595" s="1249">
        <v>0.7782098961328392</v>
      </c>
      <c r="E595" s="1249">
        <v>0.74041510137081756</v>
      </c>
      <c r="F595" s="1249">
        <v>0.7079293299273407</v>
      </c>
      <c r="G595" s="1249"/>
      <c r="H595" s="1249"/>
      <c r="N595" s="510"/>
      <c r="O595" s="510"/>
      <c r="P595" s="510"/>
      <c r="R595" s="1674"/>
      <c r="S595" s="1674"/>
      <c r="T595" s="1674"/>
    </row>
    <row r="596" spans="1:20" x14ac:dyDescent="0.25">
      <c r="A596" s="1249" t="s">
        <v>2987</v>
      </c>
      <c r="B596" s="1668">
        <v>0.88684642096507638</v>
      </c>
      <c r="C596" s="1668">
        <v>0.84006550460694662</v>
      </c>
      <c r="D596" s="1249">
        <v>0.79628774271462999</v>
      </c>
      <c r="E596" s="1249">
        <v>0.75733241990140954</v>
      </c>
      <c r="F596" s="1249">
        <v>0.72376062183319123</v>
      </c>
      <c r="G596" s="1249"/>
      <c r="H596" s="1249"/>
      <c r="N596" s="510"/>
      <c r="O596" s="510"/>
      <c r="P596" s="510"/>
      <c r="R596" s="1674"/>
      <c r="S596" s="1674"/>
      <c r="T596" s="1674"/>
    </row>
    <row r="597" spans="1:20" x14ac:dyDescent="0.25">
      <c r="A597" s="1249" t="s">
        <v>2988</v>
      </c>
      <c r="B597" s="1668">
        <v>0.90616440782237795</v>
      </c>
      <c r="C597" s="1668">
        <v>0.85814335118873741</v>
      </c>
      <c r="D597" s="1249">
        <v>0.81320506124522207</v>
      </c>
      <c r="E597" s="1249">
        <v>0.77316371180726007</v>
      </c>
      <c r="F597" s="1249">
        <v>0.73857560583642068</v>
      </c>
      <c r="G597" s="1249"/>
      <c r="H597" s="1249"/>
      <c r="N597" s="510"/>
      <c r="O597" s="510"/>
      <c r="P597" s="510"/>
      <c r="R597" s="1674"/>
      <c r="S597" s="1674"/>
      <c r="T597" s="1674"/>
    </row>
    <row r="598" spans="1:20" x14ac:dyDescent="0.25">
      <c r="A598" s="1249" t="s">
        <v>2989</v>
      </c>
      <c r="B598" s="1668">
        <v>0.18382715303335095</v>
      </c>
      <c r="C598" s="1668">
        <v>0.16713133979198855</v>
      </c>
      <c r="D598" s="1249">
        <v>0.15387011683397245</v>
      </c>
      <c r="E598" s="1249">
        <v>0.14635109948398586</v>
      </c>
      <c r="F598" s="1249">
        <v>0.14395842214707397</v>
      </c>
      <c r="G598" s="1249"/>
      <c r="H598" s="1249"/>
      <c r="N598" s="510"/>
      <c r="O598" s="510"/>
      <c r="P598" s="510"/>
      <c r="R598" s="1674"/>
      <c r="S598" s="1674"/>
      <c r="T598" s="1674"/>
    </row>
    <row r="599" spans="1:20" x14ac:dyDescent="0.25">
      <c r="A599" s="1249" t="s">
        <v>2990</v>
      </c>
      <c r="B599" s="1668">
        <v>0.23323024300741971</v>
      </c>
      <c r="C599" s="1668">
        <v>0.2157257253080799</v>
      </c>
      <c r="D599" s="1249">
        <v>0.20222374082779818</v>
      </c>
      <c r="E599" s="1249">
        <v>0.19336151212114283</v>
      </c>
      <c r="F599" s="1249">
        <v>0.18798836714955569</v>
      </c>
      <c r="G599" s="1249"/>
      <c r="H599" s="1249"/>
      <c r="N599" s="510"/>
      <c r="O599" s="510"/>
      <c r="P599" s="510"/>
      <c r="R599" s="1674"/>
      <c r="S599" s="1674"/>
      <c r="T599" s="1674"/>
    </row>
    <row r="600" spans="1:20" x14ac:dyDescent="0.25">
      <c r="A600" s="1249" t="s">
        <v>2991</v>
      </c>
      <c r="B600" s="1668">
        <v>0.28182462852351109</v>
      </c>
      <c r="C600" s="1668">
        <v>0.26407934930190557</v>
      </c>
      <c r="D600" s="1249">
        <v>0.24923415346495512</v>
      </c>
      <c r="E600" s="1249">
        <v>0.23739145712362444</v>
      </c>
      <c r="F600" s="1249">
        <v>0.2291198453285635</v>
      </c>
      <c r="G600" s="1249"/>
      <c r="H600" s="1249"/>
      <c r="N600" s="510"/>
      <c r="O600" s="510"/>
      <c r="P600" s="510"/>
      <c r="R600" s="1674"/>
      <c r="S600" s="1674"/>
      <c r="T600" s="1674"/>
    </row>
    <row r="601" spans="1:20" x14ac:dyDescent="0.25">
      <c r="A601" s="1249" t="s">
        <v>2992</v>
      </c>
      <c r="B601" s="1668">
        <v>0.33017825251733685</v>
      </c>
      <c r="C601" s="1668">
        <v>0.31108976193906246</v>
      </c>
      <c r="D601" s="1249">
        <v>0.29326409846743678</v>
      </c>
      <c r="E601" s="1249">
        <v>0.27852293530263234</v>
      </c>
      <c r="F601" s="1249">
        <v>0.26782995184607711</v>
      </c>
      <c r="G601" s="1249"/>
      <c r="H601" s="1249"/>
      <c r="N601" s="510"/>
      <c r="O601" s="510"/>
      <c r="P601" s="510"/>
      <c r="R601" s="1674"/>
      <c r="S601" s="1674"/>
      <c r="T601" s="1674"/>
    </row>
    <row r="602" spans="1:20" x14ac:dyDescent="0.25">
      <c r="A602" s="1249" t="s">
        <v>2993</v>
      </c>
      <c r="B602" s="1668">
        <v>0.37718866515449362</v>
      </c>
      <c r="C602" s="1668">
        <v>0.35511970694154416</v>
      </c>
      <c r="D602" s="1249">
        <v>0.33439557664644465</v>
      </c>
      <c r="E602" s="1249">
        <v>0.31723304182014589</v>
      </c>
      <c r="F602" s="1249">
        <v>0.30471856672540937</v>
      </c>
      <c r="G602" s="1249"/>
      <c r="H602" s="1249"/>
      <c r="N602" s="510"/>
      <c r="O602" s="510"/>
      <c r="P602" s="510"/>
      <c r="R602" s="1674"/>
      <c r="S602" s="1674"/>
      <c r="T602" s="1674"/>
    </row>
    <row r="603" spans="1:20" x14ac:dyDescent="0.25">
      <c r="A603" s="1249" t="s">
        <v>2994</v>
      </c>
      <c r="B603" s="1668">
        <v>0.42121861015697543</v>
      </c>
      <c r="C603" s="1668">
        <v>0.39625118512055213</v>
      </c>
      <c r="D603" s="1249">
        <v>0.3731056831639582</v>
      </c>
      <c r="E603" s="1249">
        <v>0.35412165669947809</v>
      </c>
      <c r="F603" s="1249">
        <v>0.33950795962654468</v>
      </c>
      <c r="G603" s="1249"/>
      <c r="H603" s="1249"/>
      <c r="N603" s="510"/>
      <c r="O603" s="510"/>
      <c r="P603" s="510"/>
      <c r="R603" s="1674"/>
      <c r="S603" s="1674"/>
      <c r="T603" s="1674"/>
    </row>
    <row r="604" spans="1:20" x14ac:dyDescent="0.25">
      <c r="A604" s="1249" t="s">
        <v>2995</v>
      </c>
      <c r="B604" s="1668">
        <v>0.46235008833598312</v>
      </c>
      <c r="C604" s="1668">
        <v>0.43496129163806563</v>
      </c>
      <c r="D604" s="1249">
        <v>0.40999429804329035</v>
      </c>
      <c r="E604" s="1249">
        <v>0.38891104960061351</v>
      </c>
      <c r="F604" s="1249">
        <v>0.37278564611338744</v>
      </c>
      <c r="G604" s="1249"/>
      <c r="H604" s="1249"/>
      <c r="N604" s="510"/>
      <c r="O604" s="510"/>
      <c r="P604" s="510"/>
      <c r="R604" s="1674"/>
      <c r="S604" s="1674"/>
      <c r="T604" s="1674"/>
    </row>
    <row r="605" spans="1:20" x14ac:dyDescent="0.25">
      <c r="A605" s="1249" t="s">
        <v>2996</v>
      </c>
      <c r="B605" s="1668">
        <v>6.9716271613440697E-2</v>
      </c>
      <c r="C605" s="1668">
        <v>6.3109478788013804E-2</v>
      </c>
      <c r="D605" s="1249">
        <v>5.59776275933562E-2</v>
      </c>
      <c r="E605" s="1249">
        <v>5.4985269379490498E-2</v>
      </c>
      <c r="F605" s="1249">
        <v>5.4619524087442903E-2</v>
      </c>
      <c r="G605" s="1249"/>
      <c r="H605" s="1249"/>
      <c r="N605" s="510"/>
      <c r="O605" s="510"/>
      <c r="P605" s="510"/>
      <c r="R605" s="1674"/>
      <c r="S605" s="1674"/>
      <c r="T605" s="1674"/>
    </row>
    <row r="606" spans="1:20" x14ac:dyDescent="0.25">
      <c r="A606" s="1249" t="s">
        <v>2997</v>
      </c>
      <c r="B606" s="1668">
        <v>0.533208885762264</v>
      </c>
      <c r="C606" s="1668">
        <v>0.50286397471632904</v>
      </c>
      <c r="D606" s="1249">
        <v>0.47741180113305798</v>
      </c>
      <c r="E606" s="1249">
        <v>0.45743606583441199</v>
      </c>
      <c r="F606" s="1249">
        <v>0.436633971133562</v>
      </c>
      <c r="G606" s="1249"/>
      <c r="H606" s="1249"/>
      <c r="N606" s="510"/>
      <c r="O606" s="510"/>
      <c r="P606" s="510"/>
      <c r="R606" s="1674"/>
      <c r="S606" s="1674"/>
      <c r="T606" s="1674"/>
    </row>
    <row r="607" spans="1:20" x14ac:dyDescent="0.25">
      <c r="A607" s="1249" t="s">
        <v>2998</v>
      </c>
      <c r="B607" s="1668">
        <v>0.57258024632977</v>
      </c>
      <c r="C607" s="1668">
        <v>0.54052127992107202</v>
      </c>
      <c r="D607" s="1249">
        <v>0.51341369342776799</v>
      </c>
      <c r="E607" s="1249">
        <v>0.491619240513052</v>
      </c>
      <c r="F607" s="1249">
        <v>0.46931437560960099</v>
      </c>
      <c r="G607" s="1249"/>
      <c r="H607" s="1249"/>
      <c r="N607" s="510"/>
      <c r="O607" s="510"/>
      <c r="P607" s="510"/>
      <c r="R607" s="1674"/>
      <c r="S607" s="1674"/>
      <c r="T607" s="1674"/>
    </row>
    <row r="608" spans="1:20" x14ac:dyDescent="0.25">
      <c r="A608" s="1249" t="s">
        <v>2999</v>
      </c>
      <c r="B608" s="1668">
        <v>0.61023755153451198</v>
      </c>
      <c r="C608" s="1668">
        <v>0.57652317221578198</v>
      </c>
      <c r="D608" s="1249">
        <v>0.54759686810640795</v>
      </c>
      <c r="E608" s="1249">
        <v>0.52429964498909098</v>
      </c>
      <c r="F608" s="1249">
        <v>0.50055810790656297</v>
      </c>
      <c r="G608" s="1249"/>
      <c r="H608" s="1249"/>
      <c r="N608" s="510"/>
      <c r="O608" s="510"/>
      <c r="P608" s="510"/>
      <c r="R608" s="1674"/>
      <c r="S608" s="1674"/>
      <c r="T608" s="1674"/>
    </row>
    <row r="609" spans="1:20" x14ac:dyDescent="0.25">
      <c r="A609" s="1249" t="s">
        <v>3000</v>
      </c>
      <c r="B609" s="1668">
        <v>0.64623944382922305</v>
      </c>
      <c r="C609" s="1668">
        <v>0.61070634689442205</v>
      </c>
      <c r="D609" s="1249">
        <v>0.58027727258244699</v>
      </c>
      <c r="E609" s="1249">
        <v>0.55554337728605296</v>
      </c>
      <c r="F609" s="1249">
        <v>0.53042835731331395</v>
      </c>
      <c r="G609" s="1249"/>
      <c r="H609" s="1249"/>
      <c r="N609" s="510"/>
      <c r="O609" s="510"/>
      <c r="P609" s="510"/>
      <c r="R609" s="1674"/>
      <c r="S609" s="1674"/>
      <c r="T609" s="1674"/>
    </row>
    <row r="610" spans="1:20" x14ac:dyDescent="0.25">
      <c r="A610" s="1249" t="s">
        <v>3001</v>
      </c>
      <c r="B610" s="1668">
        <v>0.68042261850786301</v>
      </c>
      <c r="C610" s="1668">
        <v>0.64338675137046097</v>
      </c>
      <c r="D610" s="1249">
        <v>0.61152100487940897</v>
      </c>
      <c r="E610" s="1249">
        <v>0.58541362669280395</v>
      </c>
      <c r="F610" s="1249">
        <v>0.55898553245286198</v>
      </c>
      <c r="G610" s="1249"/>
      <c r="H610" s="1249"/>
      <c r="N610" s="510"/>
      <c r="O610" s="510"/>
      <c r="P610" s="510"/>
      <c r="R610" s="1674"/>
      <c r="S610" s="1674"/>
      <c r="T610" s="1674"/>
    </row>
    <row r="611" spans="1:20" x14ac:dyDescent="0.25">
      <c r="A611" s="1249" t="s">
        <v>3002</v>
      </c>
      <c r="B611" s="1668">
        <v>0.71310302298390205</v>
      </c>
      <c r="C611" s="1668">
        <v>0.67463048366742295</v>
      </c>
      <c r="D611" s="1249">
        <v>0.64139125428615995</v>
      </c>
      <c r="E611" s="1249">
        <v>0.61397080183235198</v>
      </c>
      <c r="F611" s="1249">
        <v>0.58628738370945699</v>
      </c>
      <c r="G611" s="1249"/>
      <c r="H611" s="1249"/>
      <c r="N611" s="510"/>
      <c r="O611" s="510"/>
      <c r="P611" s="510"/>
      <c r="R611" s="1674"/>
      <c r="S611" s="1674"/>
      <c r="T611" s="1674"/>
    </row>
    <row r="612" spans="1:20" x14ac:dyDescent="0.25">
      <c r="A612" s="1249" t="s">
        <v>3003</v>
      </c>
      <c r="B612" s="1668">
        <v>0.74434675528086403</v>
      </c>
      <c r="C612" s="1668">
        <v>0.70450073307417405</v>
      </c>
      <c r="D612" s="1249">
        <v>0.66994842942570798</v>
      </c>
      <c r="E612" s="1249">
        <v>0.64127265308894699</v>
      </c>
      <c r="F612" s="1249">
        <v>0.61244655111442303</v>
      </c>
      <c r="G612" s="1249"/>
      <c r="H612" s="1249"/>
      <c r="N612" s="510"/>
      <c r="O612" s="510"/>
      <c r="P612" s="510"/>
      <c r="R612" s="1674"/>
      <c r="S612" s="1674"/>
      <c r="T612" s="1674"/>
    </row>
    <row r="613" spans="1:20" x14ac:dyDescent="0.25">
      <c r="A613" s="1249" t="s">
        <v>3004</v>
      </c>
      <c r="B613" s="1668">
        <v>0.77421700468761501</v>
      </c>
      <c r="C613" s="1668">
        <v>0.73305790821372196</v>
      </c>
      <c r="D613" s="1249">
        <v>0.69725028068230299</v>
      </c>
      <c r="E613" s="1249">
        <v>0.66743182049391403</v>
      </c>
      <c r="F613" s="1249">
        <v>0.637455771710566</v>
      </c>
      <c r="G613" s="1249"/>
      <c r="H613" s="1249"/>
      <c r="N613" s="510"/>
      <c r="O613" s="510"/>
      <c r="P613" s="510"/>
      <c r="R613" s="1674"/>
      <c r="S613" s="1674"/>
      <c r="T613" s="1674"/>
    </row>
    <row r="614" spans="1:20" x14ac:dyDescent="0.25">
      <c r="A614" s="1249" t="s">
        <v>3005</v>
      </c>
      <c r="B614" s="1668">
        <v>0.80277417982716304</v>
      </c>
      <c r="C614" s="1668">
        <v>0.76035975947031798</v>
      </c>
      <c r="D614" s="1249">
        <v>0.72340944808727004</v>
      </c>
      <c r="E614" s="1249">
        <v>0.692441041090057</v>
      </c>
      <c r="F614" s="1249">
        <v>0.66136562176815406</v>
      </c>
      <c r="G614" s="1249"/>
      <c r="H614" s="1249"/>
      <c r="N614" s="510"/>
      <c r="O614" s="510"/>
      <c r="P614" s="510"/>
      <c r="R614" s="1674"/>
      <c r="S614" s="1674"/>
      <c r="T614" s="1674"/>
    </row>
    <row r="615" spans="1:20" x14ac:dyDescent="0.25">
      <c r="A615" s="1249" t="s">
        <v>3006</v>
      </c>
      <c r="B615" s="1668">
        <v>0.83007603108375805</v>
      </c>
      <c r="C615" s="1668">
        <v>0.78651892687528402</v>
      </c>
      <c r="D615" s="1249">
        <v>0.748418668683413</v>
      </c>
      <c r="E615" s="1249">
        <v>0.71635089114764505</v>
      </c>
      <c r="F615" s="1249">
        <v>0.68422445201905602</v>
      </c>
      <c r="G615" s="1249"/>
      <c r="H615" s="1249"/>
      <c r="N615" s="510"/>
      <c r="O615" s="510"/>
      <c r="P615" s="510"/>
      <c r="R615" s="1674"/>
      <c r="S615" s="1674"/>
      <c r="T615" s="1674"/>
    </row>
    <row r="616" spans="1:20" x14ac:dyDescent="0.25">
      <c r="A616" s="1249" t="s">
        <v>3007</v>
      </c>
      <c r="B616" s="1668">
        <v>0.132825750401454</v>
      </c>
      <c r="C616" s="1668">
        <v>0.11908710638137</v>
      </c>
      <c r="D616" s="1249">
        <v>0.110962896972847</v>
      </c>
      <c r="E616" s="1249">
        <v>0.109604793466933</v>
      </c>
      <c r="F616" s="1249">
        <v>0.10768131933181101</v>
      </c>
      <c r="G616" s="1249"/>
      <c r="H616" s="1249"/>
      <c r="N616" s="510"/>
      <c r="O616" s="510"/>
      <c r="P616" s="510"/>
      <c r="R616" s="1674"/>
      <c r="S616" s="1674"/>
      <c r="T616" s="1674"/>
    </row>
    <row r="617" spans="1:20" x14ac:dyDescent="0.25">
      <c r="A617" s="1249" t="s">
        <v>3008</v>
      </c>
      <c r="B617" s="1668">
        <v>0.85623519848872498</v>
      </c>
      <c r="C617" s="1668">
        <v>0.81152814747142699</v>
      </c>
      <c r="D617" s="1249">
        <v>0.77232851874100095</v>
      </c>
      <c r="E617" s="1249">
        <v>0.73920972139854602</v>
      </c>
      <c r="F617" s="1249">
        <v>0.70607848563878794</v>
      </c>
      <c r="G617" s="1249"/>
      <c r="H617" s="1249"/>
      <c r="N617" s="510"/>
      <c r="O617" s="510"/>
      <c r="P617" s="510"/>
      <c r="R617" s="1674"/>
      <c r="S617" s="1674"/>
      <c r="T617" s="1674"/>
    </row>
    <row r="618" spans="1:20" x14ac:dyDescent="0.25">
      <c r="A618" s="1249" t="s">
        <v>3009</v>
      </c>
      <c r="B618" s="1668">
        <v>0.88124441908486695</v>
      </c>
      <c r="C618" s="1668">
        <v>0.83543799752901504</v>
      </c>
      <c r="D618" s="1249">
        <v>0.79518734899190302</v>
      </c>
      <c r="E618" s="1249">
        <v>0.76106375501827805</v>
      </c>
      <c r="F618" s="1249">
        <v>0.72697191191252897</v>
      </c>
      <c r="G618" s="1249"/>
      <c r="H618" s="1249"/>
      <c r="N618" s="510"/>
      <c r="O618" s="510"/>
      <c r="P618" s="510"/>
      <c r="R618" s="1674"/>
      <c r="S618" s="1674"/>
      <c r="T618" s="1674"/>
    </row>
    <row r="619" spans="1:20" x14ac:dyDescent="0.25">
      <c r="A619" s="1249" t="s">
        <v>3010</v>
      </c>
      <c r="B619" s="1668">
        <v>0.905154269142456</v>
      </c>
      <c r="C619" s="1668">
        <v>0.858296827779917</v>
      </c>
      <c r="D619" s="1249">
        <v>0.81704138261163495</v>
      </c>
      <c r="E619" s="1249">
        <v>0.78195718129201996</v>
      </c>
      <c r="F619" s="1249">
        <v>0.74652406077434996</v>
      </c>
      <c r="G619" s="1249"/>
      <c r="H619" s="1249"/>
      <c r="N619" s="510"/>
      <c r="O619" s="510"/>
      <c r="P619" s="510"/>
      <c r="R619" s="1674"/>
      <c r="S619" s="1674"/>
      <c r="T619" s="1674"/>
    </row>
    <row r="620" spans="1:20" x14ac:dyDescent="0.25">
      <c r="A620" s="1249" t="s">
        <v>3011</v>
      </c>
      <c r="B620" s="1668">
        <v>0.92801309939335697</v>
      </c>
      <c r="C620" s="1668">
        <v>0.88015086139964804</v>
      </c>
      <c r="D620" s="1249">
        <v>0.83793480888537597</v>
      </c>
      <c r="E620" s="1249">
        <v>0.80150933015383996</v>
      </c>
      <c r="F620" s="1249">
        <v>0.76482103706278404</v>
      </c>
      <c r="G620" s="1249"/>
      <c r="H620" s="1249"/>
      <c r="N620" s="510"/>
      <c r="O620" s="510"/>
      <c r="P620" s="510"/>
      <c r="R620" s="1674"/>
      <c r="S620" s="1674"/>
      <c r="T620" s="1674"/>
    </row>
    <row r="621" spans="1:20" x14ac:dyDescent="0.25">
      <c r="A621" s="1249" t="s">
        <v>3012</v>
      </c>
      <c r="B621" s="1668">
        <v>0.949867133013089</v>
      </c>
      <c r="C621" s="1668">
        <v>0.90104428767338995</v>
      </c>
      <c r="D621" s="1249">
        <v>0.85748695774719697</v>
      </c>
      <c r="E621" s="1249">
        <v>0.81980630644227404</v>
      </c>
      <c r="F621" s="1249">
        <v>0.78194341801770995</v>
      </c>
      <c r="G621" s="1249"/>
      <c r="H621" s="1249"/>
      <c r="N621" s="510"/>
      <c r="O621" s="510"/>
      <c r="P621" s="510"/>
      <c r="R621" s="1674"/>
      <c r="S621" s="1674"/>
      <c r="T621" s="1674"/>
    </row>
    <row r="622" spans="1:20" x14ac:dyDescent="0.25">
      <c r="A622" s="1249" t="s">
        <v>3013</v>
      </c>
      <c r="B622" s="1668">
        <v>0.97076055928683003</v>
      </c>
      <c r="C622" s="1668">
        <v>0.92059643653520995</v>
      </c>
      <c r="D622" s="1249">
        <v>0.87578393403563004</v>
      </c>
      <c r="E622" s="1249">
        <v>0.83692868739720006</v>
      </c>
      <c r="F622" s="1249">
        <v>0.79796660813087295</v>
      </c>
      <c r="G622" s="1249"/>
      <c r="H622" s="1249"/>
      <c r="N622" s="510"/>
      <c r="O622" s="510"/>
      <c r="P622" s="510"/>
      <c r="R622" s="1674"/>
      <c r="S622" s="1674"/>
      <c r="T622" s="1674"/>
    </row>
    <row r="623" spans="1:20" x14ac:dyDescent="0.25">
      <c r="A623" s="1249" t="s">
        <v>3014</v>
      </c>
      <c r="B623" s="1668">
        <v>0.99031270814865102</v>
      </c>
      <c r="C623" s="1668">
        <v>0.93889341282364402</v>
      </c>
      <c r="D623" s="1249">
        <v>0.89290631499055595</v>
      </c>
      <c r="E623" s="1249">
        <v>0.85295187751036305</v>
      </c>
      <c r="F623" s="1249">
        <v>0.81296117121637101</v>
      </c>
      <c r="G623" s="1249"/>
      <c r="H623" s="1249"/>
      <c r="N623" s="510"/>
      <c r="O623" s="510"/>
      <c r="P623" s="510"/>
      <c r="R623" s="1674"/>
      <c r="S623" s="1674"/>
      <c r="T623" s="1674"/>
    </row>
    <row r="624" spans="1:20" x14ac:dyDescent="0.25">
      <c r="A624" s="1249" t="s">
        <v>3015</v>
      </c>
      <c r="B624" s="1668">
        <v>1.00860968443708</v>
      </c>
      <c r="C624" s="1668">
        <v>0.95601579377857004</v>
      </c>
      <c r="D624" s="1249">
        <v>0.90892950510371995</v>
      </c>
      <c r="E624" s="1249">
        <v>0.86794644059586101</v>
      </c>
      <c r="F624" s="1249">
        <v>0.82699314116349598</v>
      </c>
      <c r="G624" s="1249"/>
      <c r="H624" s="1249"/>
      <c r="N624" s="510"/>
      <c r="O624" s="510"/>
      <c r="P624" s="510"/>
      <c r="R624" s="1674"/>
      <c r="S624" s="1674"/>
      <c r="T624" s="1674"/>
    </row>
    <row r="625" spans="1:20" x14ac:dyDescent="0.25">
      <c r="A625" s="1249" t="s">
        <v>3016</v>
      </c>
      <c r="B625" s="1668">
        <v>1.0257320653920099</v>
      </c>
      <c r="C625" s="1668">
        <v>0.97203898389173304</v>
      </c>
      <c r="D625" s="1249">
        <v>0.92392406818921702</v>
      </c>
      <c r="E625" s="1249">
        <v>0.88197841054298598</v>
      </c>
      <c r="F625" s="1249">
        <v>0.84012431274044197</v>
      </c>
      <c r="G625" s="1249"/>
      <c r="H625" s="1249"/>
      <c r="N625" s="510"/>
      <c r="O625" s="510"/>
      <c r="P625" s="510"/>
      <c r="R625" s="1674"/>
      <c r="S625" s="1674"/>
      <c r="T625" s="1674"/>
    </row>
    <row r="626" spans="1:20" x14ac:dyDescent="0.25">
      <c r="A626" s="1249" t="s">
        <v>3017</v>
      </c>
      <c r="B626" s="1668">
        <v>1.0417552555051699</v>
      </c>
      <c r="C626" s="1668">
        <v>0.987033546977231</v>
      </c>
      <c r="D626" s="1249">
        <v>0.93795603813634199</v>
      </c>
      <c r="E626" s="1249">
        <v>0.89510958211993297</v>
      </c>
      <c r="F626" s="1249">
        <v>0.85241251372953697</v>
      </c>
      <c r="G626" s="1249"/>
      <c r="H626" s="1249"/>
      <c r="N626" s="510"/>
      <c r="O626" s="510"/>
      <c r="P626" s="510"/>
      <c r="R626" s="1674"/>
      <c r="S626" s="1674"/>
      <c r="T626" s="1674"/>
    </row>
    <row r="627" spans="1:20" x14ac:dyDescent="0.25">
      <c r="A627" s="1249" t="s">
        <v>3018</v>
      </c>
      <c r="B627" s="1668">
        <v>0.18880337799481101</v>
      </c>
      <c r="C627" s="1668">
        <v>0.17407237576085999</v>
      </c>
      <c r="D627" s="1249">
        <v>0.16558242106029</v>
      </c>
      <c r="E627" s="1249">
        <v>0.16266658871130099</v>
      </c>
      <c r="F627" s="1249">
        <v>0.15741256572722701</v>
      </c>
      <c r="G627" s="1249"/>
      <c r="H627" s="1249"/>
      <c r="N627" s="510"/>
      <c r="O627" s="510"/>
      <c r="P627" s="510"/>
      <c r="R627" s="1674"/>
      <c r="S627" s="1674"/>
      <c r="T627" s="1674"/>
    </row>
    <row r="628" spans="1:20" x14ac:dyDescent="0.25">
      <c r="A628" s="1249" t="s">
        <v>3019</v>
      </c>
      <c r="B628" s="1668">
        <v>1.0567498185906701</v>
      </c>
      <c r="C628" s="1668">
        <v>1.0010655169243601</v>
      </c>
      <c r="D628" s="1249">
        <v>0.95108720971328897</v>
      </c>
      <c r="E628" s="1249">
        <v>0.90739778310902697</v>
      </c>
      <c r="F628" s="1249">
        <v>0.86391185959243699</v>
      </c>
      <c r="G628" s="1249"/>
      <c r="H628" s="1249"/>
      <c r="N628" s="510"/>
      <c r="O628" s="510"/>
      <c r="P628" s="510"/>
      <c r="R628" s="1674"/>
      <c r="S628" s="1674"/>
      <c r="T628" s="1674"/>
    </row>
    <row r="629" spans="1:20" x14ac:dyDescent="0.25">
      <c r="A629" s="1249" t="s">
        <v>3020</v>
      </c>
      <c r="B629" s="1668">
        <v>0.243788647374301</v>
      </c>
      <c r="C629" s="1668">
        <v>0.22869189984830299</v>
      </c>
      <c r="D629" s="1249">
        <v>0.218644216304657</v>
      </c>
      <c r="E629" s="1249">
        <v>0.212397835106718</v>
      </c>
      <c r="F629" s="1249">
        <v>0.20390931618864</v>
      </c>
      <c r="G629" s="1249"/>
      <c r="H629" s="1249"/>
      <c r="N629" s="510"/>
      <c r="O629" s="510"/>
      <c r="P629" s="510"/>
      <c r="R629" s="1674"/>
      <c r="S629" s="1674"/>
      <c r="T629" s="1674"/>
    </row>
    <row r="630" spans="1:20" x14ac:dyDescent="0.25">
      <c r="A630" s="1249" t="s">
        <v>3021</v>
      </c>
      <c r="B630" s="1668">
        <v>0.29840817146174398</v>
      </c>
      <c r="C630" s="1668">
        <v>0.28175369509267101</v>
      </c>
      <c r="D630" s="1249">
        <v>0.26837546270007401</v>
      </c>
      <c r="E630" s="1249">
        <v>0.258894585568131</v>
      </c>
      <c r="F630" s="1249">
        <v>0.24769351829184699</v>
      </c>
      <c r="G630" s="1249"/>
      <c r="H630" s="1249"/>
      <c r="N630" s="510"/>
      <c r="O630" s="510"/>
      <c r="P630" s="510"/>
      <c r="R630" s="1674"/>
      <c r="S630" s="1674"/>
      <c r="T630" s="1674"/>
    </row>
    <row r="631" spans="1:20" x14ac:dyDescent="0.25">
      <c r="A631" s="1249" t="s">
        <v>3022</v>
      </c>
      <c r="B631" s="1668">
        <v>0.35146996670611202</v>
      </c>
      <c r="C631" s="1668">
        <v>0.33148494148808799</v>
      </c>
      <c r="D631" s="1249">
        <v>0.314872213161487</v>
      </c>
      <c r="E631" s="1249">
        <v>0.30267878767133699</v>
      </c>
      <c r="F631" s="1249">
        <v>0.28942023838796199</v>
      </c>
      <c r="G631" s="1249"/>
      <c r="H631" s="1249"/>
      <c r="N631" s="510"/>
      <c r="O631" s="510"/>
      <c r="P631" s="510"/>
      <c r="R631" s="1674"/>
      <c r="S631" s="1674"/>
      <c r="T631" s="1674"/>
    </row>
    <row r="632" spans="1:20" x14ac:dyDescent="0.25">
      <c r="A632" s="1249" t="s">
        <v>3023</v>
      </c>
      <c r="B632" s="1668">
        <v>0.40120121310152801</v>
      </c>
      <c r="C632" s="1668">
        <v>0.37798169194950099</v>
      </c>
      <c r="D632" s="1249">
        <v>0.358656415264693</v>
      </c>
      <c r="E632" s="1249">
        <v>0.34440550776745299</v>
      </c>
      <c r="F632" s="1249">
        <v>0.328791598955469</v>
      </c>
      <c r="G632" s="1249"/>
      <c r="H632" s="1249"/>
      <c r="N632" s="510"/>
      <c r="O632" s="510"/>
      <c r="P632" s="510"/>
      <c r="R632" s="1674"/>
      <c r="S632" s="1674"/>
      <c r="T632" s="1674"/>
    </row>
    <row r="633" spans="1:20" x14ac:dyDescent="0.25">
      <c r="A633" s="1249" t="s">
        <v>3024</v>
      </c>
      <c r="B633" s="1668">
        <v>0.447697963562941</v>
      </c>
      <c r="C633" s="1668">
        <v>0.42176589405270698</v>
      </c>
      <c r="D633" s="1249">
        <v>0.40038313536080899</v>
      </c>
      <c r="E633" s="1249">
        <v>0.383776868334959</v>
      </c>
      <c r="F633" s="1249">
        <v>0.36644890416021098</v>
      </c>
      <c r="G633" s="1249"/>
      <c r="H633" s="1249"/>
      <c r="N633" s="510"/>
      <c r="O633" s="510"/>
      <c r="P633" s="510"/>
      <c r="R633" s="1674"/>
      <c r="S633" s="1674"/>
      <c r="T633" s="1674"/>
    </row>
    <row r="634" spans="1:20" x14ac:dyDescent="0.25">
      <c r="A634" s="1249" t="s">
        <v>3025</v>
      </c>
      <c r="B634" s="1668">
        <v>0.491482165666148</v>
      </c>
      <c r="C634" s="1668">
        <v>0.46349261414882298</v>
      </c>
      <c r="D634" s="1249">
        <v>0.439754495928316</v>
      </c>
      <c r="E634" s="1249">
        <v>0.42143417353970197</v>
      </c>
      <c r="F634" s="1249">
        <v>0.40245079645492099</v>
      </c>
      <c r="G634" s="1249"/>
      <c r="H634" s="1249"/>
      <c r="N634" s="510"/>
      <c r="O634" s="510"/>
      <c r="P634" s="510"/>
      <c r="R634" s="1674"/>
      <c r="S634" s="1674"/>
      <c r="T634" s="1674"/>
    </row>
    <row r="635" spans="1:20" x14ac:dyDescent="0.25">
      <c r="A635" s="1249" t="s">
        <v>3026</v>
      </c>
      <c r="B635" s="1668">
        <v>6.7832021901144096E-2</v>
      </c>
      <c r="C635" s="1668">
        <v>6.1344380120237303E-2</v>
      </c>
      <c r="D635" s="1249">
        <v>5.43357021923523E-2</v>
      </c>
      <c r="E635" s="1249">
        <v>5.3405371513505003E-2</v>
      </c>
      <c r="F635" s="1249">
        <v>5.3090596348641099E-2</v>
      </c>
      <c r="G635" s="1249"/>
      <c r="H635" s="1249"/>
      <c r="N635" s="510"/>
      <c r="O635" s="510"/>
      <c r="P635" s="510"/>
      <c r="R635" s="1674"/>
      <c r="S635" s="1674"/>
      <c r="T635" s="1674"/>
    </row>
    <row r="636" spans="1:20" x14ac:dyDescent="0.25">
      <c r="A636" s="1249" t="s">
        <v>3027</v>
      </c>
      <c r="B636" s="1668">
        <v>0.51819003104185102</v>
      </c>
      <c r="C636" s="1668">
        <v>0.48859522671215899</v>
      </c>
      <c r="D636" s="1249">
        <v>0.46382479253331599</v>
      </c>
      <c r="E636" s="1249">
        <v>0.44445629855802599</v>
      </c>
      <c r="F636" s="1249">
        <v>0.42424836349182399</v>
      </c>
      <c r="G636" s="1249"/>
      <c r="H636" s="1249"/>
      <c r="N636" s="510"/>
      <c r="O636" s="510"/>
      <c r="P636" s="510"/>
      <c r="R636" s="1674"/>
      <c r="S636" s="1674"/>
      <c r="T636" s="1674"/>
    </row>
    <row r="637" spans="1:20" x14ac:dyDescent="0.25">
      <c r="A637" s="1249" t="s">
        <v>3028</v>
      </c>
      <c r="B637" s="1668">
        <v>0.55642724861330295</v>
      </c>
      <c r="C637" s="1668">
        <v>0.52516917265355401</v>
      </c>
      <c r="D637" s="1249">
        <v>0.498792000750378</v>
      </c>
      <c r="E637" s="1249">
        <v>0.47765373500532898</v>
      </c>
      <c r="F637" s="1249">
        <v>0.45598732093373501</v>
      </c>
      <c r="G637" s="1249"/>
      <c r="H637" s="1249"/>
      <c r="N637" s="510"/>
      <c r="O637" s="510"/>
      <c r="P637" s="510"/>
      <c r="R637" s="1674"/>
      <c r="S637" s="1674"/>
      <c r="T637" s="1674"/>
    </row>
    <row r="638" spans="1:20" x14ac:dyDescent="0.25">
      <c r="A638" s="1249" t="s">
        <v>3029</v>
      </c>
      <c r="B638" s="1668">
        <v>0.59300119455469802</v>
      </c>
      <c r="C638" s="1668">
        <v>0.56013638087061501</v>
      </c>
      <c r="D638" s="1249">
        <v>0.53198943719768099</v>
      </c>
      <c r="E638" s="1249">
        <v>0.50939269244723995</v>
      </c>
      <c r="F638" s="1249">
        <v>0.486331906435719</v>
      </c>
      <c r="G638" s="1249"/>
      <c r="H638" s="1249"/>
      <c r="N638" s="510"/>
      <c r="O638" s="510"/>
      <c r="P638" s="510"/>
      <c r="R638" s="1674"/>
      <c r="S638" s="1674"/>
      <c r="T638" s="1674"/>
    </row>
    <row r="639" spans="1:20" x14ac:dyDescent="0.25">
      <c r="A639" s="1249" t="s">
        <v>3030</v>
      </c>
      <c r="B639" s="1668">
        <v>0.62796840277176003</v>
      </c>
      <c r="C639" s="1668">
        <v>0.59333381731791901</v>
      </c>
      <c r="D639" s="1249">
        <v>0.56372839463959201</v>
      </c>
      <c r="E639" s="1249">
        <v>0.53973727794922399</v>
      </c>
      <c r="F639" s="1249">
        <v>0.51534340786320498</v>
      </c>
      <c r="G639" s="1249"/>
      <c r="H639" s="1249"/>
      <c r="N639" s="510"/>
      <c r="O639" s="510"/>
      <c r="P639" s="510"/>
      <c r="R639" s="1674"/>
      <c r="S639" s="1674"/>
      <c r="T639" s="1674"/>
    </row>
    <row r="640" spans="1:20" x14ac:dyDescent="0.25">
      <c r="A640" s="1249" t="s">
        <v>3031</v>
      </c>
      <c r="B640" s="1668">
        <v>0.66116583921906302</v>
      </c>
      <c r="C640" s="1668">
        <v>0.62507277475983003</v>
      </c>
      <c r="D640" s="1249">
        <v>0.59407298014157595</v>
      </c>
      <c r="E640" s="1249">
        <v>0.56874877937670998</v>
      </c>
      <c r="F640" s="1249">
        <v>0.543080417922294</v>
      </c>
      <c r="G640" s="1249"/>
      <c r="H640" s="1249"/>
      <c r="N640" s="510"/>
      <c r="O640" s="510"/>
      <c r="P640" s="510"/>
      <c r="R640" s="1674"/>
      <c r="S640" s="1674"/>
      <c r="T640" s="1674"/>
    </row>
    <row r="641" spans="1:20" x14ac:dyDescent="0.25">
      <c r="A641" s="1249" t="s">
        <v>3032</v>
      </c>
      <c r="B641" s="1668">
        <v>0.69290479666097404</v>
      </c>
      <c r="C641" s="1668">
        <v>0.65541736026181396</v>
      </c>
      <c r="D641" s="1249">
        <v>0.62308448156906204</v>
      </c>
      <c r="E641" s="1249">
        <v>0.596485789435798</v>
      </c>
      <c r="F641" s="1249">
        <v>0.56959895274005901</v>
      </c>
      <c r="G641" s="1249"/>
      <c r="H641" s="1249"/>
      <c r="N641" s="510"/>
      <c r="O641" s="510"/>
      <c r="P641" s="510"/>
      <c r="R641" s="1674"/>
      <c r="S641" s="1674"/>
      <c r="T641" s="1674"/>
    </row>
    <row r="642" spans="1:20" x14ac:dyDescent="0.25">
      <c r="A642" s="1249" t="s">
        <v>3033</v>
      </c>
      <c r="B642" s="1668">
        <v>0.72324938216295798</v>
      </c>
      <c r="C642" s="1668">
        <v>0.68442886168929895</v>
      </c>
      <c r="D642" s="1249">
        <v>0.65082149162815095</v>
      </c>
      <c r="E642" s="1249">
        <v>0.623004324253564</v>
      </c>
      <c r="F642" s="1249">
        <v>0.59500580138306203</v>
      </c>
      <c r="G642" s="1249"/>
      <c r="H642" s="1249"/>
      <c r="N642" s="510"/>
      <c r="O642" s="510"/>
      <c r="P642" s="510"/>
      <c r="R642" s="1674"/>
      <c r="S642" s="1674"/>
      <c r="T642" s="1674"/>
    </row>
    <row r="643" spans="1:20" x14ac:dyDescent="0.25">
      <c r="A643" s="1249" t="s">
        <v>3034</v>
      </c>
      <c r="B643" s="1668">
        <v>0.75226088359044296</v>
      </c>
      <c r="C643" s="1668">
        <v>0.71216587174838797</v>
      </c>
      <c r="D643" s="1249">
        <v>0.67734002644591695</v>
      </c>
      <c r="E643" s="1249">
        <v>0.64841117289656702</v>
      </c>
      <c r="F643" s="1249">
        <v>0.61929650456932706</v>
      </c>
      <c r="G643" s="1249"/>
      <c r="H643" s="1249"/>
      <c r="N643" s="510"/>
      <c r="O643" s="510"/>
      <c r="P643" s="510"/>
      <c r="R643" s="1674"/>
      <c r="S643" s="1674"/>
      <c r="T643" s="1674"/>
    </row>
    <row r="644" spans="1:20" x14ac:dyDescent="0.25">
      <c r="A644" s="1249" t="s">
        <v>3035</v>
      </c>
      <c r="B644" s="1668">
        <v>0.77999789364953198</v>
      </c>
      <c r="C644" s="1668">
        <v>0.73868440656615397</v>
      </c>
      <c r="D644" s="1249">
        <v>0.70274687508891898</v>
      </c>
      <c r="E644" s="1249">
        <v>0.67270187608283205</v>
      </c>
      <c r="F644" s="1249">
        <v>0.64252011922657903</v>
      </c>
      <c r="G644" s="1249"/>
      <c r="H644" s="1249"/>
      <c r="N644" s="510"/>
      <c r="O644" s="510"/>
      <c r="P644" s="510"/>
      <c r="R644" s="1674"/>
      <c r="S644" s="1674"/>
      <c r="T644" s="1674"/>
    </row>
    <row r="645" spans="1:20" x14ac:dyDescent="0.25">
      <c r="A645" s="1249" t="s">
        <v>3036</v>
      </c>
      <c r="B645" s="1668">
        <v>0.80651642846729799</v>
      </c>
      <c r="C645" s="1668">
        <v>0.76409125520915699</v>
      </c>
      <c r="D645" s="1249">
        <v>0.727037578275184</v>
      </c>
      <c r="E645" s="1249">
        <v>0.69592549074008403</v>
      </c>
      <c r="F645" s="1249">
        <v>0.66472354506637998</v>
      </c>
      <c r="G645" s="1249"/>
      <c r="H645" s="1249"/>
      <c r="N645" s="510"/>
      <c r="O645" s="510"/>
      <c r="P645" s="510"/>
      <c r="R645" s="1674"/>
      <c r="S645" s="1674"/>
      <c r="T645" s="1674"/>
    </row>
    <row r="646" spans="1:20" x14ac:dyDescent="0.25">
      <c r="A646" s="1249" t="s">
        <v>3037</v>
      </c>
      <c r="B646" s="1668">
        <v>0.129176402021381</v>
      </c>
      <c r="C646" s="1668">
        <v>0.11568008231259</v>
      </c>
      <c r="D646" s="1249">
        <v>0.107741073705857</v>
      </c>
      <c r="E646" s="1249">
        <v>0.106495967862146</v>
      </c>
      <c r="F646" s="1249">
        <v>0.10468463962173</v>
      </c>
      <c r="G646" s="1249"/>
      <c r="H646" s="1249"/>
      <c r="N646" s="510"/>
      <c r="O646" s="510"/>
      <c r="P646" s="510"/>
      <c r="R646" s="1674"/>
      <c r="S646" s="1674"/>
      <c r="T646" s="1674"/>
    </row>
    <row r="647" spans="1:20" x14ac:dyDescent="0.25">
      <c r="A647" s="1249" t="s">
        <v>3038</v>
      </c>
      <c r="B647" s="1668">
        <v>0.83192327711030001</v>
      </c>
      <c r="C647" s="1668">
        <v>0.78838195839542202</v>
      </c>
      <c r="D647" s="1249">
        <v>0.75026119293243598</v>
      </c>
      <c r="E647" s="1249">
        <v>0.71812891657988598</v>
      </c>
      <c r="F647" s="1249">
        <v>0.68595161949257599</v>
      </c>
      <c r="G647" s="1249"/>
      <c r="H647" s="1249"/>
      <c r="N647" s="510"/>
      <c r="O647" s="510"/>
      <c r="P647" s="510"/>
      <c r="R647" s="1674"/>
      <c r="S647" s="1674"/>
      <c r="T647" s="1674"/>
    </row>
    <row r="648" spans="1:20" x14ac:dyDescent="0.25">
      <c r="A648" s="1249" t="s">
        <v>3039</v>
      </c>
      <c r="B648" s="1668">
        <v>0.85621398029656604</v>
      </c>
      <c r="C648" s="1668">
        <v>0.811605573052674</v>
      </c>
      <c r="D648" s="1249">
        <v>0.77246461877223804</v>
      </c>
      <c r="E648" s="1249">
        <v>0.73935699100608099</v>
      </c>
      <c r="F648" s="1249">
        <v>0.70624720833202603</v>
      </c>
      <c r="G648" s="1249"/>
      <c r="H648" s="1249"/>
      <c r="N648" s="510"/>
      <c r="O648" s="510"/>
      <c r="P648" s="510"/>
      <c r="R648" s="1674"/>
      <c r="S648" s="1674"/>
      <c r="T648" s="1674"/>
    </row>
    <row r="649" spans="1:20" x14ac:dyDescent="0.25">
      <c r="A649" s="1249" t="s">
        <v>3040</v>
      </c>
      <c r="B649" s="1668">
        <v>0.87943759495381801</v>
      </c>
      <c r="C649" s="1668">
        <v>0.83380899889247495</v>
      </c>
      <c r="D649" s="1249">
        <v>0.79369269319843305</v>
      </c>
      <c r="E649" s="1249">
        <v>0.75965257984553103</v>
      </c>
      <c r="F649" s="1249">
        <v>0.72523989861786597</v>
      </c>
      <c r="G649" s="1249"/>
      <c r="H649" s="1249"/>
      <c r="N649" s="510"/>
      <c r="O649" s="510"/>
      <c r="P649" s="510"/>
      <c r="R649" s="1674"/>
      <c r="S649" s="1674"/>
      <c r="T649" s="1674"/>
    </row>
    <row r="650" spans="1:20" x14ac:dyDescent="0.25">
      <c r="A650" s="1249" t="s">
        <v>3041</v>
      </c>
      <c r="B650" s="1668">
        <v>0.90164102079361996</v>
      </c>
      <c r="C650" s="1668">
        <v>0.85503707331867096</v>
      </c>
      <c r="D650" s="1249">
        <v>0.81398828203788298</v>
      </c>
      <c r="E650" s="1249">
        <v>0.77864527013137097</v>
      </c>
      <c r="F650" s="1249">
        <v>0.74301333141389903</v>
      </c>
      <c r="G650" s="1249"/>
      <c r="H650" s="1249"/>
      <c r="N650" s="510"/>
      <c r="O650" s="510"/>
      <c r="P650" s="510"/>
      <c r="R650" s="1674"/>
      <c r="S650" s="1674"/>
      <c r="T650" s="1674"/>
    </row>
    <row r="651" spans="1:20" x14ac:dyDescent="0.25">
      <c r="A651" s="1249" t="s">
        <v>3042</v>
      </c>
      <c r="B651" s="1668">
        <v>0.92286909521981497</v>
      </c>
      <c r="C651" s="1668">
        <v>0.87533266215812</v>
      </c>
      <c r="D651" s="1249">
        <v>0.83298097232372403</v>
      </c>
      <c r="E651" s="1249">
        <v>0.79641870292740402</v>
      </c>
      <c r="F651" s="1249">
        <v>0.75964577835010805</v>
      </c>
      <c r="G651" s="1249"/>
      <c r="H651" s="1249"/>
      <c r="N651" s="510"/>
      <c r="O651" s="510"/>
      <c r="P651" s="510"/>
      <c r="R651" s="1674"/>
      <c r="S651" s="1674"/>
      <c r="T651" s="1674"/>
    </row>
    <row r="652" spans="1:20" x14ac:dyDescent="0.25">
      <c r="A652" s="1249" t="s">
        <v>3043</v>
      </c>
      <c r="B652" s="1668">
        <v>0.94316468405926401</v>
      </c>
      <c r="C652" s="1668">
        <v>0.89432535244396105</v>
      </c>
      <c r="D652" s="1249">
        <v>0.85075440511975697</v>
      </c>
      <c r="E652" s="1249">
        <v>0.81305114986361304</v>
      </c>
      <c r="F652" s="1249">
        <v>0.77521048631960998</v>
      </c>
      <c r="G652" s="1249"/>
      <c r="H652" s="1249"/>
      <c r="N652" s="510"/>
      <c r="O652" s="510"/>
      <c r="P652" s="510"/>
      <c r="R652" s="1674"/>
      <c r="S652" s="1674"/>
      <c r="T652" s="1674"/>
    </row>
    <row r="653" spans="1:20" x14ac:dyDescent="0.25">
      <c r="A653" s="1249" t="s">
        <v>3044</v>
      </c>
      <c r="B653" s="1668">
        <v>0.96215737434510495</v>
      </c>
      <c r="C653" s="1668">
        <v>0.91209878523999399</v>
      </c>
      <c r="D653" s="1249">
        <v>0.867386852055966</v>
      </c>
      <c r="E653" s="1249">
        <v>0.82861585783311498</v>
      </c>
      <c r="F653" s="1249">
        <v>0.78977600004738502</v>
      </c>
      <c r="G653" s="1249"/>
      <c r="H653" s="1249"/>
      <c r="N653" s="510"/>
      <c r="O653" s="510"/>
      <c r="P653" s="510"/>
      <c r="R653" s="1674"/>
      <c r="S653" s="1674"/>
      <c r="T653" s="1674"/>
    </row>
    <row r="654" spans="1:20" x14ac:dyDescent="0.25">
      <c r="A654" s="1249" t="s">
        <v>3045</v>
      </c>
      <c r="B654" s="1668">
        <v>0.97993080714113801</v>
      </c>
      <c r="C654" s="1668">
        <v>0.92873123217620301</v>
      </c>
      <c r="D654" s="1249">
        <v>0.88295156002546704</v>
      </c>
      <c r="E654" s="1249">
        <v>0.84318137156089001</v>
      </c>
      <c r="F654" s="1249">
        <v>0.80340646395134896</v>
      </c>
      <c r="G654" s="1249"/>
      <c r="H654" s="1249"/>
      <c r="N654" s="510"/>
      <c r="O654" s="510"/>
      <c r="P654" s="510"/>
      <c r="R654" s="1674"/>
      <c r="S654" s="1674"/>
      <c r="T654" s="1674"/>
    </row>
    <row r="655" spans="1:20" x14ac:dyDescent="0.25">
      <c r="A655" s="1249" t="s">
        <v>3046</v>
      </c>
      <c r="B655" s="1668">
        <v>0.99656325407734703</v>
      </c>
      <c r="C655" s="1668">
        <v>0.94429594014570395</v>
      </c>
      <c r="D655" s="1249">
        <v>0.89751707375324297</v>
      </c>
      <c r="E655" s="1249">
        <v>0.85681183546485395</v>
      </c>
      <c r="F655" s="1249">
        <v>0.81616190462509397</v>
      </c>
      <c r="G655" s="1249"/>
      <c r="H655" s="1249"/>
      <c r="N655" s="510"/>
      <c r="O655" s="510"/>
      <c r="P655" s="510"/>
      <c r="R655" s="1674"/>
      <c r="S655" s="1674"/>
      <c r="T655" s="1674"/>
    </row>
    <row r="656" spans="1:20" x14ac:dyDescent="0.25">
      <c r="A656" s="1249" t="s">
        <v>3047</v>
      </c>
      <c r="B656" s="1668">
        <v>1.01212796204685</v>
      </c>
      <c r="C656" s="1668">
        <v>0.95886145387347999</v>
      </c>
      <c r="D656" s="1249">
        <v>0.91114753765720702</v>
      </c>
      <c r="E656" s="1249">
        <v>0.86956727613859897</v>
      </c>
      <c r="F656" s="1249">
        <v>0.82809849518633805</v>
      </c>
      <c r="G656" s="1249"/>
      <c r="H656" s="1249"/>
      <c r="N656" s="510"/>
      <c r="O656" s="510"/>
      <c r="P656" s="510"/>
      <c r="R656" s="1674"/>
      <c r="S656" s="1674"/>
      <c r="T656" s="1674"/>
    </row>
    <row r="657" spans="1:20" x14ac:dyDescent="0.25">
      <c r="A657" s="1249" t="s">
        <v>3048</v>
      </c>
      <c r="B657" s="1668">
        <v>0.18351210421373401</v>
      </c>
      <c r="C657" s="1668">
        <v>0.16908545382609499</v>
      </c>
      <c r="D657" s="1249">
        <v>0.160831670054498</v>
      </c>
      <c r="E657" s="1249">
        <v>0.15809001113523499</v>
      </c>
      <c r="F657" s="1249">
        <v>0.15302566668863299</v>
      </c>
      <c r="G657" s="1249"/>
      <c r="H657" s="1249"/>
      <c r="N657" s="510"/>
      <c r="O657" s="510"/>
      <c r="P657" s="510"/>
      <c r="R657" s="1674"/>
      <c r="S657" s="1674"/>
      <c r="T657" s="1674"/>
    </row>
    <row r="658" spans="1:20" x14ac:dyDescent="0.25">
      <c r="A658" s="1249" t="s">
        <v>3049</v>
      </c>
      <c r="B658" s="1668">
        <v>1.02669347577462</v>
      </c>
      <c r="C658" s="1668">
        <v>0.97249191777744404</v>
      </c>
      <c r="D658" s="1249">
        <v>0.92390297833095103</v>
      </c>
      <c r="E658" s="1249">
        <v>0.88150386669984304</v>
      </c>
      <c r="F658" s="1249">
        <v>0.83926880265521597</v>
      </c>
      <c r="G658" s="1249"/>
      <c r="H658" s="1249"/>
      <c r="N658" s="510"/>
      <c r="O658" s="510"/>
      <c r="P658" s="510"/>
      <c r="R658" s="1674"/>
      <c r="S658" s="1674"/>
      <c r="T658" s="1674"/>
    </row>
    <row r="659" spans="1:20" x14ac:dyDescent="0.25">
      <c r="A659" s="1249" t="s">
        <v>3050</v>
      </c>
      <c r="B659" s="1668">
        <v>0.23691747572723901</v>
      </c>
      <c r="C659" s="1668">
        <v>0.22217605017473599</v>
      </c>
      <c r="D659" s="1249">
        <v>0.212425713327588</v>
      </c>
      <c r="E659" s="1249">
        <v>0.20643103820213801</v>
      </c>
      <c r="F659" s="1249">
        <v>0.198205553742164</v>
      </c>
      <c r="G659" s="1249"/>
      <c r="H659" s="1249"/>
      <c r="N659" s="510"/>
      <c r="O659" s="510"/>
      <c r="P659" s="510"/>
      <c r="R659" s="1674"/>
      <c r="S659" s="1674"/>
      <c r="T659" s="1674"/>
    </row>
    <row r="660" spans="1:20" x14ac:dyDescent="0.25">
      <c r="A660" s="1249" t="s">
        <v>3051</v>
      </c>
      <c r="B660" s="1668">
        <v>0.29000807207587997</v>
      </c>
      <c r="C660" s="1668">
        <v>0.27377009344782499</v>
      </c>
      <c r="D660" s="1249">
        <v>0.26076674039448999</v>
      </c>
      <c r="E660" s="1249">
        <v>0.25161092525566903</v>
      </c>
      <c r="F660" s="1249">
        <v>0.240739008981529</v>
      </c>
      <c r="G660" s="1249"/>
      <c r="H660" s="1249"/>
      <c r="N660" s="510"/>
      <c r="O660" s="510"/>
      <c r="P660" s="510"/>
      <c r="R660" s="1674"/>
      <c r="S660" s="1674"/>
      <c r="T660" s="1674"/>
    </row>
    <row r="661" spans="1:20" x14ac:dyDescent="0.25">
      <c r="A661" s="1249" t="s">
        <v>3052</v>
      </c>
      <c r="B661" s="1668">
        <v>0.341602115348969</v>
      </c>
      <c r="C661" s="1668">
        <v>0.32211112051472801</v>
      </c>
      <c r="D661" s="1249">
        <v>0.30594662744802198</v>
      </c>
      <c r="E661" s="1249">
        <v>0.294144380495033</v>
      </c>
      <c r="F661" s="1249">
        <v>0.28127255531461198</v>
      </c>
      <c r="G661" s="1249"/>
      <c r="H661" s="1249"/>
      <c r="N661" s="510"/>
      <c r="O661" s="510"/>
      <c r="P661" s="510"/>
      <c r="R661" s="1674"/>
      <c r="S661" s="1674"/>
      <c r="T661" s="1674"/>
    </row>
    <row r="662" spans="1:20" x14ac:dyDescent="0.25">
      <c r="A662" s="1249" t="s">
        <v>3053</v>
      </c>
      <c r="B662" s="1668">
        <v>0.38994314241587202</v>
      </c>
      <c r="C662" s="1668">
        <v>0.367291007568259</v>
      </c>
      <c r="D662" s="1249">
        <v>0.34848008268738601</v>
      </c>
      <c r="E662" s="1249">
        <v>0.33467792682811698</v>
      </c>
      <c r="F662" s="1249">
        <v>0.31950977288606403</v>
      </c>
      <c r="G662" s="1249"/>
      <c r="H662" s="1249"/>
      <c r="N662" s="510"/>
      <c r="O662" s="510"/>
      <c r="P662" s="510"/>
      <c r="R662" s="1674"/>
      <c r="S662" s="1674"/>
      <c r="T662" s="1674"/>
    </row>
    <row r="663" spans="1:20" x14ac:dyDescent="0.25">
      <c r="A663" s="1249" t="s">
        <v>3054</v>
      </c>
      <c r="B663" s="1668">
        <v>0.43512302946940301</v>
      </c>
      <c r="C663" s="1668">
        <v>0.40982446280762302</v>
      </c>
      <c r="D663" s="1249">
        <v>0.38901362902046999</v>
      </c>
      <c r="E663" s="1249">
        <v>0.37291514439956902</v>
      </c>
      <c r="F663" s="1249">
        <v>0.35608371882745898</v>
      </c>
      <c r="G663" s="1249"/>
      <c r="H663" s="1249"/>
      <c r="N663" s="510"/>
      <c r="O663" s="510"/>
      <c r="P663" s="510"/>
      <c r="R663" s="1674"/>
      <c r="S663" s="1674"/>
      <c r="T663" s="1674"/>
    </row>
    <row r="664" spans="1:20" x14ac:dyDescent="0.25">
      <c r="A664" s="1249" t="s">
        <v>3055</v>
      </c>
      <c r="B664" s="1668">
        <v>0.47765648470876698</v>
      </c>
      <c r="C664" s="1668">
        <v>0.45035800914070701</v>
      </c>
      <c r="D664" s="1249">
        <v>0.42725084659192197</v>
      </c>
      <c r="E664" s="1249">
        <v>0.40948909034096398</v>
      </c>
      <c r="F664" s="1249">
        <v>0.39105092704452099</v>
      </c>
      <c r="G664" s="1249"/>
      <c r="H664" s="1249"/>
      <c r="N664" s="510"/>
      <c r="O664" s="510"/>
      <c r="P664" s="510"/>
      <c r="R664" s="1674"/>
      <c r="S664" s="1674"/>
      <c r="T664" s="1674"/>
    </row>
    <row r="665" spans="1:20" x14ac:dyDescent="0.25">
      <c r="A665" s="1249" t="s">
        <v>3056</v>
      </c>
      <c r="B665" s="1668">
        <v>7.8889619878687978E-2</v>
      </c>
      <c r="C665" s="1668">
        <v>7.3825210442343234E-2</v>
      </c>
      <c r="D665" s="1249">
        <v>6.7140152743308201E-2</v>
      </c>
      <c r="E665" s="1249">
        <v>5.9952340779388935E-2</v>
      </c>
      <c r="F665" s="1249">
        <v>5.8717130401143049E-2</v>
      </c>
      <c r="G665" s="1249"/>
      <c r="H665" s="1249"/>
      <c r="N665" s="510"/>
      <c r="O665" s="510"/>
      <c r="P665" s="510"/>
      <c r="R665" s="1674"/>
      <c r="S665" s="1674"/>
      <c r="T665" s="1674"/>
    </row>
    <row r="666" spans="1:20" x14ac:dyDescent="0.25">
      <c r="A666" s="1249" t="s">
        <v>3057</v>
      </c>
      <c r="B666" s="1668">
        <v>0.60217804707664857</v>
      </c>
      <c r="C666" s="1668">
        <v>0.56781696017586603</v>
      </c>
      <c r="D666" s="1249">
        <v>0.53605034064178392</v>
      </c>
      <c r="E666" s="1249">
        <v>0.50913035932106232</v>
      </c>
      <c r="F666" s="1249">
        <v>0.4876246110719426</v>
      </c>
      <c r="G666" s="1249"/>
      <c r="H666" s="1249"/>
      <c r="N666" s="510"/>
      <c r="O666" s="510"/>
      <c r="P666" s="510"/>
      <c r="R666" s="1674"/>
      <c r="S666" s="1674"/>
      <c r="T666" s="1674"/>
    </row>
    <row r="667" spans="1:20" x14ac:dyDescent="0.25">
      <c r="A667" s="1249" t="s">
        <v>3058</v>
      </c>
      <c r="B667" s="1668">
        <v>0.64670658005455417</v>
      </c>
      <c r="C667" s="1668">
        <v>0.60987555108412728</v>
      </c>
      <c r="D667" s="1249">
        <v>0.57627051206437052</v>
      </c>
      <c r="E667" s="1249">
        <v>0.54757695185133148</v>
      </c>
      <c r="F667" s="1249">
        <v>0.52414639075021685</v>
      </c>
      <c r="G667" s="1249"/>
      <c r="H667" s="1249"/>
      <c r="N667" s="510"/>
      <c r="O667" s="510"/>
      <c r="P667" s="510"/>
      <c r="R667" s="1674"/>
      <c r="S667" s="1674"/>
      <c r="T667" s="1674"/>
    </row>
    <row r="668" spans="1:20" x14ac:dyDescent="0.25">
      <c r="A668" s="1249" t="s">
        <v>3059</v>
      </c>
      <c r="B668" s="1668">
        <v>0.68876517096281509</v>
      </c>
      <c r="C668" s="1668">
        <v>0.65009572250671388</v>
      </c>
      <c r="D668" s="1249">
        <v>0.6147171045946398</v>
      </c>
      <c r="E668" s="1249">
        <v>0.58409873152960601</v>
      </c>
      <c r="F668" s="1249">
        <v>0.55905758412472728</v>
      </c>
      <c r="G668" s="1249"/>
      <c r="H668" s="1249"/>
      <c r="N668" s="510"/>
      <c r="O668" s="510"/>
      <c r="P668" s="510"/>
      <c r="R668" s="1674"/>
      <c r="S668" s="1674"/>
      <c r="T668" s="1674"/>
    </row>
    <row r="669" spans="1:20" x14ac:dyDescent="0.25">
      <c r="A669" s="1249" t="s">
        <v>3060</v>
      </c>
      <c r="B669" s="1668">
        <v>0.7289853423854018</v>
      </c>
      <c r="C669" s="1668">
        <v>0.68854231503698293</v>
      </c>
      <c r="D669" s="1249">
        <v>0.6512388842729141</v>
      </c>
      <c r="E669" s="1249">
        <v>0.61900992490411622</v>
      </c>
      <c r="F669" s="1249">
        <v>0.59242925579864814</v>
      </c>
      <c r="G669" s="1249"/>
      <c r="H669" s="1249"/>
      <c r="N669" s="510"/>
      <c r="O669" s="510"/>
      <c r="P669" s="510"/>
      <c r="R669" s="1674"/>
      <c r="S669" s="1674"/>
      <c r="T669" s="1674"/>
    </row>
    <row r="670" spans="1:20" x14ac:dyDescent="0.25">
      <c r="A670" s="1249" t="s">
        <v>3061</v>
      </c>
      <c r="B670" s="1668">
        <v>0.76743193491567085</v>
      </c>
      <c r="C670" s="1668">
        <v>0.72506409471525723</v>
      </c>
      <c r="D670" s="1249">
        <v>0.68615007764742442</v>
      </c>
      <c r="E670" s="1249">
        <v>0.65238159657803707</v>
      </c>
      <c r="F670" s="1249">
        <v>0.62432933302618832</v>
      </c>
      <c r="G670" s="1249"/>
      <c r="H670" s="1249"/>
      <c r="N670" s="510"/>
      <c r="O670" s="510"/>
      <c r="P670" s="510"/>
      <c r="R670" s="1674"/>
      <c r="S670" s="1674"/>
      <c r="T670" s="1674"/>
    </row>
    <row r="671" spans="1:20" x14ac:dyDescent="0.25">
      <c r="A671" s="1249" t="s">
        <v>3062</v>
      </c>
      <c r="B671" s="1668">
        <v>0.80395371459394527</v>
      </c>
      <c r="C671" s="1668">
        <v>0.75997528808976744</v>
      </c>
      <c r="D671" s="1249">
        <v>0.71952174932134538</v>
      </c>
      <c r="E671" s="1249">
        <v>0.68428167380557747</v>
      </c>
      <c r="F671" s="1249">
        <v>0.65482274429724474</v>
      </c>
      <c r="G671" s="1249"/>
      <c r="H671" s="1249"/>
      <c r="N671" s="510"/>
      <c r="O671" s="510"/>
      <c r="P671" s="510"/>
      <c r="R671" s="1674"/>
      <c r="S671" s="1674"/>
      <c r="T671" s="1674"/>
    </row>
    <row r="672" spans="1:20" x14ac:dyDescent="0.25">
      <c r="A672" s="1249" t="s">
        <v>3063</v>
      </c>
      <c r="B672" s="1668">
        <v>0.83886490796845559</v>
      </c>
      <c r="C672" s="1668">
        <v>0.79334695976368841</v>
      </c>
      <c r="D672" s="1249">
        <v>0.75142182654888579</v>
      </c>
      <c r="E672" s="1249">
        <v>0.71477508507663379</v>
      </c>
      <c r="F672" s="1249">
        <v>0.68397155179696156</v>
      </c>
      <c r="G672" s="1249"/>
      <c r="H672" s="1249"/>
      <c r="N672" s="510"/>
      <c r="O672" s="510"/>
      <c r="P672" s="510"/>
      <c r="R672" s="1674"/>
      <c r="S672" s="1674"/>
      <c r="T672" s="1674"/>
    </row>
    <row r="673" spans="1:20" x14ac:dyDescent="0.25">
      <c r="A673" s="1249" t="s">
        <v>3064</v>
      </c>
      <c r="B673" s="1668">
        <v>0.87223657964237644</v>
      </c>
      <c r="C673" s="1668">
        <v>0.82524703699122881</v>
      </c>
      <c r="D673" s="1249">
        <v>0.78191523781994199</v>
      </c>
      <c r="E673" s="1249">
        <v>0.74392389257635072</v>
      </c>
      <c r="F673" s="1249">
        <v>0.71190973146708425</v>
      </c>
      <c r="G673" s="1249"/>
      <c r="H673" s="1249"/>
      <c r="N673" s="510"/>
      <c r="O673" s="510"/>
      <c r="P673" s="510"/>
      <c r="R673" s="1674"/>
      <c r="S673" s="1674"/>
      <c r="T673" s="1674"/>
    </row>
    <row r="674" spans="1:20" x14ac:dyDescent="0.25">
      <c r="A674" s="1249" t="s">
        <v>3065</v>
      </c>
      <c r="B674" s="1668">
        <v>0.90413665686991662</v>
      </c>
      <c r="C674" s="1668">
        <v>0.8557404482622849</v>
      </c>
      <c r="D674" s="1249">
        <v>0.8110640453196587</v>
      </c>
      <c r="E674" s="1249">
        <v>0.77186207224647307</v>
      </c>
      <c r="F674" s="1249">
        <v>0.73861593840368978</v>
      </c>
      <c r="G674" s="1249"/>
      <c r="H674" s="1249"/>
      <c r="N674" s="510"/>
      <c r="O674" s="510"/>
      <c r="P674" s="510"/>
      <c r="R674" s="1674"/>
      <c r="S674" s="1674"/>
      <c r="T674" s="1674"/>
    </row>
    <row r="675" spans="1:20" x14ac:dyDescent="0.25">
      <c r="A675" s="1249" t="s">
        <v>3066</v>
      </c>
      <c r="B675" s="1668">
        <v>0.93463006814097316</v>
      </c>
      <c r="C675" s="1668">
        <v>0.88488925576200195</v>
      </c>
      <c r="D675" s="1249">
        <v>0.83900222498978139</v>
      </c>
      <c r="E675" s="1249">
        <v>0.79856827918307882</v>
      </c>
      <c r="F675" s="1249">
        <v>0.76414452779167263</v>
      </c>
      <c r="G675" s="1249"/>
      <c r="H675" s="1249"/>
      <c r="N675" s="510"/>
      <c r="O675" s="510"/>
      <c r="P675" s="510"/>
      <c r="R675" s="1674"/>
      <c r="S675" s="1674"/>
      <c r="T675" s="1674"/>
    </row>
    <row r="676" spans="1:20" x14ac:dyDescent="0.25">
      <c r="A676" s="1249" t="s">
        <v>3067</v>
      </c>
      <c r="B676" s="1668">
        <v>0.15271483032103125</v>
      </c>
      <c r="C676" s="1668">
        <v>0.14096536318565142</v>
      </c>
      <c r="D676" s="1249">
        <v>0.12709249352269714</v>
      </c>
      <c r="E676" s="1249">
        <v>0.118669471180532</v>
      </c>
      <c r="F676" s="1249">
        <v>0.116831812087411</v>
      </c>
      <c r="G676" s="1249"/>
      <c r="H676" s="1249"/>
      <c r="N676" s="510"/>
      <c r="O676" s="510"/>
      <c r="P676" s="510"/>
      <c r="R676" s="1674"/>
      <c r="S676" s="1674"/>
      <c r="T676" s="1674"/>
    </row>
    <row r="677" spans="1:20" x14ac:dyDescent="0.25">
      <c r="A677" s="1249" t="s">
        <v>3068</v>
      </c>
      <c r="B677" s="1668">
        <v>0.96377887564068987</v>
      </c>
      <c r="C677" s="1668">
        <v>0.91282743543212441</v>
      </c>
      <c r="D677" s="1249">
        <v>0.8657084319263868</v>
      </c>
      <c r="E677" s="1249">
        <v>0.82409686857106168</v>
      </c>
      <c r="F677" s="1249">
        <v>0.78854745531637827</v>
      </c>
      <c r="G677" s="1249"/>
      <c r="H677" s="1249"/>
      <c r="N677" s="510"/>
      <c r="O677" s="510"/>
      <c r="P677" s="510"/>
      <c r="R677" s="1674"/>
      <c r="S677" s="1674"/>
      <c r="T677" s="1674"/>
    </row>
    <row r="678" spans="1:20" x14ac:dyDescent="0.25">
      <c r="A678" s="1249" t="s">
        <v>3069</v>
      </c>
      <c r="B678" s="1668">
        <v>0.99171705531081245</v>
      </c>
      <c r="C678" s="1668">
        <v>0.93953364236873005</v>
      </c>
      <c r="D678" s="1249">
        <v>0.89123702131436977</v>
      </c>
      <c r="E678" s="1249">
        <v>0.84849979609576731</v>
      </c>
      <c r="F678" s="1249">
        <v>0.8118743831482288</v>
      </c>
      <c r="G678" s="1249"/>
      <c r="H678" s="1249"/>
      <c r="N678" s="510"/>
      <c r="O678" s="510"/>
      <c r="P678" s="510"/>
      <c r="R678" s="1674"/>
      <c r="S678" s="1674"/>
      <c r="T678" s="1674"/>
    </row>
    <row r="679" spans="1:20" x14ac:dyDescent="0.25">
      <c r="A679" s="1249" t="s">
        <v>3070</v>
      </c>
      <c r="B679" s="1668">
        <v>1.0184232622474181</v>
      </c>
      <c r="C679" s="1668">
        <v>0.96506223175671302</v>
      </c>
      <c r="D679" s="1249">
        <v>0.91563994883907507</v>
      </c>
      <c r="E679" s="1249">
        <v>0.87182672392761784</v>
      </c>
      <c r="F679" s="1249">
        <v>0.83370381215052258</v>
      </c>
      <c r="G679" s="1249"/>
      <c r="H679" s="1249"/>
      <c r="N679" s="510"/>
      <c r="O679" s="510"/>
      <c r="P679" s="510"/>
      <c r="R679" s="1674"/>
      <c r="S679" s="1674"/>
      <c r="T679" s="1674"/>
    </row>
    <row r="680" spans="1:20" x14ac:dyDescent="0.25">
      <c r="A680" s="1249" t="s">
        <v>3071</v>
      </c>
      <c r="B680" s="1668">
        <v>1.0439518516354009</v>
      </c>
      <c r="C680" s="1668">
        <v>0.98946515928141843</v>
      </c>
      <c r="D680" s="1249">
        <v>0.93896687667092604</v>
      </c>
      <c r="E680" s="1249">
        <v>0.89365615292991141</v>
      </c>
      <c r="F680" s="1249">
        <v>0.85413187597449158</v>
      </c>
      <c r="G680" s="1249"/>
      <c r="H680" s="1249"/>
      <c r="N680" s="510"/>
      <c r="O680" s="510"/>
      <c r="P680" s="510"/>
      <c r="R680" s="1674"/>
      <c r="S680" s="1674"/>
      <c r="T680" s="1674"/>
    </row>
    <row r="681" spans="1:20" x14ac:dyDescent="0.25">
      <c r="A681" s="1249" t="s">
        <v>3072</v>
      </c>
      <c r="B681" s="1668">
        <v>1.0683547791601062</v>
      </c>
      <c r="C681" s="1668">
        <v>1.0127920871132692</v>
      </c>
      <c r="D681" s="1249">
        <v>0.9607963056732195</v>
      </c>
      <c r="E681" s="1249">
        <v>0.91408421675388063</v>
      </c>
      <c r="F681" s="1249">
        <v>0.87324853686160497</v>
      </c>
      <c r="G681" s="1249"/>
      <c r="H681" s="1249"/>
      <c r="N681" s="510"/>
      <c r="O681" s="510"/>
      <c r="P681" s="510"/>
      <c r="R681" s="1674"/>
      <c r="S681" s="1674"/>
      <c r="T681" s="1674"/>
    </row>
    <row r="682" spans="1:20" x14ac:dyDescent="0.25">
      <c r="A682" s="1249" t="s">
        <v>3073</v>
      </c>
      <c r="B682" s="1668">
        <v>1.0916817069919575</v>
      </c>
      <c r="C682" s="1668">
        <v>1.0346215161155627</v>
      </c>
      <c r="D682" s="1249">
        <v>0.98122436949718861</v>
      </c>
      <c r="E682" s="1249">
        <v>0.93320087764099391</v>
      </c>
      <c r="F682" s="1249">
        <v>0.89113798182427828</v>
      </c>
      <c r="G682" s="1249"/>
      <c r="H682" s="1249"/>
      <c r="N682" s="510"/>
      <c r="O682" s="510"/>
      <c r="P682" s="510"/>
      <c r="R682" s="1674"/>
      <c r="S682" s="1674"/>
      <c r="T682" s="1674"/>
    </row>
    <row r="683" spans="1:20" x14ac:dyDescent="0.25">
      <c r="A683" s="1249" t="s">
        <v>3074</v>
      </c>
      <c r="B683" s="1668">
        <v>0.2198549830643394</v>
      </c>
      <c r="C683" s="1668">
        <v>0.20091770396504038</v>
      </c>
      <c r="D683" s="1249">
        <v>0.18580962392384021</v>
      </c>
      <c r="E683" s="1249">
        <v>0.17678415286679994</v>
      </c>
      <c r="F683" s="1249">
        <v>0.17319706976126817</v>
      </c>
      <c r="G683" s="1249"/>
      <c r="H683" s="1249"/>
      <c r="N683" s="510"/>
      <c r="O683" s="510"/>
      <c r="P683" s="510"/>
      <c r="R683" s="1674"/>
      <c r="S683" s="1674"/>
      <c r="T683" s="1674"/>
    </row>
    <row r="684" spans="1:20" x14ac:dyDescent="0.25">
      <c r="A684" s="1249" t="s">
        <v>3075</v>
      </c>
      <c r="B684" s="1668">
        <v>0.27980732384372842</v>
      </c>
      <c r="C684" s="1668">
        <v>0.25963483436618345</v>
      </c>
      <c r="D684" s="1249">
        <v>0.24392430561010817</v>
      </c>
      <c r="E684" s="1249">
        <v>0.23314941054065702</v>
      </c>
      <c r="F684" s="1249">
        <v>0.2261008538814773</v>
      </c>
      <c r="G684" s="1249"/>
      <c r="H684" s="1249"/>
      <c r="N684" s="510"/>
      <c r="O684" s="510"/>
      <c r="P684" s="510"/>
      <c r="R684" s="1674"/>
      <c r="S684" s="1674"/>
      <c r="T684" s="1674"/>
    </row>
    <row r="685" spans="1:20" x14ac:dyDescent="0.25">
      <c r="A685" s="1249" t="s">
        <v>3076</v>
      </c>
      <c r="B685" s="1668">
        <v>0.33852445424487143</v>
      </c>
      <c r="C685" s="1668">
        <v>0.31774951605245139</v>
      </c>
      <c r="D685" s="1249">
        <v>0.30028956328396533</v>
      </c>
      <c r="E685" s="1249">
        <v>0.28605319466086632</v>
      </c>
      <c r="F685" s="1249">
        <v>0.27565315588051847</v>
      </c>
      <c r="G685" s="1249"/>
      <c r="H685" s="1249"/>
      <c r="N685" s="510"/>
      <c r="O685" s="510"/>
      <c r="P685" s="510"/>
      <c r="R685" s="1674"/>
      <c r="S685" s="1674"/>
      <c r="T685" s="1674"/>
    </row>
    <row r="686" spans="1:20" x14ac:dyDescent="0.25">
      <c r="A686" s="1249" t="s">
        <v>3077</v>
      </c>
      <c r="B686" s="1668">
        <v>0.39663913593113925</v>
      </c>
      <c r="C686" s="1668">
        <v>0.37411477372630852</v>
      </c>
      <c r="D686" s="1249">
        <v>0.35319334740417457</v>
      </c>
      <c r="E686" s="1249">
        <v>0.33560549665990752</v>
      </c>
      <c r="F686" s="1249">
        <v>0.32237072323292021</v>
      </c>
      <c r="G686" s="1249"/>
      <c r="H686" s="1249"/>
      <c r="N686" s="510"/>
      <c r="O686" s="510"/>
      <c r="P686" s="510"/>
      <c r="R686" s="1674"/>
      <c r="S686" s="1674"/>
      <c r="T686" s="1674"/>
    </row>
    <row r="687" spans="1:20" x14ac:dyDescent="0.25">
      <c r="A687" s="1249" t="s">
        <v>3078</v>
      </c>
      <c r="B687" s="1668">
        <v>0.4530043936049965</v>
      </c>
      <c r="C687" s="1668">
        <v>0.42701855784651777</v>
      </c>
      <c r="D687" s="1249">
        <v>0.40274564940321567</v>
      </c>
      <c r="E687" s="1249">
        <v>0.38232306401230914</v>
      </c>
      <c r="F687" s="1249">
        <v>0.36689925621082581</v>
      </c>
      <c r="G687" s="1249"/>
      <c r="H687" s="1249"/>
      <c r="N687" s="510"/>
      <c r="O687" s="510"/>
      <c r="P687" s="510"/>
      <c r="R687" s="1674"/>
      <c r="S687" s="1674"/>
      <c r="T687" s="1674"/>
    </row>
    <row r="688" spans="1:20" x14ac:dyDescent="0.25">
      <c r="A688" s="1249" t="s">
        <v>3079</v>
      </c>
      <c r="B688" s="1668">
        <v>0.50590817772520569</v>
      </c>
      <c r="C688" s="1668">
        <v>0.47657085984555891</v>
      </c>
      <c r="D688" s="1249">
        <v>0.44946321675561729</v>
      </c>
      <c r="E688" s="1249">
        <v>0.42685159699021469</v>
      </c>
      <c r="F688" s="1249">
        <v>0.40895784711908678</v>
      </c>
      <c r="G688" s="1249"/>
      <c r="H688" s="1249"/>
      <c r="N688" s="510"/>
      <c r="O688" s="510"/>
      <c r="P688" s="510"/>
      <c r="R688" s="1674"/>
      <c r="S688" s="1674"/>
      <c r="T688" s="1674"/>
    </row>
    <row r="689" spans="1:20" x14ac:dyDescent="0.25">
      <c r="A689" s="1249" t="s">
        <v>3080</v>
      </c>
      <c r="B689" s="1668">
        <v>0.55546047972424695</v>
      </c>
      <c r="C689" s="1668">
        <v>0.52328842719796054</v>
      </c>
      <c r="D689" s="1249">
        <v>0.49399174973352289</v>
      </c>
      <c r="E689" s="1249">
        <v>0.46891018789847583</v>
      </c>
      <c r="F689" s="1249">
        <v>0.44917801854167339</v>
      </c>
      <c r="G689" s="1249"/>
      <c r="H689" s="1249"/>
      <c r="N689" s="510"/>
      <c r="O689" s="510"/>
      <c r="P689" s="510"/>
      <c r="R689" s="1674"/>
      <c r="S689" s="1674"/>
      <c r="T689" s="1674"/>
    </row>
    <row r="690" spans="1:20" x14ac:dyDescent="0.25">
      <c r="A690" s="1249" t="s">
        <v>3081</v>
      </c>
      <c r="B690" s="1668">
        <v>6.9716271613440697E-2</v>
      </c>
      <c r="C690" s="1668">
        <v>6.3109478788013804E-2</v>
      </c>
      <c r="D690" s="1249">
        <v>5.59776275933562E-2</v>
      </c>
      <c r="E690" s="1249">
        <v>5.4985269379490498E-2</v>
      </c>
      <c r="F690" s="1249">
        <v>5.4619524087442903E-2</v>
      </c>
      <c r="G690" s="1249"/>
      <c r="H690" s="1249"/>
      <c r="N690" s="510"/>
      <c r="O690" s="510"/>
      <c r="P690" s="510"/>
      <c r="R690" s="1674"/>
      <c r="S690" s="1674"/>
      <c r="T690" s="1674"/>
    </row>
    <row r="691" spans="1:20" x14ac:dyDescent="0.25">
      <c r="A691" s="1249" t="s">
        <v>3082</v>
      </c>
      <c r="B691" s="1668">
        <v>0.533208885762264</v>
      </c>
      <c r="C691" s="1668">
        <v>0.50286397471632904</v>
      </c>
      <c r="D691" s="1249">
        <v>0.47741180113305798</v>
      </c>
      <c r="E691" s="1249">
        <v>0.45743606583441199</v>
      </c>
      <c r="F691" s="1249">
        <v>0.436633971133562</v>
      </c>
      <c r="G691" s="1249"/>
      <c r="H691" s="1249"/>
      <c r="N691" s="510"/>
      <c r="O691" s="510"/>
      <c r="P691" s="510"/>
      <c r="R691" s="1674"/>
      <c r="S691" s="1674"/>
      <c r="T691" s="1674"/>
    </row>
    <row r="692" spans="1:20" x14ac:dyDescent="0.25">
      <c r="A692" s="1249" t="s">
        <v>3083</v>
      </c>
      <c r="B692" s="1668">
        <v>0.57258024632977</v>
      </c>
      <c r="C692" s="1668">
        <v>0.54052127992107202</v>
      </c>
      <c r="D692" s="1249">
        <v>0.51341369342776799</v>
      </c>
      <c r="E692" s="1249">
        <v>0.491619240513052</v>
      </c>
      <c r="F692" s="1249">
        <v>0.46931437560960099</v>
      </c>
      <c r="G692" s="1249"/>
      <c r="H692" s="1249"/>
      <c r="N692" s="510"/>
      <c r="O692" s="510"/>
      <c r="P692" s="510"/>
      <c r="R692" s="1674"/>
      <c r="S692" s="1674"/>
      <c r="T692" s="1674"/>
    </row>
    <row r="693" spans="1:20" x14ac:dyDescent="0.25">
      <c r="A693" s="1249" t="s">
        <v>3084</v>
      </c>
      <c r="B693" s="1668">
        <v>0.61023755153451198</v>
      </c>
      <c r="C693" s="1668">
        <v>0.57652317221578198</v>
      </c>
      <c r="D693" s="1249">
        <v>0.54759686810640795</v>
      </c>
      <c r="E693" s="1249">
        <v>0.52429964498909098</v>
      </c>
      <c r="F693" s="1249">
        <v>0.50055810790656297</v>
      </c>
      <c r="G693" s="1249"/>
      <c r="H693" s="1249"/>
      <c r="N693" s="510"/>
      <c r="O693" s="510"/>
      <c r="P693" s="510"/>
      <c r="R693" s="1674"/>
      <c r="S693" s="1674"/>
      <c r="T693" s="1674"/>
    </row>
    <row r="694" spans="1:20" x14ac:dyDescent="0.25">
      <c r="A694" s="1249" t="s">
        <v>3085</v>
      </c>
      <c r="B694" s="1668">
        <v>0.64623944382922305</v>
      </c>
      <c r="C694" s="1668">
        <v>0.61070634689442205</v>
      </c>
      <c r="D694" s="1249">
        <v>0.58027727258244699</v>
      </c>
      <c r="E694" s="1249">
        <v>0.55554337728605296</v>
      </c>
      <c r="F694" s="1249">
        <v>0.53042835731331395</v>
      </c>
      <c r="G694" s="1249"/>
      <c r="H694" s="1249"/>
      <c r="N694" s="510"/>
      <c r="O694" s="510"/>
      <c r="P694" s="510"/>
      <c r="R694" s="1674"/>
      <c r="S694" s="1674"/>
      <c r="T694" s="1674"/>
    </row>
    <row r="695" spans="1:20" x14ac:dyDescent="0.25">
      <c r="A695" s="1249" t="s">
        <v>3086</v>
      </c>
      <c r="B695" s="1668">
        <v>0.68042261850786301</v>
      </c>
      <c r="C695" s="1668">
        <v>0.64338675137046097</v>
      </c>
      <c r="D695" s="1249">
        <v>0.61152100487940897</v>
      </c>
      <c r="E695" s="1249">
        <v>0.58541362669280395</v>
      </c>
      <c r="F695" s="1249">
        <v>0.55898553245286198</v>
      </c>
      <c r="G695" s="1249"/>
      <c r="H695" s="1249"/>
      <c r="N695" s="510"/>
      <c r="O695" s="510"/>
      <c r="P695" s="510"/>
      <c r="R695" s="1674"/>
      <c r="S695" s="1674"/>
      <c r="T695" s="1674"/>
    </row>
    <row r="696" spans="1:20" x14ac:dyDescent="0.25">
      <c r="A696" s="1249" t="s">
        <v>3087</v>
      </c>
      <c r="B696" s="1668">
        <v>0.71310302298390205</v>
      </c>
      <c r="C696" s="1668">
        <v>0.67463048366742295</v>
      </c>
      <c r="D696" s="1249">
        <v>0.64139125428615995</v>
      </c>
      <c r="E696" s="1249">
        <v>0.61397080183235198</v>
      </c>
      <c r="F696" s="1249">
        <v>0.58628738370945699</v>
      </c>
      <c r="G696" s="1249"/>
      <c r="H696" s="1249"/>
      <c r="N696" s="510"/>
      <c r="O696" s="510"/>
      <c r="P696" s="510"/>
      <c r="R696" s="1674"/>
      <c r="S696" s="1674"/>
      <c r="T696" s="1674"/>
    </row>
    <row r="697" spans="1:20" x14ac:dyDescent="0.25">
      <c r="A697" s="1249" t="s">
        <v>3088</v>
      </c>
      <c r="B697" s="1668">
        <v>0.74434675528086403</v>
      </c>
      <c r="C697" s="1668">
        <v>0.70450073307417405</v>
      </c>
      <c r="D697" s="1249">
        <v>0.66994842942570798</v>
      </c>
      <c r="E697" s="1249">
        <v>0.64127265308894699</v>
      </c>
      <c r="F697" s="1249">
        <v>0.61244655111442303</v>
      </c>
      <c r="G697" s="1249"/>
      <c r="H697" s="1249"/>
      <c r="N697" s="510"/>
      <c r="O697" s="510"/>
      <c r="P697" s="510"/>
      <c r="R697" s="1674"/>
      <c r="S697" s="1674"/>
      <c r="T697" s="1674"/>
    </row>
    <row r="698" spans="1:20" x14ac:dyDescent="0.25">
      <c r="A698" s="1249" t="s">
        <v>3089</v>
      </c>
      <c r="B698" s="1668">
        <v>0.77421700468761501</v>
      </c>
      <c r="C698" s="1668">
        <v>0.73305790821372196</v>
      </c>
      <c r="D698" s="1249">
        <v>0.69725028068230299</v>
      </c>
      <c r="E698" s="1249">
        <v>0.66743182049391403</v>
      </c>
      <c r="F698" s="1249">
        <v>0.637455771710566</v>
      </c>
      <c r="G698" s="1249"/>
      <c r="H698" s="1249"/>
      <c r="N698" s="510"/>
      <c r="O698" s="510"/>
      <c r="P698" s="510"/>
      <c r="R698" s="1674"/>
      <c r="S698" s="1674"/>
      <c r="T698" s="1674"/>
    </row>
    <row r="699" spans="1:20" x14ac:dyDescent="0.25">
      <c r="A699" s="1249" t="s">
        <v>3090</v>
      </c>
      <c r="B699" s="1668">
        <v>0.80277417982716304</v>
      </c>
      <c r="C699" s="1668">
        <v>0.76035975947031798</v>
      </c>
      <c r="D699" s="1249">
        <v>0.72340944808727004</v>
      </c>
      <c r="E699" s="1249">
        <v>0.692441041090057</v>
      </c>
      <c r="F699" s="1249">
        <v>0.66136562176815406</v>
      </c>
      <c r="G699" s="1249"/>
      <c r="H699" s="1249"/>
      <c r="N699" s="510"/>
      <c r="O699" s="510"/>
      <c r="P699" s="510"/>
      <c r="R699" s="1674"/>
      <c r="S699" s="1674"/>
      <c r="T699" s="1674"/>
    </row>
    <row r="700" spans="1:20" x14ac:dyDescent="0.25">
      <c r="A700" s="1249" t="s">
        <v>3091</v>
      </c>
      <c r="B700" s="1668">
        <v>0.83007603108375805</v>
      </c>
      <c r="C700" s="1668">
        <v>0.78651892687528402</v>
      </c>
      <c r="D700" s="1249">
        <v>0.748418668683413</v>
      </c>
      <c r="E700" s="1249">
        <v>0.71635089114764505</v>
      </c>
      <c r="F700" s="1249">
        <v>0.68422445201905602</v>
      </c>
      <c r="G700" s="1249"/>
      <c r="H700" s="1249"/>
      <c r="N700" s="510"/>
      <c r="O700" s="510"/>
      <c r="P700" s="510"/>
      <c r="R700" s="1674"/>
      <c r="S700" s="1674"/>
      <c r="T700" s="1674"/>
    </row>
    <row r="701" spans="1:20" x14ac:dyDescent="0.25">
      <c r="A701" s="1249" t="s">
        <v>3092</v>
      </c>
      <c r="B701" s="1668">
        <v>0.132825750401454</v>
      </c>
      <c r="C701" s="1668">
        <v>0.11908710638137</v>
      </c>
      <c r="D701" s="1249">
        <v>0.110962896972847</v>
      </c>
      <c r="E701" s="1249">
        <v>0.109604793466933</v>
      </c>
      <c r="F701" s="1249">
        <v>0.10768131933181101</v>
      </c>
      <c r="G701" s="1249"/>
      <c r="H701" s="1249"/>
      <c r="N701" s="510"/>
      <c r="O701" s="510"/>
      <c r="P701" s="510"/>
      <c r="R701" s="1674"/>
      <c r="S701" s="1674"/>
      <c r="T701" s="1674"/>
    </row>
    <row r="702" spans="1:20" x14ac:dyDescent="0.25">
      <c r="A702" s="1249" t="s">
        <v>3093</v>
      </c>
      <c r="B702" s="1668">
        <v>0.85623519848872498</v>
      </c>
      <c r="C702" s="1668">
        <v>0.81152814747142699</v>
      </c>
      <c r="D702" s="1249">
        <v>0.77232851874100095</v>
      </c>
      <c r="E702" s="1249">
        <v>0.73920972139854602</v>
      </c>
      <c r="F702" s="1249">
        <v>0.70607848563878794</v>
      </c>
      <c r="G702" s="1249"/>
      <c r="H702" s="1249"/>
      <c r="N702" s="510"/>
      <c r="O702" s="510"/>
      <c r="P702" s="510"/>
      <c r="R702" s="1674"/>
      <c r="S702" s="1674"/>
      <c r="T702" s="1674"/>
    </row>
    <row r="703" spans="1:20" x14ac:dyDescent="0.25">
      <c r="A703" s="1249" t="s">
        <v>3094</v>
      </c>
      <c r="B703" s="1668">
        <v>0.88124441908486695</v>
      </c>
      <c r="C703" s="1668">
        <v>0.83543799752901504</v>
      </c>
      <c r="D703" s="1249">
        <v>0.79518734899190302</v>
      </c>
      <c r="E703" s="1249">
        <v>0.76106375501827805</v>
      </c>
      <c r="F703" s="1249">
        <v>0.72697191191252897</v>
      </c>
      <c r="G703" s="1249"/>
      <c r="H703" s="1249"/>
      <c r="N703" s="510"/>
      <c r="O703" s="510"/>
      <c r="P703" s="510"/>
      <c r="R703" s="1674"/>
      <c r="S703" s="1674"/>
      <c r="T703" s="1674"/>
    </row>
    <row r="704" spans="1:20" x14ac:dyDescent="0.25">
      <c r="A704" s="1249" t="s">
        <v>3095</v>
      </c>
      <c r="B704" s="1668">
        <v>0.905154269142456</v>
      </c>
      <c r="C704" s="1668">
        <v>0.858296827779917</v>
      </c>
      <c r="D704" s="1249">
        <v>0.81704138261163495</v>
      </c>
      <c r="E704" s="1249">
        <v>0.78195718129201996</v>
      </c>
      <c r="F704" s="1249">
        <v>0.74652406077434996</v>
      </c>
      <c r="G704" s="1249"/>
      <c r="H704" s="1249"/>
      <c r="N704" s="510"/>
      <c r="O704" s="510"/>
      <c r="P704" s="510"/>
      <c r="R704" s="1674"/>
      <c r="S704" s="1674"/>
      <c r="T704" s="1674"/>
    </row>
    <row r="705" spans="1:20" x14ac:dyDescent="0.25">
      <c r="A705" s="1249" t="s">
        <v>3096</v>
      </c>
      <c r="B705" s="1668">
        <v>0.92801309939335697</v>
      </c>
      <c r="C705" s="1668">
        <v>0.88015086139964804</v>
      </c>
      <c r="D705" s="1249">
        <v>0.83793480888537597</v>
      </c>
      <c r="E705" s="1249">
        <v>0.80150933015383996</v>
      </c>
      <c r="F705" s="1249">
        <v>0.76482103706278404</v>
      </c>
      <c r="G705" s="1249"/>
      <c r="H705" s="1249"/>
      <c r="N705" s="510"/>
      <c r="O705" s="510"/>
      <c r="P705" s="510"/>
      <c r="R705" s="1674"/>
      <c r="S705" s="1674"/>
      <c r="T705" s="1674"/>
    </row>
    <row r="706" spans="1:20" x14ac:dyDescent="0.25">
      <c r="A706" s="1249" t="s">
        <v>3097</v>
      </c>
      <c r="B706" s="1668">
        <v>0.949867133013089</v>
      </c>
      <c r="C706" s="1668">
        <v>0.90104428767338995</v>
      </c>
      <c r="D706" s="1249">
        <v>0.85748695774719697</v>
      </c>
      <c r="E706" s="1249">
        <v>0.81980630644227404</v>
      </c>
      <c r="F706" s="1249">
        <v>0.78194341801770995</v>
      </c>
      <c r="G706" s="1249"/>
      <c r="H706" s="1249"/>
      <c r="N706" s="510"/>
      <c r="O706" s="510"/>
      <c r="P706" s="510"/>
      <c r="R706" s="1674"/>
      <c r="S706" s="1674"/>
      <c r="T706" s="1674"/>
    </row>
    <row r="707" spans="1:20" x14ac:dyDescent="0.25">
      <c r="A707" s="1249" t="s">
        <v>3098</v>
      </c>
      <c r="B707" s="1668">
        <v>0.97076055928683003</v>
      </c>
      <c r="C707" s="1668">
        <v>0.92059643653520995</v>
      </c>
      <c r="D707" s="1249">
        <v>0.87578393403563004</v>
      </c>
      <c r="E707" s="1249">
        <v>0.83692868739720006</v>
      </c>
      <c r="F707" s="1249">
        <v>0.79796660813087295</v>
      </c>
      <c r="G707" s="1249"/>
      <c r="H707" s="1249"/>
      <c r="N707" s="510"/>
      <c r="O707" s="510"/>
      <c r="P707" s="510"/>
      <c r="R707" s="1674"/>
      <c r="S707" s="1674"/>
      <c r="T707" s="1674"/>
    </row>
    <row r="708" spans="1:20" x14ac:dyDescent="0.25">
      <c r="A708" s="1249" t="s">
        <v>3099</v>
      </c>
      <c r="B708" s="1668">
        <v>0.99031270814865102</v>
      </c>
      <c r="C708" s="1668">
        <v>0.93889341282364402</v>
      </c>
      <c r="D708" s="1249">
        <v>0.89290631499055595</v>
      </c>
      <c r="E708" s="1249">
        <v>0.85295187751036305</v>
      </c>
      <c r="F708" s="1249">
        <v>0.81296117121637101</v>
      </c>
      <c r="G708" s="1249"/>
      <c r="H708" s="1249"/>
      <c r="N708" s="510"/>
      <c r="O708" s="510"/>
      <c r="P708" s="510"/>
      <c r="R708" s="1674"/>
      <c r="S708" s="1674"/>
      <c r="T708" s="1674"/>
    </row>
    <row r="709" spans="1:20" x14ac:dyDescent="0.25">
      <c r="A709" s="1249" t="s">
        <v>3100</v>
      </c>
      <c r="B709" s="1668">
        <v>1.00860968443708</v>
      </c>
      <c r="C709" s="1668">
        <v>0.95601579377857004</v>
      </c>
      <c r="D709" s="1249">
        <v>0.90892950510371995</v>
      </c>
      <c r="E709" s="1249">
        <v>0.86794644059586101</v>
      </c>
      <c r="F709" s="1249">
        <v>0.82699314116349598</v>
      </c>
      <c r="G709" s="1249"/>
      <c r="H709" s="1249"/>
      <c r="N709" s="510"/>
      <c r="O709" s="510"/>
      <c r="P709" s="510"/>
      <c r="R709" s="1674"/>
      <c r="S709" s="1674"/>
      <c r="T709" s="1674"/>
    </row>
    <row r="710" spans="1:20" x14ac:dyDescent="0.25">
      <c r="A710" s="1249" t="s">
        <v>3101</v>
      </c>
      <c r="B710" s="1668">
        <v>1.0257320653920099</v>
      </c>
      <c r="C710" s="1668">
        <v>0.97203898389173304</v>
      </c>
      <c r="D710" s="1249">
        <v>0.92392406818921702</v>
      </c>
      <c r="E710" s="1249">
        <v>0.88197841054298598</v>
      </c>
      <c r="F710" s="1249">
        <v>0.84012431274044197</v>
      </c>
      <c r="G710" s="1249"/>
      <c r="H710" s="1249"/>
      <c r="N710" s="510"/>
      <c r="O710" s="510"/>
      <c r="P710" s="510"/>
      <c r="R710" s="1674"/>
      <c r="S710" s="1674"/>
      <c r="T710" s="1674"/>
    </row>
    <row r="711" spans="1:20" x14ac:dyDescent="0.25">
      <c r="A711" s="1249" t="s">
        <v>3102</v>
      </c>
      <c r="B711" s="1668">
        <v>1.0417552555051699</v>
      </c>
      <c r="C711" s="1668">
        <v>0.987033546977231</v>
      </c>
      <c r="D711" s="1249">
        <v>0.93795603813634199</v>
      </c>
      <c r="E711" s="1249">
        <v>0.89510958211993297</v>
      </c>
      <c r="F711" s="1249">
        <v>0.85241251372953697</v>
      </c>
      <c r="G711" s="1249"/>
      <c r="H711" s="1249"/>
      <c r="N711" s="510"/>
      <c r="O711" s="510"/>
      <c r="P711" s="510"/>
      <c r="R711" s="1674"/>
      <c r="S711" s="1674"/>
      <c r="T711" s="1674"/>
    </row>
    <row r="712" spans="1:20" x14ac:dyDescent="0.25">
      <c r="A712" s="1249" t="s">
        <v>3103</v>
      </c>
      <c r="B712" s="1668">
        <v>0.18880337799481101</v>
      </c>
      <c r="C712" s="1668">
        <v>0.17407237576085999</v>
      </c>
      <c r="D712" s="1249">
        <v>0.16558242106029</v>
      </c>
      <c r="E712" s="1249">
        <v>0.16266658871130099</v>
      </c>
      <c r="F712" s="1249">
        <v>0.15741256572722701</v>
      </c>
      <c r="G712" s="1249"/>
      <c r="H712" s="1249"/>
      <c r="N712" s="510"/>
      <c r="O712" s="510"/>
      <c r="P712" s="510"/>
      <c r="R712" s="1674"/>
      <c r="S712" s="1674"/>
      <c r="T712" s="1674"/>
    </row>
    <row r="713" spans="1:20" x14ac:dyDescent="0.25">
      <c r="A713" s="1249" t="s">
        <v>3104</v>
      </c>
      <c r="B713" s="1668">
        <v>1.0567498185906701</v>
      </c>
      <c r="C713" s="1668">
        <v>1.0010655169243601</v>
      </c>
      <c r="D713" s="1249">
        <v>0.95108720971328897</v>
      </c>
      <c r="E713" s="1249">
        <v>0.90739778310902697</v>
      </c>
      <c r="F713" s="1249">
        <v>0.86391185959243699</v>
      </c>
      <c r="G713" s="1249"/>
      <c r="H713" s="1249"/>
      <c r="N713" s="510"/>
      <c r="O713" s="510"/>
      <c r="P713" s="510"/>
      <c r="R713" s="1674"/>
      <c r="S713" s="1674"/>
      <c r="T713" s="1674"/>
    </row>
    <row r="714" spans="1:20" x14ac:dyDescent="0.25">
      <c r="A714" s="1249" t="s">
        <v>3105</v>
      </c>
      <c r="B714" s="1668">
        <v>0.243788647374301</v>
      </c>
      <c r="C714" s="1668">
        <v>0.22869189984830299</v>
      </c>
      <c r="D714" s="1249">
        <v>0.218644216304657</v>
      </c>
      <c r="E714" s="1249">
        <v>0.212397835106718</v>
      </c>
      <c r="F714" s="1249">
        <v>0.20390931618864</v>
      </c>
      <c r="G714" s="1249"/>
      <c r="H714" s="1249"/>
      <c r="N714" s="510"/>
      <c r="O714" s="510"/>
      <c r="P714" s="510"/>
      <c r="R714" s="1674"/>
      <c r="S714" s="1674"/>
      <c r="T714" s="1674"/>
    </row>
    <row r="715" spans="1:20" x14ac:dyDescent="0.25">
      <c r="A715" s="1249" t="s">
        <v>3106</v>
      </c>
      <c r="B715" s="1668">
        <v>0.29840817146174398</v>
      </c>
      <c r="C715" s="1668">
        <v>0.28175369509267101</v>
      </c>
      <c r="D715" s="1249">
        <v>0.26837546270007401</v>
      </c>
      <c r="E715" s="1249">
        <v>0.258894585568131</v>
      </c>
      <c r="F715" s="1249">
        <v>0.24769351829184699</v>
      </c>
      <c r="G715" s="1249"/>
      <c r="H715" s="1249"/>
      <c r="N715" s="510"/>
      <c r="O715" s="510"/>
      <c r="P715" s="510"/>
      <c r="R715" s="1674"/>
      <c r="S715" s="1674"/>
      <c r="T715" s="1674"/>
    </row>
    <row r="716" spans="1:20" x14ac:dyDescent="0.25">
      <c r="A716" s="1249" t="s">
        <v>3107</v>
      </c>
      <c r="B716" s="1668">
        <v>0.35146996670611202</v>
      </c>
      <c r="C716" s="1668">
        <v>0.33148494148808799</v>
      </c>
      <c r="D716" s="1249">
        <v>0.314872213161487</v>
      </c>
      <c r="E716" s="1249">
        <v>0.30267878767133699</v>
      </c>
      <c r="F716" s="1249">
        <v>0.28942023838796199</v>
      </c>
      <c r="G716" s="1249"/>
      <c r="H716" s="1249"/>
      <c r="N716" s="510"/>
      <c r="O716" s="510"/>
      <c r="P716" s="510"/>
      <c r="R716" s="1674"/>
      <c r="S716" s="1674"/>
      <c r="T716" s="1674"/>
    </row>
    <row r="717" spans="1:20" x14ac:dyDescent="0.25">
      <c r="A717" s="1249" t="s">
        <v>3108</v>
      </c>
      <c r="B717" s="1668">
        <v>0.40120121310152801</v>
      </c>
      <c r="C717" s="1668">
        <v>0.37798169194950099</v>
      </c>
      <c r="D717" s="1249">
        <v>0.358656415264693</v>
      </c>
      <c r="E717" s="1249">
        <v>0.34440550776745299</v>
      </c>
      <c r="F717" s="1249">
        <v>0.328791598955469</v>
      </c>
      <c r="G717" s="1249"/>
      <c r="H717" s="1249"/>
      <c r="N717" s="510"/>
      <c r="O717" s="510"/>
      <c r="P717" s="510"/>
      <c r="R717" s="1674"/>
      <c r="S717" s="1674"/>
      <c r="T717" s="1674"/>
    </row>
    <row r="718" spans="1:20" x14ac:dyDescent="0.25">
      <c r="A718" s="1249" t="s">
        <v>3109</v>
      </c>
      <c r="B718" s="1668">
        <v>0.447697963562941</v>
      </c>
      <c r="C718" s="1668">
        <v>0.42176589405270698</v>
      </c>
      <c r="D718" s="1249">
        <v>0.40038313536080899</v>
      </c>
      <c r="E718" s="1249">
        <v>0.383776868334959</v>
      </c>
      <c r="F718" s="1249">
        <v>0.36644890416021098</v>
      </c>
      <c r="G718" s="1249"/>
      <c r="H718" s="1249"/>
      <c r="N718" s="510"/>
      <c r="O718" s="510"/>
      <c r="P718" s="510"/>
      <c r="R718" s="1674"/>
      <c r="S718" s="1674"/>
      <c r="T718" s="1674"/>
    </row>
    <row r="719" spans="1:20" x14ac:dyDescent="0.25">
      <c r="A719" s="1249" t="s">
        <v>3110</v>
      </c>
      <c r="B719" s="1668">
        <v>0.491482165666148</v>
      </c>
      <c r="C719" s="1668">
        <v>0.46349261414882298</v>
      </c>
      <c r="D719" s="1249">
        <v>0.439754495928316</v>
      </c>
      <c r="E719" s="1249">
        <v>0.42143417353970197</v>
      </c>
      <c r="F719" s="1249">
        <v>0.40245079645492099</v>
      </c>
      <c r="G719" s="1249"/>
      <c r="H719" s="1249"/>
      <c r="N719" s="510"/>
      <c r="O719" s="510"/>
      <c r="P719" s="510"/>
      <c r="R719" s="1674"/>
      <c r="S719" s="1674"/>
      <c r="T719" s="1674"/>
    </row>
    <row r="720" spans="1:20" x14ac:dyDescent="0.25">
      <c r="A720" s="1249" t="s">
        <v>3111</v>
      </c>
      <c r="B720" s="1668">
        <v>6.9239766266191605E-2</v>
      </c>
      <c r="C720" s="1668">
        <v>6.2670217057251107E-2</v>
      </c>
      <c r="D720" s="1249">
        <v>5.5577843832342502E-2</v>
      </c>
      <c r="E720" s="1249">
        <v>5.4596957506189703E-2</v>
      </c>
      <c r="F720" s="1249">
        <v>5.42391841863425E-2</v>
      </c>
      <c r="G720" s="1249"/>
      <c r="H720" s="1249"/>
      <c r="N720" s="510"/>
      <c r="O720" s="510"/>
      <c r="P720" s="510"/>
      <c r="R720" s="1674"/>
      <c r="S720" s="1674"/>
      <c r="T720" s="1674"/>
    </row>
    <row r="721" spans="1:20" x14ac:dyDescent="0.25">
      <c r="A721" s="1249" t="s">
        <v>3112</v>
      </c>
      <c r="B721" s="1668">
        <v>0.52948351702172602</v>
      </c>
      <c r="C721" s="1668">
        <v>0.499336682786162</v>
      </c>
      <c r="D721" s="1249">
        <v>0.47405765149927798</v>
      </c>
      <c r="E721" s="1249">
        <v>0.45422741907537401</v>
      </c>
      <c r="F721" s="1249">
        <v>0.43357175827079297</v>
      </c>
      <c r="G721" s="1249"/>
      <c r="H721" s="1249"/>
      <c r="N721" s="510"/>
      <c r="O721" s="510"/>
      <c r="P721" s="510"/>
      <c r="R721" s="1674"/>
      <c r="S721" s="1674"/>
      <c r="T721" s="1674"/>
    </row>
    <row r="722" spans="1:20" x14ac:dyDescent="0.25">
      <c r="A722" s="1249" t="s">
        <v>3113</v>
      </c>
      <c r="B722" s="1668">
        <v>0.56857644905235405</v>
      </c>
      <c r="C722" s="1668">
        <v>0.53672786855652899</v>
      </c>
      <c r="D722" s="1249">
        <v>0.50980526290771699</v>
      </c>
      <c r="E722" s="1249">
        <v>0.48816871577698301</v>
      </c>
      <c r="F722" s="1249">
        <v>0.46602104559330598</v>
      </c>
      <c r="G722" s="1249"/>
      <c r="H722" s="1249"/>
      <c r="N722" s="510"/>
      <c r="O722" s="510"/>
      <c r="P722" s="510"/>
      <c r="R722" s="1674"/>
      <c r="S722" s="1674"/>
      <c r="T722" s="1674"/>
    </row>
    <row r="723" spans="1:20" x14ac:dyDescent="0.25">
      <c r="A723" s="1249" t="s">
        <v>3114</v>
      </c>
      <c r="B723" s="1668">
        <v>0.60596763482272098</v>
      </c>
      <c r="C723" s="1668">
        <v>0.57247547996496795</v>
      </c>
      <c r="D723" s="1249">
        <v>0.54374655960932605</v>
      </c>
      <c r="E723" s="1249">
        <v>0.52061800309949502</v>
      </c>
      <c r="F723" s="1249">
        <v>0.497043942547852</v>
      </c>
      <c r="G723" s="1249"/>
      <c r="H723" s="1249"/>
      <c r="N723" s="510"/>
      <c r="O723" s="510"/>
      <c r="P723" s="510"/>
      <c r="R723" s="1674"/>
      <c r="S723" s="1674"/>
      <c r="T723" s="1674"/>
    </row>
    <row r="724" spans="1:20" x14ac:dyDescent="0.25">
      <c r="A724" s="1249" t="s">
        <v>3115</v>
      </c>
      <c r="B724" s="1668">
        <v>0.64171524623115905</v>
      </c>
      <c r="C724" s="1668">
        <v>0.60641677666657701</v>
      </c>
      <c r="D724" s="1249">
        <v>0.57619584693183801</v>
      </c>
      <c r="E724" s="1249">
        <v>0.55164090005404098</v>
      </c>
      <c r="F724" s="1249">
        <v>0.52670318074620104</v>
      </c>
      <c r="G724" s="1249"/>
      <c r="H724" s="1249"/>
      <c r="N724" s="510"/>
      <c r="O724" s="510"/>
      <c r="P724" s="510"/>
      <c r="R724" s="1674"/>
      <c r="S724" s="1674"/>
      <c r="T724" s="1674"/>
    </row>
    <row r="725" spans="1:20" x14ac:dyDescent="0.25">
      <c r="A725" s="1249" t="s">
        <v>3116</v>
      </c>
      <c r="B725" s="1668">
        <v>0.675656542932768</v>
      </c>
      <c r="C725" s="1668">
        <v>0.63886606398908896</v>
      </c>
      <c r="D725" s="1249">
        <v>0.60721874388638397</v>
      </c>
      <c r="E725" s="1249">
        <v>0.58130013825239002</v>
      </c>
      <c r="F725" s="1249">
        <v>0.55505873151873597</v>
      </c>
      <c r="G725" s="1249"/>
      <c r="H725" s="1249"/>
      <c r="N725" s="510"/>
      <c r="O725" s="510"/>
      <c r="P725" s="510"/>
      <c r="R725" s="1674"/>
      <c r="S725" s="1674"/>
      <c r="T725" s="1674"/>
    </row>
    <row r="726" spans="1:20" x14ac:dyDescent="0.25">
      <c r="A726" s="1249" t="s">
        <v>3117</v>
      </c>
      <c r="B726" s="1668">
        <v>0.70810583025528095</v>
      </c>
      <c r="C726" s="1668">
        <v>0.66988896094363504</v>
      </c>
      <c r="D726" s="1249">
        <v>0.63687798208473301</v>
      </c>
      <c r="E726" s="1249">
        <v>0.60965568902492495</v>
      </c>
      <c r="F726" s="1249">
        <v>0.58216792743313095</v>
      </c>
      <c r="G726" s="1249"/>
      <c r="H726" s="1249"/>
      <c r="N726" s="510"/>
      <c r="O726" s="510"/>
      <c r="P726" s="510"/>
      <c r="R726" s="1674"/>
      <c r="S726" s="1674"/>
      <c r="T726" s="1674"/>
    </row>
    <row r="727" spans="1:20" x14ac:dyDescent="0.25">
      <c r="A727" s="1249" t="s">
        <v>3118</v>
      </c>
      <c r="B727" s="1668">
        <v>0.73912872720982703</v>
      </c>
      <c r="C727" s="1668">
        <v>0.69954819914198396</v>
      </c>
      <c r="D727" s="1249">
        <v>0.66523353285726805</v>
      </c>
      <c r="E727" s="1249">
        <v>0.63676488493932004</v>
      </c>
      <c r="F727" s="1249">
        <v>0.60814226482253197</v>
      </c>
      <c r="G727" s="1249"/>
      <c r="H727" s="1249"/>
      <c r="N727" s="510"/>
      <c r="O727" s="510"/>
      <c r="P727" s="510"/>
      <c r="R727" s="1674"/>
      <c r="S727" s="1674"/>
      <c r="T727" s="1674"/>
    </row>
    <row r="728" spans="1:20" x14ac:dyDescent="0.25">
      <c r="A728" s="1249" t="s">
        <v>3119</v>
      </c>
      <c r="B728" s="1668">
        <v>0.76878796540817496</v>
      </c>
      <c r="C728" s="1668">
        <v>0.727903749914519</v>
      </c>
      <c r="D728" s="1249">
        <v>0.69234272877166303</v>
      </c>
      <c r="E728" s="1249">
        <v>0.66273922232872196</v>
      </c>
      <c r="F728" s="1249">
        <v>0.63297487764938598</v>
      </c>
      <c r="G728" s="1249"/>
      <c r="H728" s="1249"/>
      <c r="N728" s="510"/>
      <c r="O728" s="510"/>
      <c r="P728" s="510"/>
      <c r="R728" s="1674"/>
      <c r="S728" s="1674"/>
      <c r="T728" s="1674"/>
    </row>
    <row r="729" spans="1:20" x14ac:dyDescent="0.25">
      <c r="A729" s="1249" t="s">
        <v>3120</v>
      </c>
      <c r="B729" s="1668">
        <v>0.79714351618071</v>
      </c>
      <c r="C729" s="1668">
        <v>0.75501294582891398</v>
      </c>
      <c r="D729" s="1249">
        <v>0.71831706616106406</v>
      </c>
      <c r="E729" s="1249">
        <v>0.68757183515557496</v>
      </c>
      <c r="F729" s="1249">
        <v>0.65671597620116096</v>
      </c>
      <c r="G729" s="1249"/>
      <c r="H729" s="1249"/>
      <c r="N729" s="510"/>
      <c r="O729" s="510"/>
      <c r="P729" s="510"/>
      <c r="R729" s="1674"/>
      <c r="S729" s="1674"/>
      <c r="T729" s="1674"/>
    </row>
    <row r="730" spans="1:20" x14ac:dyDescent="0.25">
      <c r="A730" s="1249" t="s">
        <v>3121</v>
      </c>
      <c r="B730" s="1668">
        <v>0.82425271209510598</v>
      </c>
      <c r="C730" s="1668">
        <v>0.78098728321831601</v>
      </c>
      <c r="D730" s="1249">
        <v>0.74314967898791795</v>
      </c>
      <c r="E730" s="1249">
        <v>0.71131293370735105</v>
      </c>
      <c r="F730" s="1249">
        <v>0.67941356152670795</v>
      </c>
      <c r="G730" s="1249"/>
      <c r="H730" s="1249"/>
      <c r="N730" s="510"/>
      <c r="O730" s="510"/>
      <c r="P730" s="510"/>
      <c r="R730" s="1674"/>
      <c r="S730" s="1674"/>
      <c r="T730" s="1674"/>
    </row>
    <row r="731" spans="1:20" x14ac:dyDescent="0.25">
      <c r="A731" s="1249" t="s">
        <v>3122</v>
      </c>
      <c r="B731" s="1668">
        <v>0.131909983323443</v>
      </c>
      <c r="C731" s="1668">
        <v>0.118248060889594</v>
      </c>
      <c r="D731" s="1249">
        <v>0.110174801338532</v>
      </c>
      <c r="E731" s="1249">
        <v>0.108836141692532</v>
      </c>
      <c r="F731" s="1249">
        <v>0.106933827016557</v>
      </c>
      <c r="G731" s="1249"/>
      <c r="H731" s="1249"/>
      <c r="N731" s="510"/>
      <c r="O731" s="510"/>
      <c r="P731" s="510"/>
      <c r="R731" s="1674"/>
      <c r="S731" s="1674"/>
      <c r="T731" s="1674"/>
    </row>
    <row r="732" spans="1:20" x14ac:dyDescent="0.25">
      <c r="A732" s="1249" t="s">
        <v>3123</v>
      </c>
      <c r="B732" s="1668">
        <v>0.850227049484507</v>
      </c>
      <c r="C732" s="1668">
        <v>0.80581989604516902</v>
      </c>
      <c r="D732" s="1249">
        <v>0.76689077753969304</v>
      </c>
      <c r="E732" s="1249">
        <v>0.73401051903289805</v>
      </c>
      <c r="F732" s="1249">
        <v>0.70111352269194305</v>
      </c>
      <c r="G732" s="1249"/>
      <c r="H732" s="1249"/>
      <c r="N732" s="510"/>
      <c r="O732" s="510"/>
      <c r="P732" s="510"/>
      <c r="R732" s="1674"/>
      <c r="S732" s="1674"/>
      <c r="T732" s="1674"/>
    </row>
    <row r="733" spans="1:20" x14ac:dyDescent="0.25">
      <c r="A733" s="1249" t="s">
        <v>3124</v>
      </c>
      <c r="B733" s="1668">
        <v>0.87505966231136101</v>
      </c>
      <c r="C733" s="1668">
        <v>0.82956099459694399</v>
      </c>
      <c r="D733" s="1249">
        <v>0.78958836286524003</v>
      </c>
      <c r="E733" s="1249">
        <v>0.75571048019813303</v>
      </c>
      <c r="F733" s="1249">
        <v>0.72185972975189205</v>
      </c>
      <c r="G733" s="1249"/>
      <c r="H733" s="1249"/>
      <c r="N733" s="510"/>
      <c r="O733" s="510"/>
      <c r="P733" s="510"/>
      <c r="R733" s="1674"/>
      <c r="S733" s="1674"/>
      <c r="T733" s="1674"/>
    </row>
    <row r="734" spans="1:20" x14ac:dyDescent="0.25">
      <c r="A734" s="1249" t="s">
        <v>3125</v>
      </c>
      <c r="B734" s="1668">
        <v>0.89880076086313598</v>
      </c>
      <c r="C734" s="1668">
        <v>0.85225857992249199</v>
      </c>
      <c r="D734" s="1249">
        <v>0.81128832403047502</v>
      </c>
      <c r="E734" s="1249">
        <v>0.77645668725808104</v>
      </c>
      <c r="F734" s="1249">
        <v>0.74127411030584001</v>
      </c>
      <c r="G734" s="1249"/>
      <c r="H734" s="1249"/>
      <c r="N734" s="510"/>
      <c r="O734" s="510"/>
      <c r="P734" s="510"/>
      <c r="R734" s="1674"/>
      <c r="S734" s="1674"/>
      <c r="T734" s="1674"/>
    </row>
    <row r="735" spans="1:20" x14ac:dyDescent="0.25">
      <c r="A735" s="1249" t="s">
        <v>3126</v>
      </c>
      <c r="B735" s="1668">
        <v>0.92149834618868298</v>
      </c>
      <c r="C735" s="1668">
        <v>0.87395854108772597</v>
      </c>
      <c r="D735" s="1249">
        <v>0.83203453109042402</v>
      </c>
      <c r="E735" s="1249">
        <v>0.79587106781202999</v>
      </c>
      <c r="F735" s="1249">
        <v>0.75944216248060004</v>
      </c>
      <c r="G735" s="1249"/>
      <c r="H735" s="1249"/>
      <c r="N735" s="510"/>
      <c r="O735" s="510"/>
      <c r="P735" s="510"/>
      <c r="R735" s="1674"/>
      <c r="S735" s="1674"/>
      <c r="T735" s="1674"/>
    </row>
    <row r="736" spans="1:20" x14ac:dyDescent="0.25">
      <c r="A736" s="1249" t="s">
        <v>3127</v>
      </c>
      <c r="B736" s="1668">
        <v>0.94319830735391796</v>
      </c>
      <c r="C736" s="1668">
        <v>0.89470474814767498</v>
      </c>
      <c r="D736" s="1249">
        <v>0.85144891164437198</v>
      </c>
      <c r="E736" s="1249">
        <v>0.81403911998678902</v>
      </c>
      <c r="F736" s="1249">
        <v>0.77644389575287998</v>
      </c>
      <c r="G736" s="1249"/>
      <c r="H736" s="1249"/>
      <c r="N736" s="510"/>
      <c r="O736" s="510"/>
      <c r="P736" s="510"/>
      <c r="R736" s="1674"/>
      <c r="S736" s="1674"/>
      <c r="T736" s="1674"/>
    </row>
    <row r="737" spans="1:20" x14ac:dyDescent="0.25">
      <c r="A737" s="1249" t="s">
        <v>3128</v>
      </c>
      <c r="B737" s="1668">
        <v>0.96394451441386697</v>
      </c>
      <c r="C737" s="1668">
        <v>0.91411912870162304</v>
      </c>
      <c r="D737" s="1249">
        <v>0.86961696381913201</v>
      </c>
      <c r="E737" s="1249">
        <v>0.83104085325906996</v>
      </c>
      <c r="F737" s="1249">
        <v>0.79235418329946605</v>
      </c>
      <c r="G737" s="1249"/>
      <c r="H737" s="1249"/>
      <c r="N737" s="510"/>
      <c r="O737" s="510"/>
      <c r="P737" s="510"/>
      <c r="R737" s="1674"/>
      <c r="S737" s="1674"/>
      <c r="T737" s="1674"/>
    </row>
    <row r="738" spans="1:20" x14ac:dyDescent="0.25">
      <c r="A738" s="1249" t="s">
        <v>3129</v>
      </c>
      <c r="B738" s="1668">
        <v>0.98335889496781503</v>
      </c>
      <c r="C738" s="1668">
        <v>0.93228718087638296</v>
      </c>
      <c r="D738" s="1249">
        <v>0.88661869709141305</v>
      </c>
      <c r="E738" s="1249">
        <v>0.84695114080565503</v>
      </c>
      <c r="F738" s="1249">
        <v>0.80724309172786302</v>
      </c>
      <c r="G738" s="1249"/>
      <c r="H738" s="1249"/>
      <c r="N738" s="510"/>
      <c r="O738" s="510"/>
      <c r="P738" s="510"/>
      <c r="R738" s="1674"/>
      <c r="S738" s="1674"/>
      <c r="T738" s="1674"/>
    </row>
    <row r="739" spans="1:20" x14ac:dyDescent="0.25">
      <c r="A739" s="1249" t="s">
        <v>3130</v>
      </c>
      <c r="B739" s="1668">
        <v>1.0015269471425701</v>
      </c>
      <c r="C739" s="1668">
        <v>0.94928891414866401</v>
      </c>
      <c r="D739" s="1249">
        <v>0.90252898463799802</v>
      </c>
      <c r="E739" s="1249">
        <v>0.861840049234053</v>
      </c>
      <c r="F739" s="1249">
        <v>0.82117618963952099</v>
      </c>
      <c r="G739" s="1249"/>
      <c r="H739" s="1249"/>
      <c r="N739" s="510"/>
      <c r="O739" s="510"/>
      <c r="P739" s="510"/>
      <c r="R739" s="1674"/>
      <c r="S739" s="1674"/>
      <c r="T739" s="1674"/>
    </row>
    <row r="740" spans="1:20" x14ac:dyDescent="0.25">
      <c r="A740" s="1249" t="s">
        <v>3131</v>
      </c>
      <c r="B740" s="1668">
        <v>1.0185286804148601</v>
      </c>
      <c r="C740" s="1668">
        <v>0.96519920169524898</v>
      </c>
      <c r="D740" s="1249">
        <v>0.91741789306639498</v>
      </c>
      <c r="E740" s="1249">
        <v>0.87577314714570997</v>
      </c>
      <c r="F740" s="1249">
        <v>0.83421483638447402</v>
      </c>
      <c r="G740" s="1249"/>
      <c r="H740" s="1249"/>
      <c r="N740" s="510"/>
      <c r="O740" s="510"/>
      <c r="P740" s="510"/>
      <c r="R740" s="1674"/>
      <c r="S740" s="1674"/>
      <c r="T740" s="1674"/>
    </row>
    <row r="741" spans="1:20" x14ac:dyDescent="0.25">
      <c r="A741" s="1249" t="s">
        <v>3132</v>
      </c>
      <c r="B741" s="1668">
        <v>1.0344389679614401</v>
      </c>
      <c r="C741" s="1668">
        <v>0.98008811012364705</v>
      </c>
      <c r="D741" s="1249">
        <v>0.93135099097805296</v>
      </c>
      <c r="E741" s="1249">
        <v>0.888811793890664</v>
      </c>
      <c r="F741" s="1249">
        <v>0.84641645227906004</v>
      </c>
      <c r="G741" s="1249"/>
      <c r="H741" s="1249"/>
      <c r="N741" s="510"/>
      <c r="O741" s="510"/>
      <c r="P741" s="510"/>
      <c r="R741" s="1674"/>
      <c r="S741" s="1674"/>
      <c r="T741" s="1674"/>
    </row>
    <row r="742" spans="1:20" x14ac:dyDescent="0.25">
      <c r="A742" s="1249" t="s">
        <v>3133</v>
      </c>
      <c r="B742" s="1668">
        <v>0.18748782715578499</v>
      </c>
      <c r="C742" s="1668">
        <v>0.17284501839578301</v>
      </c>
      <c r="D742" s="1249">
        <v>0.16441398552487499</v>
      </c>
      <c r="E742" s="1249">
        <v>0.161530784522747</v>
      </c>
      <c r="F742" s="1249">
        <v>0.15631902236641201</v>
      </c>
      <c r="G742" s="1249"/>
      <c r="H742" s="1249"/>
      <c r="N742" s="510"/>
      <c r="O742" s="510"/>
      <c r="P742" s="510"/>
      <c r="R742" s="1674"/>
      <c r="S742" s="1674"/>
      <c r="T742" s="1674"/>
    </row>
    <row r="743" spans="1:20" x14ac:dyDescent="0.25">
      <c r="A743" s="1249" t="s">
        <v>3134</v>
      </c>
      <c r="B743" s="1668">
        <v>1.0493278763898399</v>
      </c>
      <c r="C743" s="1668">
        <v>0.99402120803530403</v>
      </c>
      <c r="D743" s="1249">
        <v>0.94438963772300699</v>
      </c>
      <c r="E743" s="1249">
        <v>0.90101340978524902</v>
      </c>
      <c r="F743" s="1249">
        <v>0.85783477147668796</v>
      </c>
      <c r="G743" s="1249"/>
      <c r="H743" s="1249"/>
      <c r="N743" s="510"/>
      <c r="O743" s="510"/>
      <c r="P743" s="510"/>
      <c r="R743" s="1674"/>
      <c r="S743" s="1674"/>
      <c r="T743" s="1674"/>
    </row>
    <row r="744" spans="1:20" x14ac:dyDescent="0.25">
      <c r="A744" s="1249" t="s">
        <v>3135</v>
      </c>
      <c r="B744" s="1668">
        <v>0.242084784661975</v>
      </c>
      <c r="C744" s="1668">
        <v>0.227084202582126</v>
      </c>
      <c r="D744" s="1249">
        <v>0.21710862835508901</v>
      </c>
      <c r="E744" s="1249">
        <v>0.21091597987260199</v>
      </c>
      <c r="F744" s="1249">
        <v>0.20248995610742501</v>
      </c>
      <c r="G744" s="1249"/>
      <c r="H744" s="1249"/>
      <c r="N744" s="510"/>
      <c r="O744" s="510"/>
      <c r="P744" s="510"/>
      <c r="R744" s="1674"/>
      <c r="S744" s="1674"/>
      <c r="T744" s="1674"/>
    </row>
    <row r="745" spans="1:20" x14ac:dyDescent="0.25">
      <c r="A745" s="1249" t="s">
        <v>3136</v>
      </c>
      <c r="B745" s="1668">
        <v>0.29632396884831702</v>
      </c>
      <c r="C745" s="1668">
        <v>0.27977884541234099</v>
      </c>
      <c r="D745" s="1249">
        <v>0.26649382370494501</v>
      </c>
      <c r="E745" s="1249">
        <v>0.25708691361361502</v>
      </c>
      <c r="F745" s="1249">
        <v>0.245965923031395</v>
      </c>
      <c r="G745" s="1249"/>
      <c r="H745" s="1249"/>
      <c r="N745" s="510"/>
      <c r="O745" s="510"/>
      <c r="P745" s="510"/>
      <c r="R745" s="1674"/>
      <c r="S745" s="1674"/>
      <c r="T745" s="1674"/>
    </row>
    <row r="746" spans="1:20" x14ac:dyDescent="0.25">
      <c r="A746" s="1249" t="s">
        <v>3137</v>
      </c>
      <c r="B746" s="1668">
        <v>0.34901861167853199</v>
      </c>
      <c r="C746" s="1668">
        <v>0.32916404076219602</v>
      </c>
      <c r="D746" s="1249">
        <v>0.31266475744595701</v>
      </c>
      <c r="E746" s="1249">
        <v>0.30056288053758501</v>
      </c>
      <c r="F746" s="1249">
        <v>0.287398732359751</v>
      </c>
      <c r="G746" s="1249"/>
      <c r="H746" s="1249"/>
      <c r="N746" s="510"/>
      <c r="O746" s="510"/>
      <c r="P746" s="510"/>
      <c r="R746" s="1674"/>
      <c r="S746" s="1674"/>
      <c r="T746" s="1674"/>
    </row>
    <row r="747" spans="1:20" x14ac:dyDescent="0.25">
      <c r="A747" s="1249" t="s">
        <v>3138</v>
      </c>
      <c r="B747" s="1668">
        <v>0.39840380702838701</v>
      </c>
      <c r="C747" s="1668">
        <v>0.37533497450320802</v>
      </c>
      <c r="D747" s="1249">
        <v>0.356140724369927</v>
      </c>
      <c r="E747" s="1249">
        <v>0.34199568986594098</v>
      </c>
      <c r="F747" s="1249">
        <v>0.32649166439037902</v>
      </c>
      <c r="G747" s="1249"/>
      <c r="H747" s="1249"/>
      <c r="N747" s="510"/>
      <c r="O747" s="510"/>
      <c r="P747" s="510"/>
      <c r="R747" s="1674"/>
      <c r="S747" s="1674"/>
      <c r="T747" s="1674"/>
    </row>
    <row r="748" spans="1:20" x14ac:dyDescent="0.25">
      <c r="A748" s="1249" t="s">
        <v>3139</v>
      </c>
      <c r="B748" s="1668">
        <v>0.44457474076940001</v>
      </c>
      <c r="C748" s="1668">
        <v>0.41881094142717801</v>
      </c>
      <c r="D748" s="1249">
        <v>0.39757353369828302</v>
      </c>
      <c r="E748" s="1249">
        <v>0.381088621896568</v>
      </c>
      <c r="F748" s="1249">
        <v>0.36388285016074601</v>
      </c>
      <c r="G748" s="1249"/>
      <c r="H748" s="1249"/>
      <c r="N748" s="510"/>
      <c r="O748" s="510"/>
      <c r="P748" s="510"/>
      <c r="R748" s="1674"/>
      <c r="S748" s="1674"/>
      <c r="T748" s="1674"/>
    </row>
    <row r="749" spans="1:20" x14ac:dyDescent="0.25">
      <c r="A749" s="1249" t="s">
        <v>3140</v>
      </c>
      <c r="B749" s="1668">
        <v>0.48805070769337</v>
      </c>
      <c r="C749" s="1668">
        <v>0.46024375075553398</v>
      </c>
      <c r="D749" s="1249">
        <v>0.43666646572891099</v>
      </c>
      <c r="E749" s="1249">
        <v>0.41847980766693499</v>
      </c>
      <c r="F749" s="1249">
        <v>0.39963046156918403</v>
      </c>
      <c r="G749" s="1249"/>
      <c r="H749" s="1249"/>
      <c r="N749" s="510"/>
      <c r="O749" s="510"/>
      <c r="P749" s="510"/>
      <c r="R749" s="1674"/>
      <c r="S749" s="1674"/>
      <c r="T749" s="1674"/>
    </row>
    <row r="750" spans="1:20" x14ac:dyDescent="0.25">
      <c r="A750" s="1249" t="s">
        <v>3141</v>
      </c>
      <c r="B750" s="1668">
        <v>6.6631665194838832E-2</v>
      </c>
      <c r="C750" s="1668">
        <v>6.2354169188507225E-2</v>
      </c>
      <c r="D750" s="1249">
        <v>5.634557542581746E-2</v>
      </c>
      <c r="E750" s="1249">
        <v>4.9850342965795096E-2</v>
      </c>
      <c r="F750" s="1249">
        <v>4.9021730244855399E-2</v>
      </c>
      <c r="G750" s="1249"/>
      <c r="H750" s="1249"/>
      <c r="N750" s="510"/>
      <c r="O750" s="510"/>
      <c r="P750" s="510"/>
      <c r="R750" s="1674"/>
      <c r="S750" s="1674"/>
      <c r="T750" s="1674"/>
    </row>
    <row r="751" spans="1:20" x14ac:dyDescent="0.25">
      <c r="A751" s="1249" t="s">
        <v>3142</v>
      </c>
      <c r="B751" s="1668">
        <v>0.5053049878580318</v>
      </c>
      <c r="C751" s="1668">
        <v>0.47588413924283096</v>
      </c>
      <c r="D751" s="1249">
        <v>0.44862640511018198</v>
      </c>
      <c r="E751" s="1249">
        <v>0.4258516786424098</v>
      </c>
      <c r="F751" s="1249">
        <v>0.4080981715647094</v>
      </c>
      <c r="G751" s="1249"/>
      <c r="H751" s="1249"/>
      <c r="N751" s="510"/>
      <c r="O751" s="510"/>
      <c r="P751" s="510"/>
      <c r="R751" s="1674"/>
      <c r="S751" s="1674"/>
      <c r="T751" s="1674"/>
    </row>
    <row r="752" spans="1:20" x14ac:dyDescent="0.25">
      <c r="A752" s="1249" t="s">
        <v>3143</v>
      </c>
      <c r="B752" s="1668">
        <v>0.54251580443766967</v>
      </c>
      <c r="C752" s="1668">
        <v>0.51098057429868926</v>
      </c>
      <c r="D752" s="1249">
        <v>0.48219725406822711</v>
      </c>
      <c r="E752" s="1249">
        <v>0.45794851453050434</v>
      </c>
      <c r="F752" s="1249">
        <v>0.43856799751864295</v>
      </c>
      <c r="G752" s="1249"/>
      <c r="H752" s="1249"/>
      <c r="N752" s="510"/>
      <c r="O752" s="510"/>
      <c r="P752" s="510"/>
      <c r="R752" s="1674"/>
      <c r="S752" s="1674"/>
      <c r="T752" s="1674"/>
    </row>
    <row r="753" spans="1:20" x14ac:dyDescent="0.25">
      <c r="A753" s="1249" t="s">
        <v>3144</v>
      </c>
      <c r="B753" s="1668">
        <v>0.57761223949352802</v>
      </c>
      <c r="C753" s="1668">
        <v>0.54455142325673433</v>
      </c>
      <c r="D753" s="1249">
        <v>0.51429408995632198</v>
      </c>
      <c r="E753" s="1249">
        <v>0.488418340484438</v>
      </c>
      <c r="F753" s="1249">
        <v>0.46769990113556725</v>
      </c>
      <c r="G753" s="1249"/>
      <c r="H753" s="1249"/>
      <c r="N753" s="510"/>
      <c r="O753" s="510"/>
      <c r="P753" s="510"/>
      <c r="R753" s="1674"/>
      <c r="S753" s="1674"/>
      <c r="T753" s="1674"/>
    </row>
    <row r="754" spans="1:20" x14ac:dyDescent="0.25">
      <c r="A754" s="1249" t="s">
        <v>3145</v>
      </c>
      <c r="B754" s="1668">
        <v>0.61118308845157332</v>
      </c>
      <c r="C754" s="1668">
        <v>0.57664825914482909</v>
      </c>
      <c r="D754" s="1249">
        <v>0.5447639159102553</v>
      </c>
      <c r="E754" s="1249">
        <v>0.51755024410136241</v>
      </c>
      <c r="F754" s="1249">
        <v>0.49555265800305293</v>
      </c>
      <c r="G754" s="1249"/>
      <c r="H754" s="1249"/>
      <c r="N754" s="510"/>
      <c r="O754" s="510"/>
      <c r="P754" s="510"/>
      <c r="R754" s="1674"/>
      <c r="S754" s="1674"/>
      <c r="T754" s="1674"/>
    </row>
    <row r="755" spans="1:20" x14ac:dyDescent="0.25">
      <c r="A755" s="1249" t="s">
        <v>3146</v>
      </c>
      <c r="B755" s="1668">
        <v>0.64327992433966796</v>
      </c>
      <c r="C755" s="1668">
        <v>0.60711808509876264</v>
      </c>
      <c r="D755" s="1249">
        <v>0.57389581952717994</v>
      </c>
      <c r="E755" s="1249">
        <v>0.54540300096884797</v>
      </c>
      <c r="F755" s="1249">
        <v>0.52218246042244287</v>
      </c>
      <c r="G755" s="1249"/>
      <c r="H755" s="1249"/>
      <c r="N755" s="510"/>
      <c r="O755" s="510"/>
      <c r="P755" s="510"/>
      <c r="R755" s="1674"/>
      <c r="S755" s="1674"/>
      <c r="T755" s="1674"/>
    </row>
    <row r="756" spans="1:20" x14ac:dyDescent="0.25">
      <c r="A756" s="1249" t="s">
        <v>3147</v>
      </c>
      <c r="B756" s="1668">
        <v>0.67374975029360162</v>
      </c>
      <c r="C756" s="1668">
        <v>0.63624998871568716</v>
      </c>
      <c r="D756" s="1249">
        <v>0.6017485763946655</v>
      </c>
      <c r="E756" s="1249">
        <v>0.57203280338823781</v>
      </c>
      <c r="F756" s="1249">
        <v>0.54764303100452016</v>
      </c>
      <c r="G756" s="1249"/>
      <c r="H756" s="1249"/>
      <c r="N756" s="510"/>
      <c r="O756" s="510"/>
      <c r="P756" s="510"/>
      <c r="R756" s="1674"/>
      <c r="S756" s="1674"/>
      <c r="T756" s="1674"/>
    </row>
    <row r="757" spans="1:20" x14ac:dyDescent="0.25">
      <c r="A757" s="1249" t="s">
        <v>3148</v>
      </c>
      <c r="B757" s="1668">
        <v>0.70288165391052593</v>
      </c>
      <c r="C757" s="1668">
        <v>0.66410274558317273</v>
      </c>
      <c r="D757" s="1249">
        <v>0.62837837881405534</v>
      </c>
      <c r="E757" s="1249">
        <v>0.59749337397031532</v>
      </c>
      <c r="F757" s="1249">
        <v>0.57198573126749186</v>
      </c>
      <c r="G757" s="1249"/>
      <c r="H757" s="1249"/>
      <c r="N757" s="510"/>
      <c r="O757" s="510"/>
      <c r="P757" s="510"/>
      <c r="R757" s="1674"/>
      <c r="S757" s="1674"/>
      <c r="T757" s="1674"/>
    </row>
    <row r="758" spans="1:20" x14ac:dyDescent="0.25">
      <c r="A758" s="1249" t="s">
        <v>3149</v>
      </c>
      <c r="B758" s="1668">
        <v>0.7307344107780116</v>
      </c>
      <c r="C758" s="1668">
        <v>0.69073254800256256</v>
      </c>
      <c r="D758" s="1249">
        <v>0.65383894939613263</v>
      </c>
      <c r="E758" s="1249">
        <v>0.62183607423328691</v>
      </c>
      <c r="F758" s="1249">
        <v>0.59530660686530512</v>
      </c>
      <c r="G758" s="1249"/>
      <c r="H758" s="1249"/>
      <c r="N758" s="510"/>
      <c r="O758" s="510"/>
      <c r="P758" s="510"/>
      <c r="R758" s="1674"/>
      <c r="S758" s="1674"/>
      <c r="T758" s="1674"/>
    </row>
    <row r="759" spans="1:20" x14ac:dyDescent="0.25">
      <c r="A759" s="1249" t="s">
        <v>3150</v>
      </c>
      <c r="B759" s="1668">
        <v>0.75736421319740144</v>
      </c>
      <c r="C759" s="1668">
        <v>0.71619311858463985</v>
      </c>
      <c r="D759" s="1249">
        <v>0.67818164965910432</v>
      </c>
      <c r="E759" s="1249">
        <v>0.64515694983110039</v>
      </c>
      <c r="F759" s="1249">
        <v>0.61760352771804705</v>
      </c>
      <c r="G759" s="1249"/>
      <c r="H759" s="1249"/>
      <c r="N759" s="510"/>
      <c r="O759" s="510"/>
      <c r="P759" s="510"/>
      <c r="R759" s="1674"/>
      <c r="S759" s="1674"/>
      <c r="T759" s="1674"/>
    </row>
    <row r="760" spans="1:20" x14ac:dyDescent="0.25">
      <c r="A760" s="1249" t="s">
        <v>3151</v>
      </c>
      <c r="B760" s="1668">
        <v>0.78282478377947917</v>
      </c>
      <c r="C760" s="1668">
        <v>0.74053581884761155</v>
      </c>
      <c r="D760" s="1249">
        <v>0.70150252525691748</v>
      </c>
      <c r="E760" s="1249">
        <v>0.66745387068384188</v>
      </c>
      <c r="F760" s="1249">
        <v>0.63892147401468535</v>
      </c>
      <c r="G760" s="1249"/>
      <c r="H760" s="1249"/>
      <c r="N760" s="510"/>
      <c r="O760" s="510"/>
      <c r="P760" s="510"/>
      <c r="R760" s="1674"/>
      <c r="S760" s="1674"/>
      <c r="T760" s="1674"/>
    </row>
    <row r="761" spans="1:20" x14ac:dyDescent="0.25">
      <c r="A761" s="1249" t="s">
        <v>3152</v>
      </c>
      <c r="B761" s="1668">
        <v>0.12898583438334604</v>
      </c>
      <c r="C761" s="1668">
        <v>0.1186997446143247</v>
      </c>
      <c r="D761" s="1249">
        <v>0.10619591839161256</v>
      </c>
      <c r="E761" s="1249">
        <v>9.8872073210650474E-2</v>
      </c>
      <c r="F761" s="1249">
        <v>9.7785132685545825E-2</v>
      </c>
      <c r="G761" s="1249"/>
      <c r="H761" s="1249"/>
      <c r="N761" s="510"/>
      <c r="O761" s="510"/>
      <c r="P761" s="510"/>
      <c r="R761" s="1674"/>
      <c r="S761" s="1674"/>
      <c r="T761" s="1674"/>
    </row>
    <row r="762" spans="1:20" x14ac:dyDescent="0.25">
      <c r="A762" s="1249" t="s">
        <v>3153</v>
      </c>
      <c r="B762" s="1668">
        <v>0.80716748404245053</v>
      </c>
      <c r="C762" s="1668">
        <v>0.76385669444542492</v>
      </c>
      <c r="D762" s="1249">
        <v>0.72379944610965941</v>
      </c>
      <c r="E762" s="1249">
        <v>0.68877181698048062</v>
      </c>
      <c r="F762" s="1249">
        <v>0.65930344910776795</v>
      </c>
      <c r="G762" s="1249"/>
      <c r="H762" s="1249"/>
      <c r="N762" s="510"/>
      <c r="O762" s="510"/>
      <c r="P762" s="510"/>
      <c r="R762" s="1674"/>
      <c r="S762" s="1674"/>
      <c r="T762" s="1674"/>
    </row>
    <row r="763" spans="1:20" x14ac:dyDescent="0.25">
      <c r="A763" s="1249" t="s">
        <v>3154</v>
      </c>
      <c r="B763" s="1668">
        <v>0.8304883596402638</v>
      </c>
      <c r="C763" s="1668">
        <v>0.78615361529816652</v>
      </c>
      <c r="D763" s="1249">
        <v>0.74511739240629793</v>
      </c>
      <c r="E763" s="1249">
        <v>0.70915379207356299</v>
      </c>
      <c r="F763" s="1249">
        <v>0.67879056643615177</v>
      </c>
      <c r="G763" s="1249"/>
      <c r="H763" s="1249"/>
      <c r="N763" s="510"/>
      <c r="O763" s="510"/>
      <c r="P763" s="510"/>
      <c r="R763" s="1674"/>
      <c r="S763" s="1674"/>
      <c r="T763" s="1674"/>
    </row>
    <row r="764" spans="1:20" x14ac:dyDescent="0.25">
      <c r="A764" s="1249" t="s">
        <v>3155</v>
      </c>
      <c r="B764" s="1668">
        <v>0.85278528049300562</v>
      </c>
      <c r="C764" s="1668">
        <v>0.80747156159480504</v>
      </c>
      <c r="D764" s="1249">
        <v>0.76549936749938041</v>
      </c>
      <c r="E764" s="1249">
        <v>0.72864090940194681</v>
      </c>
      <c r="F764" s="1249">
        <v>0.69702668596486594</v>
      </c>
      <c r="G764" s="1249"/>
      <c r="H764" s="1249"/>
      <c r="N764" s="510"/>
      <c r="O764" s="510"/>
      <c r="P764" s="510"/>
      <c r="R764" s="1674"/>
      <c r="S764" s="1674"/>
      <c r="T764" s="1674"/>
    </row>
    <row r="765" spans="1:20" x14ac:dyDescent="0.25">
      <c r="A765" s="1249" t="s">
        <v>3156</v>
      </c>
      <c r="B765" s="1668">
        <v>0.87410322678964425</v>
      </c>
      <c r="C765" s="1668">
        <v>0.82785353668788775</v>
      </c>
      <c r="D765" s="1249">
        <v>0.78498648482776412</v>
      </c>
      <c r="E765" s="1249">
        <v>0.7468770289306611</v>
      </c>
      <c r="F765" s="1249">
        <v>0.71409211692941232</v>
      </c>
      <c r="G765" s="1249"/>
      <c r="H765" s="1249"/>
      <c r="N765" s="510"/>
      <c r="O765" s="510"/>
      <c r="P765" s="510"/>
      <c r="R765" s="1674"/>
      <c r="S765" s="1674"/>
      <c r="T765" s="1674"/>
    </row>
    <row r="766" spans="1:20" x14ac:dyDescent="0.25">
      <c r="A766" s="1249" t="s">
        <v>3157</v>
      </c>
      <c r="B766" s="1668">
        <v>0.89448520188272651</v>
      </c>
      <c r="C766" s="1668">
        <v>0.84734065401627157</v>
      </c>
      <c r="D766" s="1249">
        <v>0.80322260435647841</v>
      </c>
      <c r="E766" s="1249">
        <v>0.76394245989520726</v>
      </c>
      <c r="F766" s="1249">
        <v>0.73006201302200657</v>
      </c>
      <c r="G766" s="1249"/>
      <c r="H766" s="1249"/>
      <c r="N766" s="510"/>
      <c r="O766" s="510"/>
      <c r="P766" s="510"/>
      <c r="R766" s="1674"/>
      <c r="S766" s="1674"/>
      <c r="T766" s="1674"/>
    </row>
    <row r="767" spans="1:20" x14ac:dyDescent="0.25">
      <c r="A767" s="1249" t="s">
        <v>3158</v>
      </c>
      <c r="B767" s="1668">
        <v>0.91397231921111055</v>
      </c>
      <c r="C767" s="1668">
        <v>0.86557677354498552</v>
      </c>
      <c r="D767" s="1249">
        <v>0.82028803532102479</v>
      </c>
      <c r="E767" s="1249">
        <v>0.77991235598780162</v>
      </c>
      <c r="F767" s="1249">
        <v>0.74500670335758057</v>
      </c>
      <c r="G767" s="1249"/>
      <c r="H767" s="1249"/>
      <c r="N767" s="510"/>
      <c r="O767" s="510"/>
      <c r="P767" s="510"/>
      <c r="R767" s="1674"/>
      <c r="S767" s="1674"/>
      <c r="T767" s="1674"/>
    </row>
    <row r="768" spans="1:20" x14ac:dyDescent="0.25">
      <c r="A768" s="1249" t="s">
        <v>3159</v>
      </c>
      <c r="B768" s="1668">
        <v>0.18533140980916346</v>
      </c>
      <c r="C768" s="1668">
        <v>0.16855008758011975</v>
      </c>
      <c r="D768" s="1249">
        <v>0.15521764863646798</v>
      </c>
      <c r="E768" s="1249">
        <v>0.14763547565134091</v>
      </c>
      <c r="F768" s="1249">
        <v>0.14518724287810439</v>
      </c>
      <c r="G768" s="1249"/>
      <c r="H768" s="1249"/>
      <c r="N768" s="510"/>
      <c r="O768" s="510"/>
      <c r="P768" s="510"/>
      <c r="R768" s="1674"/>
      <c r="S768" s="1674"/>
      <c r="T768" s="1674"/>
    </row>
    <row r="769" spans="1:20" x14ac:dyDescent="0.25">
      <c r="A769" s="1249" t="s">
        <v>3160</v>
      </c>
      <c r="B769" s="1668">
        <v>0.23518175277495865</v>
      </c>
      <c r="C769" s="1668">
        <v>0.21757181782497517</v>
      </c>
      <c r="D769" s="1249">
        <v>0.20398105107715847</v>
      </c>
      <c r="E769" s="1249">
        <v>0.19503758584389952</v>
      </c>
      <c r="F769" s="1249">
        <v>0.1895896104385546</v>
      </c>
      <c r="G769" s="1249"/>
      <c r="H769" s="1249"/>
      <c r="N769" s="510"/>
      <c r="O769" s="510"/>
      <c r="P769" s="510"/>
      <c r="R769" s="1674"/>
      <c r="S769" s="1674"/>
      <c r="T769" s="1674"/>
    </row>
    <row r="770" spans="1:20" x14ac:dyDescent="0.25">
      <c r="A770" s="1249" t="s">
        <v>3161</v>
      </c>
      <c r="B770" s="1668">
        <v>0.28420348301981402</v>
      </c>
      <c r="C770" s="1668">
        <v>0.26633522026566564</v>
      </c>
      <c r="D770" s="1249">
        <v>0.25138316126971699</v>
      </c>
      <c r="E770" s="1249">
        <v>0.23943995340434968</v>
      </c>
      <c r="F770" s="1249">
        <v>0.23107549827875368</v>
      </c>
      <c r="G770" s="1249"/>
      <c r="H770" s="1249"/>
      <c r="N770" s="510"/>
      <c r="O770" s="510"/>
      <c r="P770" s="510"/>
      <c r="R770" s="1674"/>
      <c r="S770" s="1674"/>
      <c r="T770" s="1674"/>
    </row>
    <row r="771" spans="1:20" x14ac:dyDescent="0.25">
      <c r="A771" s="1249" t="s">
        <v>3162</v>
      </c>
      <c r="B771" s="1668">
        <v>0.3329668854605044</v>
      </c>
      <c r="C771" s="1668">
        <v>0.31373733045822422</v>
      </c>
      <c r="D771" s="1249">
        <v>0.29578552883016718</v>
      </c>
      <c r="E771" s="1249">
        <v>0.28092584124454878</v>
      </c>
      <c r="F771" s="1249">
        <v>0.27012323508307312</v>
      </c>
      <c r="G771" s="1249"/>
      <c r="H771" s="1249"/>
      <c r="N771" s="510"/>
      <c r="O771" s="510"/>
      <c r="P771" s="510"/>
      <c r="R771" s="1674"/>
      <c r="S771" s="1674"/>
      <c r="T771" s="1674"/>
    </row>
    <row r="772" spans="1:20" x14ac:dyDescent="0.25">
      <c r="A772" s="1249" t="s">
        <v>3163</v>
      </c>
      <c r="B772" s="1668">
        <v>0.3329668854605044</v>
      </c>
      <c r="C772" s="1668">
        <v>0.31373733045822422</v>
      </c>
      <c r="D772" s="1249">
        <v>0.29578552883016718</v>
      </c>
      <c r="E772" s="1249">
        <v>0.28092584124454878</v>
      </c>
      <c r="F772" s="1249">
        <v>0.27012323508307312</v>
      </c>
      <c r="G772" s="1249"/>
      <c r="H772" s="1249"/>
      <c r="N772" s="510"/>
      <c r="O772" s="510"/>
      <c r="P772" s="510"/>
      <c r="R772" s="1674"/>
      <c r="S772" s="1674"/>
      <c r="T772" s="1674"/>
    </row>
    <row r="773" spans="1:20" x14ac:dyDescent="0.25">
      <c r="A773" s="1249" t="s">
        <v>3164</v>
      </c>
      <c r="B773" s="1668">
        <v>0.38036899565306298</v>
      </c>
      <c r="C773" s="1668">
        <v>0.35813969801867451</v>
      </c>
      <c r="D773" s="1249">
        <v>0.33727141667036625</v>
      </c>
      <c r="E773" s="1249">
        <v>0.31997357804886822</v>
      </c>
      <c r="F773" s="1249">
        <v>0.30733405166271116</v>
      </c>
      <c r="G773" s="1249"/>
      <c r="H773" s="1249"/>
      <c r="N773" s="510"/>
      <c r="O773" s="510"/>
      <c r="P773" s="510"/>
      <c r="R773" s="1674"/>
      <c r="S773" s="1674"/>
      <c r="T773" s="1674"/>
    </row>
    <row r="774" spans="1:20" x14ac:dyDescent="0.25">
      <c r="A774" s="1249" t="s">
        <v>3165</v>
      </c>
      <c r="B774" s="1668">
        <v>0.42477136321351316</v>
      </c>
      <c r="C774" s="1668">
        <v>0.39962558585887342</v>
      </c>
      <c r="D774" s="1249">
        <v>0.37631915347468559</v>
      </c>
      <c r="E774" s="1249">
        <v>0.35718439462850626</v>
      </c>
      <c r="F774" s="1249">
        <v>0.34243048671856946</v>
      </c>
      <c r="G774" s="1249"/>
      <c r="H774" s="1249"/>
      <c r="N774" s="510"/>
      <c r="O774" s="510"/>
      <c r="P774" s="510"/>
      <c r="R774" s="1674"/>
      <c r="S774" s="1674"/>
      <c r="T774" s="1674"/>
    </row>
    <row r="775" spans="1:20" x14ac:dyDescent="0.25">
      <c r="A775" s="1249" t="s">
        <v>3166</v>
      </c>
      <c r="B775" s="1668">
        <v>0.46625725105371235</v>
      </c>
      <c r="C775" s="1668">
        <v>0.43867332266319281</v>
      </c>
      <c r="D775" s="1249">
        <v>0.41352997005432374</v>
      </c>
      <c r="E775" s="1249">
        <v>0.39228082968436473</v>
      </c>
      <c r="F775" s="1249">
        <v>0.37600133567661465</v>
      </c>
      <c r="G775" s="1249"/>
      <c r="H775" s="1249"/>
      <c r="N775" s="510"/>
      <c r="O775" s="510"/>
      <c r="P775" s="510"/>
      <c r="R775" s="1674"/>
      <c r="S775" s="1674"/>
      <c r="T775" s="1674"/>
    </row>
    <row r="776" spans="1:20" x14ac:dyDescent="0.25">
      <c r="A776" s="1249" t="s">
        <v>3167</v>
      </c>
      <c r="B776" s="1668">
        <v>0.39776752531750725</v>
      </c>
      <c r="C776" s="1668">
        <v>0.37699521754433846</v>
      </c>
      <c r="D776" s="1249">
        <v>0.35805342056596556</v>
      </c>
      <c r="E776" s="1249">
        <v>0.34091023298873813</v>
      </c>
      <c r="F776" s="1249">
        <v>0.325183371782232</v>
      </c>
      <c r="G776" s="1249"/>
      <c r="H776" s="1249"/>
      <c r="I776" s="50" t="s">
        <v>2691</v>
      </c>
      <c r="N776" s="510"/>
      <c r="O776" s="510"/>
      <c r="P776" s="510"/>
      <c r="R776" s="1674"/>
      <c r="S776" s="1674"/>
      <c r="T776" s="1674"/>
    </row>
    <row r="777" spans="1:20" x14ac:dyDescent="0.25">
      <c r="A777" s="1249" t="s">
        <v>3168</v>
      </c>
      <c r="B777" s="1668">
        <v>6.6686149604661099E-2</v>
      </c>
      <c r="C777" s="1668">
        <v>6.0279168813870299E-2</v>
      </c>
      <c r="D777" s="1249">
        <v>5.33550016135836E-2</v>
      </c>
      <c r="E777" s="1249">
        <v>5.2457531916686902E-2</v>
      </c>
      <c r="F777" s="1249">
        <v>5.2168081927895599E-2</v>
      </c>
      <c r="G777" s="1249"/>
      <c r="H777" s="1249"/>
      <c r="N777" s="510"/>
      <c r="O777" s="510"/>
      <c r="P777" s="510"/>
      <c r="R777" s="1674"/>
      <c r="S777" s="1674"/>
      <c r="T777" s="1674"/>
    </row>
    <row r="778" spans="1:20" x14ac:dyDescent="0.25">
      <c r="A778" s="1249" t="s">
        <v>3169</v>
      </c>
      <c r="B778" s="1668">
        <v>0.509140460660639</v>
      </c>
      <c r="C778" s="1668">
        <v>0.48001148811157002</v>
      </c>
      <c r="D778" s="1249">
        <v>0.455656492646768</v>
      </c>
      <c r="E778" s="1249">
        <v>0.436647984583865</v>
      </c>
      <c r="F778" s="1249">
        <v>0.416796968877994</v>
      </c>
      <c r="G778" s="1249"/>
      <c r="H778" s="1249"/>
      <c r="N778" s="510"/>
      <c r="O778" s="510"/>
      <c r="P778" s="510"/>
      <c r="R778" s="1674"/>
      <c r="S778" s="1674"/>
      <c r="T778" s="1674"/>
    </row>
    <row r="779" spans="1:20" x14ac:dyDescent="0.25">
      <c r="A779" s="1249" t="s">
        <v>3170</v>
      </c>
      <c r="B779" s="1668">
        <v>0.54669763771623103</v>
      </c>
      <c r="C779" s="1668">
        <v>0.51593566146063796</v>
      </c>
      <c r="D779" s="1249">
        <v>0.49000298619744898</v>
      </c>
      <c r="E779" s="1249">
        <v>0.46925450079468101</v>
      </c>
      <c r="F779" s="1249">
        <v>0.44797143364313102</v>
      </c>
      <c r="G779" s="1249"/>
      <c r="H779" s="1249"/>
      <c r="N779" s="510"/>
      <c r="O779" s="510"/>
      <c r="P779" s="510"/>
      <c r="R779" s="1674"/>
      <c r="S779" s="1674"/>
      <c r="T779" s="1674"/>
    </row>
    <row r="780" spans="1:20" x14ac:dyDescent="0.25">
      <c r="A780" s="1249" t="s">
        <v>3171</v>
      </c>
      <c r="B780" s="1668">
        <v>0.58262181106529898</v>
      </c>
      <c r="C780" s="1668">
        <v>0.55028215501131905</v>
      </c>
      <c r="D780" s="1249">
        <v>0.52260950240826398</v>
      </c>
      <c r="E780" s="1249">
        <v>0.50042896555981797</v>
      </c>
      <c r="F780" s="1249">
        <v>0.47777677149227799</v>
      </c>
      <c r="G780" s="1249"/>
      <c r="H780" s="1249"/>
      <c r="N780" s="510"/>
      <c r="O780" s="510"/>
      <c r="P780" s="510"/>
      <c r="R780" s="1674"/>
      <c r="S780" s="1674"/>
      <c r="T780" s="1674"/>
    </row>
    <row r="781" spans="1:20" x14ac:dyDescent="0.25">
      <c r="A781" s="1249" t="s">
        <v>3172</v>
      </c>
      <c r="B781" s="1668">
        <v>0.61696830461597996</v>
      </c>
      <c r="C781" s="1668">
        <v>0.58288867122213395</v>
      </c>
      <c r="D781" s="1249">
        <v>0.55378396717340195</v>
      </c>
      <c r="E781" s="1249">
        <v>0.53023430340896505</v>
      </c>
      <c r="F781" s="1249">
        <v>0.50627314069666995</v>
      </c>
      <c r="G781" s="1249"/>
      <c r="H781" s="1249"/>
      <c r="N781" s="510"/>
      <c r="O781" s="510"/>
      <c r="P781" s="510"/>
      <c r="R781" s="1674"/>
      <c r="S781" s="1674"/>
      <c r="T781" s="1674"/>
    </row>
    <row r="782" spans="1:20" x14ac:dyDescent="0.25">
      <c r="A782" s="1249" t="s">
        <v>3173</v>
      </c>
      <c r="B782" s="1668">
        <v>0.64957482082679596</v>
      </c>
      <c r="C782" s="1668">
        <v>0.61406313598727202</v>
      </c>
      <c r="D782" s="1249">
        <v>0.58358930502254902</v>
      </c>
      <c r="E782" s="1249">
        <v>0.55873067261335696</v>
      </c>
      <c r="F782" s="1249">
        <v>0.53351805493841697</v>
      </c>
      <c r="G782" s="1249"/>
      <c r="H782" s="1249"/>
      <c r="N782" s="510"/>
      <c r="O782" s="510"/>
      <c r="P782" s="510"/>
      <c r="R782" s="1674"/>
      <c r="S782" s="1674"/>
      <c r="T782" s="1674"/>
    </row>
    <row r="783" spans="1:20" x14ac:dyDescent="0.25">
      <c r="A783" s="1249" t="s">
        <v>3174</v>
      </c>
      <c r="B783" s="1668">
        <v>0.68074928559193304</v>
      </c>
      <c r="C783" s="1668">
        <v>0.64386847383641899</v>
      </c>
      <c r="D783" s="1249">
        <v>0.61208567422694105</v>
      </c>
      <c r="E783" s="1249">
        <v>0.58597558685510398</v>
      </c>
      <c r="F783" s="1249">
        <v>0.55956649962569904</v>
      </c>
      <c r="G783" s="1249"/>
      <c r="H783" s="1249"/>
      <c r="N783" s="510"/>
      <c r="O783" s="510"/>
      <c r="P783" s="510"/>
      <c r="R783" s="1674"/>
      <c r="S783" s="1674"/>
      <c r="T783" s="1674"/>
    </row>
    <row r="784" spans="1:20" x14ac:dyDescent="0.25">
      <c r="A784" s="1249" t="s">
        <v>3175</v>
      </c>
      <c r="B784" s="1668">
        <v>0.71055462344108</v>
      </c>
      <c r="C784" s="1668">
        <v>0.67236484304081101</v>
      </c>
      <c r="D784" s="1249">
        <v>0.63933058846868795</v>
      </c>
      <c r="E784" s="1249">
        <v>0.61202403154238605</v>
      </c>
      <c r="F784" s="1249">
        <v>0.58452209309043701</v>
      </c>
      <c r="G784" s="1249"/>
      <c r="H784" s="1249"/>
      <c r="N784" s="510"/>
      <c r="O784" s="510"/>
      <c r="P784" s="510"/>
      <c r="R784" s="1674"/>
      <c r="S784" s="1674"/>
      <c r="T784" s="1674"/>
    </row>
    <row r="785" spans="1:20" x14ac:dyDescent="0.25">
      <c r="A785" s="1249" t="s">
        <v>3176</v>
      </c>
      <c r="B785" s="1668">
        <v>0.73905099264547203</v>
      </c>
      <c r="C785" s="1668">
        <v>0.69960975728255803</v>
      </c>
      <c r="D785" s="1249">
        <v>0.66537903315596902</v>
      </c>
      <c r="E785" s="1249">
        <v>0.63697962500712402</v>
      </c>
      <c r="F785" s="1249">
        <v>0.608381721131935</v>
      </c>
      <c r="G785" s="1249"/>
      <c r="H785" s="1249"/>
      <c r="N785" s="510"/>
      <c r="O785" s="510"/>
      <c r="P785" s="510"/>
      <c r="R785" s="1674"/>
      <c r="S785" s="1674"/>
      <c r="T785" s="1674"/>
    </row>
    <row r="786" spans="1:20" x14ac:dyDescent="0.25">
      <c r="A786" s="1249" t="s">
        <v>3177</v>
      </c>
      <c r="B786" s="1668">
        <v>0.76629590688721905</v>
      </c>
      <c r="C786" s="1668">
        <v>0.72565820196983899</v>
      </c>
      <c r="D786" s="1249">
        <v>0.69033462662070699</v>
      </c>
      <c r="E786" s="1249">
        <v>0.66083925304862201</v>
      </c>
      <c r="F786" s="1249">
        <v>0.63119353775427001</v>
      </c>
      <c r="G786" s="1249"/>
      <c r="H786" s="1249"/>
      <c r="N786" s="510"/>
      <c r="O786" s="510"/>
      <c r="P786" s="510"/>
      <c r="R786" s="1674"/>
      <c r="S786" s="1674"/>
      <c r="T786" s="1674"/>
    </row>
    <row r="787" spans="1:20" x14ac:dyDescent="0.25">
      <c r="A787" s="1249" t="s">
        <v>3178</v>
      </c>
      <c r="B787" s="1668">
        <v>0.792344351574501</v>
      </c>
      <c r="C787" s="1668">
        <v>0.75061379543457696</v>
      </c>
      <c r="D787" s="1249">
        <v>0.71419425466220599</v>
      </c>
      <c r="E787" s="1249">
        <v>0.68365106967095701</v>
      </c>
      <c r="F787" s="1249">
        <v>0.65300358016626403</v>
      </c>
      <c r="G787" s="1249"/>
      <c r="H787" s="1249"/>
      <c r="N787" s="510"/>
      <c r="O787" s="510"/>
      <c r="P787" s="510"/>
      <c r="R787" s="1674"/>
      <c r="S787" s="1674"/>
      <c r="T787" s="1674"/>
    </row>
    <row r="788" spans="1:20" x14ac:dyDescent="0.25">
      <c r="A788" s="1249" t="s">
        <v>3179</v>
      </c>
      <c r="B788" s="1668">
        <v>0.12696531841853101</v>
      </c>
      <c r="C788" s="1668">
        <v>0.113634170427454</v>
      </c>
      <c r="D788" s="1249">
        <v>0.10581253353026999</v>
      </c>
      <c r="E788" s="1249">
        <v>0.10462561384458199</v>
      </c>
      <c r="F788" s="1249">
        <v>0.10287418067792101</v>
      </c>
      <c r="G788" s="1249"/>
      <c r="H788" s="1249"/>
      <c r="N788" s="510"/>
      <c r="O788" s="510"/>
      <c r="P788" s="510"/>
      <c r="R788" s="1674"/>
      <c r="S788" s="1674"/>
      <c r="T788" s="1674"/>
    </row>
    <row r="789" spans="1:20" x14ac:dyDescent="0.25">
      <c r="A789" s="1249" t="s">
        <v>3180</v>
      </c>
      <c r="B789" s="1668">
        <v>0.81729994503923797</v>
      </c>
      <c r="C789" s="1668">
        <v>0.77447342347607595</v>
      </c>
      <c r="D789" s="1249">
        <v>0.73700607128453999</v>
      </c>
      <c r="E789" s="1249">
        <v>0.70546111208295104</v>
      </c>
      <c r="F789" s="1249">
        <v>0.67385586187948998</v>
      </c>
      <c r="G789" s="1249"/>
      <c r="H789" s="1249"/>
      <c r="N789" s="510"/>
      <c r="O789" s="510"/>
      <c r="P789" s="510"/>
      <c r="R789" s="1674"/>
      <c r="S789" s="1674"/>
      <c r="T789" s="1674"/>
    </row>
    <row r="790" spans="1:20" x14ac:dyDescent="0.25">
      <c r="A790" s="1249" t="s">
        <v>3181</v>
      </c>
      <c r="B790" s="1668">
        <v>0.84115957308073697</v>
      </c>
      <c r="C790" s="1668">
        <v>0.79728524009841095</v>
      </c>
      <c r="D790" s="1249">
        <v>0.75881611369653401</v>
      </c>
      <c r="E790" s="1249">
        <v>0.72631339379617699</v>
      </c>
      <c r="F790" s="1249">
        <v>0.69379246170969999</v>
      </c>
      <c r="G790" s="1249"/>
      <c r="H790" s="1249"/>
      <c r="N790" s="510"/>
      <c r="O790" s="510"/>
      <c r="P790" s="510"/>
      <c r="R790" s="1674"/>
      <c r="S790" s="1674"/>
      <c r="T790" s="1674"/>
    </row>
    <row r="791" spans="1:20" x14ac:dyDescent="0.25">
      <c r="A791" s="1249" t="s">
        <v>3182</v>
      </c>
      <c r="B791" s="1668">
        <v>0.86397138970307097</v>
      </c>
      <c r="C791" s="1668">
        <v>0.81909528251040498</v>
      </c>
      <c r="D791" s="1249">
        <v>0.77966839540975996</v>
      </c>
      <c r="E791" s="1249">
        <v>0.746249993626387</v>
      </c>
      <c r="F791" s="1249">
        <v>0.71244920869660799</v>
      </c>
      <c r="G791" s="1249"/>
      <c r="H791" s="1249"/>
      <c r="N791" s="510"/>
      <c r="O791" s="510"/>
      <c r="P791" s="510"/>
      <c r="R791" s="1674"/>
      <c r="S791" s="1674"/>
      <c r="T791" s="1674"/>
    </row>
    <row r="792" spans="1:20" x14ac:dyDescent="0.25">
      <c r="A792" s="1249" t="s">
        <v>3183</v>
      </c>
      <c r="B792" s="1668">
        <v>0.88578143211506599</v>
      </c>
      <c r="C792" s="1668">
        <v>0.83994756422363104</v>
      </c>
      <c r="D792" s="1249">
        <v>0.79960499523996997</v>
      </c>
      <c r="E792" s="1249">
        <v>0.764906740613295</v>
      </c>
      <c r="F792" s="1249">
        <v>0.72990826445826595</v>
      </c>
      <c r="G792" s="1249"/>
      <c r="H792" s="1249"/>
      <c r="N792" s="510"/>
      <c r="O792" s="510"/>
      <c r="P792" s="510"/>
      <c r="R792" s="1674"/>
      <c r="S792" s="1674"/>
      <c r="T792" s="1674"/>
    </row>
    <row r="793" spans="1:20" x14ac:dyDescent="0.25">
      <c r="A793" s="1249" t="s">
        <v>3184</v>
      </c>
      <c r="B793" s="1668">
        <v>0.90663371382829205</v>
      </c>
      <c r="C793" s="1668">
        <v>0.85988416405384005</v>
      </c>
      <c r="D793" s="1249">
        <v>0.81826174222687797</v>
      </c>
      <c r="E793" s="1249">
        <v>0.78236579637495296</v>
      </c>
      <c r="F793" s="1249">
        <v>0.74624651615362203</v>
      </c>
      <c r="G793" s="1249"/>
      <c r="H793" s="1249"/>
      <c r="N793" s="510"/>
      <c r="O793" s="510"/>
      <c r="P793" s="510"/>
      <c r="R793" s="1674"/>
      <c r="S793" s="1674"/>
      <c r="T793" s="1674"/>
    </row>
    <row r="794" spans="1:20" x14ac:dyDescent="0.25">
      <c r="A794" s="1249" t="s">
        <v>3185</v>
      </c>
      <c r="B794" s="1668">
        <v>0.92657031365850195</v>
      </c>
      <c r="C794" s="1668">
        <v>0.87854091104074805</v>
      </c>
      <c r="D794" s="1249">
        <v>0.83572079798853605</v>
      </c>
      <c r="E794" s="1249">
        <v>0.79870404807030904</v>
      </c>
      <c r="F794" s="1249">
        <v>0.76153591508246099</v>
      </c>
      <c r="G794" s="1249"/>
      <c r="H794" s="1249"/>
      <c r="N794" s="510"/>
      <c r="O794" s="510"/>
      <c r="P794" s="510"/>
      <c r="R794" s="1674"/>
      <c r="S794" s="1674"/>
      <c r="T794" s="1674"/>
    </row>
    <row r="795" spans="1:20" x14ac:dyDescent="0.25">
      <c r="A795" s="1249" t="s">
        <v>3186</v>
      </c>
      <c r="B795" s="1668">
        <v>0.94522706064540896</v>
      </c>
      <c r="C795" s="1668">
        <v>0.89599996680240601</v>
      </c>
      <c r="D795" s="1249">
        <v>0.85205904968389301</v>
      </c>
      <c r="E795" s="1249">
        <v>0.813993446999148</v>
      </c>
      <c r="F795" s="1249">
        <v>0.77584379354852695</v>
      </c>
      <c r="G795" s="1249"/>
      <c r="H795" s="1249"/>
      <c r="N795" s="510"/>
      <c r="O795" s="510"/>
      <c r="P795" s="510"/>
      <c r="R795" s="1674"/>
      <c r="S795" s="1674"/>
      <c r="T795" s="1674"/>
    </row>
    <row r="796" spans="1:20" x14ac:dyDescent="0.25">
      <c r="A796" s="1249" t="s">
        <v>3187</v>
      </c>
      <c r="B796" s="1668">
        <v>0.96268611640706703</v>
      </c>
      <c r="C796" s="1668">
        <v>0.91233821849776298</v>
      </c>
      <c r="D796" s="1249">
        <v>0.86734844861273097</v>
      </c>
      <c r="E796" s="1249">
        <v>0.82830132546521396</v>
      </c>
      <c r="F796" s="1249">
        <v>0.78923316138126698</v>
      </c>
      <c r="G796" s="1249"/>
      <c r="H796" s="1249"/>
      <c r="N796" s="510"/>
      <c r="O796" s="510"/>
      <c r="P796" s="510"/>
      <c r="R796" s="1674"/>
      <c r="S796" s="1674"/>
      <c r="T796" s="1674"/>
    </row>
    <row r="797" spans="1:20" x14ac:dyDescent="0.25">
      <c r="A797" s="1249" t="s">
        <v>3188</v>
      </c>
      <c r="B797" s="1668">
        <v>0.97902436810242399</v>
      </c>
      <c r="C797" s="1668">
        <v>0.92762761742660105</v>
      </c>
      <c r="D797" s="1249">
        <v>0.88165632707879704</v>
      </c>
      <c r="E797" s="1249">
        <v>0.84169069329795398</v>
      </c>
      <c r="F797" s="1249">
        <v>0.80176298342201202</v>
      </c>
      <c r="G797" s="1249"/>
      <c r="H797" s="1249"/>
      <c r="N797" s="510"/>
      <c r="O797" s="510"/>
      <c r="P797" s="510"/>
      <c r="R797" s="1674"/>
      <c r="S797" s="1674"/>
      <c r="T797" s="1674"/>
    </row>
    <row r="798" spans="1:20" x14ac:dyDescent="0.25">
      <c r="A798" s="1249" t="s">
        <v>3189</v>
      </c>
      <c r="B798" s="1668">
        <v>0.99431376703126195</v>
      </c>
      <c r="C798" s="1668">
        <v>0.94193549589266801</v>
      </c>
      <c r="D798" s="1249">
        <v>0.89504569491153696</v>
      </c>
      <c r="E798" s="1249">
        <v>0.85422051533869903</v>
      </c>
      <c r="F798" s="1249">
        <v>0.81348843919661895</v>
      </c>
      <c r="G798" s="1249"/>
      <c r="H798" s="1249"/>
      <c r="N798" s="510"/>
      <c r="O798" s="510"/>
      <c r="P798" s="510"/>
      <c r="R798" s="1674"/>
      <c r="S798" s="1674"/>
      <c r="T798" s="1674"/>
    </row>
    <row r="799" spans="1:20" x14ac:dyDescent="0.25">
      <c r="A799" s="1249" t="s">
        <v>3190</v>
      </c>
      <c r="B799" s="1668">
        <v>0.18032032003211501</v>
      </c>
      <c r="C799" s="1668">
        <v>0.166091702344141</v>
      </c>
      <c r="D799" s="1249">
        <v>0.157980615458166</v>
      </c>
      <c r="E799" s="1249">
        <v>0.15533171259460801</v>
      </c>
      <c r="F799" s="1249">
        <v>0.15037613651026299</v>
      </c>
      <c r="G799" s="1249"/>
      <c r="H799" s="1249"/>
      <c r="N799" s="510"/>
      <c r="O799" s="510"/>
      <c r="P799" s="510"/>
      <c r="R799" s="1674"/>
      <c r="S799" s="1674"/>
      <c r="T799" s="1674"/>
    </row>
    <row r="800" spans="1:20" x14ac:dyDescent="0.25">
      <c r="A800" s="1249" t="s">
        <v>3191</v>
      </c>
      <c r="B800" s="1668">
        <v>1.00862164549733</v>
      </c>
      <c r="C800" s="1668">
        <v>0.95532486372540804</v>
      </c>
      <c r="D800" s="1249">
        <v>0.907575516952283</v>
      </c>
      <c r="E800" s="1249">
        <v>0.86594597111330596</v>
      </c>
      <c r="F800" s="1249">
        <v>0.82446116591813101</v>
      </c>
      <c r="G800" s="1249"/>
      <c r="H800" s="1249"/>
      <c r="N800" s="510"/>
      <c r="O800" s="510"/>
      <c r="P800" s="510"/>
      <c r="R800" s="1674"/>
      <c r="S800" s="1674"/>
      <c r="T800" s="1674"/>
    </row>
    <row r="801" spans="1:20" x14ac:dyDescent="0.25">
      <c r="A801" s="1249" t="s">
        <v>3192</v>
      </c>
      <c r="B801" s="1668">
        <v>0.23277785194880199</v>
      </c>
      <c r="C801" s="1668">
        <v>0.21825978427203599</v>
      </c>
      <c r="D801" s="1249">
        <v>0.20868671420819099</v>
      </c>
      <c r="E801" s="1249">
        <v>0.20283366842695</v>
      </c>
      <c r="F801" s="1249">
        <v>0.194763503814849</v>
      </c>
      <c r="G801" s="1249"/>
      <c r="H801" s="1249"/>
      <c r="N801" s="510"/>
      <c r="O801" s="510"/>
      <c r="P801" s="510"/>
      <c r="R801" s="1674"/>
      <c r="S801" s="1674"/>
      <c r="T801" s="1674"/>
    </row>
    <row r="802" spans="1:20" x14ac:dyDescent="0.25">
      <c r="A802" s="1249" t="s">
        <v>3193</v>
      </c>
      <c r="B802" s="1668">
        <v>0.28494593387669698</v>
      </c>
      <c r="C802" s="1668">
        <v>0.26896588302206198</v>
      </c>
      <c r="D802" s="1249">
        <v>0.25618867004053397</v>
      </c>
      <c r="E802" s="1249">
        <v>0.247221035731536</v>
      </c>
      <c r="F802" s="1249">
        <v>0.236545640302187</v>
      </c>
      <c r="G802" s="1249"/>
      <c r="H802" s="1249"/>
      <c r="N802" s="510"/>
      <c r="O802" s="510"/>
      <c r="P802" s="510"/>
      <c r="R802" s="1674"/>
      <c r="S802" s="1674"/>
      <c r="T802" s="1674"/>
    </row>
    <row r="803" spans="1:20" x14ac:dyDescent="0.25">
      <c r="A803" s="1249" t="s">
        <v>3194</v>
      </c>
      <c r="B803" s="1668">
        <v>0.335652032626723</v>
      </c>
      <c r="C803" s="1668">
        <v>0.31646783885440399</v>
      </c>
      <c r="D803" s="1249">
        <v>0.30057603734512001</v>
      </c>
      <c r="E803" s="1249">
        <v>0.289003172218874</v>
      </c>
      <c r="F803" s="1249">
        <v>0.27636260871183699</v>
      </c>
      <c r="G803" s="1249"/>
      <c r="H803" s="1249"/>
      <c r="N803" s="510"/>
      <c r="O803" s="510"/>
      <c r="P803" s="510"/>
      <c r="R803" s="1674"/>
      <c r="S803" s="1674"/>
      <c r="T803" s="1674"/>
    </row>
    <row r="804" spans="1:20" x14ac:dyDescent="0.25">
      <c r="A804" s="1249" t="s">
        <v>3195</v>
      </c>
      <c r="B804" s="1668">
        <v>0.38315398845906501</v>
      </c>
      <c r="C804" s="1668">
        <v>0.36085520615899003</v>
      </c>
      <c r="D804" s="1249">
        <v>0.34235817383245798</v>
      </c>
      <c r="E804" s="1249">
        <v>0.32882014062852399</v>
      </c>
      <c r="F804" s="1249">
        <v>0.31391978576742902</v>
      </c>
      <c r="G804" s="1249"/>
      <c r="H804" s="1249"/>
      <c r="N804" s="510"/>
      <c r="O804" s="510"/>
      <c r="P804" s="510"/>
      <c r="R804" s="1674"/>
      <c r="S804" s="1674"/>
      <c r="T804" s="1674"/>
    </row>
    <row r="805" spans="1:20" x14ac:dyDescent="0.25">
      <c r="A805" s="1249" t="s">
        <v>3196</v>
      </c>
      <c r="B805" s="1668">
        <v>0.42754135576365099</v>
      </c>
      <c r="C805" s="1668">
        <v>0.402637342646328</v>
      </c>
      <c r="D805" s="1249">
        <v>0.38217514224210702</v>
      </c>
      <c r="E805" s="1249">
        <v>0.36637731768411602</v>
      </c>
      <c r="F805" s="1249">
        <v>0.34984395911649702</v>
      </c>
      <c r="G805" s="1249"/>
      <c r="H805" s="1249"/>
      <c r="N805" s="510"/>
      <c r="O805" s="510"/>
      <c r="P805" s="510"/>
      <c r="R805" s="1674"/>
      <c r="S805" s="1674"/>
      <c r="T805" s="1674"/>
    </row>
    <row r="806" spans="1:20" x14ac:dyDescent="0.25">
      <c r="A806" s="1249" t="s">
        <v>3197</v>
      </c>
      <c r="B806" s="1668">
        <v>0.46932349225098902</v>
      </c>
      <c r="C806" s="1668">
        <v>0.44245431105597799</v>
      </c>
      <c r="D806" s="1249">
        <v>0.4197323192977</v>
      </c>
      <c r="E806" s="1249">
        <v>0.40230149103318402</v>
      </c>
      <c r="F806" s="1249">
        <v>0.384190452667178</v>
      </c>
      <c r="G806" s="1249"/>
      <c r="H806" s="1249"/>
      <c r="N806" s="510"/>
      <c r="O806" s="510"/>
      <c r="P806" s="510"/>
      <c r="R806" s="1674"/>
      <c r="S806" s="1674"/>
      <c r="T806" s="1674"/>
    </row>
    <row r="807" spans="1:20" x14ac:dyDescent="0.25">
      <c r="A807" s="1249" t="s">
        <v>3198</v>
      </c>
      <c r="B807" s="1668">
        <v>8.1110673742368702E-2</v>
      </c>
      <c r="C807" s="1668">
        <v>7.3762287376644406E-2</v>
      </c>
      <c r="D807" s="1249">
        <v>6.5860914134802606E-2</v>
      </c>
      <c r="E807" s="1249">
        <v>6.45059468458513E-2</v>
      </c>
      <c r="F807" s="1249">
        <v>6.3846542837451406E-2</v>
      </c>
      <c r="G807" s="1249"/>
      <c r="H807" s="1249"/>
      <c r="N807" s="510"/>
      <c r="O807" s="510"/>
      <c r="P807" s="510"/>
      <c r="R807" s="1674"/>
      <c r="S807" s="1674"/>
      <c r="T807" s="1674"/>
    </row>
    <row r="808" spans="1:20" x14ac:dyDescent="0.25">
      <c r="A808" s="1249" t="s">
        <v>3199</v>
      </c>
      <c r="B808" s="1668">
        <v>0.62381521323199896</v>
      </c>
      <c r="C808" s="1668">
        <v>0.58890943765994297</v>
      </c>
      <c r="D808" s="1249">
        <v>0.55933247493871896</v>
      </c>
      <c r="E808" s="1249">
        <v>0.53570851952236198</v>
      </c>
      <c r="F808" s="1249">
        <v>0.51132475507514796</v>
      </c>
      <c r="G808" s="1249"/>
      <c r="H808" s="1249"/>
      <c r="N808" s="510"/>
      <c r="O808" s="510"/>
      <c r="P808" s="510"/>
      <c r="R808" s="1674"/>
      <c r="S808" s="1674"/>
      <c r="T808" s="1674"/>
    </row>
    <row r="809" spans="1:20" x14ac:dyDescent="0.25">
      <c r="A809" s="1249" t="s">
        <v>3200</v>
      </c>
      <c r="B809" s="1668">
        <v>0.67002011140231199</v>
      </c>
      <c r="C809" s="1668">
        <v>0.63309476231536399</v>
      </c>
      <c r="D809" s="1249">
        <v>0.60156943365716398</v>
      </c>
      <c r="E809" s="1249">
        <v>0.57583070192099906</v>
      </c>
      <c r="F809" s="1249">
        <v>0.549677633387197</v>
      </c>
      <c r="G809" s="1249"/>
      <c r="H809" s="1249"/>
      <c r="N809" s="510"/>
      <c r="O809" s="510"/>
      <c r="P809" s="510"/>
      <c r="R809" s="1674"/>
      <c r="S809" s="1674"/>
      <c r="T809" s="1674"/>
    </row>
    <row r="810" spans="1:20" x14ac:dyDescent="0.25">
      <c r="A810" s="1249" t="s">
        <v>3201</v>
      </c>
      <c r="B810" s="1668">
        <v>0.71420543605773201</v>
      </c>
      <c r="C810" s="1668">
        <v>0.67533172103380801</v>
      </c>
      <c r="D810" s="1249">
        <v>0.64169161605580205</v>
      </c>
      <c r="E810" s="1249">
        <v>0.61418358023304798</v>
      </c>
      <c r="F810" s="1249">
        <v>0.58633927281627496</v>
      </c>
      <c r="G810" s="1249"/>
      <c r="H810" s="1249"/>
      <c r="N810" s="510"/>
      <c r="O810" s="510"/>
      <c r="P810" s="510"/>
      <c r="R810" s="1674"/>
      <c r="S810" s="1674"/>
      <c r="T810" s="1674"/>
    </row>
    <row r="811" spans="1:20" x14ac:dyDescent="0.25">
      <c r="A811" s="1249" t="s">
        <v>3202</v>
      </c>
      <c r="B811" s="1668">
        <v>0.75644239477617703</v>
      </c>
      <c r="C811" s="1668">
        <v>0.71545390343244597</v>
      </c>
      <c r="D811" s="1249">
        <v>0.68004449436785097</v>
      </c>
      <c r="E811" s="1249">
        <v>0.65084521966212605</v>
      </c>
      <c r="F811" s="1249">
        <v>0.62138429227056502</v>
      </c>
      <c r="G811" s="1249"/>
      <c r="H811" s="1249"/>
      <c r="N811" s="510"/>
      <c r="O811" s="510"/>
      <c r="P811" s="510"/>
      <c r="R811" s="1674"/>
      <c r="S811" s="1674"/>
      <c r="T811" s="1674"/>
    </row>
    <row r="812" spans="1:20" x14ac:dyDescent="0.25">
      <c r="A812" s="1249" t="s">
        <v>3203</v>
      </c>
      <c r="B812" s="1668">
        <v>0.79656457717481499</v>
      </c>
      <c r="C812" s="1668">
        <v>0.753806781744495</v>
      </c>
      <c r="D812" s="1249">
        <v>0.71670613379692805</v>
      </c>
      <c r="E812" s="1249">
        <v>0.685890239116417</v>
      </c>
      <c r="F812" s="1249">
        <v>0.65488401658929096</v>
      </c>
      <c r="G812" s="1249"/>
      <c r="H812" s="1249"/>
      <c r="N812" s="510"/>
      <c r="O812" s="510"/>
      <c r="P812" s="510"/>
      <c r="R812" s="1674"/>
      <c r="S812" s="1674"/>
      <c r="T812" s="1674"/>
    </row>
    <row r="813" spans="1:20" x14ac:dyDescent="0.25">
      <c r="A813" s="1249" t="s">
        <v>3204</v>
      </c>
      <c r="B813" s="1668">
        <v>0.83491745548686402</v>
      </c>
      <c r="C813" s="1668">
        <v>0.79046842117357297</v>
      </c>
      <c r="D813" s="1249">
        <v>0.75175115325121999</v>
      </c>
      <c r="E813" s="1249">
        <v>0.71938996343514205</v>
      </c>
      <c r="F813" s="1249">
        <v>0.68690662204138198</v>
      </c>
      <c r="G813" s="1249"/>
      <c r="H813" s="1249"/>
      <c r="N813" s="510"/>
      <c r="O813" s="510"/>
      <c r="P813" s="510"/>
      <c r="R813" s="1674"/>
      <c r="S813" s="1674"/>
      <c r="T813" s="1674"/>
    </row>
    <row r="814" spans="1:20" x14ac:dyDescent="0.25">
      <c r="A814" s="1249" t="s">
        <v>3205</v>
      </c>
      <c r="B814" s="1668">
        <v>0.87157909491594099</v>
      </c>
      <c r="C814" s="1668">
        <v>0.82551344062786403</v>
      </c>
      <c r="D814" s="1249">
        <v>0.78525087756994505</v>
      </c>
      <c r="E814" s="1249">
        <v>0.75141256888723396</v>
      </c>
      <c r="F814" s="1249">
        <v>0.71759913541305298</v>
      </c>
      <c r="G814" s="1249"/>
      <c r="H814" s="1249"/>
      <c r="N814" s="510"/>
      <c r="O814" s="510"/>
      <c r="P814" s="510"/>
      <c r="R814" s="1674"/>
      <c r="S814" s="1674"/>
      <c r="T814" s="1674"/>
    </row>
    <row r="815" spans="1:20" x14ac:dyDescent="0.25">
      <c r="A815" s="1249" t="s">
        <v>3206</v>
      </c>
      <c r="B815" s="1668">
        <v>0.90662411437023205</v>
      </c>
      <c r="C815" s="1668">
        <v>0.85901316494658997</v>
      </c>
      <c r="D815" s="1249">
        <v>0.81727348302203595</v>
      </c>
      <c r="E815" s="1249">
        <v>0.78210508225890496</v>
      </c>
      <c r="F815" s="1249">
        <v>0.74693826387349704</v>
      </c>
      <c r="G815" s="1249"/>
      <c r="H815" s="1249"/>
      <c r="N815" s="510"/>
      <c r="O815" s="510"/>
      <c r="P815" s="510"/>
      <c r="R815" s="1674"/>
      <c r="S815" s="1674"/>
      <c r="T815" s="1674"/>
    </row>
    <row r="816" spans="1:20" x14ac:dyDescent="0.25">
      <c r="A816" s="1249" t="s">
        <v>3207</v>
      </c>
      <c r="B816" s="1668">
        <v>0.94012383868895799</v>
      </c>
      <c r="C816" s="1668">
        <v>0.89103577039868098</v>
      </c>
      <c r="D816" s="1249">
        <v>0.84796599639370696</v>
      </c>
      <c r="E816" s="1249">
        <v>0.81144421071934802</v>
      </c>
      <c r="F816" s="1249">
        <v>0.77498371740134797</v>
      </c>
      <c r="G816" s="1249"/>
      <c r="H816" s="1249"/>
      <c r="N816" s="510"/>
      <c r="O816" s="510"/>
      <c r="P816" s="510"/>
      <c r="R816" s="1674"/>
      <c r="S816" s="1674"/>
      <c r="T816" s="1674"/>
    </row>
    <row r="817" spans="1:20" x14ac:dyDescent="0.25">
      <c r="A817" s="1249" t="s">
        <v>3208</v>
      </c>
      <c r="B817" s="1668">
        <v>0.972146444141049</v>
      </c>
      <c r="C817" s="1668">
        <v>0.92172828377035199</v>
      </c>
      <c r="D817" s="1249">
        <v>0.87730512485415102</v>
      </c>
      <c r="E817" s="1249">
        <v>0.83948966424719995</v>
      </c>
      <c r="F817" s="1249">
        <v>0.80179257017710903</v>
      </c>
      <c r="G817" s="1249"/>
      <c r="H817" s="1249"/>
      <c r="N817" s="510"/>
      <c r="O817" s="510"/>
      <c r="P817" s="510"/>
      <c r="R817" s="1674"/>
      <c r="S817" s="1674"/>
      <c r="T817" s="1674"/>
    </row>
    <row r="818" spans="1:20" x14ac:dyDescent="0.25">
      <c r="A818" s="1249" t="s">
        <v>3209</v>
      </c>
      <c r="B818" s="1668">
        <v>0.154872961119013</v>
      </c>
      <c r="C818" s="1668">
        <v>0.139623201511447</v>
      </c>
      <c r="D818" s="1249">
        <v>0.130366860980654</v>
      </c>
      <c r="E818" s="1249">
        <v>0.12835248968330301</v>
      </c>
      <c r="F818" s="1249">
        <v>0.12577217874872901</v>
      </c>
      <c r="G818" s="1249"/>
      <c r="H818" s="1249"/>
      <c r="N818" s="510"/>
      <c r="O818" s="510"/>
      <c r="P818" s="510"/>
      <c r="R818" s="1674"/>
      <c r="S818" s="1674"/>
      <c r="T818" s="1674"/>
    </row>
    <row r="819" spans="1:20" x14ac:dyDescent="0.25">
      <c r="A819" s="1249" t="s">
        <v>3210</v>
      </c>
      <c r="B819" s="1668">
        <v>1.0028389575127199</v>
      </c>
      <c r="C819" s="1668">
        <v>0.95106741223079505</v>
      </c>
      <c r="D819" s="1249">
        <v>0.90535057838200195</v>
      </c>
      <c r="E819" s="1249">
        <v>0.86629851702296001</v>
      </c>
      <c r="F819" s="1249">
        <v>0.82741937700103596</v>
      </c>
      <c r="G819" s="1249"/>
      <c r="H819" s="1249"/>
      <c r="N819" s="510"/>
      <c r="O819" s="510"/>
      <c r="P819" s="510"/>
      <c r="R819" s="1674"/>
      <c r="S819" s="1674"/>
      <c r="T819" s="1674"/>
    </row>
    <row r="820" spans="1:20" x14ac:dyDescent="0.25">
      <c r="A820" s="1249" t="s">
        <v>3211</v>
      </c>
      <c r="B820" s="1668">
        <v>1.03217808597316</v>
      </c>
      <c r="C820" s="1668">
        <v>0.97911286575864598</v>
      </c>
      <c r="D820" s="1249">
        <v>0.93215943115776301</v>
      </c>
      <c r="E820" s="1249">
        <v>0.89192532384688705</v>
      </c>
      <c r="F820" s="1249">
        <v>0.85191628456619095</v>
      </c>
      <c r="G820" s="1249"/>
      <c r="H820" s="1249"/>
      <c r="N820" s="510"/>
      <c r="O820" s="510"/>
      <c r="P820" s="510"/>
      <c r="R820" s="1674"/>
      <c r="S820" s="1674"/>
      <c r="T820" s="1674"/>
    </row>
    <row r="821" spans="1:20" x14ac:dyDescent="0.25">
      <c r="A821" s="1249" t="s">
        <v>3212</v>
      </c>
      <c r="B821" s="1668">
        <v>1.06022353950102</v>
      </c>
      <c r="C821" s="1668">
        <v>1.00592171853441</v>
      </c>
      <c r="D821" s="1249">
        <v>0.95778623798168905</v>
      </c>
      <c r="E821" s="1249">
        <v>0.91642223141204204</v>
      </c>
      <c r="F821" s="1249">
        <v>0.87484058511378104</v>
      </c>
      <c r="G821" s="1249"/>
      <c r="H821" s="1249"/>
      <c r="N821" s="510"/>
      <c r="O821" s="510"/>
      <c r="P821" s="510"/>
      <c r="R821" s="1674"/>
      <c r="S821" s="1674"/>
      <c r="T821" s="1674"/>
    </row>
    <row r="822" spans="1:20" x14ac:dyDescent="0.25">
      <c r="A822" s="1249" t="s">
        <v>3213</v>
      </c>
      <c r="B822" s="1668">
        <v>1.0870323922767799</v>
      </c>
      <c r="C822" s="1668">
        <v>1.0315485253583301</v>
      </c>
      <c r="D822" s="1249">
        <v>0.98228314554684504</v>
      </c>
      <c r="E822" s="1249">
        <v>0.93934653195963302</v>
      </c>
      <c r="F822" s="1249">
        <v>0.89629323395113003</v>
      </c>
      <c r="G822" s="1249"/>
      <c r="H822" s="1249"/>
      <c r="N822" s="510"/>
      <c r="O822" s="510"/>
      <c r="P822" s="510"/>
      <c r="R822" s="1674"/>
      <c r="S822" s="1674"/>
      <c r="T822" s="1674"/>
    </row>
    <row r="823" spans="1:20" x14ac:dyDescent="0.25">
      <c r="A823" s="1249" t="s">
        <v>3214</v>
      </c>
      <c r="B823" s="1668">
        <v>1.1126591991007</v>
      </c>
      <c r="C823" s="1668">
        <v>1.0560454329234901</v>
      </c>
      <c r="D823" s="1249">
        <v>1.00520744609444</v>
      </c>
      <c r="E823" s="1249">
        <v>0.96079918079698101</v>
      </c>
      <c r="F823" s="1249">
        <v>0.91636870544406401</v>
      </c>
      <c r="G823" s="1249"/>
      <c r="H823" s="1249"/>
      <c r="N823" s="510"/>
      <c r="O823" s="510"/>
      <c r="P823" s="510"/>
      <c r="R823" s="1674"/>
      <c r="S823" s="1674"/>
      <c r="T823" s="1674"/>
    </row>
    <row r="824" spans="1:20" x14ac:dyDescent="0.25">
      <c r="A824" s="1249" t="s">
        <v>3215</v>
      </c>
      <c r="B824" s="1668">
        <v>1.13715610666586</v>
      </c>
      <c r="C824" s="1668">
        <v>1.0789697334710799</v>
      </c>
      <c r="D824" s="1249">
        <v>1.0266600949317799</v>
      </c>
      <c r="E824" s="1249">
        <v>0.98087465228991499</v>
      </c>
      <c r="F824" s="1249">
        <v>0.93515540906836903</v>
      </c>
      <c r="G824" s="1249"/>
      <c r="H824" s="1249"/>
      <c r="N824" s="510"/>
      <c r="O824" s="510"/>
      <c r="P824" s="510"/>
      <c r="R824" s="1674"/>
      <c r="S824" s="1674"/>
      <c r="T824" s="1674"/>
    </row>
    <row r="825" spans="1:20" x14ac:dyDescent="0.25">
      <c r="A825" s="1249" t="s">
        <v>3216</v>
      </c>
      <c r="B825" s="1668">
        <v>1.1600804072134501</v>
      </c>
      <c r="C825" s="1668">
        <v>1.10042238230843</v>
      </c>
      <c r="D825" s="1249">
        <v>1.04673556642472</v>
      </c>
      <c r="E825" s="1249">
        <v>0.99966135591422001</v>
      </c>
      <c r="F825" s="1249">
        <v>0.952736078752354</v>
      </c>
      <c r="G825" s="1249"/>
      <c r="H825" s="1249"/>
      <c r="N825" s="510"/>
      <c r="O825" s="510"/>
      <c r="P825" s="510"/>
      <c r="R825" s="1674"/>
      <c r="S825" s="1674"/>
      <c r="T825" s="1674"/>
    </row>
    <row r="826" spans="1:20" x14ac:dyDescent="0.25">
      <c r="A826" s="1249" t="s">
        <v>3217</v>
      </c>
      <c r="B826" s="1668">
        <v>1.1815330560507999</v>
      </c>
      <c r="C826" s="1668">
        <v>1.1204978538013599</v>
      </c>
      <c r="D826" s="1249">
        <v>1.0655222700490199</v>
      </c>
      <c r="E826" s="1249">
        <v>1.01724202559821</v>
      </c>
      <c r="F826" s="1249">
        <v>0.96918813722510699</v>
      </c>
      <c r="G826" s="1249"/>
      <c r="H826" s="1249"/>
      <c r="N826" s="510"/>
      <c r="O826" s="510"/>
      <c r="P826" s="510"/>
      <c r="R826" s="1674"/>
      <c r="S826" s="1674"/>
      <c r="T826" s="1674"/>
    </row>
    <row r="827" spans="1:20" x14ac:dyDescent="0.25">
      <c r="A827" s="1249" t="s">
        <v>3218</v>
      </c>
      <c r="B827" s="1668">
        <v>1.20160852754373</v>
      </c>
      <c r="C827" s="1668">
        <v>1.13928455742567</v>
      </c>
      <c r="D827" s="1249">
        <v>1.0831029397330101</v>
      </c>
      <c r="E827" s="1249">
        <v>1.0336940840709601</v>
      </c>
      <c r="F827" s="1249">
        <v>0.98458403697501695</v>
      </c>
      <c r="G827" s="1249"/>
      <c r="H827" s="1249"/>
      <c r="N827" s="510"/>
      <c r="O827" s="510"/>
      <c r="P827" s="510"/>
      <c r="R827" s="1674"/>
      <c r="S827" s="1674"/>
      <c r="T827" s="1674"/>
    </row>
    <row r="828" spans="1:20" x14ac:dyDescent="0.25">
      <c r="A828" s="1249" t="s">
        <v>3219</v>
      </c>
      <c r="B828" s="1668">
        <v>1.2203952311680399</v>
      </c>
      <c r="C828" s="1668">
        <v>1.15686522710965</v>
      </c>
      <c r="D828" s="1249">
        <v>1.09955499820576</v>
      </c>
      <c r="E828" s="1249">
        <v>1.04908998382087</v>
      </c>
      <c r="F828" s="1249">
        <v>0.998991579320057</v>
      </c>
      <c r="G828" s="1249"/>
      <c r="H828" s="1249"/>
      <c r="N828" s="510"/>
      <c r="O828" s="510"/>
      <c r="P828" s="510"/>
      <c r="R828" s="1674"/>
      <c r="S828" s="1674"/>
      <c r="T828" s="1674"/>
    </row>
    <row r="829" spans="1:20" x14ac:dyDescent="0.25">
      <c r="A829" s="1249" t="s">
        <v>3220</v>
      </c>
      <c r="B829" s="1668">
        <v>0.22073387525381599</v>
      </c>
      <c r="C829" s="1668">
        <v>0.20412914835729801</v>
      </c>
      <c r="D829" s="1249">
        <v>0.19421340381810501</v>
      </c>
      <c r="E829" s="1249">
        <v>0.19027812559457999</v>
      </c>
      <c r="F829" s="1249">
        <v>0.183893985674387</v>
      </c>
      <c r="G829" s="1249"/>
      <c r="H829" s="1249"/>
      <c r="N829" s="510"/>
      <c r="O829" s="510"/>
      <c r="P829" s="510"/>
      <c r="R829" s="1674"/>
      <c r="S829" s="1674"/>
      <c r="T829" s="1674"/>
    </row>
    <row r="830" spans="1:20" x14ac:dyDescent="0.25">
      <c r="A830" s="1249" t="s">
        <v>3221</v>
      </c>
      <c r="B830" s="1668">
        <v>1.2379759008520199</v>
      </c>
      <c r="C830" s="1668">
        <v>1.1733172855824101</v>
      </c>
      <c r="D830" s="1249">
        <v>1.1149508979556699</v>
      </c>
      <c r="E830" s="1249">
        <v>1.0634975261659101</v>
      </c>
      <c r="F830" s="1249">
        <v>1.012474212995</v>
      </c>
      <c r="G830" s="1249"/>
      <c r="H830" s="1249"/>
      <c r="N830" s="510"/>
      <c r="O830" s="510"/>
      <c r="P830" s="510"/>
      <c r="R830" s="1674"/>
      <c r="S830" s="1674"/>
      <c r="T830" s="1674"/>
    </row>
    <row r="831" spans="1:20" x14ac:dyDescent="0.25">
      <c r="A831" s="1249" t="s">
        <v>3222</v>
      </c>
      <c r="B831" s="1668">
        <v>0.28523982209966697</v>
      </c>
      <c r="C831" s="1668">
        <v>0.26797569119475001</v>
      </c>
      <c r="D831" s="1249">
        <v>0.25613903972938301</v>
      </c>
      <c r="E831" s="1249">
        <v>0.24839993252023901</v>
      </c>
      <c r="F831" s="1249">
        <v>0.23833271349699001</v>
      </c>
      <c r="G831" s="1249"/>
      <c r="H831" s="1249"/>
      <c r="N831" s="510"/>
      <c r="O831" s="510"/>
      <c r="P831" s="510"/>
      <c r="R831" s="1674"/>
      <c r="S831" s="1674"/>
      <c r="T831" s="1674"/>
    </row>
    <row r="832" spans="1:20" x14ac:dyDescent="0.25">
      <c r="A832" s="1249" t="s">
        <v>3223</v>
      </c>
      <c r="B832" s="1668">
        <v>0.34908636493711798</v>
      </c>
      <c r="C832" s="1668">
        <v>0.32990132710602699</v>
      </c>
      <c r="D832" s="1249">
        <v>0.314260846655041</v>
      </c>
      <c r="E832" s="1249">
        <v>0.30283866034284102</v>
      </c>
      <c r="F832" s="1249">
        <v>0.28965652254583502</v>
      </c>
      <c r="G832" s="1249"/>
      <c r="H832" s="1249"/>
      <c r="N832" s="510"/>
      <c r="O832" s="510"/>
      <c r="P832" s="510"/>
      <c r="R832" s="1674"/>
      <c r="S832" s="1674"/>
      <c r="T832" s="1674"/>
    </row>
    <row r="833" spans="1:20" x14ac:dyDescent="0.25">
      <c r="A833" s="1249" t="s">
        <v>3224</v>
      </c>
      <c r="B833" s="1668">
        <v>0.41101200084839601</v>
      </c>
      <c r="C833" s="1668">
        <v>0.38802313403168598</v>
      </c>
      <c r="D833" s="1249">
        <v>0.36869957447764401</v>
      </c>
      <c r="E833" s="1249">
        <v>0.354162469391686</v>
      </c>
      <c r="F833" s="1249">
        <v>0.33857539113233198</v>
      </c>
      <c r="G833" s="1249"/>
      <c r="H833" s="1249"/>
      <c r="N833" s="510"/>
      <c r="O833" s="510"/>
      <c r="P833" s="510"/>
      <c r="R833" s="1674"/>
      <c r="S833" s="1674"/>
      <c r="T833" s="1674"/>
    </row>
    <row r="834" spans="1:20" x14ac:dyDescent="0.25">
      <c r="A834" s="1249" t="s">
        <v>3225</v>
      </c>
      <c r="B834" s="1668">
        <v>0.469133807774054</v>
      </c>
      <c r="C834" s="1668">
        <v>0.44246186185428799</v>
      </c>
      <c r="D834" s="1249">
        <v>0.42002338352648899</v>
      </c>
      <c r="E834" s="1249">
        <v>0.40308133797818302</v>
      </c>
      <c r="F834" s="1249">
        <v>0.38478028930264502</v>
      </c>
      <c r="G834" s="1249"/>
      <c r="H834" s="1249"/>
      <c r="N834" s="510"/>
      <c r="O834" s="510"/>
      <c r="P834" s="510"/>
      <c r="R834" s="1674"/>
      <c r="S834" s="1674"/>
      <c r="T834" s="1674"/>
    </row>
    <row r="835" spans="1:20" x14ac:dyDescent="0.25">
      <c r="A835" s="1249" t="s">
        <v>3226</v>
      </c>
      <c r="B835" s="1668">
        <v>0.52357253559665695</v>
      </c>
      <c r="C835" s="1668">
        <v>0.49378567090313302</v>
      </c>
      <c r="D835" s="1249">
        <v>0.46894225211298601</v>
      </c>
      <c r="E835" s="1249">
        <v>0.449286236148496</v>
      </c>
      <c r="F835" s="1249">
        <v>0.42896561395806498</v>
      </c>
      <c r="G835" s="1249"/>
      <c r="H835" s="1249"/>
      <c r="N835" s="510"/>
      <c r="O835" s="510"/>
      <c r="P835" s="510"/>
      <c r="R835" s="1674"/>
      <c r="S835" s="1674"/>
      <c r="T835" s="1674"/>
    </row>
    <row r="836" spans="1:20" x14ac:dyDescent="0.25">
      <c r="A836" s="1249" t="s">
        <v>3227</v>
      </c>
      <c r="B836" s="1668">
        <v>0.57489634464550199</v>
      </c>
      <c r="C836" s="1668">
        <v>0.54270453948963004</v>
      </c>
      <c r="D836" s="1249">
        <v>0.51514715028329905</v>
      </c>
      <c r="E836" s="1249">
        <v>0.49347156080391702</v>
      </c>
      <c r="F836" s="1249">
        <v>0.47120257267651</v>
      </c>
      <c r="G836" s="1249"/>
      <c r="H836" s="1249"/>
      <c r="N836" s="510"/>
      <c r="O836" s="510"/>
      <c r="P836" s="510"/>
      <c r="R836" s="1674"/>
      <c r="S836" s="1674"/>
      <c r="T836" s="1674"/>
    </row>
    <row r="837" spans="1:20" x14ac:dyDescent="0.25">
      <c r="A837" s="1249" t="s">
        <v>3228</v>
      </c>
      <c r="B837" s="1668">
        <v>6.4962245082860637E-2</v>
      </c>
      <c r="C837" s="1668">
        <v>6.0791919411248951E-2</v>
      </c>
      <c r="D837" s="1249">
        <v>5.4785939919542198E-2</v>
      </c>
      <c r="E837" s="1249">
        <v>4.8280196016662391E-2</v>
      </c>
      <c r="F837" s="1249">
        <v>4.7560001474548363E-2</v>
      </c>
      <c r="G837" s="1249"/>
      <c r="H837" s="1249"/>
      <c r="N837" s="510"/>
      <c r="O837" s="510"/>
      <c r="P837" s="510"/>
      <c r="R837" s="1674"/>
      <c r="S837" s="1674"/>
      <c r="T837" s="1674"/>
    </row>
    <row r="838" spans="1:20" x14ac:dyDescent="0.25">
      <c r="A838" s="1249" t="s">
        <v>3229</v>
      </c>
      <c r="B838" s="1668">
        <v>0.49129488714507408</v>
      </c>
      <c r="C838" s="1668">
        <v>0.46244830644501866</v>
      </c>
      <c r="D838" s="1249">
        <v>0.43569912055367643</v>
      </c>
      <c r="E838" s="1249">
        <v>0.41347964851567742</v>
      </c>
      <c r="F838" s="1249">
        <v>0.39633863198940866</v>
      </c>
      <c r="G838" s="1249"/>
      <c r="H838" s="1249"/>
      <c r="N838" s="510"/>
      <c r="O838" s="510"/>
      <c r="P838" s="510"/>
      <c r="R838" s="1674"/>
      <c r="S838" s="1674"/>
      <c r="T838" s="1674"/>
    </row>
    <row r="839" spans="1:20" x14ac:dyDescent="0.25">
      <c r="A839" s="1249" t="s">
        <v>3230</v>
      </c>
      <c r="B839" s="1668">
        <v>0.5274105515278793</v>
      </c>
      <c r="C839" s="1668">
        <v>0.4964910399649255</v>
      </c>
      <c r="D839" s="1249">
        <v>0.46826558843521987</v>
      </c>
      <c r="E839" s="1249">
        <v>0.44461882800607094</v>
      </c>
      <c r="F839" s="1249">
        <v>0.42589104411324991</v>
      </c>
      <c r="G839" s="1249"/>
      <c r="H839" s="1249"/>
      <c r="N839" s="510"/>
      <c r="O839" s="510"/>
      <c r="P839" s="510"/>
      <c r="R839" s="1674"/>
      <c r="S839" s="1674"/>
      <c r="T839" s="1674"/>
    </row>
    <row r="840" spans="1:20" x14ac:dyDescent="0.25">
      <c r="A840" s="1249" t="s">
        <v>3231</v>
      </c>
      <c r="B840" s="1668">
        <v>0.56145328504778591</v>
      </c>
      <c r="C840" s="1668">
        <v>0.52905750784646866</v>
      </c>
      <c r="D840" s="1249">
        <v>0.49940476792561339</v>
      </c>
      <c r="E840" s="1249">
        <v>0.47417124012991219</v>
      </c>
      <c r="F840" s="1249">
        <v>0.45414820540298412</v>
      </c>
      <c r="G840" s="1249"/>
      <c r="H840" s="1249"/>
      <c r="N840" s="510"/>
      <c r="O840" s="510"/>
      <c r="P840" s="510"/>
      <c r="R840" s="1674"/>
      <c r="S840" s="1674"/>
      <c r="T840" s="1674"/>
    </row>
    <row r="841" spans="1:20" x14ac:dyDescent="0.25">
      <c r="A841" s="1249" t="s">
        <v>3232</v>
      </c>
      <c r="B841" s="1668">
        <v>0.59401975292932918</v>
      </c>
      <c r="C841" s="1668">
        <v>0.56019668733686212</v>
      </c>
      <c r="D841" s="1249">
        <v>0.52895718004945458</v>
      </c>
      <c r="E841" s="1249">
        <v>0.5024284014196464</v>
      </c>
      <c r="F841" s="1249">
        <v>0.48116690969025266</v>
      </c>
      <c r="G841" s="1249"/>
      <c r="H841" s="1249"/>
      <c r="N841" s="510"/>
      <c r="O841" s="510"/>
      <c r="P841" s="510"/>
      <c r="R841" s="1674"/>
      <c r="S841" s="1674"/>
      <c r="T841" s="1674"/>
    </row>
    <row r="842" spans="1:20" x14ac:dyDescent="0.25">
      <c r="A842" s="1249" t="s">
        <v>3233</v>
      </c>
      <c r="B842" s="1668">
        <v>0.62515893241972287</v>
      </c>
      <c r="C842" s="1668">
        <v>0.58974909946070342</v>
      </c>
      <c r="D842" s="1249">
        <v>0.55721434133918868</v>
      </c>
      <c r="E842" s="1249">
        <v>0.52944710570691511</v>
      </c>
      <c r="F842" s="1249">
        <v>0.50700145942967911</v>
      </c>
      <c r="G842" s="1249"/>
      <c r="H842" s="1249"/>
      <c r="N842" s="510"/>
      <c r="O842" s="510"/>
      <c r="P842" s="510"/>
      <c r="R842" s="1674"/>
      <c r="S842" s="1674"/>
      <c r="T842" s="1674"/>
    </row>
    <row r="843" spans="1:20" x14ac:dyDescent="0.25">
      <c r="A843" s="1249" t="s">
        <v>3234</v>
      </c>
      <c r="B843" s="1668">
        <v>0.65471134454356417</v>
      </c>
      <c r="C843" s="1668">
        <v>0.61800626075043752</v>
      </c>
      <c r="D843" s="1249">
        <v>0.58423304562645739</v>
      </c>
      <c r="E843" s="1249">
        <v>0.55528165544634167</v>
      </c>
      <c r="F843" s="1249">
        <v>0.53170377503742439</v>
      </c>
      <c r="G843" s="1249"/>
      <c r="H843" s="1249"/>
      <c r="N843" s="510"/>
      <c r="O843" s="510"/>
      <c r="P843" s="510"/>
      <c r="R843" s="1674"/>
      <c r="S843" s="1674"/>
      <c r="T843" s="1674"/>
    </row>
    <row r="844" spans="1:20" x14ac:dyDescent="0.25">
      <c r="A844" s="1249" t="s">
        <v>3235</v>
      </c>
      <c r="B844" s="1668">
        <v>0.68296850583329827</v>
      </c>
      <c r="C844" s="1668">
        <v>0.64502496503770634</v>
      </c>
      <c r="D844" s="1249">
        <v>0.61006759536588395</v>
      </c>
      <c r="E844" s="1249">
        <v>0.57998397105408694</v>
      </c>
      <c r="F844" s="1249">
        <v>0.55532349942900971</v>
      </c>
      <c r="G844" s="1249"/>
      <c r="H844" s="1249"/>
      <c r="N844" s="510"/>
      <c r="O844" s="510"/>
      <c r="P844" s="510"/>
      <c r="R844" s="1674"/>
      <c r="S844" s="1674"/>
      <c r="T844" s="1674"/>
    </row>
    <row r="845" spans="1:20" x14ac:dyDescent="0.25">
      <c r="A845" s="1249" t="s">
        <v>3236</v>
      </c>
      <c r="B845" s="1668">
        <v>0.70998721012056676</v>
      </c>
      <c r="C845" s="1668">
        <v>0.67085951477713268</v>
      </c>
      <c r="D845" s="1249">
        <v>0.63476991097362911</v>
      </c>
      <c r="E845" s="1249">
        <v>0.60360369544567205</v>
      </c>
      <c r="F845" s="1249">
        <v>0.57794728400719919</v>
      </c>
      <c r="G845" s="1249"/>
      <c r="H845" s="1249"/>
      <c r="N845" s="510"/>
      <c r="O845" s="510"/>
      <c r="P845" s="510"/>
      <c r="R845" s="1674"/>
      <c r="S845" s="1674"/>
      <c r="T845" s="1674"/>
    </row>
    <row r="846" spans="1:20" x14ac:dyDescent="0.25">
      <c r="A846" s="1249" t="s">
        <v>3237</v>
      </c>
      <c r="B846" s="1668">
        <v>0.73582175985999332</v>
      </c>
      <c r="C846" s="1668">
        <v>0.69556183038487795</v>
      </c>
      <c r="D846" s="1249">
        <v>0.65838963536521411</v>
      </c>
      <c r="E846" s="1249">
        <v>0.62622748002386164</v>
      </c>
      <c r="F846" s="1249">
        <v>0.59957954391830837</v>
      </c>
      <c r="G846" s="1249"/>
      <c r="H846" s="1249"/>
      <c r="N846" s="510"/>
      <c r="O846" s="510"/>
      <c r="P846" s="510"/>
      <c r="R846" s="1674"/>
      <c r="S846" s="1674"/>
      <c r="T846" s="1674"/>
    </row>
    <row r="847" spans="1:20" x14ac:dyDescent="0.25">
      <c r="A847" s="1249" t="s">
        <v>3238</v>
      </c>
      <c r="B847" s="1668">
        <v>0.7605240754677387</v>
      </c>
      <c r="C847" s="1668">
        <v>0.71918155477646328</v>
      </c>
      <c r="D847" s="1249">
        <v>0.68101341994340381</v>
      </c>
      <c r="E847" s="1249">
        <v>0.64785973993497081</v>
      </c>
      <c r="F847" s="1249">
        <v>0.62026375295749547</v>
      </c>
      <c r="G847" s="1249"/>
      <c r="H847" s="1249"/>
      <c r="N847" s="510"/>
      <c r="O847" s="510"/>
      <c r="P847" s="510"/>
      <c r="R847" s="1674"/>
      <c r="S847" s="1674"/>
      <c r="T847" s="1674"/>
    </row>
    <row r="848" spans="1:20" x14ac:dyDescent="0.25">
      <c r="A848" s="1249" t="s">
        <v>3239</v>
      </c>
      <c r="B848" s="1668">
        <v>0.12575416449410959</v>
      </c>
      <c r="C848" s="1668">
        <v>0.11557785933079115</v>
      </c>
      <c r="D848" s="1249">
        <v>0.1030661359362046</v>
      </c>
      <c r="E848" s="1249">
        <v>9.5840197491210768E-2</v>
      </c>
      <c r="F848" s="1249">
        <v>9.4970440994153471E-2</v>
      </c>
      <c r="G848" s="1249"/>
      <c r="H848" s="1249"/>
      <c r="N848" s="510"/>
      <c r="O848" s="510"/>
      <c r="P848" s="510"/>
      <c r="R848" s="1674"/>
      <c r="S848" s="1674"/>
      <c r="T848" s="1674"/>
    </row>
    <row r="849" spans="1:20" x14ac:dyDescent="0.25">
      <c r="A849" s="1249" t="s">
        <v>3240</v>
      </c>
      <c r="B849" s="1668">
        <v>0.78414379985932381</v>
      </c>
      <c r="C849" s="1668">
        <v>0.74180533935465287</v>
      </c>
      <c r="D849" s="1249">
        <v>0.70264567985451287</v>
      </c>
      <c r="E849" s="1249">
        <v>0.66854394897415803</v>
      </c>
      <c r="F849" s="1249">
        <v>0.64004147795804633</v>
      </c>
      <c r="G849" s="1249"/>
      <c r="H849" s="1249"/>
      <c r="N849" s="510"/>
      <c r="O849" s="510"/>
      <c r="P849" s="510"/>
      <c r="R849" s="1674"/>
      <c r="S849" s="1674"/>
      <c r="T849" s="1674"/>
    </row>
    <row r="850" spans="1:20" x14ac:dyDescent="0.25">
      <c r="A850" s="1249" t="s">
        <v>3241</v>
      </c>
      <c r="B850" s="1668">
        <v>0.80676758443751329</v>
      </c>
      <c r="C850" s="1668">
        <v>0.76343759926576193</v>
      </c>
      <c r="D850" s="1249">
        <v>0.72332988889370009</v>
      </c>
      <c r="E850" s="1249">
        <v>0.68832167397470878</v>
      </c>
      <c r="F850" s="1249">
        <v>0.6589524624771198</v>
      </c>
      <c r="G850" s="1249"/>
      <c r="H850" s="1249"/>
      <c r="N850" s="510"/>
      <c r="O850" s="510"/>
      <c r="P850" s="510"/>
      <c r="R850" s="1674"/>
      <c r="S850" s="1674"/>
      <c r="T850" s="1674"/>
    </row>
    <row r="851" spans="1:20" x14ac:dyDescent="0.25">
      <c r="A851" s="1249" t="s">
        <v>3242</v>
      </c>
      <c r="B851" s="1668">
        <v>0.82839984434862246</v>
      </c>
      <c r="C851" s="1668">
        <v>0.78412180830494926</v>
      </c>
      <c r="D851" s="1249">
        <v>0.74310761389425095</v>
      </c>
      <c r="E851" s="1249">
        <v>0.70723265849378214</v>
      </c>
      <c r="F851" s="1249">
        <v>0.676649434701594</v>
      </c>
      <c r="G851" s="1249"/>
      <c r="H851" s="1249"/>
      <c r="N851" s="510"/>
      <c r="O851" s="510"/>
      <c r="P851" s="510"/>
      <c r="R851" s="1674"/>
      <c r="S851" s="1674"/>
      <c r="T851" s="1674"/>
    </row>
    <row r="852" spans="1:20" x14ac:dyDescent="0.25">
      <c r="A852" s="1249" t="s">
        <v>3243</v>
      </c>
      <c r="B852" s="1668">
        <v>0.84908405338780979</v>
      </c>
      <c r="C852" s="1668">
        <v>0.80389953330550001</v>
      </c>
      <c r="D852" s="1249">
        <v>0.76201859841332442</v>
      </c>
      <c r="E852" s="1249">
        <v>0.72492963071825667</v>
      </c>
      <c r="F852" s="1249">
        <v>0.69321032954014394</v>
      </c>
      <c r="G852" s="1249"/>
      <c r="H852" s="1249"/>
      <c r="N852" s="510"/>
      <c r="O852" s="510"/>
      <c r="P852" s="510"/>
      <c r="R852" s="1674"/>
      <c r="S852" s="1674"/>
      <c r="T852" s="1674"/>
    </row>
    <row r="853" spans="1:20" x14ac:dyDescent="0.25">
      <c r="A853" s="1249" t="s">
        <v>3244</v>
      </c>
      <c r="B853" s="1668">
        <v>0.86886177838836065</v>
      </c>
      <c r="C853" s="1668">
        <v>0.82281051782457326</v>
      </c>
      <c r="D853" s="1249">
        <v>0.77971557063779884</v>
      </c>
      <c r="E853" s="1249">
        <v>0.7414905255568065</v>
      </c>
      <c r="F853" s="1249">
        <v>0.7087080787807859</v>
      </c>
      <c r="G853" s="1249"/>
      <c r="H853" s="1249"/>
      <c r="N853" s="510"/>
      <c r="O853" s="510"/>
      <c r="P853" s="510"/>
      <c r="R853" s="1674"/>
      <c r="S853" s="1674"/>
      <c r="T853" s="1674"/>
    </row>
    <row r="854" spans="1:20" x14ac:dyDescent="0.25">
      <c r="A854" s="1249" t="s">
        <v>3245</v>
      </c>
      <c r="B854" s="1668">
        <v>0.88777276290743379</v>
      </c>
      <c r="C854" s="1668">
        <v>0.84050749004904779</v>
      </c>
      <c r="D854" s="1249">
        <v>0.79627646547634867</v>
      </c>
      <c r="E854" s="1249">
        <v>0.75698827479744812</v>
      </c>
      <c r="F854" s="1249">
        <v>0.72321093227193478</v>
      </c>
      <c r="G854" s="1249"/>
      <c r="H854" s="1249"/>
      <c r="N854" s="510"/>
      <c r="O854" s="510"/>
      <c r="P854" s="510"/>
      <c r="R854" s="1674"/>
      <c r="S854" s="1674"/>
      <c r="T854" s="1674"/>
    </row>
    <row r="855" spans="1:20" x14ac:dyDescent="0.25">
      <c r="A855" s="1249" t="s">
        <v>3246</v>
      </c>
      <c r="B855" s="1668">
        <v>0.18054010441365184</v>
      </c>
      <c r="C855" s="1668">
        <v>0.16385805534745354</v>
      </c>
      <c r="D855" s="1249">
        <v>0.15062613741075301</v>
      </c>
      <c r="E855" s="1249">
        <v>0.14325063701081589</v>
      </c>
      <c r="F855" s="1249">
        <v>0.14110118624419701</v>
      </c>
      <c r="G855" s="1249"/>
      <c r="H855" s="1249"/>
      <c r="N855" s="510"/>
      <c r="O855" s="510"/>
      <c r="P855" s="510"/>
      <c r="R855" s="1674"/>
      <c r="S855" s="1674"/>
      <c r="T855" s="1674"/>
    </row>
    <row r="856" spans="1:20" x14ac:dyDescent="0.25">
      <c r="A856" s="1249" t="s">
        <v>3247</v>
      </c>
      <c r="B856" s="1668">
        <v>0.22882030043031415</v>
      </c>
      <c r="C856" s="1668">
        <v>0.2114180568220019</v>
      </c>
      <c r="D856" s="1249">
        <v>0.19803657693035803</v>
      </c>
      <c r="E856" s="1249">
        <v>0.18938138226085943</v>
      </c>
      <c r="F856" s="1249">
        <v>0.1842762644509808</v>
      </c>
      <c r="G856" s="1249"/>
      <c r="H856" s="1249"/>
      <c r="N856" s="510"/>
      <c r="O856" s="510"/>
      <c r="P856" s="510"/>
      <c r="R856" s="1674"/>
      <c r="S856" s="1674"/>
      <c r="T856" s="1674"/>
    </row>
    <row r="857" spans="1:20" x14ac:dyDescent="0.25">
      <c r="A857" s="1249" t="s">
        <v>3248</v>
      </c>
      <c r="B857" s="1668">
        <v>0.27638030190486257</v>
      </c>
      <c r="C857" s="1668">
        <v>0.25882849634160704</v>
      </c>
      <c r="D857" s="1249">
        <v>0.2441673221804016</v>
      </c>
      <c r="E857" s="1249">
        <v>0.23255646046764319</v>
      </c>
      <c r="F857" s="1249">
        <v>0.22457291688111039</v>
      </c>
      <c r="G857" s="1249"/>
      <c r="H857" s="1249"/>
      <c r="N857" s="510"/>
      <c r="O857" s="510"/>
      <c r="P857" s="510"/>
      <c r="R857" s="1674"/>
      <c r="S857" s="1674"/>
      <c r="T857" s="1674"/>
    </row>
    <row r="858" spans="1:20" x14ac:dyDescent="0.25">
      <c r="A858" s="1249" t="s">
        <v>3249</v>
      </c>
      <c r="B858" s="1668">
        <v>0.32379074142446768</v>
      </c>
      <c r="C858" s="1668">
        <v>0.30495924159165061</v>
      </c>
      <c r="D858" s="1249">
        <v>0.28734240038718545</v>
      </c>
      <c r="E858" s="1249">
        <v>0.27285311289777281</v>
      </c>
      <c r="F858" s="1249">
        <v>0.26247458671475993</v>
      </c>
      <c r="G858" s="1249"/>
      <c r="H858" s="1249"/>
      <c r="N858" s="510"/>
      <c r="O858" s="510"/>
      <c r="P858" s="510"/>
      <c r="R858" s="1674"/>
      <c r="S858" s="1674"/>
      <c r="T858" s="1674"/>
    </row>
    <row r="859" spans="1:20" x14ac:dyDescent="0.25">
      <c r="A859" s="1249" t="s">
        <v>3250</v>
      </c>
      <c r="B859" s="1668">
        <v>0.36992148667451119</v>
      </c>
      <c r="C859" s="1668">
        <v>0.34813431979843429</v>
      </c>
      <c r="D859" s="1249">
        <v>0.32763905281731504</v>
      </c>
      <c r="E859" s="1249">
        <v>0.31075478273142243</v>
      </c>
      <c r="F859" s="1249">
        <v>0.29859025109756515</v>
      </c>
      <c r="G859" s="1249"/>
      <c r="H859" s="1249"/>
      <c r="N859" s="510"/>
      <c r="O859" s="510"/>
      <c r="P859" s="510"/>
      <c r="R859" s="1674"/>
      <c r="S859" s="1674"/>
      <c r="T859" s="1674"/>
    </row>
    <row r="860" spans="1:20" x14ac:dyDescent="0.25">
      <c r="A860" s="1249" t="s">
        <v>3251</v>
      </c>
      <c r="B860" s="1668">
        <v>0.41309656488129504</v>
      </c>
      <c r="C860" s="1668">
        <v>0.38843097222856393</v>
      </c>
      <c r="D860" s="1249">
        <v>0.36554072265096449</v>
      </c>
      <c r="E860" s="1249">
        <v>0.3468704471142276</v>
      </c>
      <c r="F860" s="1249">
        <v>0.33263298461747182</v>
      </c>
      <c r="G860" s="1249"/>
      <c r="H860" s="1249"/>
      <c r="N860" s="510"/>
      <c r="O860" s="510"/>
      <c r="P860" s="510"/>
      <c r="R860" s="1674"/>
      <c r="S860" s="1674"/>
      <c r="T860" s="1674"/>
    </row>
    <row r="861" spans="1:20" x14ac:dyDescent="0.25">
      <c r="A861" s="1249" t="s">
        <v>3252</v>
      </c>
      <c r="B861" s="1668">
        <v>0.45339321731142468</v>
      </c>
      <c r="C861" s="1668">
        <v>0.4263326420622135</v>
      </c>
      <c r="D861" s="1249">
        <v>0.40165638703376982</v>
      </c>
      <c r="E861" s="1249">
        <v>0.38091318063413426</v>
      </c>
      <c r="F861" s="1249">
        <v>0.36519945249901514</v>
      </c>
      <c r="G861" s="1249"/>
      <c r="H861" s="1249"/>
      <c r="N861" s="510"/>
      <c r="O861" s="510"/>
      <c r="P861" s="510"/>
      <c r="R861" s="1674"/>
      <c r="S861" s="1674"/>
      <c r="T861" s="1674"/>
    </row>
    <row r="862" spans="1:20" x14ac:dyDescent="0.25">
      <c r="A862" s="1249" t="s">
        <v>3253</v>
      </c>
      <c r="B862" s="1668">
        <v>1.8785250490000001</v>
      </c>
      <c r="C862" s="1668">
        <v>1.781236</v>
      </c>
      <c r="D862" s="1249">
        <v>1.6901919999999999</v>
      </c>
      <c r="E862" s="1249">
        <v>1.606428</v>
      </c>
      <c r="F862" s="1249">
        <v>1.5305500000000001</v>
      </c>
      <c r="G862" s="1249"/>
      <c r="H862" s="1249"/>
      <c r="J862" s="50" t="s">
        <v>3254</v>
      </c>
      <c r="N862" s="510"/>
      <c r="O862" s="510"/>
      <c r="P862" s="510"/>
      <c r="R862" s="1674"/>
      <c r="S862" s="1674"/>
      <c r="T862" s="1674"/>
    </row>
    <row r="863" spans="1:20" x14ac:dyDescent="0.25">
      <c r="A863" s="1249" t="s">
        <v>3255</v>
      </c>
      <c r="B863" s="1668">
        <v>0.28420348301981402</v>
      </c>
      <c r="C863" s="1668">
        <v>0.26633522026566564</v>
      </c>
      <c r="D863" s="1249">
        <v>0.25138316126971699</v>
      </c>
      <c r="E863" s="1249">
        <v>0.23943995340434968</v>
      </c>
      <c r="F863" s="1249">
        <v>0.23107549827875368</v>
      </c>
      <c r="G863" s="1249"/>
      <c r="H863" s="1249"/>
      <c r="J863" s="50" t="s">
        <v>3256</v>
      </c>
      <c r="N863" s="510"/>
      <c r="O863" s="510"/>
      <c r="P863" s="510"/>
      <c r="R863" s="1674"/>
      <c r="S863" s="1674"/>
      <c r="T863" s="1674"/>
    </row>
    <row r="864" spans="1:20" x14ac:dyDescent="0.25">
      <c r="A864" s="1249" t="s">
        <v>3257</v>
      </c>
      <c r="B864" s="1668">
        <v>0.36991476845002147</v>
      </c>
      <c r="C864" s="1668">
        <v>0.35036541512494856</v>
      </c>
      <c r="D864" s="1249">
        <v>0.33259284998388822</v>
      </c>
      <c r="E864" s="1249">
        <v>0.31656753272576654</v>
      </c>
      <c r="F864" s="1249">
        <v>0.30186249618441874</v>
      </c>
      <c r="G864" s="1249"/>
      <c r="H864" s="1249"/>
      <c r="J864" s="50" t="s">
        <v>3256</v>
      </c>
      <c r="N864" s="510"/>
      <c r="O864" s="510"/>
      <c r="P864" s="510"/>
      <c r="R864" s="1674"/>
      <c r="S864" s="1674"/>
      <c r="T864" s="1674"/>
    </row>
    <row r="865" spans="1:20" x14ac:dyDescent="0.25">
      <c r="A865" s="1249" t="s">
        <v>3258</v>
      </c>
      <c r="B865" s="1668">
        <v>1.1826869552215735</v>
      </c>
      <c r="C865" s="1668">
        <v>1.1262784315524945</v>
      </c>
      <c r="D865" s="1249">
        <v>1.071534634245277</v>
      </c>
      <c r="E865" s="1249">
        <v>1.0205005802138556</v>
      </c>
      <c r="F865" s="1249">
        <v>0.97296287285182959</v>
      </c>
      <c r="G865" s="1249"/>
      <c r="H865" s="1249"/>
      <c r="J865" s="50" t="s">
        <v>3256</v>
      </c>
      <c r="N865" s="510"/>
      <c r="O865" s="510"/>
      <c r="P865" s="510"/>
      <c r="R865" s="1674"/>
      <c r="S865" s="1674"/>
      <c r="T865" s="1674"/>
    </row>
    <row r="866" spans="1:20" x14ac:dyDescent="0.25">
      <c r="A866" s="1249" t="s">
        <v>3259</v>
      </c>
      <c r="B866" s="1668">
        <v>0.31094162001450337</v>
      </c>
      <c r="C866" s="1668">
        <v>0.29476254628274834</v>
      </c>
      <c r="D866" s="1249">
        <v>0.2784235253284395</v>
      </c>
      <c r="E866" s="1249">
        <v>0.26377120123957465</v>
      </c>
      <c r="F866" s="1249">
        <v>0.25080170640977967</v>
      </c>
      <c r="G866" s="1249"/>
      <c r="H866" s="1249"/>
      <c r="J866" s="50" t="s">
        <v>3256</v>
      </c>
      <c r="N866" s="510"/>
      <c r="O866" s="510"/>
      <c r="P866" s="510"/>
      <c r="R866" s="1674"/>
      <c r="S866" s="1674"/>
      <c r="T866" s="1674"/>
    </row>
  </sheetData>
  <autoFilter ref="A3:G865" xr:uid="{00000000-0009-0000-0000-00000D000000}"/>
  <conditionalFormatting sqref="A2:A863">
    <cfRule type="containsText" dxfId="0"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x14ac:dyDescent="0.25"/>
  <cols>
    <col min="1" max="1" width="20.28515625" bestFit="1" customWidth="1"/>
    <col min="2" max="2" width="27.28515625" style="431" customWidth="1"/>
    <col min="3" max="3" width="20.5703125" customWidth="1"/>
    <col min="7" max="7" width="15.42578125" customWidth="1"/>
    <col min="8" max="8" width="15" bestFit="1" customWidth="1"/>
    <col min="9" max="9" width="27.28515625" customWidth="1"/>
    <col min="10" max="10" width="24.7109375" customWidth="1"/>
    <col min="11" max="11" width="18.140625" bestFit="1" customWidth="1"/>
    <col min="12" max="12" width="21.85546875" customWidth="1"/>
    <col min="13" max="13" width="21" customWidth="1"/>
    <col min="15" max="15" width="15.28515625" bestFit="1" customWidth="1"/>
  </cols>
  <sheetData>
    <row r="1" spans="1:32" x14ac:dyDescent="0.25">
      <c r="A1" s="2298"/>
      <c r="B1" s="2298"/>
      <c r="C1" s="2298"/>
      <c r="D1" s="2298"/>
      <c r="E1" s="2298"/>
      <c r="F1" s="2298"/>
      <c r="G1" s="2298"/>
      <c r="H1" s="2298"/>
      <c r="J1" s="41"/>
      <c r="AF1" s="426"/>
    </row>
    <row r="2" spans="1:32" x14ac:dyDescent="0.25">
      <c r="A2" s="427" t="s">
        <v>3260</v>
      </c>
      <c r="B2" s="428"/>
    </row>
    <row r="3" spans="1:32" x14ac:dyDescent="0.25">
      <c r="A3" s="429" t="s">
        <v>3261</v>
      </c>
      <c r="B3" s="1125">
        <v>1.148238E-4</v>
      </c>
    </row>
    <row r="4" spans="1:32" x14ac:dyDescent="0.25">
      <c r="A4" s="429" t="s">
        <v>1417</v>
      </c>
      <c r="B4" s="1125">
        <v>4.6608050000000002E-4</v>
      </c>
    </row>
    <row r="5" spans="1:32" x14ac:dyDescent="0.25">
      <c r="A5" s="429" t="s">
        <v>3262</v>
      </c>
      <c r="B5" s="1125">
        <v>1.3539039999999999E-4</v>
      </c>
    </row>
    <row r="6" spans="1:32" x14ac:dyDescent="0.25">
      <c r="A6" s="429" t="s">
        <v>3263</v>
      </c>
      <c r="B6" s="1125">
        <v>1.1954749999999999E-4</v>
      </c>
    </row>
    <row r="7" spans="1:32" x14ac:dyDescent="0.25">
      <c r="A7" s="429" t="s">
        <v>3264</v>
      </c>
      <c r="B7" s="1125">
        <v>1.4008870000000001E-4</v>
      </c>
    </row>
    <row r="8" spans="1:32" x14ac:dyDescent="0.25">
      <c r="A8" s="429" t="s">
        <v>3265</v>
      </c>
      <c r="B8" s="1125">
        <v>2.053256E-4</v>
      </c>
    </row>
    <row r="9" spans="1:32" x14ac:dyDescent="0.25">
      <c r="A9" s="429" t="s">
        <v>694</v>
      </c>
      <c r="B9" s="1125">
        <v>9.4741810000000004E-4</v>
      </c>
    </row>
    <row r="10" spans="1:32" x14ac:dyDescent="0.25">
      <c r="A10" s="429" t="s">
        <v>866</v>
      </c>
      <c r="B10" s="1125">
        <v>9.4741810000000004E-4</v>
      </c>
    </row>
    <row r="11" spans="1:32" x14ac:dyDescent="0.25">
      <c r="A11" s="429" t="s">
        <v>3266</v>
      </c>
      <c r="B11" s="1125">
        <v>8.4921199999999996E-5</v>
      </c>
    </row>
    <row r="12" spans="1:32" x14ac:dyDescent="0.25">
      <c r="A12" s="429" t="s">
        <v>3267</v>
      </c>
      <c r="B12" s="1125">
        <v>1.6857220000000001E-4</v>
      </c>
    </row>
    <row r="13" spans="1:32" x14ac:dyDescent="0.25">
      <c r="A13" s="429" t="s">
        <v>3268</v>
      </c>
      <c r="B13" s="1125">
        <v>1.6857220000000001E-4</v>
      </c>
    </row>
    <row r="14" spans="1:32" x14ac:dyDescent="0.25">
      <c r="A14" s="429" t="s">
        <v>695</v>
      </c>
      <c r="B14" s="1125">
        <v>0</v>
      </c>
    </row>
    <row r="15" spans="1:32" x14ac:dyDescent="0.25">
      <c r="A15" s="429" t="s">
        <v>960</v>
      </c>
      <c r="B15" s="1125">
        <v>0</v>
      </c>
    </row>
    <row r="16" spans="1:32" x14ac:dyDescent="0.25">
      <c r="A16" s="429" t="s">
        <v>812</v>
      </c>
      <c r="B16" s="1125">
        <v>4.6608050000000002E-4</v>
      </c>
    </row>
    <row r="17" spans="1:2" x14ac:dyDescent="0.25">
      <c r="A17" s="429" t="s">
        <v>3269</v>
      </c>
      <c r="B17" s="1125">
        <v>4.6608050000000002E-4</v>
      </c>
    </row>
    <row r="18" spans="1:2" x14ac:dyDescent="0.25">
      <c r="A18" s="429" t="s">
        <v>775</v>
      </c>
      <c r="B18" s="1158">
        <v>1.4925290000000001E-4</v>
      </c>
    </row>
    <row r="19" spans="1:2" x14ac:dyDescent="0.25">
      <c r="A19" s="429" t="s">
        <v>2067</v>
      </c>
      <c r="B19" s="1158">
        <v>1.148238E-4</v>
      </c>
    </row>
    <row r="20" spans="1:2" x14ac:dyDescent="0.25">
      <c r="A20" s="429" t="s">
        <v>3270</v>
      </c>
      <c r="B20" s="1158">
        <v>2.3544589999999999E-4</v>
      </c>
    </row>
    <row r="21" spans="1:2" x14ac:dyDescent="0.25">
      <c r="A21" s="429" t="s">
        <v>2089</v>
      </c>
      <c r="B21" s="1158">
        <f>'End-Use Shapes Factors  2025+'!K21</f>
        <v>1.2852529999999999E-4</v>
      </c>
    </row>
    <row r="22" spans="1:2" x14ac:dyDescent="0.25">
      <c r="A22" s="429" t="s">
        <v>2091</v>
      </c>
      <c r="B22" s="1158">
        <v>1.2852529999999999E-4</v>
      </c>
    </row>
    <row r="23" spans="1:2" x14ac:dyDescent="0.25">
      <c r="A23" s="429" t="s">
        <v>606</v>
      </c>
      <c r="B23" s="1158">
        <v>8.8731800000000003E-5</v>
      </c>
    </row>
    <row r="24" spans="1:2" x14ac:dyDescent="0.25">
      <c r="B24" s="1126"/>
    </row>
    <row r="25" spans="1:2" x14ac:dyDescent="0.25">
      <c r="A25" s="430" t="s">
        <v>3271</v>
      </c>
      <c r="B25" s="1127"/>
    </row>
    <row r="26" spans="1:2" x14ac:dyDescent="0.25">
      <c r="A26" s="68" t="s">
        <v>477</v>
      </c>
      <c r="B26" s="1128">
        <v>1.379439E-4</v>
      </c>
    </row>
    <row r="27" spans="1:2" x14ac:dyDescent="0.25">
      <c r="A27" s="68" t="s">
        <v>581</v>
      </c>
      <c r="B27" s="1128">
        <v>4.4398300000000001E-4</v>
      </c>
    </row>
    <row r="28" spans="1:2" x14ac:dyDescent="0.25">
      <c r="A28" s="68" t="s">
        <v>280</v>
      </c>
      <c r="B28" s="1128">
        <v>1.998949E-4</v>
      </c>
    </row>
    <row r="29" spans="1:2" x14ac:dyDescent="0.25">
      <c r="A29" s="68" t="s">
        <v>332</v>
      </c>
      <c r="B29" s="1128">
        <v>9.1068400000000004E-4</v>
      </c>
    </row>
    <row r="30" spans="1:2" x14ac:dyDescent="0.25">
      <c r="A30" s="68" t="s">
        <v>3272</v>
      </c>
      <c r="B30" s="1128">
        <v>5.6160000000000001E-6</v>
      </c>
    </row>
    <row r="31" spans="1:2" x14ac:dyDescent="0.25">
      <c r="A31" s="68" t="s">
        <v>333</v>
      </c>
      <c r="B31" s="1128">
        <v>0</v>
      </c>
    </row>
    <row r="32" spans="1:2" x14ac:dyDescent="0.25">
      <c r="A32" s="68" t="s">
        <v>361</v>
      </c>
      <c r="B32" s="1128">
        <v>4.4398300000000001E-4</v>
      </c>
    </row>
    <row r="33" spans="1:2" x14ac:dyDescent="0.25">
      <c r="A33" s="68" t="s">
        <v>62</v>
      </c>
      <c r="B33" s="1128">
        <v>1.899635E-4</v>
      </c>
    </row>
    <row r="34" spans="1:2" x14ac:dyDescent="0.25">
      <c r="A34" s="68" t="s">
        <v>588</v>
      </c>
      <c r="B34" s="1128">
        <v>1.379439E-4</v>
      </c>
    </row>
    <row r="35" spans="1:2" x14ac:dyDescent="0.25">
      <c r="A35" s="68" t="s">
        <v>264</v>
      </c>
      <c r="B35" s="1128">
        <v>1.379439E-4</v>
      </c>
    </row>
    <row r="36" spans="1:2" x14ac:dyDescent="0.25">
      <c r="A36" s="68" t="s">
        <v>591</v>
      </c>
      <c r="B36" s="1128">
        <v>1.379439E-4</v>
      </c>
    </row>
    <row r="37" spans="1:2" x14ac:dyDescent="0.25">
      <c r="A37" s="68" t="s">
        <v>149</v>
      </c>
      <c r="B37" s="1128">
        <v>1.3573829999999999E-4</v>
      </c>
    </row>
    <row r="38" spans="1:2" x14ac:dyDescent="0.25">
      <c r="A38" s="68" t="s">
        <v>224</v>
      </c>
      <c r="B38" s="1128">
        <v>1.811545E-4</v>
      </c>
    </row>
  </sheetData>
  <autoFilter ref="A1:A38" xr:uid="{00000000-0001-0000-0E00-000000000000}"/>
  <mergeCells count="1">
    <mergeCell ref="A1:H1"/>
  </mergeCells>
  <pageMargins left="0.7" right="0.7" top="0.75" bottom="0.75" header="0.3" footer="0.3"/>
  <pageSetup scale="78"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85" zoomScaleNormal="85" workbookViewId="0"/>
  </sheetViews>
  <sheetFormatPr defaultColWidth="0" defaultRowHeight="15" customHeight="1" zeroHeight="1" x14ac:dyDescent="0.25"/>
  <cols>
    <col min="1" max="1" width="3.7109375" customWidth="1"/>
    <col min="2" max="2" width="10.7109375" bestFit="1" customWidth="1"/>
    <col min="3" max="7" width="12.7109375" style="1118" customWidth="1"/>
    <col min="8" max="8" width="12.7109375" style="1119" customWidth="1"/>
    <col min="9" max="9" width="13.7109375" style="1119" customWidth="1"/>
    <col min="10" max="12" width="12.7109375" style="1119" customWidth="1"/>
    <col min="13" max="14" width="3.7109375" style="1119" customWidth="1"/>
    <col min="15" max="23" width="12.7109375" style="1119" customWidth="1"/>
    <col min="24" max="24" width="14" style="1119" customWidth="1"/>
    <col min="25" max="28" width="12.7109375" style="1119" customWidth="1"/>
    <col min="29" max="29" width="3.7109375" customWidth="1"/>
    <col min="30" max="46" width="0" hidden="1" customWidth="1"/>
    <col min="47" max="16384" width="9.28515625" hidden="1"/>
  </cols>
  <sheetData>
    <row r="1" spans="1:29"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x14ac:dyDescent="0.25">
      <c r="A2" s="13"/>
      <c r="B2" s="1083" t="s">
        <v>3273</v>
      </c>
      <c r="C2" s="1083"/>
      <c r="D2" s="1083"/>
      <c r="E2" s="1083"/>
      <c r="F2" s="1083"/>
      <c r="G2" s="1083"/>
      <c r="H2" s="1083"/>
      <c r="I2" s="1083"/>
      <c r="J2" s="1083"/>
      <c r="K2" s="1083"/>
      <c r="L2" s="1083"/>
      <c r="M2" s="13"/>
      <c r="N2" s="13"/>
      <c r="O2" s="1083" t="s">
        <v>3273</v>
      </c>
      <c r="P2" s="1083"/>
      <c r="Q2" s="1083"/>
      <c r="R2" s="1083"/>
      <c r="S2" s="1083"/>
      <c r="T2" s="1083"/>
      <c r="U2" s="1083"/>
      <c r="V2" s="1083"/>
      <c r="W2" s="1083"/>
      <c r="X2" s="1083"/>
      <c r="Y2" s="1083"/>
      <c r="Z2" s="1083"/>
      <c r="AA2" s="1083"/>
      <c r="AB2" s="1083"/>
      <c r="AC2" s="13"/>
    </row>
    <row r="3" spans="1:29" ht="15.75" thickBot="1" x14ac:dyDescent="0.3">
      <c r="A3" s="13"/>
      <c r="B3" s="122"/>
      <c r="C3" s="1084" t="s">
        <v>3274</v>
      </c>
      <c r="D3" s="1084"/>
      <c r="E3" s="1084"/>
      <c r="F3" s="1084"/>
      <c r="G3" s="1084"/>
      <c r="H3" s="1084"/>
      <c r="I3" s="1084"/>
      <c r="J3" s="1084"/>
      <c r="K3" s="1084"/>
      <c r="L3" s="1085"/>
      <c r="M3" s="13"/>
      <c r="N3" s="13"/>
      <c r="O3" s="122"/>
      <c r="P3" s="122"/>
      <c r="Q3" s="1084" t="s">
        <v>3274</v>
      </c>
      <c r="R3" s="1084"/>
      <c r="S3" s="1084"/>
      <c r="T3" s="1084"/>
      <c r="U3" s="1084"/>
      <c r="V3" s="1084"/>
      <c r="W3" s="1084"/>
      <c r="X3" s="1084"/>
      <c r="Y3" s="1084"/>
      <c r="Z3" s="1084"/>
      <c r="AA3" s="1084"/>
      <c r="AB3" s="1084"/>
      <c r="AC3" s="13"/>
    </row>
    <row r="4" spans="1:29" ht="15.75" thickTop="1" x14ac:dyDescent="0.25">
      <c r="A4" s="13"/>
      <c r="B4" s="1086">
        <f>F4</f>
        <v>0</v>
      </c>
      <c r="C4" s="2729" t="s">
        <v>3275</v>
      </c>
      <c r="D4" s="2730"/>
      <c r="E4" s="2730"/>
      <c r="F4" s="2730"/>
      <c r="G4" s="2730"/>
      <c r="H4" s="2730"/>
      <c r="I4" s="2730"/>
      <c r="J4" s="2730"/>
      <c r="K4" s="2730"/>
      <c r="L4" s="2731"/>
      <c r="M4" s="13"/>
      <c r="N4" s="13"/>
      <c r="O4" s="1086"/>
      <c r="P4" s="2732" t="s">
        <v>3276</v>
      </c>
      <c r="Q4" s="2732"/>
      <c r="R4" s="2732"/>
      <c r="S4" s="2732"/>
      <c r="T4" s="2732"/>
      <c r="U4" s="2732"/>
      <c r="V4" s="2732"/>
      <c r="W4" s="2732"/>
      <c r="X4" s="2732"/>
      <c r="Y4" s="2732"/>
      <c r="Z4" s="2732"/>
      <c r="AA4" s="2732"/>
      <c r="AB4" s="2733"/>
      <c r="AC4" s="13"/>
    </row>
    <row r="5" spans="1:29" ht="38.25" customHeight="1" thickBot="1" x14ac:dyDescent="0.3">
      <c r="A5" s="13"/>
      <c r="B5" s="1087" t="s">
        <v>3277</v>
      </c>
      <c r="C5" s="1088" t="s">
        <v>1417</v>
      </c>
      <c r="D5" s="1088" t="s">
        <v>694</v>
      </c>
      <c r="E5" s="1088" t="s">
        <v>3267</v>
      </c>
      <c r="F5" s="1088" t="s">
        <v>695</v>
      </c>
      <c r="G5" s="1088" t="s">
        <v>812</v>
      </c>
      <c r="H5" s="1088" t="s">
        <v>775</v>
      </c>
      <c r="I5" s="1088" t="s">
        <v>2067</v>
      </c>
      <c r="J5" s="1088" t="s">
        <v>3270</v>
      </c>
      <c r="K5" s="1088" t="s">
        <v>2089</v>
      </c>
      <c r="L5" s="1089" t="s">
        <v>606</v>
      </c>
      <c r="M5" s="13"/>
      <c r="N5" s="13"/>
      <c r="O5" s="1087" t="s">
        <v>3277</v>
      </c>
      <c r="P5" s="1090" t="s">
        <v>477</v>
      </c>
      <c r="Q5" s="1090" t="s">
        <v>581</v>
      </c>
      <c r="R5" s="1090" t="s">
        <v>280</v>
      </c>
      <c r="S5" s="1090" t="s">
        <v>332</v>
      </c>
      <c r="T5" s="1090" t="s">
        <v>3272</v>
      </c>
      <c r="U5" s="1090" t="s">
        <v>333</v>
      </c>
      <c r="V5" s="1090" t="s">
        <v>361</v>
      </c>
      <c r="W5" s="1090" t="s">
        <v>62</v>
      </c>
      <c r="X5" s="1090" t="s">
        <v>588</v>
      </c>
      <c r="Y5" s="1090" t="s">
        <v>264</v>
      </c>
      <c r="Z5" s="1090" t="s">
        <v>591</v>
      </c>
      <c r="AA5" s="1090" t="s">
        <v>149</v>
      </c>
      <c r="AB5" s="1091" t="s">
        <v>224</v>
      </c>
      <c r="AC5" s="13"/>
    </row>
    <row r="6" spans="1:29" x14ac:dyDescent="0.25">
      <c r="A6" s="13"/>
      <c r="B6" s="1092" t="s">
        <v>3278</v>
      </c>
      <c r="C6" s="1093">
        <v>0.11129699999999999</v>
      </c>
      <c r="D6" s="1093">
        <v>1.1999999999999999E-3</v>
      </c>
      <c r="E6" s="1093">
        <v>7.9578999999999997E-2</v>
      </c>
      <c r="F6" s="1093">
        <v>0.21790499999999999</v>
      </c>
      <c r="G6" s="1093">
        <v>0.11129699999999999</v>
      </c>
      <c r="H6" s="1093">
        <v>0.10118199999999999</v>
      </c>
      <c r="I6" s="1093">
        <v>8.4892999999999996E-2</v>
      </c>
      <c r="J6" s="1093">
        <v>8.6451E-2</v>
      </c>
      <c r="K6" s="1093">
        <v>7.7052999999999996E-2</v>
      </c>
      <c r="L6" s="1094">
        <v>0.10352699999999999</v>
      </c>
      <c r="M6" s="13"/>
      <c r="N6" s="13"/>
      <c r="O6" s="1095" t="s">
        <v>3278</v>
      </c>
      <c r="P6" s="1096">
        <v>8.5109000000000004E-2</v>
      </c>
      <c r="Q6" s="1096">
        <v>0.107824</v>
      </c>
      <c r="R6" s="1096">
        <v>8.6096000000000006E-2</v>
      </c>
      <c r="S6" s="1096">
        <v>6.0000000000000002E-6</v>
      </c>
      <c r="T6" s="1096">
        <v>0.106265</v>
      </c>
      <c r="U6" s="1096">
        <v>0.210397</v>
      </c>
      <c r="V6" s="1096">
        <v>0.107824</v>
      </c>
      <c r="W6" s="1096">
        <v>9.3563999999999994E-2</v>
      </c>
      <c r="X6" s="1096">
        <v>8.5109000000000004E-2</v>
      </c>
      <c r="Y6" s="1096">
        <v>8.5109000000000004E-2</v>
      </c>
      <c r="Z6" s="1096">
        <v>8.5109000000000004E-2</v>
      </c>
      <c r="AA6" s="1096">
        <v>8.3486000000000005E-2</v>
      </c>
      <c r="AB6" s="1097">
        <v>0.108255</v>
      </c>
      <c r="AC6" s="13"/>
    </row>
    <row r="7" spans="1:29" x14ac:dyDescent="0.25">
      <c r="A7" s="13"/>
      <c r="B7" s="1098" t="s">
        <v>3279</v>
      </c>
      <c r="C7" s="1099">
        <v>9.3076999999999993E-2</v>
      </c>
      <c r="D7" s="1099">
        <v>1.1000000000000001E-3</v>
      </c>
      <c r="E7" s="1099">
        <v>7.2517999999999999E-2</v>
      </c>
      <c r="F7" s="1099">
        <v>0.18213499999999999</v>
      </c>
      <c r="G7" s="1099">
        <v>9.3076999999999993E-2</v>
      </c>
      <c r="H7" s="1099">
        <v>8.8441000000000006E-2</v>
      </c>
      <c r="I7" s="1099">
        <v>7.7366000000000004E-2</v>
      </c>
      <c r="J7" s="1099">
        <v>7.1145E-2</v>
      </c>
      <c r="K7" s="1099">
        <v>7.2168999999999997E-2</v>
      </c>
      <c r="L7" s="1100">
        <v>9.0719999999999995E-2</v>
      </c>
      <c r="M7" s="13"/>
      <c r="N7" s="13"/>
      <c r="O7" s="1101" t="s">
        <v>3279</v>
      </c>
      <c r="P7" s="1102">
        <v>7.7715000000000006E-2</v>
      </c>
      <c r="Q7" s="1102">
        <v>9.1051999999999994E-2</v>
      </c>
      <c r="R7" s="1102">
        <v>7.8608999999999998E-2</v>
      </c>
      <c r="S7" s="1102">
        <v>2.4699999999999999E-4</v>
      </c>
      <c r="T7" s="1102">
        <v>8.2161999999999999E-2</v>
      </c>
      <c r="U7" s="1102">
        <v>0.17743600000000001</v>
      </c>
      <c r="V7" s="1102">
        <v>9.1051999999999994E-2</v>
      </c>
      <c r="W7" s="1102">
        <v>7.2162000000000004E-2</v>
      </c>
      <c r="X7" s="1102">
        <v>7.7715000000000006E-2</v>
      </c>
      <c r="Y7" s="1102">
        <v>7.7715000000000006E-2</v>
      </c>
      <c r="Z7" s="1102">
        <v>7.7715000000000006E-2</v>
      </c>
      <c r="AA7" s="1102">
        <v>7.6158000000000003E-2</v>
      </c>
      <c r="AB7" s="1103">
        <v>9.1078000000000006E-2</v>
      </c>
      <c r="AC7" s="13"/>
    </row>
    <row r="8" spans="1:29" x14ac:dyDescent="0.25">
      <c r="A8" s="13"/>
      <c r="B8" s="1098" t="s">
        <v>3280</v>
      </c>
      <c r="C8" s="1099">
        <v>7.0041999999999993E-2</v>
      </c>
      <c r="D8" s="1099">
        <v>3.13E-3</v>
      </c>
      <c r="E8" s="1099">
        <v>8.1079999999999999E-2</v>
      </c>
      <c r="F8" s="1099">
        <v>0.13483300000000001</v>
      </c>
      <c r="G8" s="1099">
        <v>7.0041999999999993E-2</v>
      </c>
      <c r="H8" s="1099">
        <v>9.2879000000000003E-2</v>
      </c>
      <c r="I8" s="1099">
        <v>8.4862999999999994E-2</v>
      </c>
      <c r="J8" s="1099">
        <v>8.6052000000000003E-2</v>
      </c>
      <c r="K8" s="1099">
        <v>8.0271999999999996E-2</v>
      </c>
      <c r="L8" s="1100">
        <v>9.5543000000000003E-2</v>
      </c>
      <c r="M8" s="13"/>
      <c r="N8" s="13"/>
      <c r="O8" s="1101" t="s">
        <v>3280</v>
      </c>
      <c r="P8" s="1102">
        <v>8.6136000000000004E-2</v>
      </c>
      <c r="Q8" s="1102">
        <v>7.1135000000000004E-2</v>
      </c>
      <c r="R8" s="1102">
        <v>8.1547999999999995E-2</v>
      </c>
      <c r="S8" s="1102">
        <v>7.2360000000000002E-3</v>
      </c>
      <c r="T8" s="1102">
        <v>7.0887000000000006E-2</v>
      </c>
      <c r="U8" s="1102">
        <v>0.13192400000000001</v>
      </c>
      <c r="V8" s="1102">
        <v>7.1135000000000004E-2</v>
      </c>
      <c r="W8" s="1102">
        <v>7.8372999999999998E-2</v>
      </c>
      <c r="X8" s="1102">
        <v>8.6136000000000004E-2</v>
      </c>
      <c r="Y8" s="1102">
        <v>8.6136000000000004E-2</v>
      </c>
      <c r="Z8" s="1102">
        <v>8.6136000000000004E-2</v>
      </c>
      <c r="AA8" s="1102">
        <v>8.3346000000000003E-2</v>
      </c>
      <c r="AB8" s="1103">
        <v>8.5239999999999996E-2</v>
      </c>
      <c r="AC8" s="13"/>
    </row>
    <row r="9" spans="1:29" x14ac:dyDescent="0.25">
      <c r="A9" s="13"/>
      <c r="B9" s="1098" t="s">
        <v>3281</v>
      </c>
      <c r="C9" s="1099">
        <v>3.7116000000000003E-2</v>
      </c>
      <c r="D9" s="1099">
        <v>1.5047E-2</v>
      </c>
      <c r="E9" s="1099">
        <v>7.9918000000000003E-2</v>
      </c>
      <c r="F9" s="1099">
        <v>5.8486000000000003E-2</v>
      </c>
      <c r="G9" s="1099">
        <v>3.7116000000000003E-2</v>
      </c>
      <c r="H9" s="1099">
        <v>8.4644999999999998E-2</v>
      </c>
      <c r="I9" s="1099">
        <v>8.2143999999999995E-2</v>
      </c>
      <c r="J9" s="1099">
        <v>8.0701999999999996E-2</v>
      </c>
      <c r="K9" s="1099">
        <v>7.8752000000000003E-2</v>
      </c>
      <c r="L9" s="1100">
        <v>8.4798999999999999E-2</v>
      </c>
      <c r="M9" s="13"/>
      <c r="N9" s="13"/>
      <c r="O9" s="1101" t="s">
        <v>3281</v>
      </c>
      <c r="P9" s="1102">
        <v>7.9796000000000006E-2</v>
      </c>
      <c r="Q9" s="1102">
        <v>4.1179E-2</v>
      </c>
      <c r="R9" s="1102">
        <v>7.2947999999999999E-2</v>
      </c>
      <c r="S9" s="1102">
        <v>2.1690999999999998E-2</v>
      </c>
      <c r="T9" s="1102">
        <v>6.8145999999999998E-2</v>
      </c>
      <c r="U9" s="1102">
        <v>5.9718E-2</v>
      </c>
      <c r="V9" s="1102">
        <v>4.1179E-2</v>
      </c>
      <c r="W9" s="1102">
        <v>7.6534000000000005E-2</v>
      </c>
      <c r="X9" s="1102">
        <v>7.9796000000000006E-2</v>
      </c>
      <c r="Y9" s="1102">
        <v>7.9796000000000006E-2</v>
      </c>
      <c r="Z9" s="1102">
        <v>7.9796000000000006E-2</v>
      </c>
      <c r="AA9" s="1102">
        <v>8.0782999999999994E-2</v>
      </c>
      <c r="AB9" s="1103">
        <v>7.2980000000000003E-2</v>
      </c>
      <c r="AC9" s="13"/>
    </row>
    <row r="10" spans="1:29" x14ac:dyDescent="0.25">
      <c r="A10" s="13"/>
      <c r="B10" s="1098" t="s">
        <v>3282</v>
      </c>
      <c r="C10" s="1099">
        <v>4.0888000000000001E-2</v>
      </c>
      <c r="D10" s="1099">
        <v>6.5409999999999996E-2</v>
      </c>
      <c r="E10" s="1099">
        <v>8.4083000000000005E-2</v>
      </c>
      <c r="F10" s="1099">
        <v>1.7144E-2</v>
      </c>
      <c r="G10" s="1099">
        <v>4.0888000000000001E-2</v>
      </c>
      <c r="H10" s="1099">
        <v>7.9393000000000005E-2</v>
      </c>
      <c r="I10" s="1099">
        <v>8.4847000000000006E-2</v>
      </c>
      <c r="J10" s="1099">
        <v>8.6052000000000003E-2</v>
      </c>
      <c r="K10" s="1099">
        <v>8.5646E-2</v>
      </c>
      <c r="L10" s="1100">
        <v>8.3599999999999994E-2</v>
      </c>
      <c r="M10" s="13"/>
      <c r="N10" s="13"/>
      <c r="O10" s="1101" t="s">
        <v>3282</v>
      </c>
      <c r="P10" s="1102">
        <v>8.5334999999999994E-2</v>
      </c>
      <c r="Q10" s="1102">
        <v>4.4423999999999998E-2</v>
      </c>
      <c r="R10" s="1102">
        <v>8.6277000000000006E-2</v>
      </c>
      <c r="S10" s="1102">
        <v>6.2979999999999994E-2</v>
      </c>
      <c r="T10" s="1102">
        <v>8.1852999999999995E-2</v>
      </c>
      <c r="U10" s="1102">
        <v>2.6769000000000001E-2</v>
      </c>
      <c r="V10" s="1102">
        <v>4.4423999999999998E-2</v>
      </c>
      <c r="W10" s="1102">
        <v>9.4246999999999997E-2</v>
      </c>
      <c r="X10" s="1102">
        <v>8.5334999999999994E-2</v>
      </c>
      <c r="Y10" s="1102">
        <v>8.5334999999999994E-2</v>
      </c>
      <c r="Z10" s="1102">
        <v>8.5334999999999994E-2</v>
      </c>
      <c r="AA10" s="1102">
        <v>8.5133E-2</v>
      </c>
      <c r="AB10" s="1103">
        <v>7.9849000000000003E-2</v>
      </c>
      <c r="AC10" s="13"/>
    </row>
    <row r="11" spans="1:29" x14ac:dyDescent="0.25">
      <c r="A11" s="13"/>
      <c r="B11" s="1098" t="s">
        <v>3283</v>
      </c>
      <c r="C11" s="1099">
        <v>0.103973</v>
      </c>
      <c r="D11" s="1099">
        <v>0.21082300000000001</v>
      </c>
      <c r="E11" s="1099">
        <v>8.5730000000000001E-2</v>
      </c>
      <c r="F11" s="1099">
        <v>5.1000000000000004E-4</v>
      </c>
      <c r="G11" s="1099">
        <v>0.103973</v>
      </c>
      <c r="H11" s="1099">
        <v>6.8507999999999999E-2</v>
      </c>
      <c r="I11" s="1099">
        <v>8.2122000000000001E-2</v>
      </c>
      <c r="J11" s="1099">
        <v>8.0701999999999996E-2</v>
      </c>
      <c r="K11" s="1099">
        <v>8.9111999999999997E-2</v>
      </c>
      <c r="L11" s="1100">
        <v>7.7064999999999995E-2</v>
      </c>
      <c r="M11" s="13"/>
      <c r="N11" s="13"/>
      <c r="O11" s="1101" t="s">
        <v>3283</v>
      </c>
      <c r="P11" s="1102">
        <v>8.1994999999999998E-2</v>
      </c>
      <c r="Q11" s="1102">
        <v>0.106128</v>
      </c>
      <c r="R11" s="1102">
        <v>8.3294000000000007E-2</v>
      </c>
      <c r="S11" s="1102">
        <v>0.21317</v>
      </c>
      <c r="T11" s="1102">
        <v>6.7163E-2</v>
      </c>
      <c r="U11" s="1102">
        <v>4.2950000000000002E-3</v>
      </c>
      <c r="V11" s="1102">
        <v>0.106128</v>
      </c>
      <c r="W11" s="1102">
        <v>7.5599E-2</v>
      </c>
      <c r="X11" s="1102">
        <v>8.1994999999999998E-2</v>
      </c>
      <c r="Y11" s="1102">
        <v>8.1994999999999998E-2</v>
      </c>
      <c r="Z11" s="1102">
        <v>8.1994999999999998E-2</v>
      </c>
      <c r="AA11" s="1102">
        <v>8.4294999999999995E-2</v>
      </c>
      <c r="AB11" s="1103">
        <v>7.2720999999999994E-2</v>
      </c>
      <c r="AC11" s="13"/>
    </row>
    <row r="12" spans="1:29" x14ac:dyDescent="0.25">
      <c r="A12" s="13"/>
      <c r="B12" s="1098" t="s">
        <v>3284</v>
      </c>
      <c r="C12" s="1099">
        <v>0.1401</v>
      </c>
      <c r="D12" s="1099">
        <v>0.28477999999999998</v>
      </c>
      <c r="E12" s="1099">
        <v>9.6095E-2</v>
      </c>
      <c r="F12" s="1099">
        <v>6.0000000000000002E-6</v>
      </c>
      <c r="G12" s="1099">
        <v>0.1401</v>
      </c>
      <c r="H12" s="1099">
        <v>6.7863999999999994E-2</v>
      </c>
      <c r="I12" s="1099">
        <v>8.4883E-2</v>
      </c>
      <c r="J12" s="1099">
        <v>8.6451E-2</v>
      </c>
      <c r="K12" s="1099">
        <v>9.4239000000000003E-2</v>
      </c>
      <c r="L12" s="1100">
        <v>6.7711999999999994E-2</v>
      </c>
      <c r="M12" s="13"/>
      <c r="N12" s="13"/>
      <c r="O12" s="1101" t="s">
        <v>3284</v>
      </c>
      <c r="P12" s="1102">
        <v>8.4098999999999993E-2</v>
      </c>
      <c r="Q12" s="1102">
        <v>0.14288100000000001</v>
      </c>
      <c r="R12" s="1102">
        <v>8.5859000000000005E-2</v>
      </c>
      <c r="S12" s="1102">
        <v>0.29002899999999998</v>
      </c>
      <c r="T12" s="1102">
        <v>8.6751999999999996E-2</v>
      </c>
      <c r="U12" s="1102">
        <v>2.895E-3</v>
      </c>
      <c r="V12" s="1102">
        <v>0.14288100000000001</v>
      </c>
      <c r="W12" s="1102">
        <v>9.6199999999999994E-2</v>
      </c>
      <c r="X12" s="1102">
        <v>8.4098999999999993E-2</v>
      </c>
      <c r="Y12" s="1102">
        <v>8.4098999999999993E-2</v>
      </c>
      <c r="Z12" s="1102">
        <v>8.4098999999999993E-2</v>
      </c>
      <c r="AA12" s="1102">
        <v>8.7456999999999993E-2</v>
      </c>
      <c r="AB12" s="1103">
        <v>7.4929999999999997E-2</v>
      </c>
      <c r="AC12" s="13"/>
    </row>
    <row r="13" spans="1:29" x14ac:dyDescent="0.25">
      <c r="A13" s="13"/>
      <c r="B13" s="1098" t="s">
        <v>3285</v>
      </c>
      <c r="C13" s="1099">
        <v>0.13320699999999999</v>
      </c>
      <c r="D13" s="1099">
        <v>0.27076600000000001</v>
      </c>
      <c r="E13" s="1099">
        <v>9.6095E-2</v>
      </c>
      <c r="F13" s="1099">
        <v>9.0000000000000002E-6</v>
      </c>
      <c r="G13" s="1099">
        <v>0.13320699999999999</v>
      </c>
      <c r="H13" s="1099">
        <v>7.0565000000000003E-2</v>
      </c>
      <c r="I13" s="1099">
        <v>8.4839999999999999E-2</v>
      </c>
      <c r="J13" s="1099">
        <v>8.5653000000000007E-2</v>
      </c>
      <c r="K13" s="1099">
        <v>9.4212000000000004E-2</v>
      </c>
      <c r="L13" s="1100">
        <v>6.3687999999999995E-2</v>
      </c>
      <c r="M13" s="13"/>
      <c r="N13" s="13"/>
      <c r="O13" s="1101" t="s">
        <v>3285</v>
      </c>
      <c r="P13" s="1102">
        <v>8.4198999999999996E-2</v>
      </c>
      <c r="Q13" s="1102">
        <v>0.133494</v>
      </c>
      <c r="R13" s="1102">
        <v>8.5885000000000003E-2</v>
      </c>
      <c r="S13" s="1102">
        <v>0.270206</v>
      </c>
      <c r="T13" s="1102">
        <v>6.9401000000000004E-2</v>
      </c>
      <c r="U13" s="1102">
        <v>3.4320000000000002E-3</v>
      </c>
      <c r="V13" s="1102">
        <v>0.133494</v>
      </c>
      <c r="W13" s="1102">
        <v>7.7077999999999994E-2</v>
      </c>
      <c r="X13" s="1102">
        <v>8.4198999999999996E-2</v>
      </c>
      <c r="Y13" s="1102">
        <v>8.4198999999999996E-2</v>
      </c>
      <c r="Z13" s="1102">
        <v>8.4198999999999996E-2</v>
      </c>
      <c r="AA13" s="1102">
        <v>8.7230000000000002E-2</v>
      </c>
      <c r="AB13" s="1103">
        <v>7.5861999999999999E-2</v>
      </c>
      <c r="AC13" s="13"/>
    </row>
    <row r="14" spans="1:29" x14ac:dyDescent="0.25">
      <c r="A14" s="13"/>
      <c r="B14" s="1098" t="s">
        <v>3286</v>
      </c>
      <c r="C14" s="1099">
        <v>6.6758999999999999E-2</v>
      </c>
      <c r="D14" s="1099">
        <v>0.126605</v>
      </c>
      <c r="E14" s="1099">
        <v>8.4277000000000005E-2</v>
      </c>
      <c r="F14" s="1099">
        <v>8.8090000000000009E-3</v>
      </c>
      <c r="G14" s="1099">
        <v>6.6758999999999999E-2</v>
      </c>
      <c r="H14" s="1099">
        <v>7.3791999999999996E-2</v>
      </c>
      <c r="I14" s="1099">
        <v>8.2136000000000001E-2</v>
      </c>
      <c r="J14" s="1099">
        <v>8.3031999999999995E-2</v>
      </c>
      <c r="K14" s="1099">
        <v>8.4971000000000005E-2</v>
      </c>
      <c r="L14" s="1100">
        <v>6.9373000000000004E-2</v>
      </c>
      <c r="M14" s="13"/>
      <c r="N14" s="13"/>
      <c r="O14" s="1101" t="s">
        <v>3286</v>
      </c>
      <c r="P14" s="1102">
        <v>8.2512000000000002E-2</v>
      </c>
      <c r="Q14" s="1102">
        <v>5.781E-2</v>
      </c>
      <c r="R14" s="1102">
        <v>8.3474999999999994E-2</v>
      </c>
      <c r="S14" s="1102">
        <v>0.108695</v>
      </c>
      <c r="T14" s="1102">
        <v>8.2907999999999996E-2</v>
      </c>
      <c r="U14" s="1102">
        <v>9.4020000000000006E-3</v>
      </c>
      <c r="V14" s="1102">
        <v>5.781E-2</v>
      </c>
      <c r="W14" s="1102">
        <v>8.1374000000000002E-2</v>
      </c>
      <c r="X14" s="1102">
        <v>8.2512000000000002E-2</v>
      </c>
      <c r="Y14" s="1102">
        <v>8.2512000000000002E-2</v>
      </c>
      <c r="Z14" s="1102">
        <v>8.2512000000000002E-2</v>
      </c>
      <c r="AA14" s="1102">
        <v>8.3319000000000004E-2</v>
      </c>
      <c r="AB14" s="1103">
        <v>7.5733999999999996E-2</v>
      </c>
      <c r="AC14" s="13"/>
    </row>
    <row r="15" spans="1:29" x14ac:dyDescent="0.25">
      <c r="A15" s="13"/>
      <c r="B15" s="1098" t="s">
        <v>3287</v>
      </c>
      <c r="C15" s="1099">
        <v>3.7011000000000002E-2</v>
      </c>
      <c r="D15" s="1099">
        <v>1.8471999999999999E-2</v>
      </c>
      <c r="E15" s="1099">
        <v>8.2582000000000003E-2</v>
      </c>
      <c r="F15" s="1099">
        <v>5.4961999999999997E-2</v>
      </c>
      <c r="G15" s="1099">
        <v>3.7011000000000002E-2</v>
      </c>
      <c r="H15" s="1099">
        <v>8.4539000000000003E-2</v>
      </c>
      <c r="I15" s="1099">
        <v>8.4869E-2</v>
      </c>
      <c r="J15" s="1099">
        <v>8.6052000000000003E-2</v>
      </c>
      <c r="K15" s="1099">
        <v>8.5653000000000007E-2</v>
      </c>
      <c r="L15" s="1100">
        <v>7.9644000000000006E-2</v>
      </c>
      <c r="M15" s="13"/>
      <c r="N15" s="13"/>
      <c r="O15" s="1101" t="s">
        <v>3287</v>
      </c>
      <c r="P15" s="1102">
        <v>8.5277000000000006E-2</v>
      </c>
      <c r="Q15" s="1102">
        <v>3.8018000000000003E-2</v>
      </c>
      <c r="R15" s="1102">
        <v>8.6262000000000005E-2</v>
      </c>
      <c r="S15" s="1102">
        <v>1.9643000000000001E-2</v>
      </c>
      <c r="T15" s="1102">
        <v>0.100507</v>
      </c>
      <c r="U15" s="1102">
        <v>5.5496999999999998E-2</v>
      </c>
      <c r="V15" s="1102">
        <v>3.8018000000000003E-2</v>
      </c>
      <c r="W15" s="1102">
        <v>9.4072000000000003E-2</v>
      </c>
      <c r="X15" s="1102">
        <v>8.5277000000000006E-2</v>
      </c>
      <c r="Y15" s="1102">
        <v>8.5277000000000006E-2</v>
      </c>
      <c r="Z15" s="1102">
        <v>8.5277000000000006E-2</v>
      </c>
      <c r="AA15" s="1102">
        <v>8.4562999999999999E-2</v>
      </c>
      <c r="AB15" s="1103">
        <v>8.2808000000000007E-2</v>
      </c>
      <c r="AC15" s="13"/>
    </row>
    <row r="16" spans="1:29" x14ac:dyDescent="0.25">
      <c r="A16" s="13"/>
      <c r="B16" s="1098" t="s">
        <v>3288</v>
      </c>
      <c r="C16" s="1099">
        <v>5.9593E-2</v>
      </c>
      <c r="D16" s="1099">
        <v>1.444E-3</v>
      </c>
      <c r="E16" s="1099">
        <v>7.8464999999999993E-2</v>
      </c>
      <c r="F16" s="1099">
        <v>0.115899</v>
      </c>
      <c r="G16" s="1099">
        <v>5.9593E-2</v>
      </c>
      <c r="H16" s="1099">
        <v>8.9880000000000002E-2</v>
      </c>
      <c r="I16" s="1099">
        <v>8.2122000000000001E-2</v>
      </c>
      <c r="J16" s="1099">
        <v>8.1087999999999993E-2</v>
      </c>
      <c r="K16" s="1099">
        <v>7.8716999999999995E-2</v>
      </c>
      <c r="L16" s="1100">
        <v>8.4751999999999994E-2</v>
      </c>
      <c r="M16" s="13"/>
      <c r="N16" s="13"/>
      <c r="O16" s="1101" t="s">
        <v>3288</v>
      </c>
      <c r="P16" s="1102">
        <v>8.2588999999999996E-2</v>
      </c>
      <c r="Q16" s="1102">
        <v>6.2103999999999999E-2</v>
      </c>
      <c r="R16" s="1102">
        <v>8.3496000000000001E-2</v>
      </c>
      <c r="S16" s="1102">
        <v>6.0299999999999998E-3</v>
      </c>
      <c r="T16" s="1102">
        <v>8.7251999999999996E-2</v>
      </c>
      <c r="U16" s="1102">
        <v>0.115452</v>
      </c>
      <c r="V16" s="1102">
        <v>6.2103999999999999E-2</v>
      </c>
      <c r="W16" s="1102">
        <v>7.6706999999999997E-2</v>
      </c>
      <c r="X16" s="1102">
        <v>8.2588999999999996E-2</v>
      </c>
      <c r="Y16" s="1102">
        <v>8.2588999999999996E-2</v>
      </c>
      <c r="Z16" s="1102">
        <v>8.2588999999999996E-2</v>
      </c>
      <c r="AA16" s="1102">
        <v>8.1112000000000004E-2</v>
      </c>
      <c r="AB16" s="1103">
        <v>8.6345000000000005E-2</v>
      </c>
      <c r="AC16" s="13"/>
    </row>
    <row r="17" spans="1:29" ht="15.75" thickBot="1" x14ac:dyDescent="0.3">
      <c r="A17" s="13"/>
      <c r="B17" s="1104" t="s">
        <v>3289</v>
      </c>
      <c r="C17" s="1105">
        <v>0.106937</v>
      </c>
      <c r="D17" s="1105">
        <v>1.2229999999999999E-3</v>
      </c>
      <c r="E17" s="1105">
        <v>7.9577999999999996E-2</v>
      </c>
      <c r="F17" s="1105">
        <v>0.2093020000000001</v>
      </c>
      <c r="G17" s="1105">
        <v>0.106937</v>
      </c>
      <c r="H17" s="1105">
        <v>9.8311999999999997E-2</v>
      </c>
      <c r="I17" s="1105">
        <v>8.4915000000000004E-2</v>
      </c>
      <c r="J17" s="1105">
        <v>8.6620000000000003E-2</v>
      </c>
      <c r="K17" s="1105">
        <v>7.9203999999999997E-2</v>
      </c>
      <c r="L17" s="1106">
        <v>9.9576999999999999E-2</v>
      </c>
      <c r="M17" s="13"/>
      <c r="N17" s="13"/>
      <c r="O17" s="1107" t="s">
        <v>3289</v>
      </c>
      <c r="P17" s="1108">
        <v>8.5237999999999994E-2</v>
      </c>
      <c r="Q17" s="1108">
        <v>0.103951</v>
      </c>
      <c r="R17" s="1108">
        <v>8.6250999999999994E-2</v>
      </c>
      <c r="S17" s="1108">
        <v>6.7000000000000002E-5</v>
      </c>
      <c r="T17" s="1108">
        <v>9.6703999999999998E-2</v>
      </c>
      <c r="U17" s="1108">
        <v>0.20278299999999999</v>
      </c>
      <c r="V17" s="1108">
        <v>0.103951</v>
      </c>
      <c r="W17" s="1108">
        <v>8.4089999999999998E-2</v>
      </c>
      <c r="X17" s="1108">
        <v>8.5237999999999994E-2</v>
      </c>
      <c r="Y17" s="1108">
        <v>8.5237999999999994E-2</v>
      </c>
      <c r="Z17" s="1108">
        <v>8.5237999999999994E-2</v>
      </c>
      <c r="AA17" s="1108">
        <v>8.3117999999999997E-2</v>
      </c>
      <c r="AB17" s="1109">
        <v>9.4198000000000004E-2</v>
      </c>
      <c r="AC17" s="13"/>
    </row>
    <row r="18" spans="1:29" ht="15.75" thickTop="1" x14ac:dyDescent="0.25">
      <c r="A18" s="13"/>
      <c r="B18" s="13"/>
      <c r="C18" s="751"/>
      <c r="D18" s="751"/>
      <c r="E18" s="751"/>
      <c r="F18" s="751"/>
      <c r="G18" s="751"/>
      <c r="H18" s="751"/>
      <c r="I18" s="751"/>
      <c r="J18" s="751"/>
      <c r="K18" s="751"/>
      <c r="L18" s="751"/>
      <c r="M18" s="13"/>
      <c r="N18" s="13"/>
      <c r="O18" s="13"/>
      <c r="P18" s="751"/>
      <c r="Q18" s="751"/>
      <c r="R18" s="751"/>
      <c r="S18" s="751"/>
      <c r="T18" s="751"/>
      <c r="U18" s="751"/>
      <c r="V18" s="751"/>
      <c r="W18" s="751"/>
      <c r="X18" s="751"/>
      <c r="Y18" s="751"/>
      <c r="Z18" s="751"/>
      <c r="AA18" s="751"/>
      <c r="AB18" s="751"/>
      <c r="AC18" s="13"/>
    </row>
    <row r="19" spans="1:29" ht="15.75" thickBot="1" x14ac:dyDescent="0.3">
      <c r="A19" s="13"/>
      <c r="B19" s="1110" t="s">
        <v>3290</v>
      </c>
      <c r="C19" s="1111"/>
      <c r="D19" s="1111"/>
      <c r="E19" s="1111"/>
      <c r="F19" s="1111"/>
      <c r="G19" s="1111"/>
      <c r="H19" s="1111"/>
      <c r="I19" s="1111"/>
      <c r="J19" s="1111"/>
      <c r="K19" s="1111"/>
      <c r="L19" s="1111"/>
      <c r="M19" s="13"/>
      <c r="N19" s="13"/>
      <c r="O19" s="1110" t="s">
        <v>3290</v>
      </c>
      <c r="P19" s="1111"/>
      <c r="Q19" s="1111"/>
      <c r="R19" s="1111"/>
      <c r="S19" s="1111"/>
      <c r="T19" s="1111"/>
      <c r="U19" s="1111"/>
      <c r="V19" s="1111"/>
      <c r="W19" s="1111"/>
      <c r="X19" s="1111"/>
      <c r="Y19" s="1111"/>
      <c r="Z19" s="1111"/>
      <c r="AA19" s="1111"/>
      <c r="AB19" s="1111"/>
      <c r="AC19" s="13"/>
    </row>
    <row r="20" spans="1:29" ht="38.25" customHeight="1" thickTop="1" thickBot="1" x14ac:dyDescent="0.3">
      <c r="A20" s="13"/>
      <c r="B20" s="1112"/>
      <c r="C20" s="1113" t="s">
        <v>1417</v>
      </c>
      <c r="D20" s="1113" t="s">
        <v>694</v>
      </c>
      <c r="E20" s="1113" t="s">
        <v>3267</v>
      </c>
      <c r="F20" s="1113" t="s">
        <v>695</v>
      </c>
      <c r="G20" s="1113" t="s">
        <v>812</v>
      </c>
      <c r="H20" s="1113" t="s">
        <v>775</v>
      </c>
      <c r="I20" s="1113" t="s">
        <v>2067</v>
      </c>
      <c r="J20" s="1113" t="s">
        <v>3270</v>
      </c>
      <c r="K20" s="1113" t="s">
        <v>2089</v>
      </c>
      <c r="L20" s="1114" t="s">
        <v>606</v>
      </c>
      <c r="M20" s="13"/>
      <c r="N20" s="13"/>
      <c r="O20" s="1112"/>
      <c r="P20" s="1113" t="s">
        <v>477</v>
      </c>
      <c r="Q20" s="1113" t="s">
        <v>581</v>
      </c>
      <c r="R20" s="1113" t="s">
        <v>280</v>
      </c>
      <c r="S20" s="1113" t="s">
        <v>332</v>
      </c>
      <c r="T20" s="1113" t="s">
        <v>3272</v>
      </c>
      <c r="U20" s="1113" t="s">
        <v>333</v>
      </c>
      <c r="V20" s="1113" t="s">
        <v>361</v>
      </c>
      <c r="W20" s="1113" t="s">
        <v>62</v>
      </c>
      <c r="X20" s="1113" t="s">
        <v>588</v>
      </c>
      <c r="Y20" s="1113" t="s">
        <v>264</v>
      </c>
      <c r="Z20" s="1113" t="s">
        <v>591</v>
      </c>
      <c r="AA20" s="1113" t="s">
        <v>149</v>
      </c>
      <c r="AB20" s="1114" t="s">
        <v>224</v>
      </c>
      <c r="AC20" s="13"/>
    </row>
    <row r="21" spans="1:29" ht="15.75" thickBot="1" x14ac:dyDescent="0.3">
      <c r="A21" s="13"/>
      <c r="B21" s="1115"/>
      <c r="C21" s="1116">
        <v>4.6608050000000002E-4</v>
      </c>
      <c r="D21" s="1116">
        <v>9.4741810000000004E-4</v>
      </c>
      <c r="E21" s="1116">
        <v>1.6857220000000001E-4</v>
      </c>
      <c r="F21" s="1116">
        <v>0</v>
      </c>
      <c r="G21" s="1116">
        <v>4.6608050000000002E-4</v>
      </c>
      <c r="H21" s="1116">
        <v>1.4925290000000001E-4</v>
      </c>
      <c r="I21" s="1116">
        <v>1.148238E-4</v>
      </c>
      <c r="J21" s="1116">
        <v>2.3544589999999999E-4</v>
      </c>
      <c r="K21" s="1116">
        <v>1.2852529999999999E-4</v>
      </c>
      <c r="L21" s="1116">
        <v>8.8731800000000003E-5</v>
      </c>
      <c r="M21" s="13"/>
      <c r="N21" s="13"/>
      <c r="O21" s="1115"/>
      <c r="P21" s="1116">
        <v>1.379439E-4</v>
      </c>
      <c r="Q21" s="1116">
        <v>4.4398300000000001E-4</v>
      </c>
      <c r="R21" s="1116">
        <v>1.998949E-4</v>
      </c>
      <c r="S21" s="1116">
        <v>9.1068400000000004E-4</v>
      </c>
      <c r="T21" s="1116">
        <v>5.6160000000000001E-6</v>
      </c>
      <c r="U21" s="1116">
        <v>0</v>
      </c>
      <c r="V21" s="1116">
        <v>4.4398300000000001E-4</v>
      </c>
      <c r="W21" s="1116">
        <v>1.899635E-4</v>
      </c>
      <c r="X21" s="1116">
        <v>1.379439E-4</v>
      </c>
      <c r="Y21" s="1116">
        <v>1.379439E-4</v>
      </c>
      <c r="Z21" s="1116">
        <v>1.379439E-4</v>
      </c>
      <c r="AA21" s="1116">
        <v>1.3573829999999999E-4</v>
      </c>
      <c r="AB21" s="1116">
        <v>1.811545E-4</v>
      </c>
      <c r="AC21" s="13"/>
    </row>
    <row r="22" spans="1:29" ht="15.75" thickTop="1" x14ac:dyDescent="0.25">
      <c r="A22" s="13"/>
      <c r="B22" s="13"/>
      <c r="C22" s="1117">
        <f>SUM(C6:C17)</f>
        <v>1</v>
      </c>
      <c r="D22" s="1117">
        <f t="shared" ref="D22:AB22" si="0">SUM(D6:D17)</f>
        <v>1.0000000000000002</v>
      </c>
      <c r="E22" s="1117">
        <f t="shared" si="0"/>
        <v>1.0000000000000002</v>
      </c>
      <c r="F22" s="1117">
        <f t="shared" si="0"/>
        <v>1</v>
      </c>
      <c r="G22" s="1117">
        <f t="shared" si="0"/>
        <v>1</v>
      </c>
      <c r="H22" s="1117">
        <f t="shared" si="0"/>
        <v>0.99999999999999989</v>
      </c>
      <c r="I22" s="1117">
        <f t="shared" si="0"/>
        <v>1</v>
      </c>
      <c r="J22" s="1117">
        <f t="shared" si="0"/>
        <v>1</v>
      </c>
      <c r="K22" s="1117">
        <f t="shared" si="0"/>
        <v>1</v>
      </c>
      <c r="L22" s="1117">
        <f t="shared" si="0"/>
        <v>1</v>
      </c>
      <c r="M22" s="1117"/>
      <c r="N22" s="1117"/>
      <c r="O22" s="1117"/>
      <c r="P22" s="1117">
        <f t="shared" si="0"/>
        <v>1.0000000000000002</v>
      </c>
      <c r="Q22" s="1117">
        <f t="shared" si="0"/>
        <v>1</v>
      </c>
      <c r="R22" s="1117">
        <f t="shared" si="0"/>
        <v>0.99999999999999989</v>
      </c>
      <c r="S22" s="1117">
        <f t="shared" si="0"/>
        <v>0.99999999999999989</v>
      </c>
      <c r="T22" s="1117">
        <f t="shared" si="0"/>
        <v>1</v>
      </c>
      <c r="U22" s="1117">
        <f t="shared" si="0"/>
        <v>1.0000000000000002</v>
      </c>
      <c r="V22" s="1117">
        <f t="shared" si="0"/>
        <v>1</v>
      </c>
      <c r="W22" s="1117">
        <f t="shared" si="0"/>
        <v>1</v>
      </c>
      <c r="X22" s="1117">
        <f t="shared" si="0"/>
        <v>1.0000000000000002</v>
      </c>
      <c r="Y22" s="1117">
        <f t="shared" si="0"/>
        <v>1.0000000000000002</v>
      </c>
      <c r="Z22" s="1117">
        <f t="shared" si="0"/>
        <v>1.0000000000000002</v>
      </c>
      <c r="AA22" s="1117">
        <f t="shared" si="0"/>
        <v>1</v>
      </c>
      <c r="AB22" s="1117">
        <f t="shared" si="0"/>
        <v>1</v>
      </c>
      <c r="AC22" s="13"/>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tabSelected="1" zoomScale="70" zoomScaleNormal="70" workbookViewId="0">
      <selection activeCell="B1" sqref="B1"/>
    </sheetView>
  </sheetViews>
  <sheetFormatPr defaultRowHeight="15" x14ac:dyDescent="0.25"/>
  <cols>
    <col min="1" max="1" width="3.42578125" customWidth="1"/>
    <col min="2" max="2" width="20.7109375" style="50" customWidth="1"/>
    <col min="3" max="3" width="14.28515625" style="50" customWidth="1"/>
    <col min="4" max="6" width="20.7109375" style="50" customWidth="1"/>
    <col min="7" max="7" width="96.7109375" style="50" customWidth="1"/>
    <col min="8" max="8" width="3" customWidth="1"/>
  </cols>
  <sheetData>
    <row r="1" spans="2:14" x14ac:dyDescent="0.25">
      <c r="E1" s="2298"/>
      <c r="F1" s="2298"/>
      <c r="G1" s="2299"/>
      <c r="H1" s="2299"/>
    </row>
    <row r="3" spans="2:14" ht="46.5" x14ac:dyDescent="0.7">
      <c r="B3" s="2300" t="s">
        <v>17</v>
      </c>
      <c r="C3" s="2300"/>
      <c r="D3" s="2300"/>
      <c r="E3" s="2300"/>
      <c r="F3" s="2300"/>
      <c r="G3" s="2300"/>
      <c r="H3" s="1"/>
      <c r="I3" s="1"/>
      <c r="J3" s="1"/>
      <c r="K3" s="1"/>
      <c r="L3" s="1"/>
      <c r="M3" s="1"/>
      <c r="N3" s="1"/>
    </row>
    <row r="4" spans="2:14" ht="18.75" customHeight="1" x14ac:dyDescent="0.55000000000000004">
      <c r="B4" s="1319"/>
      <c r="E4" s="1839"/>
      <c r="F4" s="1839"/>
      <c r="G4" s="1840"/>
      <c r="H4" s="1840"/>
    </row>
    <row r="5" spans="2:14" ht="18.75" x14ac:dyDescent="0.25">
      <c r="B5" s="2301" t="s">
        <v>18</v>
      </c>
      <c r="C5" s="2301" t="s">
        <v>19</v>
      </c>
      <c r="D5" s="2305" t="s">
        <v>20</v>
      </c>
      <c r="E5" s="2306"/>
      <c r="F5" s="2307"/>
      <c r="G5" s="2301" t="s">
        <v>21</v>
      </c>
    </row>
    <row r="6" spans="2:14" ht="77.25" customHeight="1" x14ac:dyDescent="0.25">
      <c r="B6" s="2302"/>
      <c r="C6" s="2303"/>
      <c r="D6" s="1129" t="s">
        <v>22</v>
      </c>
      <c r="E6" s="1130" t="s">
        <v>23</v>
      </c>
      <c r="F6" s="1131" t="s">
        <v>24</v>
      </c>
      <c r="G6" s="2303"/>
    </row>
    <row r="7" spans="2:14" x14ac:dyDescent="0.25">
      <c r="B7" s="1132" t="s">
        <v>25</v>
      </c>
      <c r="C7" s="2304"/>
      <c r="D7" s="1133" t="s">
        <v>25</v>
      </c>
      <c r="E7" s="1134" t="s">
        <v>25</v>
      </c>
      <c r="F7" s="1135" t="s">
        <v>25</v>
      </c>
      <c r="G7" s="2304"/>
    </row>
    <row r="8" spans="2:14" ht="35.1" customHeight="1" x14ac:dyDescent="0.25">
      <c r="B8" s="1136">
        <v>1</v>
      </c>
      <c r="C8" s="1137">
        <v>43250</v>
      </c>
      <c r="D8" s="1138">
        <v>1</v>
      </c>
      <c r="E8" s="1138">
        <v>1</v>
      </c>
      <c r="F8" s="1138">
        <v>1</v>
      </c>
      <c r="G8" s="1139" t="s">
        <v>26</v>
      </c>
    </row>
    <row r="9" spans="2:14" ht="47.25" customHeight="1" x14ac:dyDescent="0.25">
      <c r="B9" s="765">
        <v>2</v>
      </c>
      <c r="C9" s="769">
        <v>43465</v>
      </c>
      <c r="D9" s="766">
        <v>1</v>
      </c>
      <c r="E9" s="766">
        <v>1</v>
      </c>
      <c r="F9" s="766">
        <v>2</v>
      </c>
      <c r="G9" s="767" t="s">
        <v>27</v>
      </c>
    </row>
    <row r="10" spans="2:14" ht="41.25" customHeight="1" x14ac:dyDescent="0.25">
      <c r="B10" s="765">
        <v>3</v>
      </c>
      <c r="C10" s="769">
        <v>43831</v>
      </c>
      <c r="D10" s="766">
        <v>1</v>
      </c>
      <c r="E10" s="766">
        <v>1</v>
      </c>
      <c r="F10" s="766">
        <v>3</v>
      </c>
      <c r="G10" s="767" t="s">
        <v>28</v>
      </c>
    </row>
    <row r="11" spans="2:14" ht="35.1" customHeight="1" x14ac:dyDescent="0.25">
      <c r="B11" s="765">
        <v>3.1</v>
      </c>
      <c r="C11" s="769">
        <v>43867</v>
      </c>
      <c r="D11" s="766">
        <v>1</v>
      </c>
      <c r="E11" s="766">
        <v>1</v>
      </c>
      <c r="F11" s="766">
        <v>3</v>
      </c>
      <c r="G11" s="767" t="s">
        <v>29</v>
      </c>
    </row>
    <row r="12" spans="2:14" ht="35.1" customHeight="1" x14ac:dyDescent="0.25">
      <c r="B12" s="765">
        <v>3.2</v>
      </c>
      <c r="C12" s="769">
        <v>44000</v>
      </c>
      <c r="D12" s="766">
        <v>1</v>
      </c>
      <c r="E12" s="766">
        <v>1.1000000000000001</v>
      </c>
      <c r="F12" s="766">
        <v>3</v>
      </c>
      <c r="G12" s="767" t="s">
        <v>30</v>
      </c>
    </row>
    <row r="13" spans="2:14" ht="40.5" customHeight="1" x14ac:dyDescent="0.25">
      <c r="B13" s="765">
        <v>4</v>
      </c>
      <c r="C13" s="769">
        <v>44197</v>
      </c>
      <c r="D13" s="766">
        <v>1</v>
      </c>
      <c r="E13" s="766">
        <v>2</v>
      </c>
      <c r="F13" s="766">
        <v>4</v>
      </c>
      <c r="G13" s="767" t="s">
        <v>31</v>
      </c>
    </row>
    <row r="14" spans="2:14" ht="44.25" customHeight="1" x14ac:dyDescent="0.25">
      <c r="B14" s="765">
        <v>5</v>
      </c>
      <c r="C14" s="769">
        <v>44454</v>
      </c>
      <c r="D14" s="766">
        <v>2</v>
      </c>
      <c r="E14" s="766">
        <v>3</v>
      </c>
      <c r="F14" s="766">
        <v>5</v>
      </c>
      <c r="G14" s="767" t="s">
        <v>32</v>
      </c>
    </row>
    <row r="15" spans="2:14" ht="57.75" customHeight="1" x14ac:dyDescent="0.25">
      <c r="B15" s="765">
        <v>6</v>
      </c>
      <c r="C15" s="769">
        <v>44830</v>
      </c>
      <c r="D15" s="766">
        <v>2</v>
      </c>
      <c r="E15" s="766">
        <v>4</v>
      </c>
      <c r="F15" s="766">
        <v>6</v>
      </c>
      <c r="G15" s="767" t="s">
        <v>33</v>
      </c>
    </row>
    <row r="16" spans="2:14" ht="83.25" customHeight="1" x14ac:dyDescent="0.25">
      <c r="B16" s="765">
        <v>7</v>
      </c>
      <c r="C16" s="769">
        <v>45204</v>
      </c>
      <c r="D16" s="766">
        <v>3</v>
      </c>
      <c r="E16" s="766">
        <v>5</v>
      </c>
      <c r="F16" s="766">
        <v>7</v>
      </c>
      <c r="G16" s="767" t="s">
        <v>34</v>
      </c>
    </row>
    <row r="17" spans="2:7" ht="71.25" customHeight="1" x14ac:dyDescent="0.25">
      <c r="B17" s="765">
        <v>8</v>
      </c>
      <c r="C17" s="769">
        <v>45672</v>
      </c>
      <c r="D17" s="766">
        <v>4</v>
      </c>
      <c r="E17" s="766">
        <v>6</v>
      </c>
      <c r="F17" s="766">
        <v>8</v>
      </c>
      <c r="G17" s="1774" t="s">
        <v>35</v>
      </c>
    </row>
    <row r="18" spans="2:7" ht="78.75" customHeight="1" x14ac:dyDescent="0.25">
      <c r="B18" s="1932">
        <v>9</v>
      </c>
      <c r="C18" s="2210">
        <v>45971</v>
      </c>
      <c r="D18" s="1933">
        <v>4</v>
      </c>
      <c r="E18" s="1933">
        <v>7</v>
      </c>
      <c r="F18" s="1933">
        <v>9</v>
      </c>
      <c r="G18" s="1934" t="s">
        <v>36</v>
      </c>
    </row>
    <row r="19" spans="2:7" ht="35.1" customHeight="1" x14ac:dyDescent="0.25">
      <c r="B19" s="765"/>
      <c r="C19" s="1140"/>
      <c r="D19" s="766"/>
      <c r="E19" s="766"/>
      <c r="F19" s="766"/>
      <c r="G19" s="767"/>
    </row>
    <row r="20" spans="2:7" ht="35.1" customHeight="1" x14ac:dyDescent="0.25">
      <c r="B20" s="765"/>
      <c r="C20" s="1140"/>
      <c r="D20" s="766"/>
      <c r="E20" s="766"/>
      <c r="F20" s="766"/>
      <c r="G20" s="767"/>
    </row>
    <row r="21" spans="2:7" ht="35.1" customHeight="1" x14ac:dyDescent="0.25">
      <c r="B21" s="765"/>
      <c r="C21" s="1140"/>
      <c r="D21" s="766"/>
      <c r="E21" s="766"/>
      <c r="F21" s="766"/>
      <c r="G21" s="767"/>
    </row>
    <row r="22" spans="2:7" ht="35.1" customHeight="1" x14ac:dyDescent="0.25">
      <c r="B22" s="765"/>
      <c r="C22" s="1140"/>
      <c r="D22" s="766"/>
      <c r="E22" s="766"/>
      <c r="F22" s="766"/>
      <c r="G22" s="767"/>
    </row>
    <row r="23" spans="2:7" ht="35.1" customHeight="1" x14ac:dyDescent="0.25">
      <c r="B23" s="765"/>
      <c r="C23" s="1140"/>
      <c r="D23" s="766"/>
      <c r="E23" s="766"/>
      <c r="F23" s="766"/>
      <c r="G23" s="767"/>
    </row>
    <row r="24" spans="2:7" ht="35.1" customHeight="1" x14ac:dyDescent="0.25">
      <c r="B24" s="765"/>
      <c r="C24" s="1140"/>
      <c r="D24" s="766"/>
      <c r="E24" s="766"/>
      <c r="F24" s="766"/>
      <c r="G24" s="767"/>
    </row>
    <row r="25" spans="2:7" ht="35.1" customHeight="1" x14ac:dyDescent="0.25">
      <c r="B25" s="765"/>
      <c r="C25" s="1140"/>
      <c r="D25" s="766"/>
      <c r="E25" s="766"/>
      <c r="F25" s="766"/>
      <c r="G25" s="767"/>
    </row>
    <row r="26" spans="2:7" ht="35.1" customHeight="1" x14ac:dyDescent="0.25">
      <c r="B26" s="765"/>
      <c r="C26" s="1140"/>
      <c r="D26" s="766"/>
      <c r="E26" s="766"/>
      <c r="F26" s="766"/>
      <c r="G26" s="767"/>
    </row>
    <row r="27" spans="2:7" ht="35.1" customHeight="1" x14ac:dyDescent="0.25">
      <c r="B27" s="765"/>
      <c r="C27" s="1140"/>
      <c r="D27" s="766"/>
      <c r="E27" s="766"/>
      <c r="F27" s="766"/>
      <c r="G27" s="767"/>
    </row>
    <row r="28" spans="2:7" ht="35.1" customHeight="1" x14ac:dyDescent="0.25">
      <c r="B28" s="765"/>
      <c r="C28" s="1140"/>
      <c r="D28" s="766"/>
      <c r="E28" s="766"/>
      <c r="F28" s="766"/>
      <c r="G28" s="767"/>
    </row>
    <row r="29" spans="2:7" ht="35.1" customHeight="1" x14ac:dyDescent="0.25">
      <c r="B29" s="765"/>
      <c r="C29" s="1140"/>
      <c r="D29" s="766"/>
      <c r="E29" s="766"/>
      <c r="F29" s="766"/>
      <c r="G29" s="767"/>
    </row>
    <row r="30" spans="2:7" ht="35.1" customHeight="1" x14ac:dyDescent="0.25">
      <c r="B30" s="765"/>
      <c r="C30" s="1140"/>
      <c r="D30" s="766"/>
      <c r="E30" s="766"/>
      <c r="F30" s="766"/>
      <c r="G30" s="767"/>
    </row>
    <row r="31" spans="2:7" ht="35.1" customHeight="1" x14ac:dyDescent="0.25">
      <c r="B31" s="765"/>
      <c r="C31" s="1140"/>
      <c r="D31" s="766"/>
      <c r="E31" s="766"/>
      <c r="F31" s="766"/>
      <c r="G31" s="767"/>
    </row>
    <row r="32" spans="2:7" ht="35.1" customHeight="1" x14ac:dyDescent="0.25">
      <c r="B32" s="765"/>
      <c r="C32" s="1140"/>
      <c r="D32" s="766"/>
      <c r="E32" s="766"/>
      <c r="F32" s="766"/>
      <c r="G32" s="767"/>
    </row>
    <row r="33" spans="2:7" ht="35.1" customHeight="1" x14ac:dyDescent="0.25">
      <c r="B33" s="765"/>
      <c r="C33" s="1140"/>
      <c r="D33" s="766"/>
      <c r="E33" s="766"/>
      <c r="F33" s="766"/>
      <c r="G33" s="767"/>
    </row>
    <row r="34" spans="2:7" ht="35.1" customHeight="1" x14ac:dyDescent="0.25">
      <c r="B34" s="765"/>
      <c r="C34" s="1140"/>
      <c r="D34" s="766"/>
      <c r="E34" s="766"/>
      <c r="F34" s="766"/>
      <c r="G34" s="767"/>
    </row>
    <row r="35" spans="2:7" ht="35.1" customHeight="1" x14ac:dyDescent="0.25">
      <c r="B35" s="765"/>
      <c r="C35" s="1140"/>
      <c r="D35" s="766"/>
      <c r="E35" s="766"/>
      <c r="F35" s="766"/>
      <c r="G35" s="767"/>
    </row>
    <row r="36" spans="2:7" ht="35.1" customHeight="1" x14ac:dyDescent="0.25">
      <c r="B36" s="765"/>
      <c r="C36" s="1140"/>
      <c r="D36" s="766"/>
      <c r="E36" s="766"/>
      <c r="F36" s="766"/>
      <c r="G36" s="767"/>
    </row>
    <row r="37" spans="2:7" ht="35.1" customHeight="1" x14ac:dyDescent="0.25">
      <c r="B37" s="765"/>
      <c r="C37" s="1140"/>
      <c r="D37" s="766"/>
      <c r="E37" s="766"/>
      <c r="F37" s="766"/>
      <c r="G37" s="767"/>
    </row>
    <row r="38" spans="2:7" ht="35.1" customHeight="1" thickBot="1" x14ac:dyDescent="0.3">
      <c r="B38" s="1141"/>
      <c r="C38" s="1142"/>
      <c r="D38" s="1143"/>
      <c r="E38" s="1143"/>
      <c r="F38" s="1143"/>
      <c r="G38" s="1144"/>
    </row>
  </sheetData>
  <mergeCells count="6">
    <mergeCell ref="E1:H1"/>
    <mergeCell ref="B3:G3"/>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DU519"/>
  <sheetViews>
    <sheetView zoomScale="85" zoomScaleNormal="85" workbookViewId="0">
      <selection sqref="A1:Q1"/>
    </sheetView>
  </sheetViews>
  <sheetFormatPr defaultColWidth="9.28515625" defaultRowHeight="15" outlineLevelRow="1" x14ac:dyDescent="0.25"/>
  <cols>
    <col min="1" max="1" width="15.5703125" style="247" customWidth="1"/>
    <col min="2" max="2" width="10.5703125" style="247" customWidth="1"/>
    <col min="3" max="3" width="20.5703125" style="7" customWidth="1"/>
    <col min="4" max="4" width="24.5703125" style="7" customWidth="1"/>
    <col min="5" max="5" width="104.7109375" style="247" customWidth="1"/>
    <col min="6" max="6" width="25.5703125" style="247" customWidth="1"/>
    <col min="7" max="7" width="20.5703125" style="467" customWidth="1"/>
    <col min="8" max="8" width="21.28515625" style="474" customWidth="1"/>
    <col min="9" max="9" width="18.42578125" style="247" customWidth="1"/>
    <col min="10" max="10" width="15.5703125" style="247" customWidth="1"/>
    <col min="11" max="11" width="27.7109375" style="247" customWidth="1"/>
    <col min="12" max="13" width="16.5703125" style="247" customWidth="1"/>
    <col min="14" max="14" width="18.42578125" style="247" customWidth="1"/>
    <col min="15" max="15" width="17.5703125" style="247" customWidth="1"/>
    <col min="16" max="16" width="13.42578125" style="247" customWidth="1"/>
    <col min="17" max="17" width="29.7109375" style="247" customWidth="1"/>
    <col min="18" max="18" width="14.28515625" style="247" customWidth="1"/>
    <col min="19" max="19" width="16.42578125" style="247" customWidth="1"/>
    <col min="20" max="20" width="14.28515625" style="247" customWidth="1"/>
    <col min="21" max="21" width="17.28515625" style="247"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6" style="2" customWidth="1"/>
    <col min="34" max="34" width="9.28515625" style="2" customWidth="1"/>
    <col min="35" max="35" width="41.42578125" style="2" customWidth="1"/>
    <col min="36" max="42" width="18.28515625" style="2" customWidth="1"/>
    <col min="43" max="44" width="13.7109375" style="2" customWidth="1"/>
    <col min="45" max="46" width="18.5703125" style="2" customWidth="1"/>
    <col min="47" max="47" width="9.28515625" style="2" customWidth="1"/>
    <col min="48" max="48" width="38.5703125" style="2" customWidth="1"/>
    <col min="49" max="49" width="17.28515625" style="2" customWidth="1"/>
    <col min="50" max="51" width="16.5703125" style="2" customWidth="1"/>
    <col min="52" max="52" width="15.7109375" style="2" customWidth="1"/>
    <col min="53" max="54" width="17.42578125" style="2" customWidth="1"/>
    <col min="55" max="55" width="17.28515625" style="2" customWidth="1"/>
    <col min="56" max="57" width="13.7109375" style="2" customWidth="1"/>
    <col min="58" max="58" width="17.7109375" style="2" customWidth="1"/>
    <col min="59" max="59" width="18.5703125" style="2" customWidth="1"/>
    <col min="60" max="60" width="14.28515625" style="2" customWidth="1"/>
    <col min="61" max="61" width="29.42578125" style="2" customWidth="1"/>
    <col min="62" max="62" width="17.28515625" style="2" customWidth="1"/>
    <col min="63" max="63" width="18" style="2" customWidth="1"/>
    <col min="64" max="64" width="17.28515625" style="2" customWidth="1"/>
    <col min="65" max="65" width="16.28515625" style="2" customWidth="1"/>
    <col min="66" max="67" width="17.42578125" style="2" customWidth="1"/>
    <col min="68" max="68" width="17.28515625" style="2" customWidth="1"/>
    <col min="69" max="70" width="13.7109375" style="2" customWidth="1"/>
    <col min="71" max="71" width="17.5703125" style="2" customWidth="1"/>
    <col min="72" max="72" width="15.7109375" style="2" customWidth="1"/>
    <col min="73" max="73" width="11.5703125" style="2" customWidth="1"/>
    <col min="74" max="74" width="20.28515625" style="2" customWidth="1"/>
    <col min="75" max="76" width="20" style="2" customWidth="1"/>
    <col min="77" max="77" width="18.28515625" style="2" customWidth="1"/>
    <col min="78" max="78" width="17.28515625" style="2" customWidth="1"/>
    <col min="79" max="79" width="15.7109375" style="2" customWidth="1"/>
    <col min="80" max="81" width="17.42578125" style="2" customWidth="1"/>
    <col min="82" max="82" width="17.28515625" style="2" customWidth="1"/>
    <col min="83" max="83" width="15.28515625" style="2" customWidth="1"/>
    <col min="84" max="84" width="15.5703125" style="2" customWidth="1"/>
    <col min="85" max="85" width="15.42578125" style="2" customWidth="1"/>
    <col min="86" max="86" width="15" style="2" customWidth="1"/>
    <col min="87" max="87" width="21.28515625" style="2" customWidth="1"/>
    <col min="88" max="88" width="11" customWidth="1"/>
    <col min="89" max="90" width="17.28515625" customWidth="1"/>
    <col min="91" max="91" width="16.28515625" customWidth="1"/>
    <col min="92" max="92" width="10.7109375" style="2" customWidth="1"/>
    <col min="93" max="94" width="17.42578125" style="2" customWidth="1"/>
    <col min="95" max="95" width="17.28515625" style="2" customWidth="1"/>
    <col min="96" max="96" width="16.5703125" style="2" customWidth="1"/>
    <col min="97" max="97" width="17.140625" style="2" customWidth="1"/>
    <col min="98" max="98" width="18.28515625" style="2" customWidth="1"/>
    <col min="99" max="99" width="15" style="2" customWidth="1"/>
    <col min="100" max="100" width="23.42578125" style="2" customWidth="1"/>
    <col min="101" max="101" width="16.42578125" style="2" customWidth="1"/>
    <col min="102" max="102" width="10.7109375" style="2" customWidth="1"/>
    <col min="103" max="104" width="16.7109375" style="2" customWidth="1"/>
    <col min="105" max="105" width="15.42578125" customWidth="1"/>
    <col min="106" max="106" width="10" customWidth="1"/>
    <col min="107" max="108" width="16.7109375" customWidth="1"/>
    <col min="109" max="109" width="13.42578125" style="2" customWidth="1"/>
    <col min="110" max="110" width="13.7109375" style="2" customWidth="1"/>
    <col min="111" max="111" width="14.85546875" style="2" customWidth="1"/>
    <col min="112" max="112" width="22.28515625" style="2" customWidth="1"/>
    <col min="113" max="114" width="9.28515625" style="2" customWidth="1"/>
    <col min="115" max="115" width="9.28515625" style="759" customWidth="1"/>
    <col min="116" max="116" width="9.28515625" style="247" customWidth="1"/>
    <col min="117" max="117" width="21.28515625" style="247" customWidth="1"/>
    <col min="118" max="118" width="25.28515625" style="499" bestFit="1" customWidth="1"/>
    <col min="119" max="119" width="18.7109375" style="2" customWidth="1"/>
    <col min="120" max="120" width="17.28515625" style="2" customWidth="1"/>
    <col min="121" max="121" width="17.140625" style="2" bestFit="1" customWidth="1"/>
    <col min="122" max="122" width="16.28515625" style="2" customWidth="1"/>
    <col min="123" max="123" width="13.85546875" style="2" bestFit="1" customWidth="1"/>
    <col min="124" max="124" width="14.85546875" style="2" bestFit="1" customWidth="1"/>
    <col min="125" max="125" width="15" style="2" bestFit="1" customWidth="1"/>
    <col min="126" max="16384" width="9.28515625" style="2"/>
  </cols>
  <sheetData>
    <row r="1" spans="1:118" ht="15.75" x14ac:dyDescent="0.25">
      <c r="A1" s="2330" t="s">
        <v>37</v>
      </c>
      <c r="B1" s="2330"/>
      <c r="C1" s="2330"/>
      <c r="D1" s="2330"/>
      <c r="E1" s="2330"/>
      <c r="F1" s="2330"/>
      <c r="G1" s="2330"/>
      <c r="H1" s="2330"/>
      <c r="I1" s="2330"/>
      <c r="J1" s="2330"/>
      <c r="K1" s="2330"/>
      <c r="L1" s="2330"/>
      <c r="M1" s="2330"/>
      <c r="N1" s="2330"/>
      <c r="O1" s="2330"/>
      <c r="P1" s="2330"/>
      <c r="Q1" s="2330"/>
      <c r="V1" s="247"/>
      <c r="W1" s="247"/>
      <c r="X1" s="247"/>
      <c r="Y1" s="247"/>
      <c r="Z1" s="247"/>
      <c r="AA1" s="247"/>
      <c r="AB1" s="247"/>
      <c r="AC1" s="247"/>
      <c r="AD1" s="247"/>
      <c r="AE1" s="247"/>
      <c r="AF1" s="247"/>
      <c r="AG1" s="247"/>
      <c r="AH1" s="247"/>
      <c r="DK1" s="247"/>
      <c r="DN1" s="247"/>
    </row>
    <row r="2" spans="1:118" ht="8.25" customHeight="1" x14ac:dyDescent="0.25">
      <c r="A2" s="476"/>
      <c r="C2" s="59"/>
      <c r="D2" s="59"/>
      <c r="E2" s="59"/>
      <c r="F2" s="50"/>
      <c r="G2" s="50"/>
      <c r="H2" s="50"/>
      <c r="I2" s="50"/>
      <c r="J2" s="50"/>
      <c r="K2" s="50"/>
      <c r="L2" s="50"/>
      <c r="M2" s="50"/>
      <c r="N2" s="50"/>
      <c r="O2" s="50"/>
      <c r="P2" s="50"/>
      <c r="Q2" s="50"/>
      <c r="V2" s="247"/>
      <c r="W2" s="247"/>
      <c r="X2" s="247"/>
      <c r="Y2" s="247"/>
      <c r="Z2" s="247"/>
      <c r="AA2" s="247"/>
      <c r="AB2" s="247"/>
      <c r="AC2" s="247"/>
      <c r="AD2" s="247"/>
      <c r="AE2" s="247"/>
      <c r="AF2" s="247"/>
      <c r="AG2" s="247"/>
      <c r="AH2" s="247"/>
      <c r="CJ2" s="2"/>
      <c r="CK2" s="2"/>
      <c r="CL2" s="2"/>
      <c r="CM2" s="2"/>
      <c r="DA2" s="2"/>
      <c r="DB2" s="2"/>
      <c r="DC2" s="2"/>
      <c r="DD2" s="2"/>
      <c r="DK2" s="247"/>
      <c r="DN2" s="247"/>
    </row>
    <row r="3" spans="1:118" ht="75" customHeight="1" x14ac:dyDescent="0.35">
      <c r="B3" s="435"/>
      <c r="C3" s="450"/>
      <c r="E3" s="2321" t="s">
        <v>38</v>
      </c>
      <c r="F3" s="2322"/>
      <c r="G3" s="2322"/>
      <c r="H3" s="2323" t="s">
        <v>39</v>
      </c>
      <c r="I3" s="2323"/>
      <c r="J3" s="2323"/>
      <c r="K3" s="246"/>
      <c r="L3" s="246"/>
      <c r="V3" s="247"/>
      <c r="W3" s="247"/>
      <c r="X3" s="247"/>
      <c r="Y3" s="247"/>
      <c r="Z3" s="247"/>
      <c r="AA3" s="247"/>
      <c r="AB3" s="247"/>
      <c r="AC3" s="247"/>
      <c r="AD3" s="247"/>
      <c r="AE3" s="247"/>
      <c r="AF3" s="247"/>
      <c r="AG3" s="247"/>
      <c r="AH3" s="247"/>
      <c r="DK3" s="247"/>
      <c r="DN3" s="247"/>
    </row>
    <row r="4" spans="1:118" ht="21" outlineLevel="1" x14ac:dyDescent="0.35">
      <c r="B4" s="435"/>
      <c r="C4" s="744"/>
      <c r="D4" s="2324" t="s">
        <v>40</v>
      </c>
      <c r="E4" s="2324"/>
      <c r="F4" s="2324"/>
      <c r="G4" s="2324"/>
      <c r="H4" s="2324"/>
      <c r="I4" s="2324"/>
      <c r="J4" s="2324"/>
      <c r="K4" s="246"/>
      <c r="L4" s="246"/>
      <c r="V4" s="247"/>
      <c r="W4" s="247"/>
      <c r="X4" s="247"/>
      <c r="Y4" s="247"/>
      <c r="Z4" s="247"/>
      <c r="AA4" s="247"/>
      <c r="AB4" s="247"/>
      <c r="AC4" s="247"/>
      <c r="AD4" s="247"/>
      <c r="AE4" s="247"/>
      <c r="AF4" s="247"/>
      <c r="AG4" s="247"/>
      <c r="AH4" s="247"/>
      <c r="DK4" s="247"/>
      <c r="DN4" s="247"/>
    </row>
    <row r="5" spans="1:118" s="6" customFormat="1" ht="23.25" customHeight="1" x14ac:dyDescent="0.35">
      <c r="A5" s="64"/>
      <c r="B5" s="435" t="s">
        <v>41</v>
      </c>
      <c r="C5" s="450"/>
      <c r="D5" s="436"/>
      <c r="E5" s="437"/>
      <c r="F5" s="437"/>
      <c r="G5" s="437"/>
      <c r="H5" s="438"/>
      <c r="I5" s="107"/>
      <c r="J5" s="107"/>
      <c r="K5" s="107"/>
      <c r="L5" s="64"/>
      <c r="M5" s="64"/>
      <c r="N5" s="64"/>
      <c r="O5" s="64"/>
      <c r="P5" s="64"/>
      <c r="Q5" s="64"/>
      <c r="R5" s="64"/>
      <c r="S5" s="64"/>
      <c r="T5" s="64"/>
      <c r="U5" s="64"/>
      <c r="V5" s="2"/>
      <c r="W5" s="2"/>
      <c r="X5" s="2"/>
      <c r="Y5" s="2"/>
      <c r="Z5" s="2"/>
      <c r="AA5" s="2"/>
      <c r="AB5" s="2"/>
      <c r="AC5" s="2"/>
      <c r="AD5" s="2"/>
      <c r="AE5" s="2"/>
      <c r="AF5" s="2"/>
      <c r="AG5" s="2"/>
      <c r="AH5" s="2"/>
      <c r="AI5" s="2"/>
      <c r="AJ5" s="2"/>
      <c r="AK5" s="2"/>
      <c r="AL5" s="2"/>
      <c r="AM5" s="2"/>
      <c r="AN5" s="2"/>
      <c r="AO5" s="2"/>
      <c r="AP5" s="2"/>
      <c r="AQ5" s="2"/>
      <c r="AR5" s="2"/>
      <c r="AS5" s="2"/>
      <c r="AT5" s="2"/>
      <c r="AU5" s="2"/>
      <c r="AV5" s="2"/>
      <c r="BG5" s="2"/>
      <c r="DI5" s="2"/>
      <c r="DJ5" s="2"/>
      <c r="DK5" s="247"/>
      <c r="DL5" s="247"/>
      <c r="DM5" s="247"/>
      <c r="DN5" s="247"/>
    </row>
    <row r="6" spans="1:118" s="7" customFormat="1" x14ac:dyDescent="0.25">
      <c r="B6" s="2325" t="s">
        <v>42</v>
      </c>
      <c r="C6" s="2326"/>
      <c r="D6" s="2326"/>
      <c r="E6" s="2326"/>
      <c r="F6" s="2326"/>
      <c r="G6" s="2326"/>
      <c r="H6" s="2326"/>
      <c r="I6" s="2327"/>
      <c r="J6" s="2327"/>
      <c r="K6" s="2327"/>
      <c r="L6" s="2327"/>
      <c r="M6" s="2328"/>
      <c r="N6" s="2328"/>
      <c r="O6" s="2329"/>
      <c r="V6" s="1234" t="str">
        <f>B6</f>
        <v>Lighting (Only avaialble for Income Eligible &amp; BSS)</v>
      </c>
      <c r="W6" s="1235"/>
      <c r="X6" s="1235"/>
      <c r="Y6" s="1235"/>
      <c r="Z6" s="1235"/>
      <c r="AA6" s="1235"/>
      <c r="AB6" s="1235"/>
      <c r="AC6" s="1235"/>
      <c r="AD6" s="1235"/>
      <c r="AE6" s="1235"/>
      <c r="AF6" s="1235"/>
      <c r="AG6" s="1235"/>
      <c r="AH6" s="1235"/>
      <c r="AI6" s="1269"/>
      <c r="AJ6" s="2"/>
      <c r="AK6" s="2"/>
      <c r="AL6" s="2"/>
      <c r="AM6" s="2"/>
      <c r="AN6" s="2"/>
      <c r="AO6" s="2"/>
      <c r="AP6" s="2"/>
      <c r="AQ6" s="2"/>
      <c r="AR6" s="2"/>
      <c r="AS6" s="2"/>
      <c r="AT6" s="2"/>
      <c r="AU6" s="2"/>
      <c r="AV6" s="2"/>
      <c r="BG6" s="2"/>
      <c r="CN6" s="6"/>
      <c r="DI6" s="2"/>
      <c r="DJ6" s="2"/>
      <c r="DK6" s="247"/>
      <c r="DL6" s="247"/>
      <c r="DM6" s="247"/>
      <c r="DN6" s="247"/>
    </row>
    <row r="7" spans="1:118" x14ac:dyDescent="0.25">
      <c r="D7" s="439"/>
      <c r="E7" s="7"/>
      <c r="F7" s="7"/>
      <c r="G7" s="7"/>
      <c r="H7" s="440"/>
      <c r="I7" s="7"/>
      <c r="J7" s="7"/>
      <c r="K7" s="7"/>
      <c r="L7" s="7"/>
      <c r="P7" s="7"/>
      <c r="Q7" s="7"/>
      <c r="R7" s="7"/>
      <c r="S7" s="7"/>
      <c r="T7" s="7"/>
      <c r="U7" s="7"/>
      <c r="V7"/>
      <c r="W7"/>
      <c r="X7"/>
      <c r="Y7"/>
      <c r="Z7"/>
      <c r="AA7"/>
      <c r="AB7"/>
      <c r="AC7"/>
      <c r="AD7"/>
      <c r="AE7"/>
      <c r="AF7"/>
      <c r="AG7"/>
      <c r="AH7"/>
      <c r="AI7"/>
      <c r="AJ7" s="6"/>
      <c r="AK7" s="6"/>
      <c r="AL7" s="6"/>
      <c r="AM7" s="6"/>
      <c r="AN7" s="6"/>
      <c r="AO7" s="6"/>
      <c r="AP7" s="6"/>
      <c r="AQ7" s="6"/>
      <c r="AR7" s="6"/>
      <c r="AS7" s="6"/>
      <c r="AT7" s="6"/>
      <c r="AU7" s="6"/>
      <c r="AV7" s="6"/>
      <c r="BG7" s="6"/>
      <c r="CD7" s="7"/>
      <c r="CJ7" s="2"/>
      <c r="CK7" s="2"/>
      <c r="CL7" s="2"/>
      <c r="CM7" s="2"/>
      <c r="DA7" s="2"/>
      <c r="DB7" s="2"/>
      <c r="DC7" s="2"/>
      <c r="DD7" s="2"/>
      <c r="DK7" s="990"/>
      <c r="DL7" s="64"/>
      <c r="DM7" s="64"/>
      <c r="DN7" s="2031"/>
    </row>
    <row r="8" spans="1:118" s="8" customFormat="1" ht="30" x14ac:dyDescent="0.25">
      <c r="A8" s="115"/>
      <c r="B8" s="64"/>
      <c r="C8" s="9" t="s">
        <v>43</v>
      </c>
      <c r="D8" s="1301" t="s">
        <v>44</v>
      </c>
      <c r="E8" s="1301" t="s">
        <v>45</v>
      </c>
      <c r="F8" s="1301" t="s">
        <v>46</v>
      </c>
      <c r="G8" s="1301" t="s">
        <v>47</v>
      </c>
      <c r="H8" s="10" t="s">
        <v>48</v>
      </c>
      <c r="I8" s="1301" t="s">
        <v>49</v>
      </c>
      <c r="J8" s="669" t="s">
        <v>50</v>
      </c>
      <c r="K8" s="11" t="s">
        <v>51</v>
      </c>
      <c r="L8" s="9" t="s">
        <v>52</v>
      </c>
      <c r="M8" s="247"/>
      <c r="N8" s="247"/>
      <c r="O8" s="247"/>
      <c r="P8" s="115"/>
      <c r="Q8" s="115"/>
      <c r="R8" s="115"/>
      <c r="S8" s="115"/>
      <c r="T8" s="115"/>
      <c r="U8" s="115"/>
      <c r="V8" s="636" t="s">
        <v>53</v>
      </c>
      <c r="W8" s="637">
        <v>43252</v>
      </c>
      <c r="X8" s="637">
        <v>43465</v>
      </c>
      <c r="Y8" s="637">
        <v>43800</v>
      </c>
      <c r="Z8" s="637">
        <v>43862</v>
      </c>
      <c r="AA8" s="637">
        <v>44013</v>
      </c>
      <c r="AB8" s="637">
        <v>44166</v>
      </c>
      <c r="AC8" s="637">
        <v>44531</v>
      </c>
      <c r="AD8" s="637">
        <v>44774</v>
      </c>
      <c r="AE8" s="637">
        <v>45142</v>
      </c>
      <c r="AF8" s="637">
        <f>'Deemed Savings Tbl Revision Log'!C17</f>
        <v>45672</v>
      </c>
      <c r="AG8" s="637">
        <f>'Deemed Savings Tbl Revision Log'!C18</f>
        <v>45971</v>
      </c>
      <c r="AH8"/>
      <c r="AI8" s="636" t="s">
        <v>53</v>
      </c>
      <c r="AJ8" s="637">
        <f>W8</f>
        <v>43252</v>
      </c>
      <c r="AK8" s="637">
        <f t="shared" ref="AK8:AT8" si="0">X8</f>
        <v>43465</v>
      </c>
      <c r="AL8" s="637">
        <f t="shared" si="0"/>
        <v>43800</v>
      </c>
      <c r="AM8" s="637">
        <f t="shared" si="0"/>
        <v>43862</v>
      </c>
      <c r="AN8" s="637">
        <f t="shared" si="0"/>
        <v>44013</v>
      </c>
      <c r="AO8" s="637">
        <f t="shared" si="0"/>
        <v>44166</v>
      </c>
      <c r="AP8" s="637">
        <f t="shared" si="0"/>
        <v>44531</v>
      </c>
      <c r="AQ8" s="637">
        <f t="shared" si="0"/>
        <v>44774</v>
      </c>
      <c r="AR8" s="637">
        <f t="shared" si="0"/>
        <v>45142</v>
      </c>
      <c r="AS8" s="637">
        <f t="shared" si="0"/>
        <v>45672</v>
      </c>
      <c r="AT8" s="637">
        <f t="shared" si="0"/>
        <v>45971</v>
      </c>
      <c r="AU8" s="2"/>
      <c r="AV8" s="636" t="s">
        <v>53</v>
      </c>
      <c r="AW8" s="637">
        <f t="shared" ref="AW8:BF8" si="1">W8</f>
        <v>43252</v>
      </c>
      <c r="AX8" s="637">
        <f t="shared" si="1"/>
        <v>43465</v>
      </c>
      <c r="AY8" s="637">
        <f t="shared" si="1"/>
        <v>43800</v>
      </c>
      <c r="AZ8" s="637">
        <f t="shared" si="1"/>
        <v>43862</v>
      </c>
      <c r="BA8" s="637">
        <f t="shared" si="1"/>
        <v>44013</v>
      </c>
      <c r="BB8" s="637">
        <f t="shared" si="1"/>
        <v>44166</v>
      </c>
      <c r="BC8" s="637">
        <f t="shared" si="1"/>
        <v>44531</v>
      </c>
      <c r="BD8" s="637">
        <f t="shared" si="1"/>
        <v>44774</v>
      </c>
      <c r="BE8" s="637">
        <f t="shared" si="1"/>
        <v>45142</v>
      </c>
      <c r="BF8" s="637">
        <f t="shared" si="1"/>
        <v>45672</v>
      </c>
      <c r="BG8" s="637">
        <f t="shared" ref="BG8" si="2">AT8</f>
        <v>45971</v>
      </c>
      <c r="BI8" s="2"/>
      <c r="BJ8" s="2"/>
      <c r="BK8" s="2"/>
      <c r="BL8" s="2"/>
      <c r="BM8" s="2"/>
      <c r="BN8" s="2"/>
      <c r="BO8" s="2"/>
      <c r="BP8" s="2"/>
      <c r="BQ8" s="2"/>
      <c r="BR8" s="2"/>
      <c r="BS8" s="2"/>
      <c r="BT8" s="2"/>
      <c r="BU8" s="2"/>
      <c r="BV8" s="2"/>
      <c r="BW8" s="2"/>
      <c r="BX8" s="2"/>
      <c r="BY8" s="2"/>
      <c r="BZ8" s="2"/>
      <c r="CA8" s="2"/>
      <c r="CB8" s="2"/>
      <c r="CC8" s="2"/>
      <c r="CD8" s="7"/>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991" t="s">
        <v>54</v>
      </c>
      <c r="DL8" s="12" t="s">
        <v>55</v>
      </c>
      <c r="DM8" s="992" t="s">
        <v>56</v>
      </c>
      <c r="DN8" s="2032" t="s">
        <v>57</v>
      </c>
    </row>
    <row r="9" spans="1:118" x14ac:dyDescent="0.25">
      <c r="A9" s="2006" t="s">
        <v>58</v>
      </c>
      <c r="B9" s="247">
        <f>VALUE(LEFT(C9,6))</f>
        <v>800050</v>
      </c>
      <c r="C9" s="656" t="s">
        <v>59</v>
      </c>
      <c r="D9" s="1972" t="s">
        <v>60</v>
      </c>
      <c r="E9" s="1765" t="s">
        <v>61</v>
      </c>
      <c r="F9" s="55">
        <f>ROUND((F39-G39)/1000*H39*I39*K39*M39,2)</f>
        <v>20.75</v>
      </c>
      <c r="G9" s="441" t="s">
        <v>62</v>
      </c>
      <c r="H9" s="442">
        <f>VLOOKUP(G9,'CP FACTORS'!$A$26:$B$38,2,FALSE)</f>
        <v>1.899635E-4</v>
      </c>
      <c r="I9" s="486">
        <f t="shared" ref="I9:I19" si="3">ROUND(H9*F9*J39,6)</f>
        <v>4.0679999999999996E-3</v>
      </c>
      <c r="J9" s="19">
        <f t="shared" ref="J9:J16" si="4">L39</f>
        <v>10</v>
      </c>
      <c r="K9" s="667">
        <v>3.26</v>
      </c>
      <c r="L9" s="668" t="s">
        <v>63</v>
      </c>
      <c r="M9" s="444"/>
      <c r="P9" s="445"/>
      <c r="Q9" s="446"/>
      <c r="R9" s="447"/>
      <c r="S9" s="447"/>
      <c r="T9" s="448"/>
      <c r="V9" s="1311" t="s">
        <v>46</v>
      </c>
      <c r="W9" s="52">
        <v>87.483200000000011</v>
      </c>
      <c r="X9" s="638">
        <v>88.562211839999989</v>
      </c>
      <c r="Y9" s="52">
        <v>88.56</v>
      </c>
      <c r="Z9" s="53">
        <v>88.56</v>
      </c>
      <c r="AA9" s="53">
        <v>88.56</v>
      </c>
      <c r="AB9" s="52">
        <v>173.16</v>
      </c>
      <c r="AC9" s="776">
        <v>127.59</v>
      </c>
      <c r="AD9" s="940">
        <v>81.459999999999994</v>
      </c>
      <c r="AE9" s="56">
        <v>21.94</v>
      </c>
      <c r="AF9" s="253">
        <v>20.75</v>
      </c>
      <c r="AG9" s="253">
        <v>20.75</v>
      </c>
      <c r="AH9"/>
      <c r="AI9" s="1311" t="s">
        <v>50</v>
      </c>
      <c r="AJ9" s="19">
        <v>21</v>
      </c>
      <c r="AK9" s="19">
        <v>21</v>
      </c>
      <c r="AL9" s="19">
        <v>21</v>
      </c>
      <c r="AM9" s="19">
        <v>21</v>
      </c>
      <c r="AN9" s="19">
        <v>21</v>
      </c>
      <c r="AO9" s="671">
        <v>17</v>
      </c>
      <c r="AP9" s="229">
        <v>10</v>
      </c>
      <c r="AQ9" s="687">
        <v>10</v>
      </c>
      <c r="AR9" s="19">
        <v>10</v>
      </c>
      <c r="AS9" s="19">
        <v>10</v>
      </c>
      <c r="AT9" s="19">
        <v>10</v>
      </c>
      <c r="AV9" s="1311" t="s">
        <v>51</v>
      </c>
      <c r="AW9" s="672">
        <v>15.64</v>
      </c>
      <c r="AX9" s="672">
        <v>15.64</v>
      </c>
      <c r="AY9" s="672">
        <v>15.64</v>
      </c>
      <c r="AZ9" s="672">
        <v>15.64</v>
      </c>
      <c r="BA9" s="672">
        <v>15.64</v>
      </c>
      <c r="BB9" s="657">
        <v>15.64</v>
      </c>
      <c r="BC9" s="657">
        <v>15.64</v>
      </c>
      <c r="BD9" s="545">
        <v>15.64</v>
      </c>
      <c r="BE9" s="667">
        <v>15.64</v>
      </c>
      <c r="BF9" s="667">
        <v>15.64</v>
      </c>
      <c r="BG9" s="667">
        <v>15.64</v>
      </c>
      <c r="CJ9" s="2"/>
      <c r="CK9" s="2"/>
      <c r="CL9" s="2"/>
      <c r="CM9" s="2"/>
      <c r="DA9" s="2"/>
      <c r="DB9" s="2"/>
      <c r="DC9" s="2"/>
      <c r="DD9" s="2"/>
      <c r="DK9" s="993">
        <f>(DM9)/(DN9)</f>
        <v>3.6574447966762897</v>
      </c>
      <c r="DL9" s="1272" t="str">
        <f t="shared" ref="DL9:DL24" si="5">CONCATENATE(G9," ",J9," Year EUL")</f>
        <v>Lighting BUS 10 Year EUL</v>
      </c>
      <c r="DM9" s="932">
        <f>(INDEX('Avoided Cost Benefits'!$B$4:$B$865,MATCH(DL9,'Avoided Cost Benefits'!$A$4:$A$865,0)))*F9</f>
        <v>11.923270037164704</v>
      </c>
      <c r="DN9" s="2033">
        <f t="shared" ref="DN9:DN23" si="6">IFERROR(K9/((1+DiscountRate)^(CurrentYear-DiscountYear)),0)</f>
        <v>3.26</v>
      </c>
    </row>
    <row r="10" spans="1:118" x14ac:dyDescent="0.25">
      <c r="A10" s="2006" t="s">
        <v>58</v>
      </c>
      <c r="B10" s="247">
        <f t="shared" ref="B10:B24" si="7">VALUE(LEFT(C10,6))</f>
        <v>800100</v>
      </c>
      <c r="C10" s="656" t="s">
        <v>64</v>
      </c>
      <c r="D10" s="1972" t="s">
        <v>60</v>
      </c>
      <c r="E10" s="1765" t="s">
        <v>65</v>
      </c>
      <c r="F10" s="55">
        <f>ROUND((F40-G40)/1000*H40*I40*K40*M40,2)</f>
        <v>77.77</v>
      </c>
      <c r="G10" s="441" t="s">
        <v>62</v>
      </c>
      <c r="H10" s="442">
        <f>VLOOKUP(G10,'CP FACTORS'!$A$26:$B$38,2,FALSE)</f>
        <v>1.899635E-4</v>
      </c>
      <c r="I10" s="486">
        <f t="shared" si="3"/>
        <v>1.5245999999999999E-2</v>
      </c>
      <c r="J10" s="19">
        <f t="shared" si="4"/>
        <v>10</v>
      </c>
      <c r="K10" s="667">
        <v>3.26</v>
      </c>
      <c r="L10" s="668" t="s">
        <v>63</v>
      </c>
      <c r="M10" s="444"/>
      <c r="P10" s="445"/>
      <c r="Q10" s="446"/>
      <c r="R10" s="447"/>
      <c r="S10" s="447"/>
      <c r="T10" s="448"/>
      <c r="V10" s="1311" t="s">
        <v>46</v>
      </c>
      <c r="W10" s="52">
        <v>153.09560000000002</v>
      </c>
      <c r="X10" s="53">
        <v>153.09560000000002</v>
      </c>
      <c r="Y10" s="52">
        <v>153.09560000000002</v>
      </c>
      <c r="Z10" s="53">
        <v>153.09560000000002</v>
      </c>
      <c r="AA10" s="53">
        <v>153.09560000000002</v>
      </c>
      <c r="AB10" s="52">
        <v>132.04</v>
      </c>
      <c r="AC10" s="941">
        <v>122.43</v>
      </c>
      <c r="AD10" s="940">
        <v>131.63</v>
      </c>
      <c r="AE10" s="56">
        <v>63.06</v>
      </c>
      <c r="AF10" s="253">
        <v>77.77</v>
      </c>
      <c r="AG10" s="253">
        <v>77.77</v>
      </c>
      <c r="AH10"/>
      <c r="AI10" s="1311" t="s">
        <v>50</v>
      </c>
      <c r="AJ10" s="19">
        <v>17</v>
      </c>
      <c r="AK10" s="19">
        <v>17</v>
      </c>
      <c r="AL10" s="19">
        <v>17</v>
      </c>
      <c r="AM10" s="19">
        <v>17</v>
      </c>
      <c r="AN10" s="19">
        <v>17</v>
      </c>
      <c r="AO10" s="671">
        <v>17</v>
      </c>
      <c r="AP10" s="229">
        <v>10</v>
      </c>
      <c r="AQ10" s="687">
        <v>10</v>
      </c>
      <c r="AR10" s="19">
        <v>10</v>
      </c>
      <c r="AS10" s="19">
        <v>10</v>
      </c>
      <c r="AT10" s="19">
        <v>10</v>
      </c>
      <c r="AV10" s="1311" t="s">
        <v>51</v>
      </c>
      <c r="AW10" s="672">
        <v>19.64</v>
      </c>
      <c r="AX10" s="672">
        <v>19.64</v>
      </c>
      <c r="AY10" s="672">
        <v>19.64</v>
      </c>
      <c r="AZ10" s="672">
        <v>19.64</v>
      </c>
      <c r="BA10" s="672">
        <v>19.64</v>
      </c>
      <c r="BB10" s="657">
        <v>19.64</v>
      </c>
      <c r="BC10" s="657">
        <v>19.64</v>
      </c>
      <c r="BD10" s="545">
        <v>19.64</v>
      </c>
      <c r="BE10" s="667">
        <v>19.64</v>
      </c>
      <c r="BF10" s="667">
        <v>19.64</v>
      </c>
      <c r="BG10" s="667">
        <v>19.64</v>
      </c>
      <c r="DK10" s="994">
        <f t="shared" ref="DK10:DK24" si="8">(DM10)/(DN10)</f>
        <v>13.707926835542892</v>
      </c>
      <c r="DL10" s="641" t="str">
        <f t="shared" si="5"/>
        <v>Lighting BUS 10 Year EUL</v>
      </c>
      <c r="DM10" s="764">
        <f>(INDEX('Avoided Cost Benefits'!$B$4:$B$865,MATCH(DL10,'Avoided Cost Benefits'!$A$4:$A$865,0)))*F10</f>
        <v>44.687841483869825</v>
      </c>
      <c r="DN10" s="1928">
        <f t="shared" si="6"/>
        <v>3.26</v>
      </c>
    </row>
    <row r="11" spans="1:118" ht="15.75" customHeight="1" x14ac:dyDescent="0.25">
      <c r="A11" s="2006" t="s">
        <v>58</v>
      </c>
      <c r="B11" s="247">
        <f t="shared" si="7"/>
        <v>800150</v>
      </c>
      <c r="C11" s="656" t="s">
        <v>66</v>
      </c>
      <c r="D11" s="1972" t="s">
        <v>60</v>
      </c>
      <c r="E11" s="1765" t="s">
        <v>67</v>
      </c>
      <c r="F11" s="55">
        <f>ROUND((F41-G41)/1000*H41*I41*K41*M41,2)</f>
        <v>27.67</v>
      </c>
      <c r="G11" s="441" t="s">
        <v>62</v>
      </c>
      <c r="H11" s="442">
        <f>VLOOKUP(G11,'CP FACTORS'!$A$26:$B$38,2,FALSE)</f>
        <v>1.899635E-4</v>
      </c>
      <c r="I11" s="486">
        <f t="shared" si="3"/>
        <v>5.424E-3</v>
      </c>
      <c r="J11" s="19">
        <f t="shared" si="4"/>
        <v>10</v>
      </c>
      <c r="K11" s="667">
        <v>3.26</v>
      </c>
      <c r="L11" s="668" t="s">
        <v>63</v>
      </c>
      <c r="M11" s="444"/>
      <c r="P11" s="445"/>
      <c r="Q11" s="446"/>
      <c r="R11" s="447"/>
      <c r="S11" s="447"/>
      <c r="T11" s="448"/>
      <c r="V11" s="1311" t="s">
        <v>46</v>
      </c>
      <c r="W11" s="52">
        <v>201.52379999999999</v>
      </c>
      <c r="X11" s="638">
        <v>203.76008631000005</v>
      </c>
      <c r="Y11" s="52">
        <v>203.76008631000005</v>
      </c>
      <c r="Z11" s="53">
        <v>203.76008631000005</v>
      </c>
      <c r="AA11" s="53">
        <v>203.76008631000005</v>
      </c>
      <c r="AB11" s="52">
        <v>161.96</v>
      </c>
      <c r="AC11" s="941">
        <v>149.49</v>
      </c>
      <c r="AD11" s="940">
        <v>232.49</v>
      </c>
      <c r="AE11" s="56">
        <v>28.31</v>
      </c>
      <c r="AF11" s="253">
        <v>27.67</v>
      </c>
      <c r="AG11" s="253">
        <v>27.67</v>
      </c>
      <c r="AH11"/>
      <c r="AI11" s="1311" t="s">
        <v>50</v>
      </c>
      <c r="AJ11" s="19">
        <v>14</v>
      </c>
      <c r="AK11" s="19">
        <v>14</v>
      </c>
      <c r="AL11" s="19">
        <v>14</v>
      </c>
      <c r="AM11" s="19">
        <v>14</v>
      </c>
      <c r="AN11" s="19">
        <v>14</v>
      </c>
      <c r="AO11" s="671">
        <v>11</v>
      </c>
      <c r="AP11" s="229">
        <v>10</v>
      </c>
      <c r="AQ11" s="687">
        <v>10</v>
      </c>
      <c r="AR11" s="19">
        <v>10</v>
      </c>
      <c r="AS11" s="19">
        <v>10</v>
      </c>
      <c r="AT11" s="19">
        <v>10</v>
      </c>
      <c r="AV11" s="1311" t="s">
        <v>51</v>
      </c>
      <c r="AW11" s="672">
        <v>48.27</v>
      </c>
      <c r="AX11" s="672">
        <v>48.27</v>
      </c>
      <c r="AY11" s="672">
        <v>48.27</v>
      </c>
      <c r="AZ11" s="672">
        <v>48.27</v>
      </c>
      <c r="BA11" s="672">
        <v>48.27</v>
      </c>
      <c r="BB11" s="657">
        <v>48.27</v>
      </c>
      <c r="BC11" s="657">
        <v>48.27</v>
      </c>
      <c r="BD11" s="545">
        <v>48.27</v>
      </c>
      <c r="BE11" s="667">
        <v>48.27</v>
      </c>
      <c r="BF11" s="667">
        <v>48.27</v>
      </c>
      <c r="BG11" s="667">
        <v>48.27</v>
      </c>
      <c r="DK11" s="994">
        <f t="shared" si="8"/>
        <v>4.8771806035678527</v>
      </c>
      <c r="DL11" s="641" t="str">
        <f t="shared" si="5"/>
        <v>Lighting BUS 10 Year EUL</v>
      </c>
      <c r="DM11" s="764">
        <f>(INDEX('Avoided Cost Benefits'!$B$4:$B$865,MATCH(DL11,'Avoided Cost Benefits'!$A$4:$A$865,0)))*F11</f>
        <v>15.899608767631198</v>
      </c>
      <c r="DN11" s="1928">
        <f t="shared" si="6"/>
        <v>3.26</v>
      </c>
    </row>
    <row r="12" spans="1:118" x14ac:dyDescent="0.25">
      <c r="A12" s="2006" t="s">
        <v>58</v>
      </c>
      <c r="B12" s="247">
        <f t="shared" si="7"/>
        <v>800200</v>
      </c>
      <c r="C12" s="656" t="s">
        <v>68</v>
      </c>
      <c r="D12" s="1972" t="s">
        <v>60</v>
      </c>
      <c r="E12" s="1765" t="s">
        <v>69</v>
      </c>
      <c r="F12" s="55">
        <f>ROUND((F42-G42)/1000*H42*I42*K42*M42,2)</f>
        <v>175.07</v>
      </c>
      <c r="G12" s="441" t="s">
        <v>62</v>
      </c>
      <c r="H12" s="442">
        <f>VLOOKUP(G12,'CP FACTORS'!$A$26:$B$38,2,FALSE)</f>
        <v>1.899635E-4</v>
      </c>
      <c r="I12" s="486">
        <f t="shared" si="3"/>
        <v>3.4320999999999997E-2</v>
      </c>
      <c r="J12" s="19">
        <f t="shared" si="4"/>
        <v>10</v>
      </c>
      <c r="K12" s="667">
        <v>3.26</v>
      </c>
      <c r="L12" s="668" t="s">
        <v>63</v>
      </c>
      <c r="M12" s="444"/>
      <c r="P12" s="445"/>
      <c r="Q12" s="446"/>
      <c r="R12" s="447"/>
      <c r="S12" s="447"/>
      <c r="T12" s="448"/>
      <c r="V12" s="1311" t="s">
        <v>46</v>
      </c>
      <c r="W12" s="52">
        <v>178.0908</v>
      </c>
      <c r="X12" s="638">
        <v>164.59091000000001</v>
      </c>
      <c r="Y12" s="52">
        <v>164.59091000000001</v>
      </c>
      <c r="Z12" s="53">
        <v>164.59091000000001</v>
      </c>
      <c r="AA12" s="53">
        <v>164.59091000000001</v>
      </c>
      <c r="AB12" s="52">
        <v>154.05000000000001</v>
      </c>
      <c r="AC12" s="941">
        <v>102.31</v>
      </c>
      <c r="AD12" s="940">
        <v>79.69</v>
      </c>
      <c r="AE12" s="56">
        <v>120.73</v>
      </c>
      <c r="AF12" s="253">
        <v>175.07</v>
      </c>
      <c r="AG12" s="253">
        <v>175.07</v>
      </c>
      <c r="AH12"/>
      <c r="AI12" s="1311" t="s">
        <v>50</v>
      </c>
      <c r="AJ12" s="19">
        <v>12</v>
      </c>
      <c r="AK12" s="19">
        <v>12</v>
      </c>
      <c r="AL12" s="19">
        <v>12</v>
      </c>
      <c r="AM12" s="19">
        <v>12</v>
      </c>
      <c r="AN12" s="19">
        <v>12</v>
      </c>
      <c r="AO12" s="671">
        <v>11</v>
      </c>
      <c r="AP12" s="229">
        <v>10</v>
      </c>
      <c r="AQ12" s="687">
        <v>10</v>
      </c>
      <c r="AR12" s="19">
        <v>10</v>
      </c>
      <c r="AS12" s="19">
        <v>10</v>
      </c>
      <c r="AT12" s="19">
        <v>10</v>
      </c>
      <c r="AV12" s="1311" t="s">
        <v>51</v>
      </c>
      <c r="AW12" s="672">
        <v>36.64</v>
      </c>
      <c r="AX12" s="672">
        <v>36.64</v>
      </c>
      <c r="AY12" s="672">
        <v>36.64</v>
      </c>
      <c r="AZ12" s="672">
        <v>36.64</v>
      </c>
      <c r="BA12" s="672">
        <v>36.64</v>
      </c>
      <c r="BB12" s="657">
        <v>36.64</v>
      </c>
      <c r="BC12" s="657">
        <v>36.64</v>
      </c>
      <c r="BD12" s="545">
        <v>36.64</v>
      </c>
      <c r="BE12" s="667">
        <v>36.64</v>
      </c>
      <c r="BF12" s="667">
        <v>36.64</v>
      </c>
      <c r="BG12" s="667">
        <v>36.64</v>
      </c>
      <c r="DK12" s="994">
        <f t="shared" si="8"/>
        <v>30.858258339957494</v>
      </c>
      <c r="DL12" s="641" t="str">
        <f t="shared" si="5"/>
        <v>Lighting BUS 10 Year EUL</v>
      </c>
      <c r="DM12" s="764">
        <f>(INDEX('Avoided Cost Benefits'!$B$4:$B$865,MATCH(DL12,'Avoided Cost Benefits'!$A$4:$A$865,0)))*F12</f>
        <v>100.59792218826142</v>
      </c>
      <c r="DN12" s="1928">
        <f t="shared" si="6"/>
        <v>3.26</v>
      </c>
    </row>
    <row r="13" spans="1:118" x14ac:dyDescent="0.25">
      <c r="A13" s="2006" t="s">
        <v>58</v>
      </c>
      <c r="B13" s="247">
        <f t="shared" si="7"/>
        <v>800250</v>
      </c>
      <c r="C13" s="656" t="s">
        <v>70</v>
      </c>
      <c r="D13" s="1972" t="s">
        <v>60</v>
      </c>
      <c r="E13" s="1765" t="s">
        <v>71</v>
      </c>
      <c r="F13" s="55">
        <f>ROUND((F43-G43)/1000*H43*I43*K43*M43,2)</f>
        <v>40.340000000000003</v>
      </c>
      <c r="G13" s="441" t="s">
        <v>62</v>
      </c>
      <c r="H13" s="442">
        <f>VLOOKUP(G13,'CP FACTORS'!$A$26:$B$38,2,FALSE)</f>
        <v>1.899635E-4</v>
      </c>
      <c r="I13" s="486">
        <f t="shared" si="3"/>
        <v>7.9080000000000001E-3</v>
      </c>
      <c r="J13" s="19">
        <f t="shared" si="4"/>
        <v>10</v>
      </c>
      <c r="K13" s="667">
        <v>3.26</v>
      </c>
      <c r="L13" s="668" t="s">
        <v>63</v>
      </c>
      <c r="M13" s="444"/>
      <c r="P13" s="445"/>
      <c r="Q13" s="446"/>
      <c r="R13" s="447"/>
      <c r="S13" s="447"/>
      <c r="T13" s="448"/>
      <c r="V13" s="1311" t="s">
        <v>46</v>
      </c>
      <c r="W13" s="52">
        <v>257.76300000000003</v>
      </c>
      <c r="X13" s="638">
        <v>255.72252816000005</v>
      </c>
      <c r="Y13" s="52">
        <v>255.72252816000005</v>
      </c>
      <c r="Z13" s="53">
        <v>255.72252816000005</v>
      </c>
      <c r="AA13" s="53">
        <v>255.72252816000005</v>
      </c>
      <c r="AB13" s="52">
        <v>227.11</v>
      </c>
      <c r="AC13" s="942">
        <v>194.18</v>
      </c>
      <c r="AD13" s="940">
        <v>187.8</v>
      </c>
      <c r="AE13" s="56">
        <v>40.6</v>
      </c>
      <c r="AF13" s="253">
        <v>40.340000000000003</v>
      </c>
      <c r="AG13" s="253">
        <v>40.340000000000003</v>
      </c>
      <c r="AH13"/>
      <c r="AI13" s="1311" t="s">
        <v>50</v>
      </c>
      <c r="AJ13" s="19">
        <v>12</v>
      </c>
      <c r="AK13" s="19">
        <v>12</v>
      </c>
      <c r="AL13" s="19">
        <v>12</v>
      </c>
      <c r="AM13" s="19">
        <v>12</v>
      </c>
      <c r="AN13" s="19">
        <v>12</v>
      </c>
      <c r="AO13" s="671">
        <v>11</v>
      </c>
      <c r="AP13" s="229">
        <v>10</v>
      </c>
      <c r="AQ13" s="687">
        <v>10</v>
      </c>
      <c r="AR13" s="19">
        <v>10</v>
      </c>
      <c r="AS13" s="19">
        <v>10</v>
      </c>
      <c r="AT13" s="19">
        <v>10</v>
      </c>
      <c r="AV13" s="1311" t="s">
        <v>51</v>
      </c>
      <c r="AW13" s="672">
        <v>74.64</v>
      </c>
      <c r="AX13" s="672">
        <v>74.64</v>
      </c>
      <c r="AY13" s="672">
        <v>74.64</v>
      </c>
      <c r="AZ13" s="672">
        <v>74.64</v>
      </c>
      <c r="BA13" s="672">
        <v>74.64</v>
      </c>
      <c r="BB13" s="657">
        <v>74.64</v>
      </c>
      <c r="BC13" s="657">
        <v>74.64</v>
      </c>
      <c r="BD13" s="545">
        <v>74.64</v>
      </c>
      <c r="BE13" s="667">
        <v>74.64</v>
      </c>
      <c r="BF13" s="667">
        <v>74.64</v>
      </c>
      <c r="BG13" s="667">
        <v>74.64</v>
      </c>
      <c r="DK13" s="994">
        <f t="shared" si="8"/>
        <v>7.1104252095383877</v>
      </c>
      <c r="DL13" s="641" t="str">
        <f t="shared" si="5"/>
        <v>Lighting BUS 10 Year EUL</v>
      </c>
      <c r="DM13" s="764">
        <f>(INDEX('Avoided Cost Benefits'!$B$4:$B$865,MATCH(DL13,'Avoided Cost Benefits'!$A$4:$A$865,0)))*F13</f>
        <v>23.179986183095142</v>
      </c>
      <c r="DN13" s="1928">
        <f t="shared" si="6"/>
        <v>3.26</v>
      </c>
    </row>
    <row r="14" spans="1:118" x14ac:dyDescent="0.25">
      <c r="A14" s="2006" t="s">
        <v>58</v>
      </c>
      <c r="B14" s="247">
        <f t="shared" si="7"/>
        <v>800300</v>
      </c>
      <c r="C14" s="2140" t="s">
        <v>72</v>
      </c>
      <c r="D14" s="1972" t="s">
        <v>60</v>
      </c>
      <c r="E14" s="1765" t="s">
        <v>73</v>
      </c>
      <c r="F14" s="1948">
        <f t="shared" ref="F14:F16" si="9">ROUND((F44-G44)/1000*H44*I44*K44*M44,2)</f>
        <v>790.22</v>
      </c>
      <c r="G14" s="441" t="s">
        <v>62</v>
      </c>
      <c r="H14" s="442">
        <f>VLOOKUP(G14,'CP FACTORS'!$A$26:$B$38,2,FALSE)</f>
        <v>1.899635E-4</v>
      </c>
      <c r="I14" s="486">
        <f t="shared" si="3"/>
        <v>0.154917</v>
      </c>
      <c r="J14" s="19">
        <f t="shared" si="4"/>
        <v>15</v>
      </c>
      <c r="K14" s="667">
        <v>68</v>
      </c>
      <c r="L14" s="668" t="s">
        <v>63</v>
      </c>
      <c r="M14" s="444"/>
      <c r="V14" s="1311" t="s">
        <v>46</v>
      </c>
      <c r="W14" s="52">
        <v>576.45180000000005</v>
      </c>
      <c r="X14" s="638">
        <v>369.51600000000002</v>
      </c>
      <c r="Y14" s="52">
        <v>369.51600000000002</v>
      </c>
      <c r="Z14" s="53">
        <v>369.51600000000002</v>
      </c>
      <c r="AA14" s="53">
        <v>369.51600000000002</v>
      </c>
      <c r="AB14" s="52">
        <v>1198.19</v>
      </c>
      <c r="AC14" s="942">
        <v>675.33</v>
      </c>
      <c r="AD14" s="940">
        <v>1128.8699999999999</v>
      </c>
      <c r="AE14" s="399">
        <v>1129.0999999999999</v>
      </c>
      <c r="AF14" s="253">
        <v>716.61</v>
      </c>
      <c r="AG14" s="253">
        <v>790.22</v>
      </c>
      <c r="AI14" s="1311" t="s">
        <v>50</v>
      </c>
      <c r="AJ14" s="19">
        <v>11</v>
      </c>
      <c r="AK14" s="19">
        <v>11</v>
      </c>
      <c r="AL14" s="19">
        <v>11</v>
      </c>
      <c r="AM14" s="19">
        <v>11</v>
      </c>
      <c r="AN14" s="19">
        <v>11</v>
      </c>
      <c r="AO14" s="671">
        <v>11</v>
      </c>
      <c r="AP14" s="229">
        <v>15</v>
      </c>
      <c r="AQ14" s="687">
        <v>15</v>
      </c>
      <c r="AR14" s="19">
        <v>15</v>
      </c>
      <c r="AS14" s="19">
        <v>15</v>
      </c>
      <c r="AT14" s="19">
        <v>15</v>
      </c>
      <c r="AV14" s="1311" t="s">
        <v>51</v>
      </c>
      <c r="AW14" s="672">
        <v>191.39</v>
      </c>
      <c r="AX14" s="672">
        <v>191.39</v>
      </c>
      <c r="AY14" s="672">
        <v>191.39</v>
      </c>
      <c r="AZ14" s="672">
        <v>191.39</v>
      </c>
      <c r="BA14" s="672">
        <v>191.39</v>
      </c>
      <c r="BB14" s="657">
        <v>191.39</v>
      </c>
      <c r="BC14" s="657">
        <v>191.39</v>
      </c>
      <c r="BD14" s="545">
        <v>191.39</v>
      </c>
      <c r="BE14" s="667">
        <v>191.39</v>
      </c>
      <c r="BF14" s="667">
        <v>191.39</v>
      </c>
      <c r="BG14" s="667">
        <v>191.39</v>
      </c>
      <c r="DK14" s="994">
        <f t="shared" si="8"/>
        <v>8.9334824376771991</v>
      </c>
      <c r="DL14" s="641" t="str">
        <f t="shared" si="5"/>
        <v>Lighting BUS 15 Year EUL</v>
      </c>
      <c r="DM14" s="764">
        <f>(INDEX('Avoided Cost Benefits'!$B$4:$B$865,MATCH(DL14,'Avoided Cost Benefits'!$A$4:$A$865,0)))*F14</f>
        <v>607.47680576204959</v>
      </c>
      <c r="DN14" s="1928">
        <f t="shared" si="6"/>
        <v>68</v>
      </c>
    </row>
    <row r="15" spans="1:118" x14ac:dyDescent="0.25">
      <c r="A15" s="2006" t="s">
        <v>58</v>
      </c>
      <c r="B15" s="247">
        <f t="shared" si="7"/>
        <v>800350</v>
      </c>
      <c r="C15" s="2140" t="s">
        <v>74</v>
      </c>
      <c r="D15" s="1972" t="s">
        <v>60</v>
      </c>
      <c r="E15" s="1765" t="s">
        <v>75</v>
      </c>
      <c r="F15" s="1948">
        <f t="shared" si="9"/>
        <v>587.19000000000005</v>
      </c>
      <c r="G15" s="441" t="s">
        <v>62</v>
      </c>
      <c r="H15" s="442">
        <f>VLOOKUP(G15,'CP FACTORS'!$A$26:$B$38,2,FALSE)</f>
        <v>1.899635E-4</v>
      </c>
      <c r="I15" s="486">
        <f t="shared" si="3"/>
        <v>0.11511399999999999</v>
      </c>
      <c r="J15" s="19">
        <f t="shared" si="4"/>
        <v>15</v>
      </c>
      <c r="K15" s="667">
        <v>60</v>
      </c>
      <c r="L15" s="668" t="s">
        <v>63</v>
      </c>
      <c r="M15" s="444"/>
      <c r="V15" s="1311" t="s">
        <v>46</v>
      </c>
      <c r="W15" s="52">
        <v>702.99</v>
      </c>
      <c r="X15" s="638">
        <v>884.37428794386449</v>
      </c>
      <c r="Y15" s="52">
        <v>884.37428794386449</v>
      </c>
      <c r="Z15" s="53">
        <v>884.37428794386449</v>
      </c>
      <c r="AA15" s="53">
        <v>884.37428794386449</v>
      </c>
      <c r="AB15" s="52">
        <v>902.06</v>
      </c>
      <c r="AC15" s="942">
        <v>837.22</v>
      </c>
      <c r="AD15" s="940">
        <v>843.63</v>
      </c>
      <c r="AE15" s="399">
        <v>843.88</v>
      </c>
      <c r="AF15" s="253">
        <v>798.17</v>
      </c>
      <c r="AG15" s="253">
        <v>587.19000000000005</v>
      </c>
      <c r="AI15" s="1311" t="s">
        <v>50</v>
      </c>
      <c r="AJ15" s="19">
        <v>10</v>
      </c>
      <c r="AK15" s="19">
        <v>10</v>
      </c>
      <c r="AL15" s="19">
        <v>10</v>
      </c>
      <c r="AM15" s="19">
        <v>10</v>
      </c>
      <c r="AN15" s="19">
        <v>10</v>
      </c>
      <c r="AO15" s="671">
        <v>11</v>
      </c>
      <c r="AP15" s="229">
        <v>15</v>
      </c>
      <c r="AQ15" s="687">
        <v>15</v>
      </c>
      <c r="AR15" s="19">
        <v>15</v>
      </c>
      <c r="AS15" s="19">
        <v>15</v>
      </c>
      <c r="AT15" s="19">
        <v>15</v>
      </c>
      <c r="AV15" s="1311" t="s">
        <v>51</v>
      </c>
      <c r="AW15" s="672">
        <v>233.64</v>
      </c>
      <c r="AX15" s="672">
        <v>233.64</v>
      </c>
      <c r="AY15" s="672">
        <v>233.64</v>
      </c>
      <c r="AZ15" s="672">
        <v>233.64</v>
      </c>
      <c r="BA15" s="672">
        <v>233.64</v>
      </c>
      <c r="BB15" s="657">
        <v>233.64</v>
      </c>
      <c r="BC15" s="657">
        <v>233.64</v>
      </c>
      <c r="BD15" s="545">
        <v>233.64</v>
      </c>
      <c r="BE15" s="667">
        <v>233.64</v>
      </c>
      <c r="BF15" s="667">
        <v>233.64</v>
      </c>
      <c r="BG15" s="667">
        <v>233.64</v>
      </c>
      <c r="DK15" s="994">
        <f t="shared" si="8"/>
        <v>7.5233121910231313</v>
      </c>
      <c r="DL15" s="641" t="str">
        <f t="shared" si="5"/>
        <v>Lighting BUS 15 Year EUL</v>
      </c>
      <c r="DM15" s="764">
        <f>(INDEX('Avoided Cost Benefits'!$B$4:$B$865,MATCH(DL15,'Avoided Cost Benefits'!$A$4:$A$865,0)))*F15</f>
        <v>451.39873146138785</v>
      </c>
      <c r="DN15" s="1928">
        <f t="shared" si="6"/>
        <v>60</v>
      </c>
    </row>
    <row r="16" spans="1:118" x14ac:dyDescent="0.25">
      <c r="A16" s="2006" t="s">
        <v>58</v>
      </c>
      <c r="B16" s="247">
        <f t="shared" si="7"/>
        <v>800400</v>
      </c>
      <c r="C16" s="2140" t="s">
        <v>76</v>
      </c>
      <c r="D16" s="1972" t="s">
        <v>60</v>
      </c>
      <c r="E16" s="1765" t="s">
        <v>77</v>
      </c>
      <c r="F16" s="1948">
        <f t="shared" si="9"/>
        <v>1066.8699999999999</v>
      </c>
      <c r="G16" s="441" t="s">
        <v>62</v>
      </c>
      <c r="H16" s="442">
        <f>VLOOKUP(G16,'CP FACTORS'!$A$26:$B$38,2,FALSE)</f>
        <v>1.899635E-4</v>
      </c>
      <c r="I16" s="486">
        <f t="shared" si="3"/>
        <v>0.209152</v>
      </c>
      <c r="J16" s="19">
        <f t="shared" si="4"/>
        <v>15</v>
      </c>
      <c r="K16" s="667">
        <v>156</v>
      </c>
      <c r="L16" s="668" t="s">
        <v>63</v>
      </c>
      <c r="M16" s="444"/>
      <c r="V16" s="1311" t="s">
        <v>46</v>
      </c>
      <c r="W16" s="52">
        <v>1209.1428000000001</v>
      </c>
      <c r="X16" s="638">
        <v>1471.9795478952801</v>
      </c>
      <c r="Y16" s="52">
        <v>1471.9795478952801</v>
      </c>
      <c r="Z16" s="53">
        <v>1471.9795478952801</v>
      </c>
      <c r="AA16" s="53">
        <v>1471.9795478952801</v>
      </c>
      <c r="AB16" s="52">
        <v>1459.71</v>
      </c>
      <c r="AC16" s="942">
        <v>1031.8599999999999</v>
      </c>
      <c r="AD16" s="940">
        <v>1039.67</v>
      </c>
      <c r="AE16" s="399">
        <v>1040.07</v>
      </c>
      <c r="AF16" s="253">
        <v>983.73</v>
      </c>
      <c r="AG16" s="253">
        <v>1066.8699999999999</v>
      </c>
      <c r="AI16" s="1311" t="s">
        <v>50</v>
      </c>
      <c r="AJ16" s="19">
        <v>11</v>
      </c>
      <c r="AK16" s="19">
        <v>11</v>
      </c>
      <c r="AL16" s="19">
        <v>11</v>
      </c>
      <c r="AM16" s="19">
        <v>11</v>
      </c>
      <c r="AN16" s="19">
        <v>11</v>
      </c>
      <c r="AO16" s="671">
        <v>11</v>
      </c>
      <c r="AP16" s="229">
        <v>15</v>
      </c>
      <c r="AQ16" s="687">
        <v>15</v>
      </c>
      <c r="AR16" s="19">
        <v>15</v>
      </c>
      <c r="AS16" s="19">
        <v>15</v>
      </c>
      <c r="AT16" s="19">
        <v>15</v>
      </c>
      <c r="AV16" s="1311" t="s">
        <v>51</v>
      </c>
      <c r="AW16" s="672">
        <v>361.64</v>
      </c>
      <c r="AX16" s="672">
        <v>361.64</v>
      </c>
      <c r="AY16" s="672">
        <v>361.64</v>
      </c>
      <c r="AZ16" s="672">
        <v>361.64</v>
      </c>
      <c r="BA16" s="672">
        <v>361.64</v>
      </c>
      <c r="BB16" s="657">
        <v>361.64</v>
      </c>
      <c r="BC16" s="657">
        <v>361.64</v>
      </c>
      <c r="BD16" s="545">
        <v>361.64</v>
      </c>
      <c r="BE16" s="667">
        <v>361.64</v>
      </c>
      <c r="BF16" s="667">
        <v>361.64</v>
      </c>
      <c r="BG16" s="667">
        <v>361.64</v>
      </c>
      <c r="DK16" s="994">
        <f t="shared" si="8"/>
        <v>5.2573705518177487</v>
      </c>
      <c r="DL16" s="641" t="str">
        <f t="shared" si="5"/>
        <v>Lighting BUS 15 Year EUL</v>
      </c>
      <c r="DM16" s="764">
        <f>(INDEX('Avoided Cost Benefits'!$B$4:$B$865,MATCH(DL16,'Avoided Cost Benefits'!$A$4:$A$865,0)))*F16</f>
        <v>820.14980608356882</v>
      </c>
      <c r="DN16" s="1928">
        <f t="shared" si="6"/>
        <v>156</v>
      </c>
    </row>
    <row r="17" spans="1:118" x14ac:dyDescent="0.25">
      <c r="A17" s="2006" t="s">
        <v>58</v>
      </c>
      <c r="B17" s="247">
        <f t="shared" si="7"/>
        <v>800750</v>
      </c>
      <c r="C17" s="2140" t="s">
        <v>78</v>
      </c>
      <c r="D17" s="1972" t="s">
        <v>60</v>
      </c>
      <c r="E17" s="1765" t="s">
        <v>79</v>
      </c>
      <c r="F17" s="1948">
        <f>ROUND((F47-G47)/1000*H47*I47*K47*M47,2)</f>
        <v>243.05</v>
      </c>
      <c r="G17" s="441" t="s">
        <v>62</v>
      </c>
      <c r="H17" s="442">
        <f>VLOOKUP(G17,'CP FACTORS'!$A$26:$B$38,2,FALSE)</f>
        <v>1.899635E-4</v>
      </c>
      <c r="I17" s="486">
        <f t="shared" si="3"/>
        <v>4.7648000000000003E-2</v>
      </c>
      <c r="J17" s="19">
        <f>L47</f>
        <v>7</v>
      </c>
      <c r="K17" s="667">
        <v>45.25</v>
      </c>
      <c r="L17" s="668" t="s">
        <v>63</v>
      </c>
      <c r="M17" s="444"/>
      <c r="V17" s="1311" t="s">
        <v>46</v>
      </c>
      <c r="W17" s="52">
        <v>253.07640000000004</v>
      </c>
      <c r="X17" s="53">
        <v>253.07640000000004</v>
      </c>
      <c r="Y17" s="52">
        <v>253.07640000000004</v>
      </c>
      <c r="Z17" s="53">
        <v>253.07640000000004</v>
      </c>
      <c r="AA17" s="53">
        <v>253.07640000000004</v>
      </c>
      <c r="AB17" s="52">
        <v>248.43</v>
      </c>
      <c r="AC17" s="942">
        <v>231.65</v>
      </c>
      <c r="AD17" s="940">
        <v>309.14</v>
      </c>
      <c r="AE17" s="56">
        <v>261.05</v>
      </c>
      <c r="AF17" s="253">
        <v>243.01</v>
      </c>
      <c r="AG17" s="253">
        <v>243.05</v>
      </c>
      <c r="AI17" s="1311" t="s">
        <v>50</v>
      </c>
      <c r="AJ17" s="19">
        <v>16</v>
      </c>
      <c r="AK17" s="19">
        <v>16</v>
      </c>
      <c r="AL17" s="19">
        <v>16</v>
      </c>
      <c r="AM17" s="19">
        <v>16</v>
      </c>
      <c r="AN17" s="19">
        <v>16</v>
      </c>
      <c r="AO17" s="671">
        <v>16</v>
      </c>
      <c r="AP17" s="229">
        <v>7</v>
      </c>
      <c r="AQ17" s="687">
        <v>7</v>
      </c>
      <c r="AR17" s="19">
        <v>7</v>
      </c>
      <c r="AS17" s="19">
        <v>7</v>
      </c>
      <c r="AT17" s="19">
        <v>7</v>
      </c>
      <c r="AV17" s="1311" t="s">
        <v>51</v>
      </c>
      <c r="AW17" s="672">
        <v>45.25</v>
      </c>
      <c r="AX17" s="672">
        <v>45.25</v>
      </c>
      <c r="AY17" s="672">
        <v>45.25</v>
      </c>
      <c r="AZ17" s="672">
        <v>45.25</v>
      </c>
      <c r="BA17" s="672">
        <v>45.25</v>
      </c>
      <c r="BB17" s="657">
        <v>45.25</v>
      </c>
      <c r="BC17" s="657">
        <v>45.25</v>
      </c>
      <c r="BD17" s="545">
        <v>45.25</v>
      </c>
      <c r="BE17" s="667">
        <v>45.25</v>
      </c>
      <c r="BF17" s="667">
        <v>45.25</v>
      </c>
      <c r="BG17" s="667">
        <v>45.25</v>
      </c>
      <c r="DK17" s="994">
        <f t="shared" si="8"/>
        <v>2.3217663376575004</v>
      </c>
      <c r="DL17" s="641" t="str">
        <f t="shared" si="5"/>
        <v>Lighting BUS 7 Year EUL</v>
      </c>
      <c r="DM17" s="764">
        <f>(INDEX('Avoided Cost Benefits'!$B$4:$B$865,MATCH(DL17,'Avoided Cost Benefits'!$A$4:$A$865,0)))*F17</f>
        <v>105.05992677900188</v>
      </c>
      <c r="DN17" s="1928">
        <f t="shared" si="6"/>
        <v>45.25</v>
      </c>
    </row>
    <row r="18" spans="1:118" s="247" customFormat="1" x14ac:dyDescent="0.25">
      <c r="A18" s="2006" t="s">
        <v>80</v>
      </c>
      <c r="B18" s="247">
        <f t="shared" si="7"/>
        <v>800800</v>
      </c>
      <c r="C18" s="2140" t="s">
        <v>81</v>
      </c>
      <c r="D18" s="1972" t="s">
        <v>60</v>
      </c>
      <c r="E18" s="1765" t="s">
        <v>82</v>
      </c>
      <c r="F18" s="1948">
        <f>ROUND((F48-G48)/1000*H48*I48*K48*M48,2)</f>
        <v>226.36</v>
      </c>
      <c r="G18" s="441" t="s">
        <v>62</v>
      </c>
      <c r="H18" s="442">
        <f>VLOOKUP(G18,'CP FACTORS'!$A$26:$B$38,2,FALSE)</f>
        <v>1.899635E-4</v>
      </c>
      <c r="I18" s="486">
        <f t="shared" si="3"/>
        <v>4.4375999999999999E-2</v>
      </c>
      <c r="J18" s="19">
        <f>L48</f>
        <v>10</v>
      </c>
      <c r="K18" s="667">
        <v>45.25</v>
      </c>
      <c r="L18" s="668" t="s">
        <v>63</v>
      </c>
      <c r="M18" s="444"/>
      <c r="V18" s="1311" t="s">
        <v>46</v>
      </c>
      <c r="W18" s="53">
        <v>222.56</v>
      </c>
      <c r="X18" s="53">
        <v>222.56</v>
      </c>
      <c r="Y18" s="53">
        <v>222.56</v>
      </c>
      <c r="Z18" s="53">
        <v>222.56</v>
      </c>
      <c r="AA18" s="53">
        <v>222.56</v>
      </c>
      <c r="AB18" s="53">
        <v>156.94</v>
      </c>
      <c r="AC18" s="1926">
        <v>350.49</v>
      </c>
      <c r="AD18" s="1927">
        <v>301.75</v>
      </c>
      <c r="AE18" s="399">
        <v>347.98</v>
      </c>
      <c r="AF18" s="546">
        <v>290.27999999999997</v>
      </c>
      <c r="AG18" s="546">
        <v>226.36</v>
      </c>
      <c r="AI18" s="1311" t="s">
        <v>50</v>
      </c>
      <c r="AJ18" s="19">
        <v>8</v>
      </c>
      <c r="AK18" s="19">
        <v>8</v>
      </c>
      <c r="AL18" s="19">
        <v>8</v>
      </c>
      <c r="AM18" s="19">
        <v>8</v>
      </c>
      <c r="AN18" s="19">
        <v>8</v>
      </c>
      <c r="AO18" s="675">
        <v>10</v>
      </c>
      <c r="AP18" s="687">
        <v>10</v>
      </c>
      <c r="AQ18" s="687">
        <v>10</v>
      </c>
      <c r="AR18" s="19">
        <v>10</v>
      </c>
      <c r="AS18" s="19">
        <v>10</v>
      </c>
      <c r="AT18" s="19">
        <v>10</v>
      </c>
      <c r="AV18" s="1311" t="s">
        <v>51</v>
      </c>
      <c r="AW18" s="667">
        <v>29.64</v>
      </c>
      <c r="AX18" s="667">
        <v>29.64</v>
      </c>
      <c r="AY18" s="667">
        <v>29.64</v>
      </c>
      <c r="AZ18" s="667">
        <v>29.64</v>
      </c>
      <c r="BA18" s="667">
        <v>29.64</v>
      </c>
      <c r="BB18" s="545">
        <v>29.64</v>
      </c>
      <c r="BC18" s="545">
        <v>29.64</v>
      </c>
      <c r="BD18" s="545">
        <v>29.64</v>
      </c>
      <c r="BE18" s="667">
        <v>29.64</v>
      </c>
      <c r="BF18" s="667">
        <v>29.64</v>
      </c>
      <c r="BG18" s="667">
        <v>29.64</v>
      </c>
      <c r="CJ18" s="50"/>
      <c r="CK18" s="50"/>
      <c r="CL18" s="50"/>
      <c r="CM18" s="50"/>
      <c r="DA18" s="50"/>
      <c r="DB18" s="50"/>
      <c r="DC18" s="50"/>
      <c r="DD18" s="50"/>
      <c r="DK18" s="994">
        <f t="shared" si="8"/>
        <v>2.8744739725621806</v>
      </c>
      <c r="DL18" s="641" t="str">
        <f t="shared" si="5"/>
        <v>Lighting BUS 10 Year EUL</v>
      </c>
      <c r="DM18" s="764">
        <f>(INDEX('Avoided Cost Benefits'!$B$4:$B$865,MATCH(DL18,'Avoided Cost Benefits'!$A$4:$A$865,0)))*F18</f>
        <v>130.06994725843867</v>
      </c>
      <c r="DN18" s="1928">
        <f t="shared" ref="DN18" si="10">IFERROR(K18/((1+DiscountRate)^(CurrentYear-DiscountYear)),0)</f>
        <v>45.25</v>
      </c>
    </row>
    <row r="19" spans="1:118" x14ac:dyDescent="0.25">
      <c r="A19" s="2006" t="s">
        <v>80</v>
      </c>
      <c r="B19" s="247">
        <f t="shared" si="7"/>
        <v>800801</v>
      </c>
      <c r="C19" s="2140" t="s">
        <v>83</v>
      </c>
      <c r="D19" s="1972" t="s">
        <v>60</v>
      </c>
      <c r="E19" s="1765" t="s">
        <v>84</v>
      </c>
      <c r="F19" s="1948">
        <f>ROUND((F49-G49)/1000*H49*I49*K49*M49,2)</f>
        <v>391.77</v>
      </c>
      <c r="G19" s="441" t="s">
        <v>62</v>
      </c>
      <c r="H19" s="442">
        <f>VLOOKUP(G19,'CP FACTORS'!$A$26:$B$38,2,FALSE)</f>
        <v>1.899635E-4</v>
      </c>
      <c r="I19" s="486">
        <f t="shared" si="3"/>
        <v>7.6803999999999997E-2</v>
      </c>
      <c r="J19" s="19">
        <f>L49</f>
        <v>15</v>
      </c>
      <c r="K19" s="667">
        <v>13</v>
      </c>
      <c r="L19" s="668" t="s">
        <v>63</v>
      </c>
      <c r="M19" s="444"/>
      <c r="V19" s="1311" t="s">
        <v>46</v>
      </c>
      <c r="W19" s="784"/>
      <c r="X19" s="785"/>
      <c r="Y19" s="784"/>
      <c r="Z19" s="785"/>
      <c r="AA19" s="785"/>
      <c r="AB19" s="52">
        <v>365.22</v>
      </c>
      <c r="AC19" s="942">
        <v>476.96</v>
      </c>
      <c r="AD19" s="940">
        <v>545.25</v>
      </c>
      <c r="AE19" s="56">
        <v>449.25</v>
      </c>
      <c r="AF19" s="253">
        <v>473.41</v>
      </c>
      <c r="AG19" s="253">
        <v>391.77</v>
      </c>
      <c r="AI19" s="101" t="s">
        <v>50</v>
      </c>
      <c r="AJ19" s="786"/>
      <c r="AK19" s="786"/>
      <c r="AL19" s="786"/>
      <c r="AM19" s="786"/>
      <c r="AN19" s="786"/>
      <c r="AO19" s="671">
        <v>15</v>
      </c>
      <c r="AP19" s="229">
        <v>15</v>
      </c>
      <c r="AQ19" s="687">
        <v>15</v>
      </c>
      <c r="AR19" s="19">
        <v>15</v>
      </c>
      <c r="AS19" s="19">
        <v>15</v>
      </c>
      <c r="AT19" s="19">
        <v>15</v>
      </c>
      <c r="AV19" s="101" t="s">
        <v>51</v>
      </c>
      <c r="AW19" s="787"/>
      <c r="AX19" s="787"/>
      <c r="AY19" s="787"/>
      <c r="AZ19" s="787"/>
      <c r="BA19" s="787"/>
      <c r="BB19" s="657">
        <v>29.64</v>
      </c>
      <c r="BC19" s="657">
        <v>29.64</v>
      </c>
      <c r="BD19" s="545">
        <v>29.64</v>
      </c>
      <c r="BE19" s="667">
        <v>29.64</v>
      </c>
      <c r="BF19" s="667">
        <v>29.64</v>
      </c>
      <c r="BG19" s="667">
        <v>29.64</v>
      </c>
      <c r="DK19" s="994">
        <f t="shared" si="8"/>
        <v>23.166984480796792</v>
      </c>
      <c r="DL19" s="641" t="str">
        <f t="shared" si="5"/>
        <v>Lighting BUS 15 Year EUL</v>
      </c>
      <c r="DM19" s="764">
        <f>(INDEX('Avoided Cost Benefits'!$B$4:$B$865,MATCH(DL19,'Avoided Cost Benefits'!$A$4:$A$865,0)))*F19</f>
        <v>301.1707982503583</v>
      </c>
      <c r="DN19" s="1928">
        <f t="shared" si="6"/>
        <v>13</v>
      </c>
    </row>
    <row r="20" spans="1:118" x14ac:dyDescent="0.25">
      <c r="A20" s="2006" t="s">
        <v>80</v>
      </c>
      <c r="B20" s="247">
        <f t="shared" si="7"/>
        <v>800850</v>
      </c>
      <c r="C20" s="2140" t="s">
        <v>85</v>
      </c>
      <c r="D20" s="1972" t="s">
        <v>60</v>
      </c>
      <c r="E20" s="1765" t="s">
        <v>86</v>
      </c>
      <c r="F20" s="1948">
        <f t="shared" ref="F20:F24" si="11">ROUND((F50-G50)/1000*H50*I50*K50*M50,2)</f>
        <v>151.82</v>
      </c>
      <c r="G20" s="441" t="s">
        <v>62</v>
      </c>
      <c r="H20" s="442">
        <f>VLOOKUP(G20,'CP FACTORS'!$A$26:$B$38,2,FALSE)</f>
        <v>1.899635E-4</v>
      </c>
      <c r="I20" s="486">
        <f t="shared" ref="I20:I24" si="12">ROUND(H20*F20*J50,6)</f>
        <v>2.9763000000000001E-2</v>
      </c>
      <c r="J20" s="19">
        <f t="shared" ref="J20:J24" si="13">L50</f>
        <v>10</v>
      </c>
      <c r="K20" s="667">
        <v>14</v>
      </c>
      <c r="L20" s="668" t="s">
        <v>63</v>
      </c>
      <c r="M20" s="444"/>
      <c r="V20" s="1311" t="s">
        <v>46</v>
      </c>
      <c r="W20" s="890">
        <v>82.39</v>
      </c>
      <c r="X20" s="638">
        <v>84.819074273197472</v>
      </c>
      <c r="Y20" s="890">
        <v>84.819074273197472</v>
      </c>
      <c r="Z20" s="53">
        <v>84.819074273197472</v>
      </c>
      <c r="AA20" s="53">
        <v>84.819074273197472</v>
      </c>
      <c r="AB20" s="890">
        <v>86.01</v>
      </c>
      <c r="AC20" s="942">
        <v>207.73</v>
      </c>
      <c r="AD20" s="940">
        <v>234.37</v>
      </c>
      <c r="AE20" s="56">
        <v>186.98</v>
      </c>
      <c r="AF20" s="253">
        <v>220.32</v>
      </c>
      <c r="AG20" s="253">
        <v>151.82</v>
      </c>
      <c r="AI20" s="1311" t="s">
        <v>50</v>
      </c>
      <c r="AJ20" s="19">
        <v>9</v>
      </c>
      <c r="AK20" s="19">
        <v>9</v>
      </c>
      <c r="AL20" s="19">
        <v>9</v>
      </c>
      <c r="AM20" s="19">
        <v>9</v>
      </c>
      <c r="AN20" s="19">
        <v>9</v>
      </c>
      <c r="AO20" s="1924">
        <v>10</v>
      </c>
      <c r="AP20" s="229">
        <v>10</v>
      </c>
      <c r="AQ20" s="687">
        <v>10</v>
      </c>
      <c r="AR20" s="19">
        <v>10</v>
      </c>
      <c r="AS20" s="19">
        <v>10</v>
      </c>
      <c r="AT20" s="19">
        <v>10</v>
      </c>
      <c r="AV20" s="1311" t="s">
        <v>51</v>
      </c>
      <c r="AW20" s="672">
        <v>29.64</v>
      </c>
      <c r="AX20" s="672">
        <v>29.64</v>
      </c>
      <c r="AY20" s="672">
        <v>29.64</v>
      </c>
      <c r="AZ20" s="672">
        <v>29.64</v>
      </c>
      <c r="BA20" s="672">
        <v>29.64</v>
      </c>
      <c r="BB20" s="1925">
        <v>29.64</v>
      </c>
      <c r="BC20" s="1925">
        <v>29.64</v>
      </c>
      <c r="BD20" s="545">
        <v>29.64</v>
      </c>
      <c r="BE20" s="667">
        <v>29.64</v>
      </c>
      <c r="BF20" s="667">
        <v>29.64</v>
      </c>
      <c r="BG20" s="667">
        <v>29.64</v>
      </c>
      <c r="CJ20" s="73"/>
      <c r="CK20" s="73"/>
      <c r="CL20" s="73"/>
      <c r="CM20" s="73"/>
      <c r="DA20" s="73"/>
      <c r="DB20" s="73"/>
      <c r="DC20" s="73"/>
      <c r="DD20" s="73"/>
      <c r="DK20" s="994">
        <f t="shared" si="8"/>
        <v>6.2312938280287264</v>
      </c>
      <c r="DL20" s="641" t="str">
        <f t="shared" si="5"/>
        <v>Lighting BUS 10 Year EUL</v>
      </c>
      <c r="DM20" s="764">
        <f>(INDEX('Avoided Cost Benefits'!$B$4:$B$865,MATCH(DL20,'Avoided Cost Benefits'!$A$4:$A$865,0)))*F20</f>
        <v>87.238113592402172</v>
      </c>
      <c r="DN20" s="1928">
        <f t="shared" ref="DN20" si="14">IFERROR(K20/((1+DiscountRate)^(CurrentYear-DiscountYear)),0)</f>
        <v>14</v>
      </c>
    </row>
    <row r="21" spans="1:118" x14ac:dyDescent="0.25">
      <c r="A21" s="2006" t="s">
        <v>58</v>
      </c>
      <c r="B21" s="247">
        <f t="shared" si="7"/>
        <v>800851</v>
      </c>
      <c r="C21" s="2140" t="s">
        <v>87</v>
      </c>
      <c r="D21" s="1972" t="s">
        <v>60</v>
      </c>
      <c r="E21" s="1765" t="s">
        <v>88</v>
      </c>
      <c r="F21" s="1948">
        <f t="shared" si="11"/>
        <v>186.85</v>
      </c>
      <c r="G21" s="441" t="s">
        <v>62</v>
      </c>
      <c r="H21" s="442">
        <f>VLOOKUP(G21,'CP FACTORS'!$A$26:$B$38,2,FALSE)</f>
        <v>1.899635E-4</v>
      </c>
      <c r="I21" s="486">
        <f t="shared" si="12"/>
        <v>3.6630999999999997E-2</v>
      </c>
      <c r="J21" s="19">
        <f t="shared" si="13"/>
        <v>15</v>
      </c>
      <c r="K21" s="667">
        <v>15</v>
      </c>
      <c r="L21" s="668" t="s">
        <v>63</v>
      </c>
      <c r="M21" s="444"/>
      <c r="V21" s="1311" t="s">
        <v>46</v>
      </c>
      <c r="W21" s="784"/>
      <c r="X21" s="785"/>
      <c r="Y21" s="784"/>
      <c r="Z21" s="785"/>
      <c r="AA21" s="785"/>
      <c r="AB21" s="52">
        <v>161.24</v>
      </c>
      <c r="AC21" s="942">
        <v>212.23</v>
      </c>
      <c r="AD21" s="940">
        <v>198.78</v>
      </c>
      <c r="AE21" s="56">
        <v>192.42</v>
      </c>
      <c r="AF21" s="253">
        <v>200.02</v>
      </c>
      <c r="AG21" s="253">
        <v>186.85</v>
      </c>
      <c r="AI21" s="101" t="s">
        <v>50</v>
      </c>
      <c r="AJ21" s="786"/>
      <c r="AK21" s="786"/>
      <c r="AL21" s="786"/>
      <c r="AM21" s="786"/>
      <c r="AN21" s="786"/>
      <c r="AO21" s="671">
        <v>15</v>
      </c>
      <c r="AP21" s="229">
        <v>15</v>
      </c>
      <c r="AQ21" s="687">
        <v>15</v>
      </c>
      <c r="AR21" s="19">
        <v>15</v>
      </c>
      <c r="AS21" s="19">
        <v>15</v>
      </c>
      <c r="AT21" s="19">
        <v>15</v>
      </c>
      <c r="AV21" s="101" t="s">
        <v>51</v>
      </c>
      <c r="AW21" s="787"/>
      <c r="AX21" s="787"/>
      <c r="AY21" s="787"/>
      <c r="AZ21" s="787"/>
      <c r="BA21" s="787"/>
      <c r="BB21" s="657">
        <v>29.64</v>
      </c>
      <c r="BC21" s="657">
        <v>29.64</v>
      </c>
      <c r="BD21" s="545">
        <v>29.64</v>
      </c>
      <c r="BE21" s="667">
        <v>29.64</v>
      </c>
      <c r="BF21" s="667">
        <v>29.64</v>
      </c>
      <c r="BG21" s="667">
        <v>29.64</v>
      </c>
      <c r="DK21" s="994">
        <f t="shared" si="8"/>
        <v>9.5759865317370654</v>
      </c>
      <c r="DL21" s="641" t="str">
        <f t="shared" si="5"/>
        <v>Lighting BUS 15 Year EUL</v>
      </c>
      <c r="DM21" s="764">
        <f>(INDEX('Avoided Cost Benefits'!$B$4:$B$865,MATCH(DL21,'Avoided Cost Benefits'!$A$4:$A$865,0)))*F21</f>
        <v>143.63979797605597</v>
      </c>
      <c r="DN21" s="1928">
        <f t="shared" si="6"/>
        <v>15</v>
      </c>
    </row>
    <row r="22" spans="1:118" x14ac:dyDescent="0.25">
      <c r="A22" s="2006" t="s">
        <v>80</v>
      </c>
      <c r="B22" s="247">
        <f t="shared" si="7"/>
        <v>800900</v>
      </c>
      <c r="C22" s="2140" t="s">
        <v>89</v>
      </c>
      <c r="D22" s="1972" t="s">
        <v>60</v>
      </c>
      <c r="E22" s="1765" t="s">
        <v>90</v>
      </c>
      <c r="F22" s="1948">
        <f t="shared" si="11"/>
        <v>205.22</v>
      </c>
      <c r="G22" s="441" t="s">
        <v>62</v>
      </c>
      <c r="H22" s="442">
        <f>VLOOKUP(G22,'CP FACTORS'!$A$26:$B$38,2,FALSE)</f>
        <v>1.899635E-4</v>
      </c>
      <c r="I22" s="486">
        <f t="shared" si="12"/>
        <v>4.0231999999999997E-2</v>
      </c>
      <c r="J22" s="19">
        <f t="shared" si="13"/>
        <v>10</v>
      </c>
      <c r="K22" s="667">
        <v>16</v>
      </c>
      <c r="L22" s="668" t="s">
        <v>63</v>
      </c>
      <c r="M22" s="444"/>
      <c r="V22" s="1311" t="s">
        <v>46</v>
      </c>
      <c r="W22" s="890">
        <v>124.6336</v>
      </c>
      <c r="X22" s="638">
        <v>92.556746382707516</v>
      </c>
      <c r="Y22" s="890">
        <v>92.556746382707516</v>
      </c>
      <c r="Z22" s="53">
        <v>92.556746382707516</v>
      </c>
      <c r="AA22" s="53">
        <v>92.556746382707516</v>
      </c>
      <c r="AB22" s="890">
        <v>150</v>
      </c>
      <c r="AC22" s="942">
        <v>224.43</v>
      </c>
      <c r="AD22" s="940">
        <v>197.52</v>
      </c>
      <c r="AE22" s="399">
        <v>197.58</v>
      </c>
      <c r="AF22" s="253">
        <v>186.88</v>
      </c>
      <c r="AG22" s="253">
        <v>205.22</v>
      </c>
      <c r="AI22" s="1311" t="s">
        <v>50</v>
      </c>
      <c r="AJ22" s="19">
        <v>14</v>
      </c>
      <c r="AK22" s="19">
        <v>14</v>
      </c>
      <c r="AL22" s="19">
        <v>14</v>
      </c>
      <c r="AM22" s="19">
        <v>14</v>
      </c>
      <c r="AN22" s="19">
        <v>14</v>
      </c>
      <c r="AO22" s="1924">
        <v>10</v>
      </c>
      <c r="AP22" s="229">
        <v>10</v>
      </c>
      <c r="AQ22" s="687">
        <v>10</v>
      </c>
      <c r="AR22" s="19">
        <v>10</v>
      </c>
      <c r="AS22" s="19">
        <v>10</v>
      </c>
      <c r="AT22" s="19">
        <v>10</v>
      </c>
      <c r="AV22" s="1311" t="s">
        <v>51</v>
      </c>
      <c r="AW22" s="672">
        <v>29.64</v>
      </c>
      <c r="AX22" s="672">
        <v>29.64</v>
      </c>
      <c r="AY22" s="672">
        <v>29.64</v>
      </c>
      <c r="AZ22" s="672">
        <v>29.64</v>
      </c>
      <c r="BA22" s="672">
        <v>29.64</v>
      </c>
      <c r="BB22" s="1925">
        <v>29.64</v>
      </c>
      <c r="BC22" s="1925">
        <v>29.64</v>
      </c>
      <c r="BD22" s="545">
        <v>29.64</v>
      </c>
      <c r="BE22" s="667">
        <v>29.64</v>
      </c>
      <c r="BF22" s="667">
        <v>29.64</v>
      </c>
      <c r="BG22" s="667">
        <v>29.64</v>
      </c>
      <c r="CJ22" s="73"/>
      <c r="CK22" s="73"/>
      <c r="CL22" s="73"/>
      <c r="CM22" s="73"/>
      <c r="DA22" s="73"/>
      <c r="DB22" s="73"/>
      <c r="DC22" s="73"/>
      <c r="DD22" s="73"/>
      <c r="DK22" s="994">
        <f t="shared" si="8"/>
        <v>7.3701610753823505</v>
      </c>
      <c r="DL22" s="641" t="str">
        <f t="shared" si="5"/>
        <v>Lighting BUS 10 Year EUL</v>
      </c>
      <c r="DM22" s="764">
        <f>(INDEX('Avoided Cost Benefits'!$B$4:$B$865,MATCH(DL22,'Avoided Cost Benefits'!$A$4:$A$865,0)))*F22</f>
        <v>117.92257720611761</v>
      </c>
      <c r="DN22" s="1928">
        <f t="shared" ref="DN22" si="15">IFERROR(K22/((1+DiscountRate)^(CurrentYear-DiscountYear)),0)</f>
        <v>16</v>
      </c>
    </row>
    <row r="23" spans="1:118" x14ac:dyDescent="0.25">
      <c r="A23" s="2006" t="s">
        <v>80</v>
      </c>
      <c r="B23" s="247">
        <f t="shared" si="7"/>
        <v>800901</v>
      </c>
      <c r="C23" s="2140" t="s">
        <v>91</v>
      </c>
      <c r="D23" s="1972" t="s">
        <v>60</v>
      </c>
      <c r="E23" s="1765" t="s">
        <v>92</v>
      </c>
      <c r="F23" s="1948">
        <f t="shared" si="11"/>
        <v>340.55</v>
      </c>
      <c r="G23" s="441" t="s">
        <v>62</v>
      </c>
      <c r="H23" s="442">
        <f>VLOOKUP(G23,'CP FACTORS'!$A$26:$B$38,2,FALSE)</f>
        <v>1.899635E-4</v>
      </c>
      <c r="I23" s="486">
        <f t="shared" si="12"/>
        <v>6.6762000000000002E-2</v>
      </c>
      <c r="J23" s="19">
        <f t="shared" si="13"/>
        <v>15</v>
      </c>
      <c r="K23" s="667">
        <v>17</v>
      </c>
      <c r="L23" s="668" t="s">
        <v>63</v>
      </c>
      <c r="M23" s="444"/>
      <c r="V23" s="1311" t="s">
        <v>46</v>
      </c>
      <c r="W23" s="784"/>
      <c r="X23" s="785"/>
      <c r="Y23" s="784"/>
      <c r="Z23" s="785"/>
      <c r="AA23" s="785"/>
      <c r="AB23" s="52">
        <v>181.13</v>
      </c>
      <c r="AC23" s="942">
        <v>273.45999999999998</v>
      </c>
      <c r="AD23" s="940">
        <v>315.35000000000002</v>
      </c>
      <c r="AE23" s="56">
        <v>319.38</v>
      </c>
      <c r="AF23" s="253">
        <v>254.96</v>
      </c>
      <c r="AG23" s="253">
        <v>340.55</v>
      </c>
      <c r="AI23" s="101" t="s">
        <v>50</v>
      </c>
      <c r="AJ23" s="786"/>
      <c r="AK23" s="786"/>
      <c r="AL23" s="786"/>
      <c r="AM23" s="786"/>
      <c r="AN23" s="786"/>
      <c r="AO23" s="671">
        <v>15</v>
      </c>
      <c r="AP23" s="229">
        <v>15</v>
      </c>
      <c r="AQ23" s="687">
        <v>15</v>
      </c>
      <c r="AR23" s="19">
        <v>15</v>
      </c>
      <c r="AS23" s="19">
        <v>15</v>
      </c>
      <c r="AT23" s="19">
        <v>15</v>
      </c>
      <c r="AV23" s="101" t="s">
        <v>51</v>
      </c>
      <c r="AW23" s="787"/>
      <c r="AX23" s="787"/>
      <c r="AY23" s="787"/>
      <c r="AZ23" s="787"/>
      <c r="BA23" s="787"/>
      <c r="BB23" s="657">
        <v>29.64</v>
      </c>
      <c r="BC23" s="657">
        <v>29.64</v>
      </c>
      <c r="BD23" s="545">
        <v>29.64</v>
      </c>
      <c r="BE23" s="667">
        <v>29.64</v>
      </c>
      <c r="BF23" s="667">
        <v>29.64</v>
      </c>
      <c r="BG23" s="667">
        <v>29.64</v>
      </c>
      <c r="DK23" s="994">
        <f t="shared" si="8"/>
        <v>15.399749154164514</v>
      </c>
      <c r="DL23" s="641" t="str">
        <f t="shared" si="5"/>
        <v>Lighting BUS 15 Year EUL</v>
      </c>
      <c r="DM23" s="764">
        <f>(INDEX('Avoided Cost Benefits'!$B$4:$B$865,MATCH(DL23,'Avoided Cost Benefits'!$A$4:$A$865,0)))*F23</f>
        <v>261.79573562079673</v>
      </c>
      <c r="DN23" s="1928">
        <f t="shared" si="6"/>
        <v>17</v>
      </c>
    </row>
    <row r="24" spans="1:118" x14ac:dyDescent="0.25">
      <c r="A24" s="2006" t="s">
        <v>58</v>
      </c>
      <c r="B24" s="247">
        <f t="shared" si="7"/>
        <v>800950</v>
      </c>
      <c r="C24" s="656" t="s">
        <v>93</v>
      </c>
      <c r="D24" s="1972" t="s">
        <v>60</v>
      </c>
      <c r="E24" s="1765" t="s">
        <v>94</v>
      </c>
      <c r="F24" s="55">
        <f t="shared" si="11"/>
        <v>94.51</v>
      </c>
      <c r="G24" s="441" t="s">
        <v>62</v>
      </c>
      <c r="H24" s="442">
        <f>VLOOKUP(G24,'CP FACTORS'!$A$26:$B$38,2,FALSE)</f>
        <v>1.899635E-4</v>
      </c>
      <c r="I24" s="486">
        <f t="shared" si="12"/>
        <v>1.8527999999999999E-2</v>
      </c>
      <c r="J24" s="19">
        <f t="shared" si="13"/>
        <v>10</v>
      </c>
      <c r="K24" s="667">
        <v>18</v>
      </c>
      <c r="L24" s="668" t="s">
        <v>63</v>
      </c>
      <c r="M24" s="444"/>
      <c r="V24" s="1311" t="s">
        <v>46</v>
      </c>
      <c r="W24" s="890">
        <v>102.16788</v>
      </c>
      <c r="X24" s="53">
        <v>102.16788</v>
      </c>
      <c r="Y24" s="890">
        <v>102.16788</v>
      </c>
      <c r="Z24" s="53">
        <v>102.16788</v>
      </c>
      <c r="AA24" s="53">
        <v>102.16788</v>
      </c>
      <c r="AB24" s="890">
        <v>102.26</v>
      </c>
      <c r="AC24" s="942">
        <v>99.13</v>
      </c>
      <c r="AD24" s="940">
        <v>99.89</v>
      </c>
      <c r="AE24" s="56">
        <v>99.92</v>
      </c>
      <c r="AF24" s="253">
        <v>94.51</v>
      </c>
      <c r="AG24" s="253">
        <v>94.51</v>
      </c>
      <c r="AI24" s="1311" t="s">
        <v>50</v>
      </c>
      <c r="AJ24" s="19">
        <v>11</v>
      </c>
      <c r="AK24" s="19">
        <v>11</v>
      </c>
      <c r="AL24" s="19">
        <v>11</v>
      </c>
      <c r="AM24" s="19">
        <v>11</v>
      </c>
      <c r="AN24" s="19">
        <v>11</v>
      </c>
      <c r="AO24" s="1924">
        <v>11</v>
      </c>
      <c r="AP24" s="229">
        <v>10</v>
      </c>
      <c r="AQ24" s="687">
        <v>10</v>
      </c>
      <c r="AR24" s="19">
        <v>10</v>
      </c>
      <c r="AS24" s="19">
        <v>10</v>
      </c>
      <c r="AT24" s="19">
        <v>10</v>
      </c>
      <c r="AV24" s="1311" t="s">
        <v>51</v>
      </c>
      <c r="AW24" s="672">
        <v>11.94</v>
      </c>
      <c r="AX24" s="672">
        <v>11.94</v>
      </c>
      <c r="AY24" s="672">
        <v>11.94</v>
      </c>
      <c r="AZ24" s="672">
        <v>11.94</v>
      </c>
      <c r="BA24" s="672">
        <v>11.94</v>
      </c>
      <c r="BB24" s="1925">
        <v>11.94</v>
      </c>
      <c r="BC24" s="1925">
        <v>11.94</v>
      </c>
      <c r="BD24" s="545">
        <v>11.94</v>
      </c>
      <c r="BE24" s="667">
        <v>11.94</v>
      </c>
      <c r="BF24" s="667">
        <v>11.94</v>
      </c>
      <c r="BG24" s="667">
        <v>11.94</v>
      </c>
      <c r="CJ24" s="73"/>
      <c r="CK24" s="73"/>
      <c r="CL24" s="73"/>
      <c r="CM24" s="73"/>
      <c r="DA24" s="73"/>
      <c r="DB24" s="73"/>
      <c r="DC24" s="73"/>
      <c r="DD24" s="73"/>
      <c r="DK24" s="994">
        <f t="shared" si="8"/>
        <v>3.0170502040493603</v>
      </c>
      <c r="DL24" s="641" t="str">
        <f t="shared" si="5"/>
        <v>Lighting BUS 10 Year EUL</v>
      </c>
      <c r="DM24" s="764">
        <f>(INDEX('Avoided Cost Benefits'!$B$4:$B$865,MATCH(DL24,'Avoided Cost Benefits'!$A$4:$A$865,0)))*F24</f>
        <v>54.306903672888488</v>
      </c>
      <c r="DN24" s="1928">
        <f t="shared" ref="DN24" si="16">IFERROR(K24/((1+DiscountRate)^(CurrentYear-DiscountYear)),0)</f>
        <v>18</v>
      </c>
    </row>
    <row r="25" spans="1:118" outlineLevel="1" x14ac:dyDescent="0.25">
      <c r="A25" s="2170"/>
      <c r="D25" s="74" t="s">
        <v>95</v>
      </c>
      <c r="E25" s="108" t="s">
        <v>96</v>
      </c>
      <c r="F25" s="7"/>
      <c r="G25" s="7"/>
      <c r="H25" s="449"/>
      <c r="I25" s="7"/>
      <c r="J25" s="7"/>
      <c r="K25" s="7"/>
      <c r="L25" s="7"/>
      <c r="V25" s="247"/>
      <c r="CJ25" s="2"/>
      <c r="CN25"/>
      <c r="DA25" s="2"/>
      <c r="DE25"/>
      <c r="DK25" s="247"/>
      <c r="DL25" s="759"/>
      <c r="DN25" s="247"/>
    </row>
    <row r="26" spans="1:118" outlineLevel="1" x14ac:dyDescent="0.25">
      <c r="A26" s="2170"/>
      <c r="E26" s="7"/>
      <c r="F26" s="7"/>
      <c r="G26" s="7"/>
      <c r="H26" s="449"/>
      <c r="I26" s="7"/>
      <c r="J26" s="7"/>
      <c r="K26" s="7"/>
      <c r="L26" s="7"/>
      <c r="V26" s="247"/>
      <c r="CJ26" s="2"/>
      <c r="CN26"/>
      <c r="DA26" s="2"/>
      <c r="DE26"/>
      <c r="DK26" s="247"/>
      <c r="DL26" s="759"/>
      <c r="DN26" s="247"/>
    </row>
    <row r="27" spans="1:118" outlineLevel="1" x14ac:dyDescent="0.25">
      <c r="A27" s="2170"/>
      <c r="D27" s="7" t="s">
        <v>97</v>
      </c>
      <c r="E27" s="7"/>
      <c r="F27" s="7"/>
      <c r="G27" s="7"/>
      <c r="H27" s="449"/>
      <c r="I27" s="7"/>
      <c r="J27" s="7"/>
      <c r="K27" s="7"/>
      <c r="L27" s="7"/>
      <c r="M27" s="7"/>
      <c r="N27" s="7"/>
      <c r="O27" s="7"/>
      <c r="P27" s="7"/>
      <c r="Q27" s="7"/>
      <c r="R27" s="7"/>
      <c r="V27" s="247"/>
      <c r="CJ27" s="2"/>
      <c r="CN27"/>
      <c r="DA27" s="2"/>
      <c r="DE27"/>
      <c r="DK27" s="247"/>
      <c r="DL27" s="759"/>
      <c r="DN27" s="247"/>
    </row>
    <row r="28" spans="1:118" outlineLevel="1" x14ac:dyDescent="0.25">
      <c r="A28" s="2170"/>
      <c r="D28" s="450"/>
      <c r="G28" s="247"/>
      <c r="H28" s="451"/>
      <c r="V28" s="247"/>
      <c r="CJ28" s="2"/>
      <c r="CN28"/>
      <c r="DA28" s="2"/>
      <c r="DE28"/>
      <c r="DK28" s="247"/>
      <c r="DL28" s="759"/>
      <c r="DN28" s="247"/>
    </row>
    <row r="29" spans="1:118" outlineLevel="1" x14ac:dyDescent="0.25">
      <c r="A29" s="2170"/>
      <c r="D29" s="450"/>
      <c r="G29" s="247"/>
      <c r="H29" s="451"/>
      <c r="V29" s="247"/>
      <c r="CJ29" s="2"/>
      <c r="CN29"/>
      <c r="DA29" s="2"/>
      <c r="DE29"/>
      <c r="DK29" s="247"/>
      <c r="DL29" s="759"/>
      <c r="DN29" s="247"/>
    </row>
    <row r="30" spans="1:118" outlineLevel="1" x14ac:dyDescent="0.25">
      <c r="A30" s="2170"/>
      <c r="D30" s="450"/>
      <c r="G30" s="247"/>
      <c r="H30" s="451"/>
      <c r="V30" s="247"/>
      <c r="CJ30" s="2"/>
      <c r="CN30"/>
      <c r="DA30" s="2"/>
      <c r="DE30"/>
      <c r="DK30" s="247"/>
      <c r="DL30" s="759"/>
      <c r="DN30" s="247"/>
    </row>
    <row r="31" spans="1:118" outlineLevel="1" x14ac:dyDescent="0.25">
      <c r="A31" s="2170"/>
      <c r="D31" s="450"/>
      <c r="G31" s="247"/>
      <c r="H31" s="451"/>
      <c r="V31" s="247"/>
      <c r="CJ31" s="2"/>
      <c r="CN31"/>
      <c r="DA31" s="2"/>
      <c r="DE31"/>
      <c r="DK31" s="247"/>
      <c r="DL31" s="759"/>
      <c r="DN31" s="247"/>
    </row>
    <row r="32" spans="1:118" outlineLevel="1" x14ac:dyDescent="0.25">
      <c r="A32" s="2170"/>
      <c r="D32" s="450"/>
      <c r="G32" s="247"/>
      <c r="H32" s="451"/>
      <c r="V32" s="247"/>
      <c r="CJ32" s="2"/>
      <c r="CN32"/>
      <c r="DA32" s="2"/>
      <c r="DE32"/>
      <c r="DK32" s="247"/>
      <c r="DL32" s="759"/>
      <c r="DN32" s="247"/>
    </row>
    <row r="33" spans="1:118" outlineLevel="1" x14ac:dyDescent="0.25">
      <c r="A33" s="2170"/>
      <c r="D33" s="450"/>
      <c r="G33" s="247"/>
      <c r="H33" s="451"/>
      <c r="V33" s="247"/>
      <c r="CJ33" s="2"/>
      <c r="CN33"/>
      <c r="DA33" s="2"/>
      <c r="DE33"/>
      <c r="DK33" s="247"/>
      <c r="DL33" s="759"/>
      <c r="DN33" s="247"/>
    </row>
    <row r="34" spans="1:118" outlineLevel="1" x14ac:dyDescent="0.25">
      <c r="A34" s="2170"/>
      <c r="D34" s="450"/>
      <c r="G34" s="247"/>
      <c r="H34" s="451"/>
      <c r="V34" s="247"/>
      <c r="CJ34" s="2"/>
      <c r="CN34"/>
      <c r="DA34" s="2"/>
      <c r="DE34"/>
      <c r="DK34" s="247"/>
      <c r="DL34" s="759"/>
      <c r="DN34" s="247"/>
    </row>
    <row r="35" spans="1:118" outlineLevel="1" x14ac:dyDescent="0.25">
      <c r="A35" s="2170"/>
      <c r="D35" s="450"/>
      <c r="G35" s="247"/>
      <c r="H35" s="451"/>
      <c r="DN35" s="247"/>
    </row>
    <row r="36" spans="1:118" outlineLevel="1" x14ac:dyDescent="0.25">
      <c r="A36" s="2170"/>
      <c r="D36" s="450"/>
      <c r="G36" s="247"/>
      <c r="H36" s="451"/>
      <c r="CJ36" s="2"/>
      <c r="CK36" s="2"/>
      <c r="CL36" s="2"/>
      <c r="CM36" s="2"/>
      <c r="CX36"/>
      <c r="CY36"/>
      <c r="CZ36"/>
      <c r="DB36" s="2"/>
      <c r="DC36" s="2"/>
      <c r="DD36" s="2"/>
      <c r="DN36" s="247"/>
    </row>
    <row r="37" spans="1:118" outlineLevel="1" x14ac:dyDescent="0.25">
      <c r="A37" s="2170"/>
      <c r="D37" s="450"/>
      <c r="G37" s="247"/>
      <c r="H37" s="451"/>
      <c r="O37" s="247" t="s">
        <v>98</v>
      </c>
      <c r="V37" s="636" t="s">
        <v>53</v>
      </c>
      <c r="W37" s="637">
        <f>$W$8</f>
        <v>43252</v>
      </c>
      <c r="X37" s="637">
        <f>$X$8</f>
        <v>43465</v>
      </c>
      <c r="Y37" s="637">
        <f>$Y$8</f>
        <v>43800</v>
      </c>
      <c r="Z37" s="637">
        <f>$Z$8</f>
        <v>43862</v>
      </c>
      <c r="AA37" s="637">
        <f>$AA$8</f>
        <v>44013</v>
      </c>
      <c r="AB37" s="637">
        <v>44166</v>
      </c>
      <c r="AC37" s="637">
        <f>$AC$8</f>
        <v>44531</v>
      </c>
      <c r="AD37" s="637">
        <f>$AD$8</f>
        <v>44774</v>
      </c>
      <c r="AE37" s="637">
        <f>$AE$8</f>
        <v>45142</v>
      </c>
      <c r="AF37" s="637">
        <f>$AF$8</f>
        <v>45672</v>
      </c>
      <c r="AG37" s="637">
        <f>$AG$8</f>
        <v>45971</v>
      </c>
      <c r="AI37" s="636" t="s">
        <v>53</v>
      </c>
      <c r="AJ37" s="637">
        <f>$W$8</f>
        <v>43252</v>
      </c>
      <c r="AK37" s="637">
        <f>$X$8</f>
        <v>43465</v>
      </c>
      <c r="AL37" s="637">
        <f>$Y$8</f>
        <v>43800</v>
      </c>
      <c r="AM37" s="637">
        <f>$Z$8</f>
        <v>43862</v>
      </c>
      <c r="AN37" s="637">
        <f>$AA$8</f>
        <v>44013</v>
      </c>
      <c r="AO37" s="637">
        <v>44166</v>
      </c>
      <c r="AP37" s="637">
        <f>$AC$8</f>
        <v>44531</v>
      </c>
      <c r="AQ37" s="637">
        <f>$AD$8</f>
        <v>44774</v>
      </c>
      <c r="AR37" s="637">
        <f>$AE$8</f>
        <v>45142</v>
      </c>
      <c r="AS37" s="637">
        <f>$AF$8</f>
        <v>45672</v>
      </c>
      <c r="AT37" s="637">
        <f>$AT$8</f>
        <v>45971</v>
      </c>
      <c r="AV37" s="636" t="s">
        <v>53</v>
      </c>
      <c r="AW37" s="637">
        <f>$W$8</f>
        <v>43252</v>
      </c>
      <c r="AX37" s="637">
        <f>$X$8</f>
        <v>43465</v>
      </c>
      <c r="AY37" s="637">
        <f>$Y$8</f>
        <v>43800</v>
      </c>
      <c r="AZ37" s="637">
        <f>$Z$8</f>
        <v>43862</v>
      </c>
      <c r="BA37" s="637">
        <f>$AA$8</f>
        <v>44013</v>
      </c>
      <c r="BB37" s="637">
        <v>44166</v>
      </c>
      <c r="BC37" s="637">
        <f>$AC$8</f>
        <v>44531</v>
      </c>
      <c r="BD37" s="637">
        <f>$AD$8</f>
        <v>44774</v>
      </c>
      <c r="BE37" s="637">
        <f>$AE$8</f>
        <v>45142</v>
      </c>
      <c r="BF37" s="637">
        <f>$AF$8</f>
        <v>45672</v>
      </c>
      <c r="BG37" s="637">
        <f>$AT$8</f>
        <v>45971</v>
      </c>
      <c r="BI37" s="636" t="s">
        <v>53</v>
      </c>
      <c r="BJ37" s="637">
        <f>$W$8</f>
        <v>43252</v>
      </c>
      <c r="BK37" s="637">
        <f>$X$8</f>
        <v>43465</v>
      </c>
      <c r="BL37" s="637">
        <f>$Y$8</f>
        <v>43800</v>
      </c>
      <c r="BM37" s="637">
        <f>$Z$8</f>
        <v>43862</v>
      </c>
      <c r="BN37" s="637">
        <f>$AA$8</f>
        <v>44013</v>
      </c>
      <c r="BO37" s="637">
        <v>44166</v>
      </c>
      <c r="BP37" s="637">
        <f>$AC$8</f>
        <v>44531</v>
      </c>
      <c r="BQ37" s="637">
        <f>$AD$8</f>
        <v>44774</v>
      </c>
      <c r="BR37" s="637">
        <f>$AE$8</f>
        <v>45142</v>
      </c>
      <c r="BS37" s="637">
        <f>$AF$8</f>
        <v>45672</v>
      </c>
      <c r="BT37" s="637">
        <f>BG37</f>
        <v>45971</v>
      </c>
      <c r="BV37" s="162" t="s">
        <v>53</v>
      </c>
      <c r="BW37" s="163">
        <f>$W$8</f>
        <v>43252</v>
      </c>
      <c r="BX37" s="163">
        <f>$X$8</f>
        <v>43465</v>
      </c>
      <c r="BY37" s="163">
        <f>$Y$8</f>
        <v>43800</v>
      </c>
      <c r="BZ37" s="163">
        <f>$Z$8</f>
        <v>43862</v>
      </c>
      <c r="CA37" s="163">
        <f>$AA$8</f>
        <v>44013</v>
      </c>
      <c r="CB37" s="163">
        <v>44166</v>
      </c>
      <c r="CC37" s="163">
        <f>$AC$8</f>
        <v>44531</v>
      </c>
      <c r="CD37" s="163">
        <f>$AD$8</f>
        <v>44774</v>
      </c>
      <c r="CE37" s="163">
        <f>$AE$8</f>
        <v>45142</v>
      </c>
      <c r="CF37" s="163">
        <f>$AF$8</f>
        <v>45672</v>
      </c>
      <c r="CG37" s="163">
        <f>$AG$8</f>
        <v>45971</v>
      </c>
      <c r="CI37" s="163" t="s">
        <v>53</v>
      </c>
      <c r="CJ37" s="637">
        <f>$W$8</f>
        <v>43252</v>
      </c>
      <c r="CK37" s="637">
        <f>$X$8</f>
        <v>43465</v>
      </c>
      <c r="CL37" s="637">
        <f>$Y$8</f>
        <v>43800</v>
      </c>
      <c r="CM37" s="637">
        <f>$Z$8</f>
        <v>43862</v>
      </c>
      <c r="CN37" s="637">
        <f>$AA$8</f>
        <v>44013</v>
      </c>
      <c r="CO37" s="637">
        <v>44166</v>
      </c>
      <c r="CP37" s="637">
        <f>$AC$8</f>
        <v>44531</v>
      </c>
      <c r="CQ37" s="637">
        <f>$AD$8</f>
        <v>44774</v>
      </c>
      <c r="CR37" s="637">
        <f>$AE$8</f>
        <v>45142</v>
      </c>
      <c r="CS37" s="637">
        <f>$AF$8</f>
        <v>45672</v>
      </c>
      <c r="CT37" s="637">
        <f>$AG$8</f>
        <v>45971</v>
      </c>
      <c r="CU37" s="637"/>
      <c r="CW37" s="163" t="s">
        <v>53</v>
      </c>
      <c r="CX37" s="637">
        <f>$W$8</f>
        <v>43252</v>
      </c>
      <c r="CY37" s="637">
        <f>$X$8</f>
        <v>43465</v>
      </c>
      <c r="CZ37" s="637">
        <f>$Y$8</f>
        <v>43800</v>
      </c>
      <c r="DA37" s="637">
        <f>$Z$8</f>
        <v>43862</v>
      </c>
      <c r="DB37" s="637">
        <f>$AA$8</f>
        <v>44013</v>
      </c>
      <c r="DC37" s="637">
        <v>44166</v>
      </c>
      <c r="DD37" s="637">
        <f>$AC$8</f>
        <v>44531</v>
      </c>
      <c r="DE37" s="637">
        <f>$AD$8</f>
        <v>44774</v>
      </c>
      <c r="DF37" s="637">
        <f>$AE$8</f>
        <v>45142</v>
      </c>
      <c r="DG37" s="637">
        <f>$AF$8</f>
        <v>45672</v>
      </c>
      <c r="DH37" s="637">
        <f>$AG$8</f>
        <v>45971</v>
      </c>
      <c r="DN37" s="247"/>
    </row>
    <row r="38" spans="1:118" s="8" customFormat="1" ht="30" outlineLevel="1" x14ac:dyDescent="0.25">
      <c r="A38" s="2170"/>
      <c r="B38" s="115"/>
      <c r="C38" s="64"/>
      <c r="D38" s="9" t="s">
        <v>43</v>
      </c>
      <c r="E38" s="1301" t="s">
        <v>99</v>
      </c>
      <c r="F38" s="1301" t="s">
        <v>100</v>
      </c>
      <c r="G38" s="1301" t="s">
        <v>101</v>
      </c>
      <c r="H38" s="10" t="s">
        <v>102</v>
      </c>
      <c r="I38" s="669" t="s">
        <v>103</v>
      </c>
      <c r="J38" s="669" t="s">
        <v>104</v>
      </c>
      <c r="K38" s="1301" t="s">
        <v>105</v>
      </c>
      <c r="L38" s="1301" t="s">
        <v>50</v>
      </c>
      <c r="M38" s="1301" t="s">
        <v>106</v>
      </c>
      <c r="N38" s="115"/>
      <c r="O38" s="880" t="s">
        <v>107</v>
      </c>
      <c r="P38" s="880" t="s">
        <v>108</v>
      </c>
      <c r="Q38" s="880" t="s">
        <v>109</v>
      </c>
      <c r="R38" s="880" t="s">
        <v>110</v>
      </c>
      <c r="S38" s="880" t="s">
        <v>111</v>
      </c>
      <c r="T38" s="115"/>
      <c r="U38" s="115"/>
      <c r="V38" s="802" t="s">
        <v>43</v>
      </c>
      <c r="W38" s="14" t="str">
        <f>$F$38</f>
        <v>Watts Base</v>
      </c>
      <c r="X38" s="14" t="str">
        <f t="shared" ref="X38:AG38" si="17">$F$38</f>
        <v>Watts Base</v>
      </c>
      <c r="Y38" s="14" t="str">
        <f t="shared" si="17"/>
        <v>Watts Base</v>
      </c>
      <c r="Z38" s="14" t="str">
        <f t="shared" si="17"/>
        <v>Watts Base</v>
      </c>
      <c r="AA38" s="14" t="str">
        <f t="shared" si="17"/>
        <v>Watts Base</v>
      </c>
      <c r="AB38" s="14" t="s">
        <v>100</v>
      </c>
      <c r="AC38" s="14" t="str">
        <f t="shared" si="17"/>
        <v>Watts Base</v>
      </c>
      <c r="AD38" s="14" t="str">
        <f t="shared" si="17"/>
        <v>Watts Base</v>
      </c>
      <c r="AE38" s="14" t="str">
        <f t="shared" si="17"/>
        <v>Watts Base</v>
      </c>
      <c r="AF38" s="14" t="str">
        <f t="shared" si="17"/>
        <v>Watts Base</v>
      </c>
      <c r="AG38" s="14" t="str">
        <f t="shared" si="17"/>
        <v>Watts Base</v>
      </c>
      <c r="AI38" s="802" t="s">
        <v>43</v>
      </c>
      <c r="AJ38" s="14" t="str">
        <f>$G$38</f>
        <v>Watts EE</v>
      </c>
      <c r="AK38" s="14" t="str">
        <f t="shared" ref="AK38:AT38" si="18">$G$38</f>
        <v>Watts EE</v>
      </c>
      <c r="AL38" s="14" t="str">
        <f t="shared" si="18"/>
        <v>Watts EE</v>
      </c>
      <c r="AM38" s="14" t="str">
        <f t="shared" si="18"/>
        <v>Watts EE</v>
      </c>
      <c r="AN38" s="14" t="str">
        <f t="shared" si="18"/>
        <v>Watts EE</v>
      </c>
      <c r="AO38" s="14" t="str">
        <f t="shared" si="18"/>
        <v>Watts EE</v>
      </c>
      <c r="AP38" s="14" t="str">
        <f t="shared" si="18"/>
        <v>Watts EE</v>
      </c>
      <c r="AQ38" s="14" t="str">
        <f t="shared" si="18"/>
        <v>Watts EE</v>
      </c>
      <c r="AR38" s="14" t="str">
        <f t="shared" si="18"/>
        <v>Watts EE</v>
      </c>
      <c r="AS38" s="14" t="str">
        <f t="shared" si="18"/>
        <v>Watts EE</v>
      </c>
      <c r="AT38" s="14" t="str">
        <f t="shared" si="18"/>
        <v>Watts EE</v>
      </c>
      <c r="AV38" s="802" t="s">
        <v>43</v>
      </c>
      <c r="AW38" s="15" t="str">
        <f>$H$38</f>
        <v>HOU</v>
      </c>
      <c r="AX38" s="15" t="str">
        <f t="shared" ref="AX38:BG38" si="19">$H$38</f>
        <v>HOU</v>
      </c>
      <c r="AY38" s="15" t="str">
        <f t="shared" si="19"/>
        <v>HOU</v>
      </c>
      <c r="AZ38" s="15" t="str">
        <f t="shared" si="19"/>
        <v>HOU</v>
      </c>
      <c r="BA38" s="15" t="str">
        <f t="shared" si="19"/>
        <v>HOU</v>
      </c>
      <c r="BB38" s="15" t="s">
        <v>102</v>
      </c>
      <c r="BC38" s="15" t="str">
        <f t="shared" si="19"/>
        <v>HOU</v>
      </c>
      <c r="BD38" s="15" t="str">
        <f t="shared" si="19"/>
        <v>HOU</v>
      </c>
      <c r="BE38" s="15" t="str">
        <f t="shared" si="19"/>
        <v>HOU</v>
      </c>
      <c r="BF38" s="15" t="str">
        <f t="shared" si="19"/>
        <v>HOU</v>
      </c>
      <c r="BG38" s="15" t="str">
        <f t="shared" si="19"/>
        <v>HOU</v>
      </c>
      <c r="BI38" s="802" t="s">
        <v>43</v>
      </c>
      <c r="BJ38" s="15" t="str">
        <f>$I$38</f>
        <v>WHFe + -IFkWh</v>
      </c>
      <c r="BK38" s="15" t="str">
        <f t="shared" ref="BK38:BT38" si="20">$I$38</f>
        <v>WHFe + -IFkWh</v>
      </c>
      <c r="BL38" s="15" t="str">
        <f t="shared" si="20"/>
        <v>WHFe + -IFkWh</v>
      </c>
      <c r="BM38" s="15" t="str">
        <f t="shared" si="20"/>
        <v>WHFe + -IFkWh</v>
      </c>
      <c r="BN38" s="15" t="str">
        <f t="shared" si="20"/>
        <v>WHFe + -IFkWh</v>
      </c>
      <c r="BO38" s="15" t="s">
        <v>103</v>
      </c>
      <c r="BP38" s="15" t="str">
        <f t="shared" si="20"/>
        <v>WHFe + -IFkWh</v>
      </c>
      <c r="BQ38" s="15" t="str">
        <f t="shared" si="20"/>
        <v>WHFe + -IFkWh</v>
      </c>
      <c r="BR38" s="15" t="str">
        <f t="shared" si="20"/>
        <v>WHFe + -IFkWh</v>
      </c>
      <c r="BS38" s="15" t="str">
        <f t="shared" si="20"/>
        <v>WHFe + -IFkWh</v>
      </c>
      <c r="BT38" s="15" t="str">
        <f t="shared" si="20"/>
        <v>WHFe + -IFkWh</v>
      </c>
      <c r="BV38" s="973" t="s">
        <v>43</v>
      </c>
      <c r="BW38" s="973" t="s">
        <v>43</v>
      </c>
      <c r="BX38" s="15" t="s">
        <v>104</v>
      </c>
      <c r="BY38" s="15" t="s">
        <v>104</v>
      </c>
      <c r="BZ38" s="15" t="s">
        <v>104</v>
      </c>
      <c r="CA38" s="15" t="s">
        <v>104</v>
      </c>
      <c r="CB38" s="15" t="s">
        <v>104</v>
      </c>
      <c r="CC38" s="15" t="s">
        <v>104</v>
      </c>
      <c r="CD38" s="15" t="s">
        <v>104</v>
      </c>
      <c r="CE38" s="15" t="s">
        <v>104</v>
      </c>
      <c r="CF38" s="15" t="s">
        <v>104</v>
      </c>
      <c r="CG38" s="15" t="s">
        <v>104</v>
      </c>
      <c r="CI38" s="973" t="s">
        <v>43</v>
      </c>
      <c r="CJ38" s="15" t="str">
        <f t="shared" ref="CJ38:CT38" si="21">$K$38</f>
        <v>ISR</v>
      </c>
      <c r="CK38" s="15" t="str">
        <f t="shared" si="21"/>
        <v>ISR</v>
      </c>
      <c r="CL38" s="15" t="str">
        <f t="shared" si="21"/>
        <v>ISR</v>
      </c>
      <c r="CM38" s="15" t="str">
        <f t="shared" si="21"/>
        <v>ISR</v>
      </c>
      <c r="CN38" s="15" t="str">
        <f t="shared" si="21"/>
        <v>ISR</v>
      </c>
      <c r="CO38" s="15" t="str">
        <f t="shared" si="21"/>
        <v>ISR</v>
      </c>
      <c r="CP38" s="15" t="str">
        <f t="shared" si="21"/>
        <v>ISR</v>
      </c>
      <c r="CQ38" s="15" t="str">
        <f t="shared" si="21"/>
        <v>ISR</v>
      </c>
      <c r="CR38" s="15" t="str">
        <f t="shared" si="21"/>
        <v>ISR</v>
      </c>
      <c r="CS38" s="15" t="str">
        <f t="shared" si="21"/>
        <v>ISR</v>
      </c>
      <c r="CT38" s="15" t="str">
        <f t="shared" si="21"/>
        <v>ISR</v>
      </c>
      <c r="CU38" s="1935"/>
      <c r="CW38" s="973" t="s">
        <v>43</v>
      </c>
      <c r="CX38" s="15" t="str">
        <f t="shared" ref="CX38:DH38" si="22">$L$38</f>
        <v>EUL</v>
      </c>
      <c r="CY38" s="15" t="str">
        <f t="shared" si="22"/>
        <v>EUL</v>
      </c>
      <c r="CZ38" s="15" t="str">
        <f t="shared" si="22"/>
        <v>EUL</v>
      </c>
      <c r="DA38" s="15" t="str">
        <f t="shared" si="22"/>
        <v>EUL</v>
      </c>
      <c r="DB38" s="15" t="str">
        <f t="shared" si="22"/>
        <v>EUL</v>
      </c>
      <c r="DC38" s="15" t="str">
        <f t="shared" si="22"/>
        <v>EUL</v>
      </c>
      <c r="DD38" s="15" t="str">
        <f t="shared" si="22"/>
        <v>EUL</v>
      </c>
      <c r="DE38" s="15" t="str">
        <f t="shared" si="22"/>
        <v>EUL</v>
      </c>
      <c r="DF38" s="15" t="str">
        <f t="shared" si="22"/>
        <v>EUL</v>
      </c>
      <c r="DG38" s="15" t="str">
        <f t="shared" si="22"/>
        <v>EUL</v>
      </c>
      <c r="DH38" s="15" t="str">
        <f t="shared" si="22"/>
        <v>EUL</v>
      </c>
      <c r="DI38" s="2"/>
      <c r="DJ38" s="2"/>
      <c r="DK38" s="759"/>
      <c r="DL38" s="247"/>
      <c r="DM38" s="247"/>
      <c r="DN38" s="247"/>
    </row>
    <row r="39" spans="1:118" s="8" customFormat="1" outlineLevel="1" x14ac:dyDescent="0.25">
      <c r="A39" s="2170"/>
      <c r="B39" s="115"/>
      <c r="C39" s="64"/>
      <c r="D39" s="394" t="str">
        <f t="shared" ref="D39:D47" si="23">C9</f>
        <v>800050_2024_12_</v>
      </c>
      <c r="E39" s="394" t="str">
        <f t="shared" ref="E39:E47" si="24">E9</f>
        <v>LED &lt;=11 Watt Lamp Replacing Interior Halogen A 28-52 Watt Lamp</v>
      </c>
      <c r="F39" s="1690">
        <v>20</v>
      </c>
      <c r="G39" s="1690">
        <v>9.9700000000000006</v>
      </c>
      <c r="H39" s="1691">
        <v>2090</v>
      </c>
      <c r="I39" s="1678">
        <v>1.056</v>
      </c>
      <c r="J39" s="1678">
        <v>1.032</v>
      </c>
      <c r="K39" s="1690">
        <v>1</v>
      </c>
      <c r="L39" s="698">
        <v>10</v>
      </c>
      <c r="M39" s="1678">
        <f t="shared" ref="M39:M54" si="25">$S$42</f>
        <v>0.93732108169668527</v>
      </c>
      <c r="N39" s="115"/>
      <c r="O39" s="783" t="s">
        <v>112</v>
      </c>
      <c r="P39" s="928">
        <v>1.0029999999999999</v>
      </c>
      <c r="Q39" s="928">
        <v>0.92300000000000004</v>
      </c>
      <c r="R39" s="928">
        <f>P39*Q39</f>
        <v>0.92576899999999995</v>
      </c>
      <c r="S39" s="1775">
        <v>0.84419243153511514</v>
      </c>
      <c r="T39" s="115"/>
      <c r="U39" s="453"/>
      <c r="V39" s="658" t="s">
        <v>113</v>
      </c>
      <c r="W39" s="16">
        <v>36</v>
      </c>
      <c r="X39" s="112">
        <v>45</v>
      </c>
      <c r="Y39" s="17">
        <v>45</v>
      </c>
      <c r="Z39" s="17">
        <v>45</v>
      </c>
      <c r="AA39" s="17">
        <v>45</v>
      </c>
      <c r="AB39" s="16">
        <v>60.524073707152766</v>
      </c>
      <c r="AC39" s="692">
        <v>55.17</v>
      </c>
      <c r="AD39" s="160">
        <v>47.219512195121951</v>
      </c>
      <c r="AE39" s="112">
        <v>20</v>
      </c>
      <c r="AF39" s="17">
        <v>20</v>
      </c>
      <c r="AG39" s="17">
        <v>20</v>
      </c>
      <c r="AH39" s="670"/>
      <c r="AI39" s="731" t="s">
        <v>113</v>
      </c>
      <c r="AJ39" s="16">
        <v>8</v>
      </c>
      <c r="AK39" s="112">
        <v>9.1999999999999993</v>
      </c>
      <c r="AL39" s="17">
        <v>9.1999999999999993</v>
      </c>
      <c r="AM39" s="16">
        <v>9.1999999999999993</v>
      </c>
      <c r="AN39" s="16">
        <v>9.1999999999999993</v>
      </c>
      <c r="AO39" s="16">
        <v>9.2734297602536166</v>
      </c>
      <c r="AP39" s="692">
        <v>9.6199999999999992</v>
      </c>
      <c r="AQ39" s="160">
        <v>9.967265725288831</v>
      </c>
      <c r="AR39" s="17">
        <v>9.9700000000000006</v>
      </c>
      <c r="AS39" s="17">
        <v>9.9700000000000006</v>
      </c>
      <c r="AT39" s="17">
        <v>9.9700000000000006</v>
      </c>
      <c r="AU39" s="670"/>
      <c r="AV39" s="731" t="s">
        <v>113</v>
      </c>
      <c r="AW39" s="803">
        <v>2920</v>
      </c>
      <c r="AX39" s="804">
        <v>2386</v>
      </c>
      <c r="AY39" s="803">
        <v>2386</v>
      </c>
      <c r="AZ39" s="803">
        <v>2386</v>
      </c>
      <c r="BA39" s="803">
        <v>2386</v>
      </c>
      <c r="BB39" s="803">
        <v>3286.2179512581733</v>
      </c>
      <c r="BC39" s="803">
        <v>2698</v>
      </c>
      <c r="BD39" s="936">
        <v>2090.2888318356868</v>
      </c>
      <c r="BE39" s="1038">
        <v>2090</v>
      </c>
      <c r="BF39" s="1038">
        <v>2090</v>
      </c>
      <c r="BG39" s="1038">
        <v>2090</v>
      </c>
      <c r="BH39" s="670"/>
      <c r="BI39" s="731" t="s">
        <v>113</v>
      </c>
      <c r="BJ39" s="16">
        <v>1.07</v>
      </c>
      <c r="BK39" s="112">
        <v>1.08</v>
      </c>
      <c r="BL39" s="161">
        <v>1.08</v>
      </c>
      <c r="BM39" s="18">
        <v>1.08</v>
      </c>
      <c r="BN39" s="17">
        <f>I39</f>
        <v>1.056</v>
      </c>
      <c r="BO39" s="17">
        <v>1.071</v>
      </c>
      <c r="BP39" s="692">
        <v>1.071</v>
      </c>
      <c r="BQ39" s="682">
        <v>1.056</v>
      </c>
      <c r="BR39" s="1037">
        <v>1.056</v>
      </c>
      <c r="BS39" s="1037">
        <v>1.056</v>
      </c>
      <c r="BT39" s="1037">
        <v>1.056</v>
      </c>
      <c r="BU39" s="670"/>
      <c r="BV39" s="972" t="s">
        <v>113</v>
      </c>
      <c r="BW39" s="972"/>
      <c r="BX39" s="786"/>
      <c r="BY39" s="786"/>
      <c r="BZ39" s="786"/>
      <c r="CA39" s="786"/>
      <c r="CB39" s="786"/>
      <c r="CC39" s="786"/>
      <c r="CD39" s="682">
        <v>1.032</v>
      </c>
      <c r="CE39" s="1037">
        <v>1.032</v>
      </c>
      <c r="CF39" s="1037">
        <v>1.032</v>
      </c>
      <c r="CG39" s="1037">
        <v>1.032</v>
      </c>
      <c r="CI39" s="972" t="s">
        <v>113</v>
      </c>
      <c r="CJ39" s="16">
        <v>1</v>
      </c>
      <c r="CK39" s="112">
        <v>0.96</v>
      </c>
      <c r="CL39" s="16">
        <v>0.96</v>
      </c>
      <c r="CM39" s="16">
        <v>0.96</v>
      </c>
      <c r="CN39" s="16">
        <v>0.96</v>
      </c>
      <c r="CO39" s="16">
        <v>0.96</v>
      </c>
      <c r="CP39" s="692">
        <v>1</v>
      </c>
      <c r="CQ39" s="681">
        <v>1</v>
      </c>
      <c r="CR39" s="17">
        <v>1</v>
      </c>
      <c r="CS39" s="17">
        <v>1</v>
      </c>
      <c r="CT39" s="17">
        <v>1</v>
      </c>
      <c r="CU39" s="41"/>
      <c r="CV39" s="670"/>
      <c r="CW39" s="972" t="s">
        <v>113</v>
      </c>
      <c r="CX39" s="19">
        <v>17</v>
      </c>
      <c r="CY39" s="642">
        <v>21</v>
      </c>
      <c r="CZ39" s="618">
        <v>21</v>
      </c>
      <c r="DA39" s="618">
        <v>21</v>
      </c>
      <c r="DB39" s="618">
        <v>21</v>
      </c>
      <c r="DC39" s="618">
        <v>17</v>
      </c>
      <c r="DD39" s="723">
        <v>10</v>
      </c>
      <c r="DE39" s="938">
        <v>10</v>
      </c>
      <c r="DF39" s="19">
        <v>10</v>
      </c>
      <c r="DG39" s="19">
        <v>10</v>
      </c>
      <c r="DH39" s="19">
        <v>10</v>
      </c>
      <c r="DI39" s="2"/>
      <c r="DJ39" s="2"/>
      <c r="DK39" s="759"/>
      <c r="DL39" s="247"/>
      <c r="DM39" s="247"/>
      <c r="DN39" s="247"/>
    </row>
    <row r="40" spans="1:118" s="8" customFormat="1" outlineLevel="1" x14ac:dyDescent="0.25">
      <c r="A40" s="2170"/>
      <c r="B40" s="115"/>
      <c r="C40" s="64"/>
      <c r="D40" s="394" t="str">
        <f t="shared" si="23"/>
        <v>800100_2024_12_</v>
      </c>
      <c r="E40" s="394" t="str">
        <f t="shared" si="24"/>
        <v>LED 7-20 Watt Lamp Replacing Interior Halogen 53-70 Watt Lamp</v>
      </c>
      <c r="F40" s="1690">
        <v>45</v>
      </c>
      <c r="G40" s="1690">
        <v>9.2186132511556238</v>
      </c>
      <c r="H40" s="1691">
        <v>2195.9533127889058</v>
      </c>
      <c r="I40" s="1678">
        <v>1.056</v>
      </c>
      <c r="J40" s="1678">
        <v>1.032</v>
      </c>
      <c r="K40" s="1690">
        <v>1</v>
      </c>
      <c r="L40" s="698">
        <v>10</v>
      </c>
      <c r="M40" s="1678">
        <f t="shared" si="25"/>
        <v>0.93732108169668527</v>
      </c>
      <c r="N40" s="115"/>
      <c r="O40" s="783" t="s">
        <v>114</v>
      </c>
      <c r="P40" s="928">
        <v>0.99199999999999999</v>
      </c>
      <c r="Q40" s="928">
        <v>1.0069999999999999</v>
      </c>
      <c r="R40" s="928">
        <v>0.99894399999999994</v>
      </c>
      <c r="S40" s="1775">
        <v>8.2430684093554515E-2</v>
      </c>
      <c r="T40" s="115"/>
      <c r="U40" s="453"/>
      <c r="V40" s="658" t="s">
        <v>115</v>
      </c>
      <c r="W40" s="16">
        <v>63</v>
      </c>
      <c r="X40" s="20">
        <v>63</v>
      </c>
      <c r="Y40" s="20">
        <v>63</v>
      </c>
      <c r="Z40" s="17">
        <v>63</v>
      </c>
      <c r="AA40" s="17">
        <v>63</v>
      </c>
      <c r="AB40" s="16">
        <v>65.553668950451794</v>
      </c>
      <c r="AC40" s="692">
        <v>65.27</v>
      </c>
      <c r="AD40" s="160">
        <v>64.832124352331604</v>
      </c>
      <c r="AE40" s="112">
        <v>45</v>
      </c>
      <c r="AF40" s="17">
        <v>45</v>
      </c>
      <c r="AG40" s="17">
        <v>45</v>
      </c>
      <c r="AH40" s="670"/>
      <c r="AI40" s="731" t="s">
        <v>115</v>
      </c>
      <c r="AJ40" s="16">
        <v>14</v>
      </c>
      <c r="AK40" s="17">
        <v>14</v>
      </c>
      <c r="AL40" s="17">
        <v>14</v>
      </c>
      <c r="AM40" s="16">
        <v>14</v>
      </c>
      <c r="AN40" s="16">
        <v>14</v>
      </c>
      <c r="AO40" s="16">
        <v>9.6557442160659317</v>
      </c>
      <c r="AP40" s="692">
        <v>9.6999999999999993</v>
      </c>
      <c r="AQ40" s="160">
        <v>9.8848680780060487</v>
      </c>
      <c r="AR40" s="112">
        <v>9.5451461988304089</v>
      </c>
      <c r="AS40" s="112">
        <v>9.2186132511556238</v>
      </c>
      <c r="AT40" s="17">
        <v>9.2186132511556238</v>
      </c>
      <c r="AU40" s="670"/>
      <c r="AV40" s="731" t="s">
        <v>115</v>
      </c>
      <c r="AW40" s="803">
        <v>2920</v>
      </c>
      <c r="AX40" s="805">
        <v>2920</v>
      </c>
      <c r="AY40" s="803">
        <v>2920</v>
      </c>
      <c r="AZ40" s="803">
        <v>2920</v>
      </c>
      <c r="BA40" s="803">
        <v>2920</v>
      </c>
      <c r="BB40" s="803">
        <v>2205.5545129579982</v>
      </c>
      <c r="BC40" s="803">
        <v>2122</v>
      </c>
      <c r="BD40" s="936">
        <v>2289.824590676817</v>
      </c>
      <c r="BE40" s="943">
        <v>1699.6226900584795</v>
      </c>
      <c r="BF40" s="943">
        <v>2195.9533127889058</v>
      </c>
      <c r="BG40" s="1038">
        <v>2195.9533127889058</v>
      </c>
      <c r="BH40" s="670"/>
      <c r="BI40" s="731" t="s">
        <v>115</v>
      </c>
      <c r="BJ40" s="16">
        <v>1.07</v>
      </c>
      <c r="BK40" s="16">
        <v>1.07</v>
      </c>
      <c r="BL40" s="161">
        <v>1.07</v>
      </c>
      <c r="BM40" s="18">
        <v>1.07</v>
      </c>
      <c r="BN40" s="18">
        <v>1.07</v>
      </c>
      <c r="BO40" s="17">
        <v>1.071</v>
      </c>
      <c r="BP40" s="692">
        <v>1.071</v>
      </c>
      <c r="BQ40" s="682">
        <v>1.056</v>
      </c>
      <c r="BR40" s="1037">
        <v>1.056</v>
      </c>
      <c r="BS40" s="1037">
        <v>1.056</v>
      </c>
      <c r="BT40" s="1037">
        <v>1.056</v>
      </c>
      <c r="BU40" s="670"/>
      <c r="BV40" s="972" t="s">
        <v>115</v>
      </c>
      <c r="BW40" s="972"/>
      <c r="BX40" s="786"/>
      <c r="BY40" s="786"/>
      <c r="BZ40" s="786"/>
      <c r="CA40" s="786"/>
      <c r="CB40" s="786"/>
      <c r="CC40" s="786"/>
      <c r="CD40" s="682">
        <v>1.032</v>
      </c>
      <c r="CE40" s="1037">
        <v>1.032</v>
      </c>
      <c r="CF40" s="1037">
        <v>1.032</v>
      </c>
      <c r="CG40" s="1037">
        <v>1.032</v>
      </c>
      <c r="CI40" s="972" t="s">
        <v>115</v>
      </c>
      <c r="CJ40" s="16">
        <v>1</v>
      </c>
      <c r="CK40" s="17">
        <v>1</v>
      </c>
      <c r="CL40" s="16">
        <v>1</v>
      </c>
      <c r="CM40" s="16">
        <v>1</v>
      </c>
      <c r="CN40" s="16">
        <v>1</v>
      </c>
      <c r="CO40" s="16">
        <v>1</v>
      </c>
      <c r="CP40" s="692">
        <v>1</v>
      </c>
      <c r="CQ40" s="681">
        <v>1</v>
      </c>
      <c r="CR40" s="17">
        <v>1</v>
      </c>
      <c r="CS40" s="17">
        <v>1</v>
      </c>
      <c r="CT40" s="17">
        <v>1</v>
      </c>
      <c r="CU40" s="41"/>
      <c r="CV40" s="670"/>
      <c r="CW40" s="972" t="s">
        <v>115</v>
      </c>
      <c r="CX40" s="19">
        <v>17</v>
      </c>
      <c r="CY40" s="22">
        <v>17</v>
      </c>
      <c r="CZ40" s="618">
        <v>17</v>
      </c>
      <c r="DA40" s="618">
        <v>17</v>
      </c>
      <c r="DB40" s="618">
        <v>17</v>
      </c>
      <c r="DC40" s="618">
        <v>17</v>
      </c>
      <c r="DD40" s="723">
        <v>10</v>
      </c>
      <c r="DE40" s="938">
        <v>10</v>
      </c>
      <c r="DF40" s="19">
        <v>10</v>
      </c>
      <c r="DG40" s="19">
        <v>10</v>
      </c>
      <c r="DH40" s="19">
        <v>10</v>
      </c>
      <c r="DI40" s="2"/>
      <c r="DJ40" s="2"/>
      <c r="DK40" s="759"/>
      <c r="DL40" s="247"/>
      <c r="DM40" s="247"/>
      <c r="DN40" s="247"/>
    </row>
    <row r="41" spans="1:118" s="8" customFormat="1" outlineLevel="1" x14ac:dyDescent="0.25">
      <c r="A41" s="2170"/>
      <c r="B41" s="115"/>
      <c r="C41" s="64"/>
      <c r="D41" s="394" t="str">
        <f t="shared" si="23"/>
        <v>800150_2024_12_</v>
      </c>
      <c r="E41" s="394" t="str">
        <f t="shared" si="24"/>
        <v>LED &lt;=14 Watt Lamp Replacing Interior Halogen BR/R 45-65 Watt Lamp</v>
      </c>
      <c r="F41" s="1690">
        <v>20</v>
      </c>
      <c r="G41" s="1690">
        <v>9.5890410958904102</v>
      </c>
      <c r="H41" s="1691">
        <v>2685.0199252801995</v>
      </c>
      <c r="I41" s="1678">
        <v>1.056</v>
      </c>
      <c r="J41" s="1678">
        <v>1.032</v>
      </c>
      <c r="K41" s="1690">
        <v>1</v>
      </c>
      <c r="L41" s="698">
        <v>10</v>
      </c>
      <c r="M41" s="1678">
        <f t="shared" si="25"/>
        <v>0.93732108169668527</v>
      </c>
      <c r="N41" s="115"/>
      <c r="O41" s="783" t="s">
        <v>80</v>
      </c>
      <c r="P41" s="928">
        <v>1.0009999999999999</v>
      </c>
      <c r="Q41" s="928">
        <v>1</v>
      </c>
      <c r="R41" s="928">
        <v>1.0009999999999999</v>
      </c>
      <c r="S41" s="1775">
        <v>7.3376884371330345E-2</v>
      </c>
      <c r="T41" s="115"/>
      <c r="U41" s="453"/>
      <c r="V41" s="658" t="s">
        <v>116</v>
      </c>
      <c r="W41" s="16">
        <v>55</v>
      </c>
      <c r="X41" s="112">
        <v>62</v>
      </c>
      <c r="Y41" s="17">
        <v>62</v>
      </c>
      <c r="Z41" s="17">
        <v>62</v>
      </c>
      <c r="AA41" s="17">
        <v>62</v>
      </c>
      <c r="AB41" s="16">
        <v>66.525768731052409</v>
      </c>
      <c r="AC41" s="692">
        <v>66.88</v>
      </c>
      <c r="AD41" s="160">
        <v>65.846788045345235</v>
      </c>
      <c r="AE41" s="112">
        <v>20</v>
      </c>
      <c r="AF41" s="17">
        <v>20</v>
      </c>
      <c r="AG41" s="17">
        <v>20</v>
      </c>
      <c r="AH41" s="670"/>
      <c r="AI41" s="731" t="s">
        <v>116</v>
      </c>
      <c r="AJ41" s="16">
        <v>12</v>
      </c>
      <c r="AK41" s="112">
        <v>9.3000000000000007</v>
      </c>
      <c r="AL41" s="17">
        <v>9.3000000000000007</v>
      </c>
      <c r="AM41" s="16">
        <v>9.3000000000000007</v>
      </c>
      <c r="AN41" s="16">
        <v>9.3000000000000007</v>
      </c>
      <c r="AO41" s="16">
        <v>10.191857947163275</v>
      </c>
      <c r="AP41" s="692">
        <v>10.48</v>
      </c>
      <c r="AQ41" s="160">
        <v>10.311877789220734</v>
      </c>
      <c r="AR41" s="112">
        <v>9.9006479481641474</v>
      </c>
      <c r="AS41" s="112">
        <v>9.5890410958904102</v>
      </c>
      <c r="AT41" s="17">
        <v>9.5890410958904102</v>
      </c>
      <c r="AU41" s="670"/>
      <c r="AV41" s="731" t="s">
        <v>116</v>
      </c>
      <c r="AW41" s="803">
        <v>4380</v>
      </c>
      <c r="AX41" s="806">
        <v>3583</v>
      </c>
      <c r="AY41" s="803">
        <v>3583</v>
      </c>
      <c r="AZ41" s="803">
        <v>3583</v>
      </c>
      <c r="BA41" s="803">
        <v>3583</v>
      </c>
      <c r="BB41" s="803">
        <v>2711.439800779558</v>
      </c>
      <c r="BC41" s="803">
        <v>2553</v>
      </c>
      <c r="BD41" s="936">
        <v>4001.6227257123242</v>
      </c>
      <c r="BE41" s="943">
        <v>2678.7803147176796</v>
      </c>
      <c r="BF41" s="943">
        <v>2685.0199252801995</v>
      </c>
      <c r="BG41" s="1038">
        <v>2685.0199252801995</v>
      </c>
      <c r="BH41" s="670"/>
      <c r="BI41" s="731" t="s">
        <v>116</v>
      </c>
      <c r="BJ41" s="16">
        <v>1.07</v>
      </c>
      <c r="BK41" s="112">
        <v>1.0900000000000001</v>
      </c>
      <c r="BL41" s="161">
        <v>1.0900000000000001</v>
      </c>
      <c r="BM41" s="18">
        <v>1.0900000000000001</v>
      </c>
      <c r="BN41" s="18">
        <v>1.0900000000000001</v>
      </c>
      <c r="BO41" s="17">
        <v>1.071</v>
      </c>
      <c r="BP41" s="692">
        <v>1.071</v>
      </c>
      <c r="BQ41" s="682">
        <v>1.056</v>
      </c>
      <c r="BR41" s="1037">
        <v>1.056</v>
      </c>
      <c r="BS41" s="1037">
        <v>1.056</v>
      </c>
      <c r="BT41" s="1037">
        <v>1.056</v>
      </c>
      <c r="BU41" s="670"/>
      <c r="BV41" s="972" t="s">
        <v>116</v>
      </c>
      <c r="BW41" s="972"/>
      <c r="BX41" s="786"/>
      <c r="BY41" s="786"/>
      <c r="BZ41" s="786"/>
      <c r="CA41" s="786"/>
      <c r="CB41" s="786"/>
      <c r="CC41" s="786"/>
      <c r="CD41" s="682">
        <v>1.032</v>
      </c>
      <c r="CE41" s="1037">
        <v>1.032</v>
      </c>
      <c r="CF41" s="1037">
        <v>1.032</v>
      </c>
      <c r="CG41" s="1037">
        <v>1.032</v>
      </c>
      <c r="CI41" s="972" t="s">
        <v>116</v>
      </c>
      <c r="CJ41" s="16">
        <v>1</v>
      </c>
      <c r="CK41" s="112">
        <v>0.99</v>
      </c>
      <c r="CL41" s="16">
        <v>0.99</v>
      </c>
      <c r="CM41" s="16">
        <v>0.99</v>
      </c>
      <c r="CN41" s="16">
        <v>0.99</v>
      </c>
      <c r="CO41" s="16">
        <v>0.99</v>
      </c>
      <c r="CP41" s="692">
        <v>1</v>
      </c>
      <c r="CQ41" s="681">
        <v>1</v>
      </c>
      <c r="CR41" s="17">
        <v>1</v>
      </c>
      <c r="CS41" s="17">
        <v>1</v>
      </c>
      <c r="CT41" s="17">
        <v>1</v>
      </c>
      <c r="CU41" s="41"/>
      <c r="CV41" s="670"/>
      <c r="CW41" s="972" t="s">
        <v>116</v>
      </c>
      <c r="CX41" s="19">
        <v>11</v>
      </c>
      <c r="CY41" s="642">
        <v>14</v>
      </c>
      <c r="CZ41" s="618">
        <v>14</v>
      </c>
      <c r="DA41" s="618">
        <v>14</v>
      </c>
      <c r="DB41" s="618">
        <v>14</v>
      </c>
      <c r="DC41" s="618">
        <v>11</v>
      </c>
      <c r="DD41" s="723">
        <v>10</v>
      </c>
      <c r="DE41" s="938">
        <v>10</v>
      </c>
      <c r="DF41" s="19">
        <v>10</v>
      </c>
      <c r="DG41" s="19">
        <v>10</v>
      </c>
      <c r="DH41" s="19">
        <v>10</v>
      </c>
      <c r="DI41" s="2"/>
      <c r="DJ41" s="2"/>
      <c r="DK41" s="759"/>
      <c r="DL41" s="247"/>
      <c r="DM41" s="247"/>
      <c r="DN41" s="247"/>
    </row>
    <row r="42" spans="1:118" s="8" customFormat="1" outlineLevel="1" x14ac:dyDescent="0.25">
      <c r="A42" s="2170"/>
      <c r="B42" s="115"/>
      <c r="C42" s="64"/>
      <c r="D42" s="394" t="str">
        <f t="shared" si="23"/>
        <v>800200_2024_12_</v>
      </c>
      <c r="E42" s="394" t="str">
        <f t="shared" si="24"/>
        <v>LED &lt;=13 Watt Lamp Replacing Interior Halogen MR-16 35-50 Watt Lamp</v>
      </c>
      <c r="F42" s="1690">
        <v>47.521739130434781</v>
      </c>
      <c r="G42" s="1690">
        <v>7.1699029126213594</v>
      </c>
      <c r="H42" s="1691">
        <v>4383.2038834951454</v>
      </c>
      <c r="I42" s="1678">
        <v>1.056</v>
      </c>
      <c r="J42" s="1678">
        <v>1.032</v>
      </c>
      <c r="K42" s="1690">
        <v>1</v>
      </c>
      <c r="L42" s="698">
        <v>10</v>
      </c>
      <c r="M42" s="1678">
        <f t="shared" si="25"/>
        <v>0.93732108169668527</v>
      </c>
      <c r="N42" s="115"/>
      <c r="O42" s="115"/>
      <c r="P42" s="115"/>
      <c r="Q42" s="783"/>
      <c r="R42" s="881" t="s">
        <v>117</v>
      </c>
      <c r="S42" s="1776">
        <f>SUMPRODUCT(R39:R41,S39:S41)</f>
        <v>0.93732108169668527</v>
      </c>
      <c r="T42" s="115"/>
      <c r="U42" s="454"/>
      <c r="V42" s="658" t="s">
        <v>118</v>
      </c>
      <c r="W42" s="16">
        <v>50</v>
      </c>
      <c r="X42" s="112">
        <v>45</v>
      </c>
      <c r="Y42" s="17">
        <v>45</v>
      </c>
      <c r="Z42" s="17">
        <v>45</v>
      </c>
      <c r="AA42" s="17">
        <v>45</v>
      </c>
      <c r="AB42" s="16">
        <v>46.867785939139559</v>
      </c>
      <c r="AC42" s="692">
        <v>41.62</v>
      </c>
      <c r="AD42" s="160">
        <v>49.004160166406656</v>
      </c>
      <c r="AE42" s="112">
        <v>47.521739130434781</v>
      </c>
      <c r="AF42" s="17">
        <v>47.521739130434781</v>
      </c>
      <c r="AG42" s="17">
        <v>47.521739130434781</v>
      </c>
      <c r="AH42" s="670"/>
      <c r="AI42" s="731" t="s">
        <v>118</v>
      </c>
      <c r="AJ42" s="16">
        <v>12</v>
      </c>
      <c r="AK42" s="112">
        <v>8.5</v>
      </c>
      <c r="AL42" s="17">
        <v>8.5</v>
      </c>
      <c r="AM42" s="16">
        <v>8.5</v>
      </c>
      <c r="AN42" s="16">
        <v>8.5</v>
      </c>
      <c r="AO42" s="16">
        <v>6.5456453305351525</v>
      </c>
      <c r="AP42" s="692">
        <v>6.35</v>
      </c>
      <c r="AQ42" s="160">
        <v>7.2600104004160171</v>
      </c>
      <c r="AR42" s="112">
        <v>5.8208695652173912</v>
      </c>
      <c r="AS42" s="112">
        <v>7.1699029126213594</v>
      </c>
      <c r="AT42" s="17">
        <v>7.1699029126213594</v>
      </c>
      <c r="AU42" s="670"/>
      <c r="AV42" s="731" t="s">
        <v>118</v>
      </c>
      <c r="AW42" s="803">
        <v>4380</v>
      </c>
      <c r="AX42" s="804">
        <v>4120</v>
      </c>
      <c r="AY42" s="803">
        <v>4120</v>
      </c>
      <c r="AZ42" s="803">
        <v>4120</v>
      </c>
      <c r="BA42" s="803">
        <v>4120</v>
      </c>
      <c r="BB42" s="803">
        <v>3585.087093389297</v>
      </c>
      <c r="BC42" s="803">
        <v>2808</v>
      </c>
      <c r="BD42" s="936">
        <v>1824.646905876235</v>
      </c>
      <c r="BE42" s="943">
        <v>2766.4156521739133</v>
      </c>
      <c r="BF42" s="943">
        <v>4383.2038834951454</v>
      </c>
      <c r="BG42" s="1038">
        <v>4383.2038834951454</v>
      </c>
      <c r="BH42" s="670"/>
      <c r="BI42" s="731" t="s">
        <v>118</v>
      </c>
      <c r="BJ42" s="16">
        <v>1.07</v>
      </c>
      <c r="BK42" s="112">
        <v>1.1000000000000001</v>
      </c>
      <c r="BL42" s="161">
        <v>1.1000000000000001</v>
      </c>
      <c r="BM42" s="18">
        <v>1.1000000000000001</v>
      </c>
      <c r="BN42" s="18">
        <v>1.1000000000000001</v>
      </c>
      <c r="BO42" s="17">
        <v>1.071</v>
      </c>
      <c r="BP42" s="692">
        <v>1.071</v>
      </c>
      <c r="BQ42" s="682">
        <v>1.056</v>
      </c>
      <c r="BR42" s="1037">
        <v>1.056</v>
      </c>
      <c r="BS42" s="1037">
        <v>1.056</v>
      </c>
      <c r="BT42" s="1037">
        <v>1.056</v>
      </c>
      <c r="BU42" s="670"/>
      <c r="BV42" s="972" t="s">
        <v>118</v>
      </c>
      <c r="BW42" s="972"/>
      <c r="BX42" s="786"/>
      <c r="BY42" s="786"/>
      <c r="BZ42" s="786"/>
      <c r="CA42" s="786"/>
      <c r="CB42" s="786"/>
      <c r="CC42" s="786"/>
      <c r="CD42" s="682">
        <v>1.032</v>
      </c>
      <c r="CE42" s="1037">
        <v>1.032</v>
      </c>
      <c r="CF42" s="1037">
        <v>1.032</v>
      </c>
      <c r="CG42" s="1037">
        <v>1.032</v>
      </c>
      <c r="CI42" s="972" t="s">
        <v>118</v>
      </c>
      <c r="CJ42" s="16">
        <v>1</v>
      </c>
      <c r="CK42" s="112">
        <v>0.995</v>
      </c>
      <c r="CL42" s="16">
        <v>0.995</v>
      </c>
      <c r="CM42" s="16">
        <v>0.995</v>
      </c>
      <c r="CN42" s="16">
        <v>0.995</v>
      </c>
      <c r="CO42" s="16">
        <v>0.995</v>
      </c>
      <c r="CP42" s="692">
        <v>0.995</v>
      </c>
      <c r="CQ42" s="681">
        <v>0.995</v>
      </c>
      <c r="CR42" s="17">
        <v>1</v>
      </c>
      <c r="CS42" s="17">
        <v>1</v>
      </c>
      <c r="CT42" s="17">
        <v>1</v>
      </c>
      <c r="CU42" s="41"/>
      <c r="CV42" s="670"/>
      <c r="CW42" s="972" t="s">
        <v>118</v>
      </c>
      <c r="CX42" s="19">
        <v>11</v>
      </c>
      <c r="CY42" s="642">
        <v>12</v>
      </c>
      <c r="CZ42" s="618">
        <v>12</v>
      </c>
      <c r="DA42" s="618">
        <v>12</v>
      </c>
      <c r="DB42" s="618">
        <v>12</v>
      </c>
      <c r="DC42" s="618">
        <v>11</v>
      </c>
      <c r="DD42" s="723">
        <v>10</v>
      </c>
      <c r="DE42" s="938">
        <v>10</v>
      </c>
      <c r="DF42" s="19">
        <v>10</v>
      </c>
      <c r="DG42" s="19">
        <v>10</v>
      </c>
      <c r="DH42" s="19">
        <v>10</v>
      </c>
      <c r="DI42" s="2"/>
      <c r="DJ42" s="2"/>
      <c r="DK42" s="759"/>
      <c r="DL42" s="247"/>
      <c r="DM42" s="247"/>
      <c r="DN42" s="247"/>
    </row>
    <row r="43" spans="1:118" ht="15" customHeight="1" outlineLevel="1" x14ac:dyDescent="0.25">
      <c r="A43" s="2170"/>
      <c r="C43" s="64"/>
      <c r="D43" s="394" t="str">
        <f t="shared" si="23"/>
        <v>800250_2024_12_</v>
      </c>
      <c r="E43" s="394" t="str">
        <f t="shared" si="24"/>
        <v xml:space="preserve">LED &lt;=20 Watt Lamp Replacing Interior Halogen PAR 48-90 Watt Lamp  </v>
      </c>
      <c r="F43" s="1690">
        <v>25</v>
      </c>
      <c r="G43" s="1690">
        <v>12.976816074188562</v>
      </c>
      <c r="H43" s="1691">
        <v>3389.9768160741887</v>
      </c>
      <c r="I43" s="1678">
        <v>1.056</v>
      </c>
      <c r="J43" s="1678">
        <v>1.032</v>
      </c>
      <c r="K43" s="1690">
        <v>1</v>
      </c>
      <c r="L43" s="698">
        <v>10</v>
      </c>
      <c r="M43" s="1678">
        <f t="shared" si="25"/>
        <v>0.93732108169668527</v>
      </c>
      <c r="O43" s="2318" t="s">
        <v>119</v>
      </c>
      <c r="P43" s="2318"/>
      <c r="Q43" s="2318"/>
      <c r="R43" s="2318"/>
      <c r="S43" s="2318"/>
      <c r="U43" s="455"/>
      <c r="V43" s="658" t="s">
        <v>120</v>
      </c>
      <c r="W43" s="16">
        <v>70</v>
      </c>
      <c r="X43" s="112">
        <v>72</v>
      </c>
      <c r="Y43" s="17">
        <v>72</v>
      </c>
      <c r="Z43" s="17">
        <v>72</v>
      </c>
      <c r="AA43" s="17">
        <v>72</v>
      </c>
      <c r="AB43" s="16">
        <v>75.836453954910198</v>
      </c>
      <c r="AC43" s="692">
        <v>75.62</v>
      </c>
      <c r="AD43" s="160">
        <v>76.371454711802386</v>
      </c>
      <c r="AE43" s="112">
        <v>25</v>
      </c>
      <c r="AF43" s="17">
        <v>25</v>
      </c>
      <c r="AG43" s="17">
        <v>25</v>
      </c>
      <c r="AH43" s="21"/>
      <c r="AI43" s="731" t="s">
        <v>120</v>
      </c>
      <c r="AJ43" s="16">
        <v>15</v>
      </c>
      <c r="AK43" s="112">
        <v>12.8</v>
      </c>
      <c r="AL43" s="17">
        <v>12.8</v>
      </c>
      <c r="AM43" s="16">
        <v>12.8</v>
      </c>
      <c r="AN43" s="16">
        <v>12.8</v>
      </c>
      <c r="AO43" s="16">
        <v>12.790026748184944</v>
      </c>
      <c r="AP43" s="692">
        <v>12.35</v>
      </c>
      <c r="AQ43" s="160">
        <v>13.429835265405735</v>
      </c>
      <c r="AR43" s="112">
        <v>13.587975730832873</v>
      </c>
      <c r="AS43" s="112">
        <v>12.976816074188562</v>
      </c>
      <c r="AT43" s="17">
        <v>12.976816074188562</v>
      </c>
      <c r="AU43" s="21"/>
      <c r="AV43" s="731" t="s">
        <v>120</v>
      </c>
      <c r="AW43" s="803">
        <v>4380</v>
      </c>
      <c r="AX43" s="804">
        <v>4003</v>
      </c>
      <c r="AY43" s="803">
        <v>4003</v>
      </c>
      <c r="AZ43" s="803">
        <v>4003</v>
      </c>
      <c r="BA43" s="803">
        <v>4003</v>
      </c>
      <c r="BB43" s="803">
        <v>3397.4975162399696</v>
      </c>
      <c r="BC43" s="803">
        <v>2956</v>
      </c>
      <c r="BD43" s="936">
        <v>2851.9417327638803</v>
      </c>
      <c r="BE43" s="943">
        <v>3399.2360728075014</v>
      </c>
      <c r="BF43" s="943">
        <v>3389.9768160741887</v>
      </c>
      <c r="BG43" s="1038">
        <v>3389.9768160741887</v>
      </c>
      <c r="BH43" s="21"/>
      <c r="BI43" s="731" t="s">
        <v>120</v>
      </c>
      <c r="BJ43" s="16">
        <v>1.07</v>
      </c>
      <c r="BK43" s="112">
        <v>1.0900000000000001</v>
      </c>
      <c r="BL43" s="161">
        <v>1.0900000000000001</v>
      </c>
      <c r="BM43" s="18">
        <v>1.0900000000000001</v>
      </c>
      <c r="BN43" s="18">
        <v>1.0900000000000001</v>
      </c>
      <c r="BO43" s="17">
        <v>1.071</v>
      </c>
      <c r="BP43" s="692">
        <v>1.071</v>
      </c>
      <c r="BQ43" s="682">
        <v>1.056</v>
      </c>
      <c r="BR43" s="1037">
        <v>1.056</v>
      </c>
      <c r="BS43" s="1037">
        <v>1.056</v>
      </c>
      <c r="BT43" s="1037">
        <v>1.056</v>
      </c>
      <c r="BU43" s="21"/>
      <c r="BV43" s="972" t="s">
        <v>120</v>
      </c>
      <c r="BW43" s="972"/>
      <c r="BX43" s="786"/>
      <c r="BY43" s="786"/>
      <c r="BZ43" s="786"/>
      <c r="CA43" s="786"/>
      <c r="CB43" s="786"/>
      <c r="CC43" s="786"/>
      <c r="CD43" s="682">
        <v>1.032</v>
      </c>
      <c r="CE43" s="1037">
        <v>1.032</v>
      </c>
      <c r="CF43" s="1037">
        <v>1.032</v>
      </c>
      <c r="CG43" s="1037">
        <v>1.032</v>
      </c>
      <c r="CI43" s="972" t="s">
        <v>120</v>
      </c>
      <c r="CJ43" s="16">
        <v>1</v>
      </c>
      <c r="CK43" s="112">
        <v>0.99</v>
      </c>
      <c r="CL43" s="16">
        <v>0.99</v>
      </c>
      <c r="CM43" s="16">
        <v>0.99</v>
      </c>
      <c r="CN43" s="16">
        <v>0.99</v>
      </c>
      <c r="CO43" s="16">
        <v>0.99</v>
      </c>
      <c r="CP43" s="692">
        <v>1</v>
      </c>
      <c r="CQ43" s="681">
        <v>1</v>
      </c>
      <c r="CR43" s="17">
        <v>1</v>
      </c>
      <c r="CS43" s="17">
        <v>1</v>
      </c>
      <c r="CT43" s="17">
        <v>1</v>
      </c>
      <c r="CU43" s="41"/>
      <c r="CV43" s="21"/>
      <c r="CW43" s="972" t="s">
        <v>120</v>
      </c>
      <c r="CX43" s="19">
        <v>11</v>
      </c>
      <c r="CY43" s="642">
        <v>12</v>
      </c>
      <c r="CZ43" s="618">
        <v>12</v>
      </c>
      <c r="DA43" s="618">
        <v>12</v>
      </c>
      <c r="DB43" s="618">
        <v>12</v>
      </c>
      <c r="DC43" s="618">
        <v>11</v>
      </c>
      <c r="DD43" s="723">
        <v>10</v>
      </c>
      <c r="DE43" s="938">
        <v>10</v>
      </c>
      <c r="DF43" s="19">
        <v>10</v>
      </c>
      <c r="DG43" s="19">
        <v>10</v>
      </c>
      <c r="DH43" s="19">
        <v>10</v>
      </c>
      <c r="DN43" s="247"/>
    </row>
    <row r="44" spans="1:118" outlineLevel="1" x14ac:dyDescent="0.25">
      <c r="A44" s="2170"/>
      <c r="C44" s="64"/>
      <c r="D44" s="394" t="str">
        <f t="shared" si="23"/>
        <v>800300_2025_12_</v>
      </c>
      <c r="E44" s="394" t="str">
        <f t="shared" si="24"/>
        <v>LED &lt;=80 Watt Lamp or Fixture Replacing Interior HID 100-175 Watt Lamp or Fixture</v>
      </c>
      <c r="F44" s="1690">
        <v>322.75925221799747</v>
      </c>
      <c r="G44" s="1690">
        <v>95.206478765463586</v>
      </c>
      <c r="H44" s="1949">
        <v>3508.4181101910276</v>
      </c>
      <c r="I44" s="1678">
        <v>1.056</v>
      </c>
      <c r="J44" s="1678">
        <v>1.032</v>
      </c>
      <c r="K44" s="1690">
        <v>1</v>
      </c>
      <c r="L44" s="698">
        <v>15</v>
      </c>
      <c r="M44" s="1678">
        <f t="shared" si="25"/>
        <v>0.93732108169668527</v>
      </c>
      <c r="O44" s="2318"/>
      <c r="P44" s="2318"/>
      <c r="Q44" s="2318"/>
      <c r="R44" s="2318"/>
      <c r="S44" s="2318"/>
      <c r="U44" s="455"/>
      <c r="V44" s="658" t="s">
        <v>121</v>
      </c>
      <c r="W44" s="16">
        <v>175</v>
      </c>
      <c r="X44" s="112">
        <v>132</v>
      </c>
      <c r="Y44" s="17">
        <v>132</v>
      </c>
      <c r="Z44" s="17">
        <v>132</v>
      </c>
      <c r="AA44" s="17">
        <v>132</v>
      </c>
      <c r="AB44" s="16">
        <v>459.93313010766639</v>
      </c>
      <c r="AC44" s="692">
        <v>114.81</v>
      </c>
      <c r="AD44" s="160">
        <v>414.83622207804245</v>
      </c>
      <c r="AE44" s="17">
        <v>414.84</v>
      </c>
      <c r="AF44" s="112">
        <v>322.75925221799747</v>
      </c>
      <c r="AG44" s="17">
        <v>322.75925221799747</v>
      </c>
      <c r="AH44" s="21"/>
      <c r="AI44" s="731" t="s">
        <v>121</v>
      </c>
      <c r="AJ44" s="16">
        <v>52</v>
      </c>
      <c r="AK44" s="112">
        <v>48</v>
      </c>
      <c r="AL44" s="17">
        <v>48</v>
      </c>
      <c r="AM44" s="16">
        <v>48</v>
      </c>
      <c r="AN44" s="16">
        <v>48</v>
      </c>
      <c r="AO44" s="16">
        <v>141.88500454014789</v>
      </c>
      <c r="AP44" s="692">
        <v>20.54</v>
      </c>
      <c r="AQ44" s="160">
        <v>123.0018049544157</v>
      </c>
      <c r="AR44" s="17">
        <v>123</v>
      </c>
      <c r="AS44" s="112">
        <v>95.206478765463586</v>
      </c>
      <c r="AT44" s="17">
        <v>95.206478765463586</v>
      </c>
      <c r="AU44" s="21"/>
      <c r="AV44" s="731" t="s">
        <v>121</v>
      </c>
      <c r="AW44" s="803">
        <v>4380</v>
      </c>
      <c r="AX44" s="804">
        <v>4399</v>
      </c>
      <c r="AY44" s="803">
        <v>4399</v>
      </c>
      <c r="AZ44" s="803">
        <v>4399</v>
      </c>
      <c r="BA44" s="803">
        <v>4399</v>
      </c>
      <c r="BB44" s="803">
        <v>3517.5659618627578</v>
      </c>
      <c r="BC44" s="803">
        <v>6900</v>
      </c>
      <c r="BD44" s="936">
        <v>3697.4137581729442</v>
      </c>
      <c r="BE44" s="1038">
        <v>3697</v>
      </c>
      <c r="BF44" s="943">
        <v>3181.6099987246525</v>
      </c>
      <c r="BG44" s="943">
        <v>3508.4181101910276</v>
      </c>
      <c r="BH44" s="21"/>
      <c r="BI44" s="731" t="s">
        <v>121</v>
      </c>
      <c r="BJ44" s="16">
        <v>1.07</v>
      </c>
      <c r="BK44" s="112">
        <v>1</v>
      </c>
      <c r="BL44" s="161">
        <v>1</v>
      </c>
      <c r="BM44" s="18">
        <v>1</v>
      </c>
      <c r="BN44" s="18">
        <v>1</v>
      </c>
      <c r="BO44" s="17">
        <v>1.071</v>
      </c>
      <c r="BP44" s="692">
        <v>1.071</v>
      </c>
      <c r="BQ44" s="682">
        <v>1.056</v>
      </c>
      <c r="BR44" s="1037">
        <v>1.056</v>
      </c>
      <c r="BS44" s="1037">
        <v>1.056</v>
      </c>
      <c r="BT44" s="1037">
        <v>1.056</v>
      </c>
      <c r="BU44" s="21"/>
      <c r="BV44" s="972" t="s">
        <v>121</v>
      </c>
      <c r="BW44" s="972"/>
      <c r="BX44" s="786"/>
      <c r="BY44" s="786"/>
      <c r="BZ44" s="786"/>
      <c r="CA44" s="786"/>
      <c r="CB44" s="786"/>
      <c r="CC44" s="786"/>
      <c r="CD44" s="682">
        <v>1.032</v>
      </c>
      <c r="CE44" s="1037">
        <v>1.032</v>
      </c>
      <c r="CF44" s="1037">
        <v>1.032</v>
      </c>
      <c r="CG44" s="1037">
        <v>1.032</v>
      </c>
      <c r="CI44" s="972" t="s">
        <v>121</v>
      </c>
      <c r="CJ44" s="16">
        <v>1</v>
      </c>
      <c r="CK44" s="17">
        <v>1</v>
      </c>
      <c r="CL44" s="16">
        <v>1</v>
      </c>
      <c r="CM44" s="16">
        <v>1</v>
      </c>
      <c r="CN44" s="16">
        <v>1</v>
      </c>
      <c r="CO44" s="16">
        <v>1</v>
      </c>
      <c r="CP44" s="692">
        <v>1</v>
      </c>
      <c r="CQ44" s="681">
        <v>1</v>
      </c>
      <c r="CR44" s="17">
        <v>1</v>
      </c>
      <c r="CS44" s="17">
        <v>1</v>
      </c>
      <c r="CT44" s="17">
        <v>1</v>
      </c>
      <c r="CU44" s="41"/>
      <c r="CV44" s="21"/>
      <c r="CW44" s="972" t="s">
        <v>121</v>
      </c>
      <c r="CX44" s="19">
        <v>11</v>
      </c>
      <c r="CY44" s="22">
        <v>11</v>
      </c>
      <c r="CZ44" s="618">
        <v>11</v>
      </c>
      <c r="DA44" s="618">
        <v>11</v>
      </c>
      <c r="DB44" s="618">
        <v>11</v>
      </c>
      <c r="DC44" s="618">
        <v>11</v>
      </c>
      <c r="DD44" s="723">
        <v>15</v>
      </c>
      <c r="DE44" s="938">
        <v>15</v>
      </c>
      <c r="DF44" s="19">
        <v>15</v>
      </c>
      <c r="DG44" s="19">
        <v>15</v>
      </c>
      <c r="DH44" s="19">
        <v>15</v>
      </c>
      <c r="DN44" s="247"/>
    </row>
    <row r="45" spans="1:118" outlineLevel="1" x14ac:dyDescent="0.25">
      <c r="A45" s="2170"/>
      <c r="C45" s="64"/>
      <c r="D45" s="394" t="str">
        <f t="shared" si="23"/>
        <v>800350_2025_12_</v>
      </c>
      <c r="E45" s="394" t="str">
        <f t="shared" si="24"/>
        <v>LED 62 - 130 Watt Lamp or Fixture Replacing Interior HID 176-300 Watt Lamp or Fixture</v>
      </c>
      <c r="F45" s="1690">
        <v>281.02</v>
      </c>
      <c r="G45" s="1690">
        <v>111.93</v>
      </c>
      <c r="H45" s="1949">
        <v>3508.4181101910276</v>
      </c>
      <c r="I45" s="1678">
        <v>1.056</v>
      </c>
      <c r="J45" s="1678">
        <v>1.032</v>
      </c>
      <c r="K45" s="1690">
        <v>1</v>
      </c>
      <c r="L45" s="698">
        <v>15</v>
      </c>
      <c r="M45" s="1678">
        <f t="shared" si="25"/>
        <v>0.93732108169668527</v>
      </c>
      <c r="O45" s="2318"/>
      <c r="P45" s="2318"/>
      <c r="Q45" s="2318"/>
      <c r="R45" s="2318"/>
      <c r="S45" s="2318"/>
      <c r="U45" s="455"/>
      <c r="V45" s="658" t="s">
        <v>122</v>
      </c>
      <c r="W45" s="16">
        <v>250</v>
      </c>
      <c r="X45" s="112">
        <v>262</v>
      </c>
      <c r="Y45" s="17">
        <v>262</v>
      </c>
      <c r="Z45" s="17">
        <v>262</v>
      </c>
      <c r="AA45" s="17">
        <v>262</v>
      </c>
      <c r="AB45" s="16">
        <v>262</v>
      </c>
      <c r="AC45" s="692">
        <v>281.02</v>
      </c>
      <c r="AD45" s="20">
        <v>281.02314814814815</v>
      </c>
      <c r="AE45" s="17">
        <v>281.02</v>
      </c>
      <c r="AF45" s="17">
        <v>281.02</v>
      </c>
      <c r="AG45" s="17">
        <v>281.02</v>
      </c>
      <c r="AH45" s="21"/>
      <c r="AI45" s="731" t="s">
        <v>122</v>
      </c>
      <c r="AJ45" s="16">
        <v>100</v>
      </c>
      <c r="AK45" s="112">
        <v>92</v>
      </c>
      <c r="AL45" s="17">
        <v>92</v>
      </c>
      <c r="AM45" s="16">
        <v>92</v>
      </c>
      <c r="AN45" s="16">
        <v>92</v>
      </c>
      <c r="AO45" s="16">
        <v>92</v>
      </c>
      <c r="AP45" s="692">
        <v>111.93</v>
      </c>
      <c r="AQ45" s="20">
        <v>111.92592592592592</v>
      </c>
      <c r="AR45" s="17">
        <v>111.93</v>
      </c>
      <c r="AS45" s="17">
        <v>111.93</v>
      </c>
      <c r="AT45" s="17">
        <v>111.93</v>
      </c>
      <c r="AU45" s="21"/>
      <c r="AV45" s="731" t="s">
        <v>122</v>
      </c>
      <c r="AW45" s="803">
        <v>4380</v>
      </c>
      <c r="AX45" s="804">
        <v>4954.4778036070838</v>
      </c>
      <c r="AY45" s="803">
        <v>4954.4778036070838</v>
      </c>
      <c r="AZ45" s="803">
        <v>4954.4778036070838</v>
      </c>
      <c r="BA45" s="803">
        <v>4954.4778036070838</v>
      </c>
      <c r="BB45" s="803">
        <v>4954.4778036070838</v>
      </c>
      <c r="BC45" s="803">
        <v>4769</v>
      </c>
      <c r="BD45" s="937">
        <v>4768.7638888888887</v>
      </c>
      <c r="BE45" s="1038">
        <v>4769</v>
      </c>
      <c r="BF45" s="1038">
        <v>4769</v>
      </c>
      <c r="BG45" s="943">
        <v>3508.4181101910276</v>
      </c>
      <c r="BH45" s="21"/>
      <c r="BI45" s="731" t="s">
        <v>122</v>
      </c>
      <c r="BJ45" s="16">
        <v>1.07</v>
      </c>
      <c r="BK45" s="112">
        <v>1.05</v>
      </c>
      <c r="BL45" s="161">
        <v>1.05</v>
      </c>
      <c r="BM45" s="18">
        <v>1.05</v>
      </c>
      <c r="BN45" s="18">
        <v>1.05</v>
      </c>
      <c r="BO45" s="17">
        <v>1.071</v>
      </c>
      <c r="BP45" s="692">
        <v>1.071</v>
      </c>
      <c r="BQ45" s="682">
        <v>1.056</v>
      </c>
      <c r="BR45" s="1037">
        <v>1.056</v>
      </c>
      <c r="BS45" s="1037">
        <v>1.056</v>
      </c>
      <c r="BT45" s="1037">
        <v>1.056</v>
      </c>
      <c r="BU45" s="21"/>
      <c r="BV45" s="972" t="s">
        <v>122</v>
      </c>
      <c r="BW45" s="972"/>
      <c r="BX45" s="786"/>
      <c r="BY45" s="786"/>
      <c r="BZ45" s="786"/>
      <c r="CA45" s="786"/>
      <c r="CB45" s="786"/>
      <c r="CC45" s="786"/>
      <c r="CD45" s="682">
        <v>1.032</v>
      </c>
      <c r="CE45" s="1037">
        <v>1.032</v>
      </c>
      <c r="CF45" s="1037">
        <v>1.032</v>
      </c>
      <c r="CG45" s="1037">
        <v>1.032</v>
      </c>
      <c r="CI45" s="972" t="s">
        <v>122</v>
      </c>
      <c r="CJ45" s="16">
        <v>1</v>
      </c>
      <c r="CK45" s="17">
        <v>1</v>
      </c>
      <c r="CL45" s="16">
        <v>1</v>
      </c>
      <c r="CM45" s="16">
        <v>1</v>
      </c>
      <c r="CN45" s="16">
        <v>1</v>
      </c>
      <c r="CO45" s="16">
        <v>1</v>
      </c>
      <c r="CP45" s="692">
        <v>1</v>
      </c>
      <c r="CQ45" s="681">
        <v>1</v>
      </c>
      <c r="CR45" s="17">
        <v>1</v>
      </c>
      <c r="CS45" s="17">
        <v>1</v>
      </c>
      <c r="CT45" s="17">
        <v>1</v>
      </c>
      <c r="CU45" s="41"/>
      <c r="CV45" s="21"/>
      <c r="CW45" s="972" t="s">
        <v>122</v>
      </c>
      <c r="CX45" s="19">
        <v>11</v>
      </c>
      <c r="CY45" s="642">
        <v>10</v>
      </c>
      <c r="CZ45" s="618">
        <v>10</v>
      </c>
      <c r="DA45" s="618">
        <v>10</v>
      </c>
      <c r="DB45" s="618">
        <v>10</v>
      </c>
      <c r="DC45" s="618">
        <v>11</v>
      </c>
      <c r="DD45" s="723">
        <v>15</v>
      </c>
      <c r="DE45" s="938">
        <v>15</v>
      </c>
      <c r="DF45" s="19">
        <v>15</v>
      </c>
      <c r="DG45" s="19">
        <v>15</v>
      </c>
      <c r="DH45" s="19">
        <v>15</v>
      </c>
      <c r="DN45" s="247"/>
    </row>
    <row r="46" spans="1:118" outlineLevel="1" x14ac:dyDescent="0.25">
      <c r="A46" s="2170"/>
      <c r="C46" s="64"/>
      <c r="D46" s="394" t="str">
        <f t="shared" si="23"/>
        <v>800400_2025_12_</v>
      </c>
      <c r="E46" s="394" t="str">
        <f t="shared" si="24"/>
        <v>LED 85 - 225 Watt Lamp or Fixture Replacing Interior HID 301-500 Watt Lamp or Fixture</v>
      </c>
      <c r="F46" s="1690">
        <v>454.6</v>
      </c>
      <c r="G46" s="1690">
        <v>147.38</v>
      </c>
      <c r="H46" s="1949">
        <v>3508.4181101910276</v>
      </c>
      <c r="I46" s="1678">
        <v>1.056</v>
      </c>
      <c r="J46" s="1678">
        <v>1.032</v>
      </c>
      <c r="K46" s="1690">
        <v>1</v>
      </c>
      <c r="L46" s="698">
        <v>15</v>
      </c>
      <c r="M46" s="1678">
        <f t="shared" si="25"/>
        <v>0.93732108169668527</v>
      </c>
      <c r="O46" s="2318"/>
      <c r="P46" s="2318"/>
      <c r="Q46" s="2318"/>
      <c r="R46" s="2318"/>
      <c r="S46" s="2318"/>
      <c r="U46" s="455"/>
      <c r="V46" s="658" t="s">
        <v>123</v>
      </c>
      <c r="W46" s="16">
        <v>400</v>
      </c>
      <c r="X46" s="112">
        <v>444</v>
      </c>
      <c r="Y46" s="17">
        <v>444</v>
      </c>
      <c r="Z46" s="17">
        <v>444</v>
      </c>
      <c r="AA46" s="17">
        <v>444</v>
      </c>
      <c r="AB46" s="16">
        <v>444</v>
      </c>
      <c r="AC46" s="692">
        <v>454.6</v>
      </c>
      <c r="AD46" s="20">
        <v>454.59849024355503</v>
      </c>
      <c r="AE46" s="17">
        <v>454.6</v>
      </c>
      <c r="AF46" s="17">
        <v>454.6</v>
      </c>
      <c r="AG46" s="17">
        <v>454.6</v>
      </c>
      <c r="AH46" s="21"/>
      <c r="AI46" s="731" t="s">
        <v>123</v>
      </c>
      <c r="AJ46" s="16">
        <v>142</v>
      </c>
      <c r="AK46" s="112">
        <v>136</v>
      </c>
      <c r="AL46" s="17">
        <v>136</v>
      </c>
      <c r="AM46" s="16">
        <v>136</v>
      </c>
      <c r="AN46" s="16">
        <v>136</v>
      </c>
      <c r="AO46" s="16">
        <v>136</v>
      </c>
      <c r="AP46" s="692">
        <v>147.38</v>
      </c>
      <c r="AQ46" s="20">
        <v>147.38142714713004</v>
      </c>
      <c r="AR46" s="17">
        <v>147.38</v>
      </c>
      <c r="AS46" s="17">
        <v>147.38</v>
      </c>
      <c r="AT46" s="17">
        <v>147.38</v>
      </c>
      <c r="AU46" s="21"/>
      <c r="AV46" s="731" t="s">
        <v>123</v>
      </c>
      <c r="AW46" s="803">
        <v>4380</v>
      </c>
      <c r="AX46" s="804">
        <v>4425.1429410031269</v>
      </c>
      <c r="AY46" s="803">
        <v>4425.1429410031269</v>
      </c>
      <c r="AZ46" s="803">
        <v>4425.1429410031269</v>
      </c>
      <c r="BA46" s="803">
        <v>4425.1429410031269</v>
      </c>
      <c r="BB46" s="803">
        <v>4425.1429410031269</v>
      </c>
      <c r="BC46" s="803">
        <v>3235</v>
      </c>
      <c r="BD46" s="937">
        <v>3234.7262498219625</v>
      </c>
      <c r="BE46" s="1038">
        <v>3235</v>
      </c>
      <c r="BF46" s="1038">
        <v>3235</v>
      </c>
      <c r="BG46" s="943">
        <v>3508.4181101910276</v>
      </c>
      <c r="BH46" s="21"/>
      <c r="BI46" s="731" t="s">
        <v>123</v>
      </c>
      <c r="BJ46" s="16">
        <v>1.07</v>
      </c>
      <c r="BK46" s="112">
        <v>1.08</v>
      </c>
      <c r="BL46" s="161">
        <v>1.08</v>
      </c>
      <c r="BM46" s="18">
        <v>1.08</v>
      </c>
      <c r="BN46" s="18">
        <v>1.08</v>
      </c>
      <c r="BO46" s="17">
        <v>1.071</v>
      </c>
      <c r="BP46" s="692">
        <v>1.071</v>
      </c>
      <c r="BQ46" s="682">
        <v>1.056</v>
      </c>
      <c r="BR46" s="1037">
        <v>1.056</v>
      </c>
      <c r="BS46" s="1037">
        <v>1.056</v>
      </c>
      <c r="BT46" s="1037">
        <v>1.056</v>
      </c>
      <c r="BU46" s="21"/>
      <c r="BV46" s="972" t="s">
        <v>123</v>
      </c>
      <c r="BW46" s="972"/>
      <c r="BX46" s="786"/>
      <c r="BY46" s="786"/>
      <c r="BZ46" s="786"/>
      <c r="CA46" s="786"/>
      <c r="CB46" s="786"/>
      <c r="CC46" s="786"/>
      <c r="CD46" s="682">
        <v>1.032</v>
      </c>
      <c r="CE46" s="1037">
        <v>1.032</v>
      </c>
      <c r="CF46" s="1037">
        <v>1.032</v>
      </c>
      <c r="CG46" s="1037">
        <v>1.032</v>
      </c>
      <c r="CI46" s="972" t="s">
        <v>123</v>
      </c>
      <c r="CJ46" s="16">
        <v>1</v>
      </c>
      <c r="CK46" s="17">
        <v>1</v>
      </c>
      <c r="CL46" s="16">
        <v>1</v>
      </c>
      <c r="CM46" s="16">
        <v>1</v>
      </c>
      <c r="CN46" s="16">
        <v>1</v>
      </c>
      <c r="CO46" s="16">
        <v>1</v>
      </c>
      <c r="CP46" s="692">
        <v>1</v>
      </c>
      <c r="CQ46" s="681">
        <v>1</v>
      </c>
      <c r="CR46" s="17">
        <v>1</v>
      </c>
      <c r="CS46" s="17">
        <v>1</v>
      </c>
      <c r="CT46" s="17">
        <v>1</v>
      </c>
      <c r="CU46" s="41"/>
      <c r="CV46" s="21"/>
      <c r="CW46" s="972" t="s">
        <v>123</v>
      </c>
      <c r="CX46" s="19">
        <v>11</v>
      </c>
      <c r="CY46" s="22">
        <v>11</v>
      </c>
      <c r="CZ46" s="618">
        <v>11</v>
      </c>
      <c r="DA46" s="618">
        <v>11</v>
      </c>
      <c r="DB46" s="618">
        <v>11</v>
      </c>
      <c r="DC46" s="618">
        <v>11</v>
      </c>
      <c r="DD46" s="723">
        <v>15</v>
      </c>
      <c r="DE46" s="938">
        <v>15</v>
      </c>
      <c r="DF46" s="19">
        <v>15</v>
      </c>
      <c r="DG46" s="19">
        <v>15</v>
      </c>
      <c r="DH46" s="19">
        <v>15</v>
      </c>
      <c r="DN46" s="247"/>
    </row>
    <row r="47" spans="1:118" outlineLevel="1" x14ac:dyDescent="0.25">
      <c r="A47" s="2170"/>
      <c r="C47" s="64"/>
      <c r="D47" s="394" t="str">
        <f t="shared" si="23"/>
        <v>800750_2025_12_</v>
      </c>
      <c r="E47" s="394" t="str">
        <f t="shared" si="24"/>
        <v>LED or Electroluminescent Replacing Interior Incandescent/CFL Exit Sign</v>
      </c>
      <c r="F47" s="1690">
        <v>30.904993909866018</v>
      </c>
      <c r="G47" s="1690">
        <v>2.873838630806846</v>
      </c>
      <c r="H47" s="1949">
        <v>8760</v>
      </c>
      <c r="I47" s="1678">
        <v>1.056</v>
      </c>
      <c r="J47" s="1678">
        <v>1.032</v>
      </c>
      <c r="K47" s="1690">
        <v>1</v>
      </c>
      <c r="L47" s="698">
        <v>7</v>
      </c>
      <c r="M47" s="1678">
        <f t="shared" si="25"/>
        <v>0.93732108169668527</v>
      </c>
      <c r="U47" s="455"/>
      <c r="V47" s="658" t="s">
        <v>124</v>
      </c>
      <c r="W47" s="16">
        <v>30</v>
      </c>
      <c r="X47" s="16">
        <v>30</v>
      </c>
      <c r="Y47" s="17">
        <v>30</v>
      </c>
      <c r="Z47" s="17">
        <v>30</v>
      </c>
      <c r="AA47" s="17">
        <v>30</v>
      </c>
      <c r="AB47" s="16">
        <v>29.015364916773368</v>
      </c>
      <c r="AC47" s="692">
        <v>28.08</v>
      </c>
      <c r="AD47" s="160">
        <v>36.249311294765839</v>
      </c>
      <c r="AE47" s="112">
        <v>31.138461538461538</v>
      </c>
      <c r="AF47" s="112">
        <v>30.904993909866018</v>
      </c>
      <c r="AG47" s="17">
        <v>30.904993909866018</v>
      </c>
      <c r="AH47" s="21"/>
      <c r="AI47" s="731" t="s">
        <v>124</v>
      </c>
      <c r="AJ47" s="16">
        <v>3</v>
      </c>
      <c r="AK47" s="17">
        <v>3</v>
      </c>
      <c r="AL47" s="17">
        <v>3</v>
      </c>
      <c r="AM47" s="16">
        <v>3</v>
      </c>
      <c r="AN47" s="16">
        <v>3</v>
      </c>
      <c r="AO47" s="16">
        <v>2.5345710627400768</v>
      </c>
      <c r="AP47" s="692">
        <v>2.61</v>
      </c>
      <c r="AQ47" s="160">
        <v>2.5016062413951352</v>
      </c>
      <c r="AR47" s="112">
        <v>2.6626242544731609</v>
      </c>
      <c r="AS47" s="112">
        <v>2.873838630806846</v>
      </c>
      <c r="AT47" s="17">
        <v>2.873838630806846</v>
      </c>
      <c r="AU47" s="21"/>
      <c r="AV47" s="731" t="s">
        <v>124</v>
      </c>
      <c r="AW47" s="803">
        <v>8760</v>
      </c>
      <c r="AX47" s="805">
        <v>8760</v>
      </c>
      <c r="AY47" s="803">
        <v>8760</v>
      </c>
      <c r="AZ47" s="803">
        <v>8760</v>
      </c>
      <c r="BA47" s="803">
        <v>8760</v>
      </c>
      <c r="BB47" s="803">
        <v>8760</v>
      </c>
      <c r="BC47" s="803">
        <v>8760</v>
      </c>
      <c r="BD47" s="936">
        <v>8755.8696649839385</v>
      </c>
      <c r="BE47" s="943">
        <v>8760</v>
      </c>
      <c r="BF47" s="943">
        <v>8758.4621026894874</v>
      </c>
      <c r="BG47" s="943">
        <v>8760</v>
      </c>
      <c r="BH47" s="21"/>
      <c r="BI47" s="731" t="s">
        <v>124</v>
      </c>
      <c r="BJ47" s="16">
        <v>1.07</v>
      </c>
      <c r="BK47" s="16">
        <v>1.07</v>
      </c>
      <c r="BL47" s="161">
        <v>1.07</v>
      </c>
      <c r="BM47" s="18">
        <v>1.07</v>
      </c>
      <c r="BN47" s="18">
        <v>1.07</v>
      </c>
      <c r="BO47" s="17">
        <v>1.071</v>
      </c>
      <c r="BP47" s="692">
        <v>1.071</v>
      </c>
      <c r="BQ47" s="682">
        <v>1.056</v>
      </c>
      <c r="BR47" s="1037">
        <v>1.056</v>
      </c>
      <c r="BS47" s="1037">
        <v>1.056</v>
      </c>
      <c r="BT47" s="1037">
        <v>1.056</v>
      </c>
      <c r="BU47" s="21"/>
      <c r="BV47" s="972" t="s">
        <v>124</v>
      </c>
      <c r="BW47" s="972"/>
      <c r="BX47" s="786"/>
      <c r="BY47" s="786"/>
      <c r="BZ47" s="786"/>
      <c r="CA47" s="786"/>
      <c r="CB47" s="786"/>
      <c r="CC47" s="786"/>
      <c r="CD47" s="682">
        <v>1.032</v>
      </c>
      <c r="CE47" s="1037">
        <v>1.032</v>
      </c>
      <c r="CF47" s="1037">
        <v>1.032</v>
      </c>
      <c r="CG47" s="1037">
        <v>1.032</v>
      </c>
      <c r="CI47" s="972" t="s">
        <v>124</v>
      </c>
      <c r="CJ47" s="16">
        <v>1</v>
      </c>
      <c r="CK47" s="17">
        <v>1</v>
      </c>
      <c r="CL47" s="16">
        <v>1</v>
      </c>
      <c r="CM47" s="16">
        <v>1</v>
      </c>
      <c r="CN47" s="16">
        <v>1</v>
      </c>
      <c r="CO47" s="16">
        <v>1</v>
      </c>
      <c r="CP47" s="692">
        <v>1</v>
      </c>
      <c r="CQ47" s="681">
        <v>1</v>
      </c>
      <c r="CR47" s="17">
        <v>1</v>
      </c>
      <c r="CS47" s="17">
        <v>1</v>
      </c>
      <c r="CT47" s="17">
        <v>1</v>
      </c>
      <c r="CU47" s="41"/>
      <c r="CV47" s="21"/>
      <c r="CW47" s="972" t="s">
        <v>124</v>
      </c>
      <c r="CX47" s="19">
        <v>16</v>
      </c>
      <c r="CY47" s="22">
        <v>16</v>
      </c>
      <c r="CZ47" s="618">
        <v>16</v>
      </c>
      <c r="DA47" s="618">
        <v>16</v>
      </c>
      <c r="DB47" s="618">
        <v>16</v>
      </c>
      <c r="DC47" s="618">
        <v>16</v>
      </c>
      <c r="DD47" s="723">
        <v>7</v>
      </c>
      <c r="DE47" s="938">
        <v>7</v>
      </c>
      <c r="DF47" s="19">
        <v>7</v>
      </c>
      <c r="DG47" s="19">
        <v>7</v>
      </c>
      <c r="DH47" s="19">
        <v>7</v>
      </c>
      <c r="DN47" s="247"/>
    </row>
    <row r="48" spans="1:118" ht="15" customHeight="1" outlineLevel="1" x14ac:dyDescent="0.25">
      <c r="A48" s="2170"/>
      <c r="B48" s="2"/>
      <c r="C48" s="64"/>
      <c r="D48" s="394" t="str">
        <f t="shared" ref="D48:D54" si="26">C18</f>
        <v>800800_2025_12_</v>
      </c>
      <c r="E48" s="394" t="str">
        <f t="shared" ref="E48:E54" si="27">E18</f>
        <v xml:space="preserve">LED Replacing Interior T5 Fluorescent (Type A / Hybrid) </v>
      </c>
      <c r="F48" s="1690">
        <v>114.37444756930495</v>
      </c>
      <c r="G48" s="1690">
        <v>48.07088199758357</v>
      </c>
      <c r="H48" s="1949">
        <v>3449.1599793054424</v>
      </c>
      <c r="I48" s="1678">
        <v>1.056</v>
      </c>
      <c r="J48" s="1678">
        <v>1.032</v>
      </c>
      <c r="K48" s="1690">
        <v>1</v>
      </c>
      <c r="L48" s="698">
        <v>10</v>
      </c>
      <c r="M48" s="1678">
        <f t="shared" si="25"/>
        <v>0.93732108169668527</v>
      </c>
      <c r="U48" s="455"/>
      <c r="V48" s="658" t="s">
        <v>125</v>
      </c>
      <c r="W48" s="395">
        <v>60</v>
      </c>
      <c r="X48" s="395">
        <v>60</v>
      </c>
      <c r="Y48" s="17">
        <v>60</v>
      </c>
      <c r="Z48" s="17">
        <v>60</v>
      </c>
      <c r="AA48" s="17">
        <v>60</v>
      </c>
      <c r="AB48" s="395">
        <v>57.151731160896134</v>
      </c>
      <c r="AC48" s="902">
        <v>127.07</v>
      </c>
      <c r="AD48" s="160">
        <v>128.79302832244008</v>
      </c>
      <c r="AE48" s="112">
        <v>126.14844649021865</v>
      </c>
      <c r="AF48" s="112">
        <v>114.37444756930495</v>
      </c>
      <c r="AG48" s="17">
        <v>114.37444756930495</v>
      </c>
      <c r="AH48" s="21"/>
      <c r="AI48" s="731" t="s">
        <v>125</v>
      </c>
      <c r="AJ48" s="395">
        <v>28</v>
      </c>
      <c r="AK48" s="17">
        <v>28</v>
      </c>
      <c r="AL48" s="17">
        <v>28</v>
      </c>
      <c r="AM48" s="395">
        <v>28</v>
      </c>
      <c r="AN48" s="395">
        <v>28</v>
      </c>
      <c r="AO48" s="395">
        <v>26.891378139850644</v>
      </c>
      <c r="AP48" s="902">
        <v>62.35</v>
      </c>
      <c r="AQ48" s="160">
        <v>61.414459556191836</v>
      </c>
      <c r="AR48" s="112">
        <v>56.754890678941315</v>
      </c>
      <c r="AS48" s="112">
        <v>48.07088199758357</v>
      </c>
      <c r="AT48" s="17">
        <v>48.07088199758357</v>
      </c>
      <c r="AU48" s="21"/>
      <c r="AV48" s="731" t="s">
        <v>125</v>
      </c>
      <c r="AW48" s="1921">
        <v>6500</v>
      </c>
      <c r="AX48" s="805">
        <v>6500</v>
      </c>
      <c r="AY48" s="1921">
        <v>6500</v>
      </c>
      <c r="AZ48" s="1921">
        <v>6500</v>
      </c>
      <c r="BA48" s="1921">
        <v>6500</v>
      </c>
      <c r="BB48" s="1921">
        <v>4842.3896809232856</v>
      </c>
      <c r="BC48" s="1921">
        <v>5216</v>
      </c>
      <c r="BD48" s="936">
        <v>4280.6456692913389</v>
      </c>
      <c r="BE48" s="943">
        <v>4791.7514384349824</v>
      </c>
      <c r="BF48" s="943">
        <v>4423.1816351188081</v>
      </c>
      <c r="BG48" s="943">
        <v>3449.1599793054424</v>
      </c>
      <c r="BH48" s="21"/>
      <c r="BI48" s="731" t="s">
        <v>125</v>
      </c>
      <c r="BJ48" s="395">
        <v>1.07</v>
      </c>
      <c r="BK48" s="395">
        <v>1.07</v>
      </c>
      <c r="BL48" s="373">
        <v>1.07</v>
      </c>
      <c r="BM48" s="18">
        <v>1.07</v>
      </c>
      <c r="BN48" s="18">
        <v>1.07</v>
      </c>
      <c r="BO48" s="17">
        <v>1.071</v>
      </c>
      <c r="BP48" s="902">
        <v>1.071</v>
      </c>
      <c r="BQ48" s="682">
        <v>1.056</v>
      </c>
      <c r="BR48" s="1037">
        <v>1.056</v>
      </c>
      <c r="BS48" s="1037">
        <v>1.056</v>
      </c>
      <c r="BT48" s="1037">
        <v>1.056</v>
      </c>
      <c r="BU48" s="21"/>
      <c r="BV48" s="972" t="s">
        <v>125</v>
      </c>
      <c r="BW48" s="972"/>
      <c r="BX48" s="786"/>
      <c r="BY48" s="786"/>
      <c r="BZ48" s="786"/>
      <c r="CA48" s="786"/>
      <c r="CB48" s="786"/>
      <c r="CC48" s="786"/>
      <c r="CD48" s="682">
        <v>1.032</v>
      </c>
      <c r="CE48" s="1037">
        <v>1.032</v>
      </c>
      <c r="CF48" s="1037">
        <v>1.032</v>
      </c>
      <c r="CG48" s="1037">
        <v>1.032</v>
      </c>
      <c r="CI48" s="972" t="s">
        <v>125</v>
      </c>
      <c r="CJ48" s="395">
        <v>1</v>
      </c>
      <c r="CK48" s="17">
        <v>1</v>
      </c>
      <c r="CL48" s="395">
        <v>1</v>
      </c>
      <c r="CM48" s="395">
        <v>1</v>
      </c>
      <c r="CN48" s="395">
        <v>1</v>
      </c>
      <c r="CO48" s="395">
        <v>1</v>
      </c>
      <c r="CP48" s="902">
        <v>1</v>
      </c>
      <c r="CQ48" s="681">
        <v>1</v>
      </c>
      <c r="CR48" s="17">
        <v>1</v>
      </c>
      <c r="CS48" s="17">
        <v>1</v>
      </c>
      <c r="CT48" s="17">
        <v>1</v>
      </c>
      <c r="CU48" s="365"/>
      <c r="CV48" s="21"/>
      <c r="CW48" s="972" t="s">
        <v>125</v>
      </c>
      <c r="CX48" s="19">
        <v>8</v>
      </c>
      <c r="CY48" s="22">
        <v>8</v>
      </c>
      <c r="CZ48" s="1922">
        <v>8</v>
      </c>
      <c r="DA48" s="1922">
        <v>8</v>
      </c>
      <c r="DB48" s="1922">
        <v>8</v>
      </c>
      <c r="DC48" s="1922">
        <v>10</v>
      </c>
      <c r="DD48" s="1923">
        <v>10</v>
      </c>
      <c r="DE48" s="938">
        <v>10</v>
      </c>
      <c r="DF48" s="19">
        <v>10</v>
      </c>
      <c r="DG48" s="19">
        <v>10</v>
      </c>
      <c r="DH48" s="19">
        <v>10</v>
      </c>
    </row>
    <row r="49" spans="1:118" outlineLevel="1" x14ac:dyDescent="0.25">
      <c r="A49" s="2170"/>
      <c r="C49" s="64"/>
      <c r="D49" s="394" t="str">
        <f t="shared" si="26"/>
        <v>800801_2025_12_</v>
      </c>
      <c r="E49" s="394" t="str">
        <f t="shared" si="27"/>
        <v>LED Replacing Interior T5 Fluorescent (Type B, Kits, and Fixtures)</v>
      </c>
      <c r="F49" s="1690">
        <v>203.86267483527917</v>
      </c>
      <c r="G49" s="1690">
        <v>89.107963779893197</v>
      </c>
      <c r="H49" s="1949">
        <v>3449.1599793054424</v>
      </c>
      <c r="I49" s="1678">
        <v>1.056</v>
      </c>
      <c r="J49" s="1678">
        <v>1.032</v>
      </c>
      <c r="K49" s="1690">
        <v>1</v>
      </c>
      <c r="L49" s="698">
        <v>15</v>
      </c>
      <c r="M49" s="1678">
        <f t="shared" si="25"/>
        <v>0.93732108169668527</v>
      </c>
      <c r="U49" s="455"/>
      <c r="V49" s="658" t="s">
        <v>126</v>
      </c>
      <c r="W49" s="790"/>
      <c r="X49" s="790"/>
      <c r="Y49" s="791"/>
      <c r="Z49" s="791"/>
      <c r="AA49" s="791"/>
      <c r="AB49" s="16">
        <v>129.47809753575737</v>
      </c>
      <c r="AC49" s="692">
        <v>187.49</v>
      </c>
      <c r="AD49" s="160">
        <v>239.12037825864712</v>
      </c>
      <c r="AE49" s="112">
        <v>198.4882416938656</v>
      </c>
      <c r="AF49" s="112">
        <v>203.86267483527917</v>
      </c>
      <c r="AG49" s="17">
        <v>203.86267483527917</v>
      </c>
      <c r="AH49" s="21"/>
      <c r="AI49" s="731" t="s">
        <v>126</v>
      </c>
      <c r="AJ49" s="790"/>
      <c r="AK49" s="790"/>
      <c r="AL49" s="791"/>
      <c r="AM49" s="790"/>
      <c r="AN49" s="790"/>
      <c r="AO49" s="16">
        <v>54.55328661420338</v>
      </c>
      <c r="AP49" s="692">
        <v>80.180000000000007</v>
      </c>
      <c r="AQ49" s="160">
        <v>103.90829394069617</v>
      </c>
      <c r="AR49" s="112">
        <v>82.2269471290506</v>
      </c>
      <c r="AS49" s="112">
        <v>89.107963779893197</v>
      </c>
      <c r="AT49" s="17">
        <v>89.107963779893197</v>
      </c>
      <c r="AU49" s="21"/>
      <c r="AV49" s="731" t="s">
        <v>126</v>
      </c>
      <c r="AW49" s="807"/>
      <c r="AX49" s="808"/>
      <c r="AY49" s="807"/>
      <c r="AZ49" s="807"/>
      <c r="BA49" s="807"/>
      <c r="BB49" s="803">
        <v>4551.3067953357458</v>
      </c>
      <c r="BC49" s="803">
        <v>4282.6269361672566</v>
      </c>
      <c r="BD49" s="936">
        <v>3854.5204125483456</v>
      </c>
      <c r="BE49" s="943">
        <v>3692.4735645252986</v>
      </c>
      <c r="BF49" s="943">
        <v>4167.8307406547483</v>
      </c>
      <c r="BG49" s="943">
        <v>3449.1599793054424</v>
      </c>
      <c r="BH49" s="21"/>
      <c r="BI49" s="731" t="s">
        <v>126</v>
      </c>
      <c r="BJ49" s="786"/>
      <c r="BK49" s="788"/>
      <c r="BL49" s="789"/>
      <c r="BM49" s="789"/>
      <c r="BN49" s="789"/>
      <c r="BO49" s="17">
        <v>1.071</v>
      </c>
      <c r="BP49" s="692">
        <v>1.071</v>
      </c>
      <c r="BQ49" s="682">
        <v>1.056</v>
      </c>
      <c r="BR49" s="1037">
        <v>1.056</v>
      </c>
      <c r="BS49" s="1037">
        <v>1.056</v>
      </c>
      <c r="BT49" s="1037">
        <v>1.056</v>
      </c>
      <c r="BU49" s="21"/>
      <c r="BV49" s="972" t="s">
        <v>126</v>
      </c>
      <c r="BW49" s="972"/>
      <c r="BX49" s="786"/>
      <c r="BY49" s="786"/>
      <c r="BZ49" s="786"/>
      <c r="CA49" s="786"/>
      <c r="CB49" s="786"/>
      <c r="CC49" s="786"/>
      <c r="CD49" s="682">
        <v>1.032</v>
      </c>
      <c r="CE49" s="1037">
        <v>1.032</v>
      </c>
      <c r="CF49" s="1037">
        <v>1.032</v>
      </c>
      <c r="CG49" s="1037">
        <v>1.032</v>
      </c>
      <c r="CI49" s="972" t="s">
        <v>126</v>
      </c>
      <c r="CJ49" s="786"/>
      <c r="CK49" s="788"/>
      <c r="CL49" s="789"/>
      <c r="CM49" s="789"/>
      <c r="CN49" s="789"/>
      <c r="CO49" s="16">
        <v>1</v>
      </c>
      <c r="CP49" s="692">
        <v>1</v>
      </c>
      <c r="CQ49" s="681">
        <v>1</v>
      </c>
      <c r="CR49" s="17">
        <v>1</v>
      </c>
      <c r="CS49" s="17">
        <v>1</v>
      </c>
      <c r="CT49" s="17">
        <v>1</v>
      </c>
      <c r="CU49" s="41"/>
      <c r="CV49" s="21"/>
      <c r="CW49" s="972" t="s">
        <v>126</v>
      </c>
      <c r="CX49" s="786"/>
      <c r="CY49" s="788"/>
      <c r="CZ49" s="789"/>
      <c r="DA49" s="789"/>
      <c r="DB49" s="789"/>
      <c r="DC49" s="618">
        <v>15</v>
      </c>
      <c r="DD49" s="723">
        <v>15</v>
      </c>
      <c r="DE49" s="938">
        <v>15</v>
      </c>
      <c r="DF49" s="19">
        <v>15</v>
      </c>
      <c r="DG49" s="19">
        <v>15</v>
      </c>
      <c r="DH49" s="19">
        <v>15</v>
      </c>
      <c r="DN49" s="247"/>
    </row>
    <row r="50" spans="1:118" outlineLevel="1" x14ac:dyDescent="0.25">
      <c r="A50" s="2170"/>
      <c r="B50" s="2"/>
      <c r="C50" s="64"/>
      <c r="D50" s="394" t="str">
        <f t="shared" si="26"/>
        <v>800850_2025_12_</v>
      </c>
      <c r="E50" s="394" t="str">
        <f t="shared" si="27"/>
        <v xml:space="preserve">LED Replacing Interior T8 Fluorescent (Type A / Hybrid) </v>
      </c>
      <c r="F50" s="1690">
        <v>79.353748870822045</v>
      </c>
      <c r="G50" s="1690">
        <v>34.882952108649036</v>
      </c>
      <c r="H50" s="1949">
        <v>3449.1599793054424</v>
      </c>
      <c r="I50" s="1678">
        <v>1.056</v>
      </c>
      <c r="J50" s="1678">
        <v>1.032</v>
      </c>
      <c r="K50" s="1690">
        <v>1</v>
      </c>
      <c r="L50" s="698">
        <v>10</v>
      </c>
      <c r="M50" s="1678">
        <f t="shared" si="25"/>
        <v>0.93732108169668527</v>
      </c>
      <c r="U50" s="456"/>
      <c r="V50" s="658" t="s">
        <v>127</v>
      </c>
      <c r="W50" s="395">
        <v>28</v>
      </c>
      <c r="X50" s="112">
        <v>28.3</v>
      </c>
      <c r="Y50" s="17">
        <v>28.3</v>
      </c>
      <c r="Z50" s="17">
        <v>28.3</v>
      </c>
      <c r="AA50" s="17">
        <v>28.3</v>
      </c>
      <c r="AB50" s="395">
        <v>34.696581538376684</v>
      </c>
      <c r="AC50" s="902">
        <v>85.48</v>
      </c>
      <c r="AD50" s="160">
        <v>85.624728473368663</v>
      </c>
      <c r="AE50" s="112">
        <v>68.807005171603194</v>
      </c>
      <c r="AF50" s="112">
        <v>79.353748870822045</v>
      </c>
      <c r="AG50" s="17">
        <v>79.353748870822045</v>
      </c>
      <c r="AH50" s="21"/>
      <c r="AI50" s="731" t="s">
        <v>127</v>
      </c>
      <c r="AJ50" s="395">
        <v>14</v>
      </c>
      <c r="AK50" s="112">
        <v>13.7</v>
      </c>
      <c r="AL50" s="17">
        <v>13.7</v>
      </c>
      <c r="AM50" s="395">
        <v>13.7</v>
      </c>
      <c r="AN50" s="395">
        <v>13.7</v>
      </c>
      <c r="AO50" s="395">
        <v>15.651019976649476</v>
      </c>
      <c r="AP50" s="902">
        <v>38.909999999999997</v>
      </c>
      <c r="AQ50" s="160">
        <v>41.195387293298523</v>
      </c>
      <c r="AR50" s="112">
        <v>31.73883403855195</v>
      </c>
      <c r="AS50" s="112">
        <v>34.882952108649036</v>
      </c>
      <c r="AT50" s="17">
        <v>34.882952108649036</v>
      </c>
      <c r="AU50" s="21"/>
      <c r="AV50" s="731" t="s">
        <v>127</v>
      </c>
      <c r="AW50" s="1921">
        <v>5500</v>
      </c>
      <c r="AX50" s="804">
        <v>5400</v>
      </c>
      <c r="AY50" s="1921">
        <v>5400</v>
      </c>
      <c r="AZ50" s="1921">
        <v>5400</v>
      </c>
      <c r="BA50" s="1921">
        <v>5400</v>
      </c>
      <c r="BB50" s="1921">
        <v>4232.7285363633855</v>
      </c>
      <c r="BC50" s="1921">
        <v>4312.5738874058725</v>
      </c>
      <c r="BD50" s="936">
        <v>5042.2161009573538</v>
      </c>
      <c r="BE50" s="943">
        <v>4820.145275035261</v>
      </c>
      <c r="BF50" s="943">
        <v>5005.2332022873479</v>
      </c>
      <c r="BG50" s="943">
        <v>3449.1599793054424</v>
      </c>
      <c r="BH50" s="21"/>
      <c r="BI50" s="731" t="s">
        <v>127</v>
      </c>
      <c r="BJ50" s="395">
        <v>1.07</v>
      </c>
      <c r="BK50" s="112">
        <v>1.08</v>
      </c>
      <c r="BL50" s="373">
        <v>1.08</v>
      </c>
      <c r="BM50" s="18">
        <v>1.08</v>
      </c>
      <c r="BN50" s="18">
        <v>1.08</v>
      </c>
      <c r="BO50" s="17">
        <v>1.071</v>
      </c>
      <c r="BP50" s="902">
        <v>1.071</v>
      </c>
      <c r="BQ50" s="682">
        <v>1.056</v>
      </c>
      <c r="BR50" s="1037">
        <v>1.056</v>
      </c>
      <c r="BS50" s="1037">
        <v>1.056</v>
      </c>
      <c r="BT50" s="1037">
        <v>1.056</v>
      </c>
      <c r="BU50" s="21"/>
      <c r="BV50" s="972" t="s">
        <v>127</v>
      </c>
      <c r="BW50" s="972"/>
      <c r="BX50" s="786"/>
      <c r="BY50" s="786"/>
      <c r="BZ50" s="786"/>
      <c r="CA50" s="786"/>
      <c r="CB50" s="786"/>
      <c r="CC50" s="786"/>
      <c r="CD50" s="682">
        <v>1.032</v>
      </c>
      <c r="CE50" s="1037">
        <v>1.032</v>
      </c>
      <c r="CF50" s="1037">
        <v>1.032</v>
      </c>
      <c r="CG50" s="1037">
        <v>1.032</v>
      </c>
      <c r="CI50" s="972" t="s">
        <v>127</v>
      </c>
      <c r="CJ50" s="395">
        <v>1</v>
      </c>
      <c r="CK50" s="112">
        <v>0.99614637091058145</v>
      </c>
      <c r="CL50" s="395">
        <v>0.99614637091058145</v>
      </c>
      <c r="CM50" s="395">
        <v>0.99614637091058145</v>
      </c>
      <c r="CN50" s="395">
        <v>0.99614637091058145</v>
      </c>
      <c r="CO50" s="395">
        <v>0.99614637091058145</v>
      </c>
      <c r="CP50" s="902">
        <v>0.99614637091058145</v>
      </c>
      <c r="CQ50" s="681">
        <v>0.99614637091058145</v>
      </c>
      <c r="CR50" s="17">
        <v>1</v>
      </c>
      <c r="CS50" s="17">
        <v>1</v>
      </c>
      <c r="CT50" s="17">
        <v>1</v>
      </c>
      <c r="CU50" s="365"/>
      <c r="CV50" s="21"/>
      <c r="CW50" s="972" t="s">
        <v>127</v>
      </c>
      <c r="CX50" s="19">
        <v>9</v>
      </c>
      <c r="CY50" s="22">
        <v>9</v>
      </c>
      <c r="CZ50" s="1922">
        <v>9</v>
      </c>
      <c r="DA50" s="1922">
        <v>9</v>
      </c>
      <c r="DB50" s="1922">
        <v>9</v>
      </c>
      <c r="DC50" s="1922">
        <v>10</v>
      </c>
      <c r="DD50" s="1923">
        <v>10</v>
      </c>
      <c r="DE50" s="938">
        <v>10</v>
      </c>
      <c r="DF50" s="19">
        <v>10</v>
      </c>
      <c r="DG50" s="19">
        <v>10</v>
      </c>
      <c r="DH50" s="19">
        <v>10</v>
      </c>
    </row>
    <row r="51" spans="1:118" outlineLevel="1" x14ac:dyDescent="0.25">
      <c r="A51" s="2170"/>
      <c r="C51" s="64"/>
      <c r="D51" s="394" t="str">
        <f t="shared" si="26"/>
        <v>800851_2025_12_</v>
      </c>
      <c r="E51" s="394" t="str">
        <f t="shared" si="27"/>
        <v>LED Replacting Interior T8 Fluorescent (Type B, Kits, and Fixtures)</v>
      </c>
      <c r="F51" s="1690">
        <v>89.692345424668289</v>
      </c>
      <c r="G51" s="1690">
        <v>34.961974509010169</v>
      </c>
      <c r="H51" s="1949">
        <v>3449.1599793054424</v>
      </c>
      <c r="I51" s="1678">
        <v>1.056</v>
      </c>
      <c r="J51" s="1678">
        <v>1.032</v>
      </c>
      <c r="K51" s="1690">
        <v>1</v>
      </c>
      <c r="L51" s="698">
        <v>15</v>
      </c>
      <c r="M51" s="1678">
        <f t="shared" si="25"/>
        <v>0.93732108169668527</v>
      </c>
      <c r="U51" s="456"/>
      <c r="V51" s="658" t="s">
        <v>128</v>
      </c>
      <c r="W51" s="790"/>
      <c r="X51" s="790"/>
      <c r="Y51" s="791"/>
      <c r="Z51" s="791"/>
      <c r="AA51" s="791"/>
      <c r="AB51" s="16">
        <v>59.772720625328752</v>
      </c>
      <c r="AC51" s="692">
        <v>92.55</v>
      </c>
      <c r="AD51" s="160">
        <v>90.02361561617623</v>
      </c>
      <c r="AE51" s="112">
        <v>87.706374705635369</v>
      </c>
      <c r="AF51" s="112">
        <v>89.692345424668289</v>
      </c>
      <c r="AG51" s="17">
        <v>89.692345424668289</v>
      </c>
      <c r="AH51" s="21"/>
      <c r="AI51" s="731" t="s">
        <v>128</v>
      </c>
      <c r="AJ51" s="790"/>
      <c r="AK51" s="790"/>
      <c r="AL51" s="791"/>
      <c r="AM51" s="790"/>
      <c r="AN51" s="790"/>
      <c r="AO51" s="16">
        <v>24.753815057906763</v>
      </c>
      <c r="AP51" s="692">
        <v>37.119999999999997</v>
      </c>
      <c r="AQ51" s="160">
        <v>37.874579052232683</v>
      </c>
      <c r="AR51" s="112">
        <v>35.751255085101334</v>
      </c>
      <c r="AS51" s="112">
        <v>34.961974509010169</v>
      </c>
      <c r="AT51" s="17">
        <v>34.961974509010169</v>
      </c>
      <c r="AU51" s="21"/>
      <c r="AV51" s="731" t="s">
        <v>128</v>
      </c>
      <c r="AW51" s="807"/>
      <c r="AX51" s="808"/>
      <c r="AY51" s="807"/>
      <c r="AZ51" s="807"/>
      <c r="BA51" s="807"/>
      <c r="BB51" s="803">
        <v>4315.6299709124478</v>
      </c>
      <c r="BC51" s="803">
        <v>3612.4490433014971</v>
      </c>
      <c r="BD51" s="936">
        <v>3643.5084423955932</v>
      </c>
      <c r="BE51" s="943">
        <v>3539.0464180819818</v>
      </c>
      <c r="BF51" s="943">
        <v>3692.2508494952099</v>
      </c>
      <c r="BG51" s="943">
        <v>3449.1599793054424</v>
      </c>
      <c r="BH51" s="21"/>
      <c r="BI51" s="731" t="s">
        <v>128</v>
      </c>
      <c r="BJ51" s="786"/>
      <c r="BK51" s="788"/>
      <c r="BL51" s="789"/>
      <c r="BM51" s="789"/>
      <c r="BN51" s="789"/>
      <c r="BO51" s="17">
        <v>1.071</v>
      </c>
      <c r="BP51" s="692">
        <v>1.071</v>
      </c>
      <c r="BQ51" s="682">
        <v>1.056</v>
      </c>
      <c r="BR51" s="1037">
        <v>1.056</v>
      </c>
      <c r="BS51" s="1037">
        <v>1.056</v>
      </c>
      <c r="BT51" s="1037">
        <v>1.056</v>
      </c>
      <c r="BU51" s="21"/>
      <c r="BV51" s="972" t="s">
        <v>128</v>
      </c>
      <c r="BW51" s="972"/>
      <c r="BX51" s="786"/>
      <c r="BY51" s="786"/>
      <c r="BZ51" s="786"/>
      <c r="CA51" s="786"/>
      <c r="CB51" s="786"/>
      <c r="CC51" s="786"/>
      <c r="CD51" s="682">
        <v>1.032</v>
      </c>
      <c r="CE51" s="1037">
        <v>1.032</v>
      </c>
      <c r="CF51" s="1037">
        <v>1.032</v>
      </c>
      <c r="CG51" s="1037">
        <v>1.032</v>
      </c>
      <c r="CI51" s="972" t="s">
        <v>128</v>
      </c>
      <c r="CJ51" s="786"/>
      <c r="CK51" s="788"/>
      <c r="CL51" s="789"/>
      <c r="CM51" s="789"/>
      <c r="CN51" s="789"/>
      <c r="CO51" s="16">
        <v>0.99614637091058145</v>
      </c>
      <c r="CP51" s="692">
        <v>0.99614637091058145</v>
      </c>
      <c r="CQ51" s="681">
        <v>0.99614637091058145</v>
      </c>
      <c r="CR51" s="17">
        <v>1</v>
      </c>
      <c r="CS51" s="17">
        <v>1</v>
      </c>
      <c r="CT51" s="17">
        <v>1</v>
      </c>
      <c r="CU51" s="41"/>
      <c r="CV51" s="21"/>
      <c r="CW51" s="972" t="s">
        <v>128</v>
      </c>
      <c r="CX51" s="786"/>
      <c r="CY51" s="788"/>
      <c r="CZ51" s="789"/>
      <c r="DA51" s="789"/>
      <c r="DB51" s="789"/>
      <c r="DC51" s="618">
        <v>15</v>
      </c>
      <c r="DD51" s="723">
        <v>15</v>
      </c>
      <c r="DE51" s="938">
        <v>15</v>
      </c>
      <c r="DF51" s="19">
        <v>15</v>
      </c>
      <c r="DG51" s="19">
        <v>15</v>
      </c>
      <c r="DH51" s="19">
        <v>15</v>
      </c>
      <c r="DN51" s="247"/>
    </row>
    <row r="52" spans="1:118" outlineLevel="1" x14ac:dyDescent="0.25">
      <c r="A52" s="2170"/>
      <c r="B52" s="2"/>
      <c r="C52" s="64"/>
      <c r="D52" s="394" t="str">
        <f t="shared" si="26"/>
        <v>800900_2025_12_</v>
      </c>
      <c r="E52" s="394" t="str">
        <f t="shared" si="27"/>
        <v xml:space="preserve">LED Replacing Interior T12 Fluorescent (Type A / Hybrid) </v>
      </c>
      <c r="F52" s="1690">
        <v>98.3</v>
      </c>
      <c r="G52" s="1690">
        <v>38.19</v>
      </c>
      <c r="H52" s="1949">
        <v>3449.1599793054424</v>
      </c>
      <c r="I52" s="1678">
        <v>1.056</v>
      </c>
      <c r="J52" s="1678">
        <v>1.032</v>
      </c>
      <c r="K52" s="1690">
        <v>1</v>
      </c>
      <c r="L52" s="698">
        <v>10</v>
      </c>
      <c r="M52" s="1678">
        <f t="shared" si="25"/>
        <v>0.93732108169668527</v>
      </c>
      <c r="U52" s="455"/>
      <c r="V52" s="658" t="s">
        <v>129</v>
      </c>
      <c r="W52" s="395">
        <v>40</v>
      </c>
      <c r="X52" s="112">
        <v>39.659124009019756</v>
      </c>
      <c r="Y52" s="17">
        <v>39.659124009019756</v>
      </c>
      <c r="Z52" s="17">
        <v>39.659124009019756</v>
      </c>
      <c r="AA52" s="17">
        <v>39.659124009019756</v>
      </c>
      <c r="AB52" s="395">
        <v>51.948940020682521</v>
      </c>
      <c r="AC52" s="902">
        <v>89.4</v>
      </c>
      <c r="AD52" s="160">
        <v>98.297069450020075</v>
      </c>
      <c r="AE52" s="17">
        <v>98.3</v>
      </c>
      <c r="AF52" s="17">
        <v>98.3</v>
      </c>
      <c r="AG52" s="17">
        <v>98.3</v>
      </c>
      <c r="AH52" s="21"/>
      <c r="AI52" s="731" t="s">
        <v>129</v>
      </c>
      <c r="AJ52" s="395">
        <v>14</v>
      </c>
      <c r="AK52" s="112">
        <v>16.024798289519346</v>
      </c>
      <c r="AL52" s="17">
        <v>16.024798289519346</v>
      </c>
      <c r="AM52" s="395">
        <v>16.024798289519346</v>
      </c>
      <c r="AN52" s="395">
        <v>16.024798289519346</v>
      </c>
      <c r="AO52" s="395">
        <v>16.49767321613237</v>
      </c>
      <c r="AP52" s="902">
        <v>33.47</v>
      </c>
      <c r="AQ52" s="160">
        <v>38.190028606456885</v>
      </c>
      <c r="AR52" s="17">
        <v>38.19</v>
      </c>
      <c r="AS52" s="17">
        <v>38.19</v>
      </c>
      <c r="AT52" s="17">
        <v>38.19</v>
      </c>
      <c r="AU52" s="21"/>
      <c r="AV52" s="731" t="s">
        <v>129</v>
      </c>
      <c r="AW52" s="1921">
        <v>4480</v>
      </c>
      <c r="AX52" s="804">
        <v>3660</v>
      </c>
      <c r="AY52" s="1921">
        <v>3660</v>
      </c>
      <c r="AZ52" s="1921">
        <v>3660</v>
      </c>
      <c r="BA52" s="1921">
        <v>3660</v>
      </c>
      <c r="BB52" s="1921">
        <v>3950.5788521199588</v>
      </c>
      <c r="BC52" s="1921">
        <v>3864.8374040474528</v>
      </c>
      <c r="BD52" s="936">
        <v>3141.0069472823866</v>
      </c>
      <c r="BE52" s="1038">
        <v>3141</v>
      </c>
      <c r="BF52" s="1038">
        <v>3141</v>
      </c>
      <c r="BG52" s="943">
        <v>3449.1599793054424</v>
      </c>
      <c r="BH52" s="21"/>
      <c r="BI52" s="731" t="s">
        <v>129</v>
      </c>
      <c r="BJ52" s="395">
        <v>1.07</v>
      </c>
      <c r="BK52" s="17">
        <v>1.07</v>
      </c>
      <c r="BL52" s="373">
        <v>1.07</v>
      </c>
      <c r="BM52" s="18">
        <v>1.07</v>
      </c>
      <c r="BN52" s="18">
        <v>1.07</v>
      </c>
      <c r="BO52" s="17">
        <v>1.071</v>
      </c>
      <c r="BP52" s="902">
        <v>1.071</v>
      </c>
      <c r="BQ52" s="682">
        <v>1.056</v>
      </c>
      <c r="BR52" s="1037">
        <v>1.056</v>
      </c>
      <c r="BS52" s="1037">
        <v>1.056</v>
      </c>
      <c r="BT52" s="1037">
        <v>1.056</v>
      </c>
      <c r="BU52" s="21"/>
      <c r="BV52" s="972" t="s">
        <v>129</v>
      </c>
      <c r="BW52" s="972"/>
      <c r="BX52" s="786"/>
      <c r="BY52" s="786"/>
      <c r="BZ52" s="786"/>
      <c r="CA52" s="786"/>
      <c r="CB52" s="786"/>
      <c r="CC52" s="786"/>
      <c r="CD52" s="682">
        <v>1.032</v>
      </c>
      <c r="CE52" s="1037">
        <v>1.032</v>
      </c>
      <c r="CF52" s="1037">
        <v>1.032</v>
      </c>
      <c r="CG52" s="1037">
        <v>1.032</v>
      </c>
      <c r="CI52" s="972" t="s">
        <v>129</v>
      </c>
      <c r="CJ52" s="395">
        <v>1</v>
      </c>
      <c r="CK52" s="17">
        <v>1</v>
      </c>
      <c r="CL52" s="395">
        <v>1</v>
      </c>
      <c r="CM52" s="395">
        <v>1</v>
      </c>
      <c r="CN52" s="395">
        <v>1</v>
      </c>
      <c r="CO52" s="395">
        <v>1</v>
      </c>
      <c r="CP52" s="902">
        <v>1</v>
      </c>
      <c r="CQ52" s="681">
        <v>1</v>
      </c>
      <c r="CR52" s="17">
        <v>1</v>
      </c>
      <c r="CS52" s="17">
        <v>1</v>
      </c>
      <c r="CT52" s="17">
        <v>1</v>
      </c>
      <c r="CU52" s="365"/>
      <c r="CV52" s="21"/>
      <c r="CW52" s="972" t="s">
        <v>129</v>
      </c>
      <c r="CX52" s="19">
        <v>11</v>
      </c>
      <c r="CY52" s="642">
        <v>14</v>
      </c>
      <c r="CZ52" s="1922">
        <v>14</v>
      </c>
      <c r="DA52" s="1922">
        <v>14</v>
      </c>
      <c r="DB52" s="1922">
        <v>14</v>
      </c>
      <c r="DC52" s="1922">
        <v>10</v>
      </c>
      <c r="DD52" s="1923">
        <v>10</v>
      </c>
      <c r="DE52" s="938">
        <v>10</v>
      </c>
      <c r="DF52" s="19">
        <v>10</v>
      </c>
      <c r="DG52" s="19">
        <v>10</v>
      </c>
      <c r="DH52" s="19">
        <v>10</v>
      </c>
    </row>
    <row r="53" spans="1:118" outlineLevel="1" x14ac:dyDescent="0.25">
      <c r="A53" s="2170"/>
      <c r="C53" s="64"/>
      <c r="D53" s="394" t="str">
        <f t="shared" si="26"/>
        <v>800901_2025_12_</v>
      </c>
      <c r="E53" s="394" t="str">
        <f t="shared" si="27"/>
        <v xml:space="preserve">LED Replacing Interior T12 Fluorescent (Type B, Kits, and Fixtures) </v>
      </c>
      <c r="F53" s="1690">
        <v>136.81711165552466</v>
      </c>
      <c r="G53" s="1690">
        <v>37.065798708444945</v>
      </c>
      <c r="H53" s="1949">
        <v>3449.1599793054424</v>
      </c>
      <c r="I53" s="1678">
        <v>1.056</v>
      </c>
      <c r="J53" s="1678">
        <v>1.032</v>
      </c>
      <c r="K53" s="1690">
        <v>1</v>
      </c>
      <c r="L53" s="698">
        <v>15</v>
      </c>
      <c r="M53" s="1678">
        <f t="shared" si="25"/>
        <v>0.93732108169668527</v>
      </c>
      <c r="U53" s="455"/>
      <c r="V53" s="658" t="s">
        <v>130</v>
      </c>
      <c r="W53" s="790"/>
      <c r="X53" s="790"/>
      <c r="Y53" s="791"/>
      <c r="Z53" s="791"/>
      <c r="AA53" s="791"/>
      <c r="AB53" s="16">
        <v>84.520773254863471</v>
      </c>
      <c r="AC53" s="692">
        <v>136.32</v>
      </c>
      <c r="AD53" s="160">
        <v>146.26370318609995</v>
      </c>
      <c r="AE53" s="112">
        <v>146.10196257737761</v>
      </c>
      <c r="AF53" s="112">
        <v>136.81711165552466</v>
      </c>
      <c r="AG53" s="17">
        <v>136.81711165552466</v>
      </c>
      <c r="AH53" s="21"/>
      <c r="AI53" s="731" t="s">
        <v>130</v>
      </c>
      <c r="AJ53" s="790"/>
      <c r="AK53" s="790"/>
      <c r="AL53" s="791"/>
      <c r="AM53" s="790"/>
      <c r="AN53" s="790"/>
      <c r="AO53" s="16">
        <v>23.731453326794188</v>
      </c>
      <c r="AP53" s="692">
        <v>39.130000000000003</v>
      </c>
      <c r="AQ53" s="160">
        <v>43.421946826527595</v>
      </c>
      <c r="AR53" s="112">
        <v>39.297260080002829</v>
      </c>
      <c r="AS53" s="112">
        <v>37.065798708444945</v>
      </c>
      <c r="AT53" s="17">
        <v>37.065798708444945</v>
      </c>
      <c r="AU53" s="21"/>
      <c r="AV53" s="731" t="s">
        <v>130</v>
      </c>
      <c r="AW53" s="807"/>
      <c r="AX53" s="808"/>
      <c r="AY53" s="807"/>
      <c r="AZ53" s="807"/>
      <c r="BA53" s="807"/>
      <c r="BB53" s="803">
        <v>2782.143658656204</v>
      </c>
      <c r="BC53" s="803">
        <v>2711.4667506965634</v>
      </c>
      <c r="BD53" s="936">
        <v>2930.951450307804</v>
      </c>
      <c r="BE53" s="943">
        <v>2857.4279797514955</v>
      </c>
      <c r="BF53" s="943">
        <v>2582.2919495836709</v>
      </c>
      <c r="BG53" s="943">
        <v>3449.1599793054424</v>
      </c>
      <c r="BH53" s="21"/>
      <c r="BI53" s="731" t="s">
        <v>130</v>
      </c>
      <c r="BJ53" s="786"/>
      <c r="BK53" s="788"/>
      <c r="BL53" s="789"/>
      <c r="BM53" s="789"/>
      <c r="BN53" s="789"/>
      <c r="BO53" s="17">
        <v>1.071</v>
      </c>
      <c r="BP53" s="692">
        <v>1.071</v>
      </c>
      <c r="BQ53" s="682">
        <v>1.056</v>
      </c>
      <c r="BR53" s="1037">
        <v>1.056</v>
      </c>
      <c r="BS53" s="1037">
        <v>1.056</v>
      </c>
      <c r="BT53" s="1037">
        <v>1.056</v>
      </c>
      <c r="BU53" s="21"/>
      <c r="BV53" s="972" t="s">
        <v>130</v>
      </c>
      <c r="BW53" s="972"/>
      <c r="BX53" s="786"/>
      <c r="BY53" s="786"/>
      <c r="BZ53" s="786"/>
      <c r="CA53" s="786"/>
      <c r="CB53" s="786"/>
      <c r="CC53" s="786"/>
      <c r="CD53" s="682">
        <v>1.032</v>
      </c>
      <c r="CE53" s="1037">
        <v>1.032</v>
      </c>
      <c r="CF53" s="1037">
        <v>1.032</v>
      </c>
      <c r="CG53" s="1037">
        <v>1.032</v>
      </c>
      <c r="CI53" s="972" t="s">
        <v>130</v>
      </c>
      <c r="CJ53" s="786"/>
      <c r="CK53" s="788"/>
      <c r="CL53" s="789"/>
      <c r="CM53" s="789"/>
      <c r="CN53" s="789"/>
      <c r="CO53" s="16">
        <v>1</v>
      </c>
      <c r="CP53" s="692">
        <v>1</v>
      </c>
      <c r="CQ53" s="681">
        <v>1</v>
      </c>
      <c r="CR53" s="17">
        <v>1</v>
      </c>
      <c r="CS53" s="17">
        <v>1</v>
      </c>
      <c r="CT53" s="17">
        <v>1</v>
      </c>
      <c r="CU53" s="41"/>
      <c r="CV53" s="21"/>
      <c r="CW53" s="972" t="s">
        <v>130</v>
      </c>
      <c r="CX53" s="786"/>
      <c r="CY53" s="788"/>
      <c r="CZ53" s="789"/>
      <c r="DA53" s="789"/>
      <c r="DB53" s="789"/>
      <c r="DC53" s="618">
        <v>15</v>
      </c>
      <c r="DD53" s="723">
        <v>15</v>
      </c>
      <c r="DE53" s="938">
        <v>15</v>
      </c>
      <c r="DF53" s="19">
        <v>15</v>
      </c>
      <c r="DG53" s="19">
        <v>15</v>
      </c>
      <c r="DH53" s="19">
        <v>15</v>
      </c>
      <c r="DN53" s="247"/>
    </row>
    <row r="54" spans="1:118" outlineLevel="1" x14ac:dyDescent="0.25">
      <c r="A54" s="2171"/>
      <c r="B54" s="2"/>
      <c r="D54" s="394" t="str">
        <f t="shared" si="26"/>
        <v>800950_2024_12_</v>
      </c>
      <c r="E54" s="394" t="str">
        <f t="shared" si="27"/>
        <v xml:space="preserve">LED Specialty Lamp </v>
      </c>
      <c r="F54" s="1690">
        <v>25</v>
      </c>
      <c r="G54" s="1690">
        <v>3.2</v>
      </c>
      <c r="H54" s="1691">
        <v>4380</v>
      </c>
      <c r="I54" s="1678">
        <v>1.056</v>
      </c>
      <c r="J54" s="1678">
        <v>1.032</v>
      </c>
      <c r="K54" s="1690">
        <v>1</v>
      </c>
      <c r="L54" s="698">
        <v>10</v>
      </c>
      <c r="M54" s="1678">
        <f t="shared" si="25"/>
        <v>0.93732108169668527</v>
      </c>
      <c r="U54" s="455"/>
      <c r="V54" s="658" t="s">
        <v>131</v>
      </c>
      <c r="W54" s="395">
        <v>25</v>
      </c>
      <c r="X54" s="395">
        <v>25</v>
      </c>
      <c r="Y54" s="17">
        <v>25</v>
      </c>
      <c r="Z54" s="17">
        <v>25</v>
      </c>
      <c r="AA54" s="17">
        <v>25</v>
      </c>
      <c r="AB54" s="395">
        <v>25</v>
      </c>
      <c r="AC54" s="902">
        <v>25</v>
      </c>
      <c r="AD54" s="20">
        <v>25</v>
      </c>
      <c r="AE54" s="112">
        <v>25</v>
      </c>
      <c r="AF54" s="17">
        <v>25</v>
      </c>
      <c r="AG54" s="17">
        <v>25</v>
      </c>
      <c r="AH54" s="21"/>
      <c r="AI54" s="731" t="s">
        <v>131</v>
      </c>
      <c r="AJ54" s="395">
        <v>3.2</v>
      </c>
      <c r="AK54" s="395">
        <v>3.2</v>
      </c>
      <c r="AL54" s="17">
        <v>3.2</v>
      </c>
      <c r="AM54" s="395">
        <v>3.2</v>
      </c>
      <c r="AN54" s="395">
        <v>3.2</v>
      </c>
      <c r="AO54" s="395">
        <v>3.2</v>
      </c>
      <c r="AP54" s="902">
        <v>3.2</v>
      </c>
      <c r="AQ54" s="20">
        <v>3.2</v>
      </c>
      <c r="AR54" s="17">
        <v>3.2</v>
      </c>
      <c r="AS54" s="17">
        <v>3.2</v>
      </c>
      <c r="AT54" s="17">
        <v>3.2</v>
      </c>
      <c r="AU54" s="21"/>
      <c r="AV54" s="731" t="s">
        <v>131</v>
      </c>
      <c r="AW54" s="1921">
        <v>4380</v>
      </c>
      <c r="AX54" s="805">
        <v>4380</v>
      </c>
      <c r="AY54" s="1921">
        <v>4380</v>
      </c>
      <c r="AZ54" s="1921">
        <v>4380</v>
      </c>
      <c r="BA54" s="1921">
        <v>4380</v>
      </c>
      <c r="BB54" s="1921">
        <v>4380</v>
      </c>
      <c r="BC54" s="1921">
        <v>4380</v>
      </c>
      <c r="BD54" s="937">
        <v>4380</v>
      </c>
      <c r="BE54" s="1038">
        <v>4380</v>
      </c>
      <c r="BF54" s="1038">
        <v>4380</v>
      </c>
      <c r="BG54" s="1038">
        <v>4380</v>
      </c>
      <c r="BH54" s="21"/>
      <c r="BI54" s="731" t="s">
        <v>131</v>
      </c>
      <c r="BJ54" s="395">
        <v>1.07</v>
      </c>
      <c r="BK54" s="395">
        <v>1.07</v>
      </c>
      <c r="BL54" s="373">
        <v>1.07</v>
      </c>
      <c r="BM54" s="18">
        <v>1.07</v>
      </c>
      <c r="BN54" s="18">
        <v>1.07</v>
      </c>
      <c r="BO54" s="17">
        <v>1.071</v>
      </c>
      <c r="BP54" s="902">
        <v>1.071</v>
      </c>
      <c r="BQ54" s="682">
        <v>1.056</v>
      </c>
      <c r="BR54" s="1037">
        <v>1.056</v>
      </c>
      <c r="BS54" s="1037">
        <v>1.056</v>
      </c>
      <c r="BT54" s="1037">
        <v>1.056</v>
      </c>
      <c r="BU54" s="21"/>
      <c r="BV54" s="972" t="s">
        <v>131</v>
      </c>
      <c r="BW54" s="972"/>
      <c r="BX54" s="786"/>
      <c r="BY54" s="786"/>
      <c r="BZ54" s="786"/>
      <c r="CA54" s="786"/>
      <c r="CB54" s="786"/>
      <c r="CC54" s="786"/>
      <c r="CD54" s="682">
        <v>1.032</v>
      </c>
      <c r="CE54" s="1037">
        <v>1.032</v>
      </c>
      <c r="CF54" s="1037">
        <v>1.032</v>
      </c>
      <c r="CG54" s="1037">
        <v>1.032</v>
      </c>
      <c r="CI54" s="972" t="s">
        <v>131</v>
      </c>
      <c r="CJ54" s="395">
        <v>1</v>
      </c>
      <c r="CK54" s="17">
        <v>1</v>
      </c>
      <c r="CL54" s="395">
        <v>1</v>
      </c>
      <c r="CM54" s="395">
        <v>1</v>
      </c>
      <c r="CN54" s="395">
        <v>1</v>
      </c>
      <c r="CO54" s="395">
        <v>1</v>
      </c>
      <c r="CP54" s="902">
        <v>1</v>
      </c>
      <c r="CQ54" s="681">
        <v>1</v>
      </c>
      <c r="CR54" s="17">
        <v>1</v>
      </c>
      <c r="CS54" s="17">
        <v>1</v>
      </c>
      <c r="CT54" s="17">
        <v>1</v>
      </c>
      <c r="CU54" s="365"/>
      <c r="CV54" s="21"/>
      <c r="CW54" s="972" t="s">
        <v>131</v>
      </c>
      <c r="CX54" s="19">
        <v>11</v>
      </c>
      <c r="CY54" s="22">
        <v>11</v>
      </c>
      <c r="CZ54" s="1922">
        <v>11</v>
      </c>
      <c r="DA54" s="1922">
        <v>11</v>
      </c>
      <c r="DB54" s="1922">
        <v>11</v>
      </c>
      <c r="DC54" s="1922">
        <v>11</v>
      </c>
      <c r="DD54" s="1923">
        <v>10</v>
      </c>
      <c r="DE54" s="938">
        <v>10</v>
      </c>
      <c r="DF54" s="19">
        <v>10</v>
      </c>
      <c r="DG54" s="19">
        <v>10</v>
      </c>
      <c r="DH54" s="19">
        <v>10</v>
      </c>
    </row>
    <row r="55" spans="1:118" ht="18.75" customHeight="1" x14ac:dyDescent="0.25">
      <c r="A55" s="2170"/>
      <c r="D55" s="457"/>
      <c r="G55" s="247"/>
      <c r="H55" s="451"/>
      <c r="V55" s="8"/>
    </row>
    <row r="56" spans="1:118" ht="18.75" customHeight="1" x14ac:dyDescent="0.25">
      <c r="A56" s="2170"/>
      <c r="D56" s="457"/>
      <c r="G56" s="247"/>
      <c r="H56" s="451"/>
      <c r="V56" s="247"/>
      <c r="W56" s="8"/>
      <c r="CJ56" s="2"/>
      <c r="CN56"/>
      <c r="DA56" s="2"/>
      <c r="DE56"/>
      <c r="DK56" s="247"/>
      <c r="DL56" s="759"/>
    </row>
    <row r="57" spans="1:118" s="7" customFormat="1" x14ac:dyDescent="0.25">
      <c r="A57" s="2170"/>
      <c r="B57" s="2334" t="s">
        <v>132</v>
      </c>
      <c r="C57" s="2335"/>
      <c r="D57" s="2335"/>
      <c r="E57" s="2335"/>
      <c r="F57" s="2335"/>
      <c r="G57" s="2335"/>
      <c r="H57" s="2335"/>
      <c r="I57" s="2336"/>
      <c r="J57" s="2336"/>
      <c r="K57" s="2336"/>
      <c r="L57" s="2336"/>
      <c r="M57" s="2337"/>
      <c r="N57" s="2337"/>
      <c r="O57" s="2338"/>
      <c r="V57" s="1234" t="str">
        <f>B57</f>
        <v>Lighting Controls</v>
      </c>
      <c r="W57" s="1235"/>
      <c r="X57" s="1235"/>
      <c r="Y57" s="1235"/>
      <c r="Z57" s="1235"/>
      <c r="AA57" s="1235"/>
      <c r="AB57" s="1235"/>
      <c r="AC57" s="1235"/>
      <c r="AD57" s="1235"/>
      <c r="AE57" s="1235"/>
      <c r="AF57" s="1235"/>
      <c r="AG57" s="1235"/>
      <c r="AH57" s="1235"/>
      <c r="AI57" s="1269"/>
      <c r="AJ57" s="2"/>
      <c r="AK57" s="2"/>
      <c r="AL57" s="2"/>
      <c r="AM57" s="2"/>
      <c r="AN57" s="2"/>
      <c r="AO57" s="2"/>
      <c r="AP57" s="2"/>
      <c r="AQ57" s="2"/>
      <c r="AR57" s="2"/>
      <c r="AS57" s="2"/>
      <c r="AT57" s="2"/>
      <c r="AU57" s="2"/>
      <c r="AV57" s="2"/>
      <c r="BG57" s="2"/>
      <c r="BV57" s="2"/>
      <c r="CN57" s="6"/>
      <c r="DI57" s="2"/>
      <c r="DJ57" s="2"/>
      <c r="DK57" s="990"/>
      <c r="DL57" s="64"/>
      <c r="DM57" s="64"/>
      <c r="DN57" s="2031"/>
    </row>
    <row r="58" spans="1:118" ht="18.75" customHeight="1" x14ac:dyDescent="0.25">
      <c r="A58" s="2170"/>
      <c r="D58" s="457"/>
      <c r="G58" s="247"/>
      <c r="H58" s="451"/>
      <c r="V58" s="8"/>
    </row>
    <row r="59" spans="1:118" s="8" customFormat="1" ht="30" x14ac:dyDescent="0.25">
      <c r="A59" s="2170"/>
      <c r="B59" s="64"/>
      <c r="C59" s="9" t="s">
        <v>43</v>
      </c>
      <c r="D59" s="1301" t="s">
        <v>44</v>
      </c>
      <c r="E59" s="1301" t="s">
        <v>45</v>
      </c>
      <c r="F59" s="1301" t="s">
        <v>133</v>
      </c>
      <c r="G59" s="1301" t="s">
        <v>47</v>
      </c>
      <c r="H59" s="10" t="s">
        <v>48</v>
      </c>
      <c r="I59" s="1301" t="s">
        <v>134</v>
      </c>
      <c r="J59" s="1301" t="s">
        <v>50</v>
      </c>
      <c r="K59" s="9" t="s">
        <v>51</v>
      </c>
      <c r="L59" s="9" t="s">
        <v>52</v>
      </c>
      <c r="M59" s="247"/>
      <c r="N59" s="247"/>
      <c r="O59" s="247"/>
      <c r="P59" s="247"/>
      <c r="Q59" s="247"/>
      <c r="R59" s="247"/>
      <c r="S59" s="115"/>
      <c r="T59" s="115"/>
      <c r="U59" s="115"/>
      <c r="V59" s="636" t="s">
        <v>53</v>
      </c>
      <c r="W59" s="637">
        <f>$W$8</f>
        <v>43252</v>
      </c>
      <c r="X59" s="637">
        <f>$X$8</f>
        <v>43465</v>
      </c>
      <c r="Y59" s="637">
        <f>$Y$8</f>
        <v>43800</v>
      </c>
      <c r="Z59" s="637">
        <f>$Z$8</f>
        <v>43862</v>
      </c>
      <c r="AA59" s="637">
        <f>$AA$8</f>
        <v>44013</v>
      </c>
      <c r="AB59" s="637">
        <v>44166</v>
      </c>
      <c r="AC59" s="637">
        <f>$AC$8</f>
        <v>44531</v>
      </c>
      <c r="AD59" s="637">
        <f>$AD$8</f>
        <v>44774</v>
      </c>
      <c r="AE59" s="637">
        <f>$AE$8</f>
        <v>45142</v>
      </c>
      <c r="AF59" s="637">
        <f>$AF$8</f>
        <v>45672</v>
      </c>
      <c r="AG59" s="637">
        <f>$AG$8</f>
        <v>45971</v>
      </c>
      <c r="AI59" s="636" t="s">
        <v>53</v>
      </c>
      <c r="AJ59" s="637">
        <f t="shared" ref="AJ59:AS59" si="28">W59</f>
        <v>43252</v>
      </c>
      <c r="AK59" s="637">
        <f t="shared" si="28"/>
        <v>43465</v>
      </c>
      <c r="AL59" s="637">
        <f t="shared" si="28"/>
        <v>43800</v>
      </c>
      <c r="AM59" s="637">
        <f t="shared" si="28"/>
        <v>43862</v>
      </c>
      <c r="AN59" s="637">
        <f t="shared" si="28"/>
        <v>44013</v>
      </c>
      <c r="AO59" s="637">
        <f t="shared" si="28"/>
        <v>44166</v>
      </c>
      <c r="AP59" s="637">
        <f t="shared" si="28"/>
        <v>44531</v>
      </c>
      <c r="AQ59" s="637">
        <f t="shared" si="28"/>
        <v>44774</v>
      </c>
      <c r="AR59" s="637">
        <f t="shared" si="28"/>
        <v>45142</v>
      </c>
      <c r="AS59" s="637">
        <f t="shared" si="28"/>
        <v>45672</v>
      </c>
      <c r="AT59" s="637">
        <f>$AT$8</f>
        <v>45971</v>
      </c>
      <c r="AU59" s="2"/>
      <c r="AV59" s="636" t="s">
        <v>53</v>
      </c>
      <c r="AW59" s="637">
        <f>W59</f>
        <v>43252</v>
      </c>
      <c r="AX59" s="637">
        <f>X59</f>
        <v>43465</v>
      </c>
      <c r="AY59" s="637">
        <f>Y59</f>
        <v>43800</v>
      </c>
      <c r="AZ59" s="637">
        <f>Z59</f>
        <v>43862</v>
      </c>
      <c r="BA59" s="637">
        <f>AA59</f>
        <v>44013</v>
      </c>
      <c r="BB59" s="637">
        <v>44166</v>
      </c>
      <c r="BC59" s="637">
        <f>AC59</f>
        <v>44531</v>
      </c>
      <c r="BD59" s="637">
        <f>AD59</f>
        <v>44774</v>
      </c>
      <c r="BE59" s="637">
        <f>AE59</f>
        <v>45142</v>
      </c>
      <c r="BF59" s="637">
        <f>AF59</f>
        <v>45672</v>
      </c>
      <c r="BG59" s="637">
        <f>$AT$8</f>
        <v>45971</v>
      </c>
      <c r="BV59" s="2"/>
      <c r="DI59" s="2"/>
      <c r="DJ59" s="2"/>
      <c r="DK59" s="991" t="str">
        <f>$DK$8</f>
        <v>TRC (2025)</v>
      </c>
      <c r="DL59" s="761" t="str">
        <f>$DL$8</f>
        <v>Benefit Lookup</v>
      </c>
      <c r="DM59" s="761" t="str">
        <f>$DM$8</f>
        <v>Benefits (2025 $)</v>
      </c>
      <c r="DN59" s="2034" t="str">
        <f>$DN$8</f>
        <v>Incremental Cost (2025 $)</v>
      </c>
    </row>
    <row r="60" spans="1:118" x14ac:dyDescent="0.25">
      <c r="A60" s="2006" t="s">
        <v>80</v>
      </c>
      <c r="B60" s="247">
        <f t="shared" ref="B60:B61" si="29">VALUE(LEFT(C60,6))</f>
        <v>801010</v>
      </c>
      <c r="C60" s="656" t="s">
        <v>135</v>
      </c>
      <c r="D60" s="1973" t="str">
        <f>D9</f>
        <v>C&amp;I</v>
      </c>
      <c r="E60" s="458" t="s">
        <v>136</v>
      </c>
      <c r="F60" s="170">
        <f>ROUND(F74*G74*H74*I74,2)</f>
        <v>150.15</v>
      </c>
      <c r="G60" s="441" t="s">
        <v>62</v>
      </c>
      <c r="H60" s="442">
        <f>VLOOKUP(G60,'CP FACTORS'!$A$26:$B$38,2,FALSE)</f>
        <v>1.899635E-4</v>
      </c>
      <c r="I60" s="459">
        <f>ROUND(H60*F60*J74,6)</f>
        <v>2.9436E-2</v>
      </c>
      <c r="J60" s="19">
        <v>10</v>
      </c>
      <c r="K60" s="1689">
        <v>65</v>
      </c>
      <c r="L60" s="443" t="s">
        <v>63</v>
      </c>
      <c r="S60" s="447"/>
      <c r="T60" s="448"/>
      <c r="V60" s="1285" t="s">
        <v>46</v>
      </c>
      <c r="W60" s="52"/>
      <c r="X60" s="52"/>
      <c r="Y60" s="52"/>
      <c r="Z60" s="68"/>
      <c r="AA60" s="1615">
        <v>111.87</v>
      </c>
      <c r="AB60" s="793">
        <v>118.87</v>
      </c>
      <c r="AC60" s="1634">
        <v>118.87</v>
      </c>
      <c r="AD60" s="1615">
        <v>117.2</v>
      </c>
      <c r="AE60" s="1615">
        <v>164.85</v>
      </c>
      <c r="AF60" s="253">
        <v>150.15</v>
      </c>
      <c r="AG60" s="68">
        <v>150.15</v>
      </c>
      <c r="AI60" s="1285" t="s">
        <v>50</v>
      </c>
      <c r="AJ60" s="639"/>
      <c r="AK60" s="639"/>
      <c r="AL60" s="639"/>
      <c r="AM60" s="68"/>
      <c r="AN60" s="633">
        <v>15</v>
      </c>
      <c r="AO60" s="723">
        <v>10</v>
      </c>
      <c r="AP60" s="794">
        <v>10</v>
      </c>
      <c r="AQ60" s="794">
        <v>10</v>
      </c>
      <c r="AR60" s="19">
        <v>10</v>
      </c>
      <c r="AS60" s="19">
        <v>10</v>
      </c>
      <c r="AT60" s="19">
        <v>10</v>
      </c>
      <c r="AV60" s="1285" t="s">
        <v>51</v>
      </c>
      <c r="AW60" s="640"/>
      <c r="AX60" s="640"/>
      <c r="AY60" s="640"/>
      <c r="AZ60" s="635"/>
      <c r="BA60" s="635">
        <v>45</v>
      </c>
      <c r="BB60" s="657">
        <v>45</v>
      </c>
      <c r="BC60" s="657">
        <v>45</v>
      </c>
      <c r="BD60" s="657">
        <v>45</v>
      </c>
      <c r="BE60" s="1039">
        <v>45</v>
      </c>
      <c r="BF60" s="1637">
        <v>65</v>
      </c>
      <c r="BG60" s="1039">
        <f>K60</f>
        <v>65</v>
      </c>
      <c r="DK60" s="578">
        <f>(DM60)/(DN60)</f>
        <v>1.3273616282337573</v>
      </c>
      <c r="DL60" s="1272" t="str">
        <f>CONCATENATE(G60," ",J60," Year EUL")</f>
        <v>Lighting BUS 10 Year EUL</v>
      </c>
      <c r="DM60" s="423">
        <f>(INDEX('Avoided Cost Benefits'!$B$4:$B$865,MATCH(DL60,'Avoided Cost Benefits'!$A$4:$A$865,0)))*F60</f>
        <v>86.278505835194224</v>
      </c>
      <c r="DN60" s="2033">
        <f>IFERROR(K60/((1+DiscountRate)^(CurrentYear-DiscountYear)),0)</f>
        <v>65</v>
      </c>
    </row>
    <row r="61" spans="1:118" x14ac:dyDescent="0.25">
      <c r="A61" s="2006" t="s">
        <v>80</v>
      </c>
      <c r="B61" s="247">
        <f t="shared" si="29"/>
        <v>801020</v>
      </c>
      <c r="C61" s="656" t="s">
        <v>137</v>
      </c>
      <c r="D61" s="1973" t="str">
        <f>D10</f>
        <v>C&amp;I</v>
      </c>
      <c r="E61" s="458" t="s">
        <v>138</v>
      </c>
      <c r="F61" s="170">
        <f>ROUND(F75*G75*H75*I75,2)</f>
        <v>545.92999999999995</v>
      </c>
      <c r="G61" s="441" t="s">
        <v>62</v>
      </c>
      <c r="H61" s="442">
        <f>VLOOKUP(G61,'CP FACTORS'!$A$26:$B$38,2,FALSE)</f>
        <v>1.899635E-4</v>
      </c>
      <c r="I61" s="459">
        <f>ROUND(H61*F61*J75,6)</f>
        <v>0.107025</v>
      </c>
      <c r="J61" s="19">
        <v>10</v>
      </c>
      <c r="K61" s="1689">
        <v>105</v>
      </c>
      <c r="L61" s="443" t="s">
        <v>63</v>
      </c>
      <c r="S61" s="447"/>
      <c r="T61" s="448"/>
      <c r="V61" s="1285" t="s">
        <v>46</v>
      </c>
      <c r="W61" s="52"/>
      <c r="X61" s="52"/>
      <c r="Y61" s="52"/>
      <c r="Z61" s="52"/>
      <c r="AA61" s="1615">
        <v>290.86</v>
      </c>
      <c r="AB61" s="793">
        <v>291.13</v>
      </c>
      <c r="AC61" s="1634">
        <v>291.13</v>
      </c>
      <c r="AD61" s="1615">
        <v>287.06</v>
      </c>
      <c r="AE61" s="1615">
        <v>241.34</v>
      </c>
      <c r="AF61" s="253">
        <v>545.92999999999995</v>
      </c>
      <c r="AG61" s="52">
        <v>545.92999999999995</v>
      </c>
      <c r="AI61" s="1285" t="s">
        <v>50</v>
      </c>
      <c r="AJ61" s="639"/>
      <c r="AK61" s="639"/>
      <c r="AL61" s="639"/>
      <c r="AM61" s="52"/>
      <c r="AN61" s="633">
        <v>15</v>
      </c>
      <c r="AO61" s="723">
        <v>10</v>
      </c>
      <c r="AP61" s="794">
        <v>10</v>
      </c>
      <c r="AQ61" s="794">
        <v>10</v>
      </c>
      <c r="AR61" s="19">
        <v>10</v>
      </c>
      <c r="AS61" s="19">
        <v>10</v>
      </c>
      <c r="AT61" s="19">
        <v>10</v>
      </c>
      <c r="AV61" s="1285" t="s">
        <v>51</v>
      </c>
      <c r="AW61" s="640"/>
      <c r="AX61" s="640"/>
      <c r="AY61" s="640"/>
      <c r="AZ61" s="635"/>
      <c r="BA61" s="635">
        <v>105</v>
      </c>
      <c r="BB61" s="657">
        <v>105</v>
      </c>
      <c r="BC61" s="657">
        <v>105</v>
      </c>
      <c r="BD61" s="657">
        <v>105</v>
      </c>
      <c r="BE61" s="1039">
        <v>105</v>
      </c>
      <c r="BF61" s="1637">
        <v>105</v>
      </c>
      <c r="BG61" s="1039">
        <f>K61</f>
        <v>105</v>
      </c>
      <c r="DK61" s="578">
        <f>(DM61)/(DN61)</f>
        <v>2.9876171251356629</v>
      </c>
      <c r="DL61" s="1272" t="str">
        <f>CONCATENATE(G61," ",J61," Year EUL")</f>
        <v>Lighting BUS 10 Year EUL</v>
      </c>
      <c r="DM61" s="423">
        <f>(INDEX('Avoided Cost Benefits'!$B$4:$B$865,MATCH(DL61,'Avoided Cost Benefits'!$A$4:$A$865,0)))*F61</f>
        <v>313.69979813924459</v>
      </c>
      <c r="DN61" s="1928">
        <f>IFERROR(K61/((1+DiscountRate)^(CurrentYear-DiscountYear)),0)</f>
        <v>105</v>
      </c>
    </row>
    <row r="62" spans="1:118" x14ac:dyDescent="0.25">
      <c r="A62" s="2170"/>
      <c r="D62" s="1583"/>
      <c r="E62" s="457"/>
      <c r="F62" s="462"/>
      <c r="G62" s="1583"/>
      <c r="H62" s="440"/>
      <c r="I62" s="1777"/>
      <c r="J62" s="1777"/>
      <c r="K62" s="1777"/>
      <c r="L62" s="1585"/>
      <c r="P62" s="445"/>
      <c r="S62" s="447"/>
      <c r="T62" s="448"/>
      <c r="U62" s="448"/>
      <c r="V62" s="448"/>
      <c r="W62" s="448"/>
      <c r="X62" s="448"/>
      <c r="Y62" s="448"/>
      <c r="Z62" s="448"/>
      <c r="AA62" s="1649"/>
      <c r="AB62" s="1649"/>
      <c r="AC62" s="1649"/>
      <c r="AD62" s="1649"/>
      <c r="AE62" s="1649"/>
      <c r="AF62" s="1649"/>
      <c r="AG62" s="44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DK62" s="996"/>
      <c r="DL62" s="996"/>
      <c r="DM62" s="996"/>
      <c r="DN62" s="996"/>
    </row>
    <row r="63" spans="1:118" outlineLevel="1" x14ac:dyDescent="0.25">
      <c r="D63" s="74" t="s">
        <v>95</v>
      </c>
      <c r="E63" s="108" t="s">
        <v>139</v>
      </c>
      <c r="F63" s="7"/>
      <c r="G63" s="7"/>
      <c r="H63" s="449"/>
      <c r="I63" s="7"/>
      <c r="J63" s="7"/>
      <c r="K63" s="7"/>
      <c r="V63" s="247"/>
      <c r="W63" s="247"/>
      <c r="X63" s="247"/>
      <c r="Y63" s="247"/>
      <c r="Z63" s="247"/>
      <c r="AA63" s="1650"/>
      <c r="AB63" s="1650"/>
      <c r="AC63" s="1650"/>
      <c r="AD63" s="1650"/>
      <c r="AE63" s="1650"/>
      <c r="AF63" s="1650"/>
      <c r="AG63" s="247"/>
      <c r="AH63" s="247"/>
      <c r="AI63" s="247"/>
      <c r="AJ63" s="247"/>
      <c r="AK63" s="247"/>
      <c r="AL63" s="247"/>
      <c r="AM63" s="247"/>
      <c r="AN63" s="247"/>
      <c r="AO63" s="247"/>
      <c r="AP63" s="247"/>
      <c r="AQ63" s="247"/>
      <c r="AR63" s="247"/>
      <c r="AS63" s="247"/>
      <c r="AT63" s="247"/>
      <c r="AU63" s="247"/>
      <c r="AV63" s="247"/>
      <c r="AW63" s="247"/>
      <c r="AX63" s="247"/>
      <c r="AY63" s="247"/>
      <c r="AZ63" s="247"/>
      <c r="BA63" s="247"/>
      <c r="BB63" s="247"/>
      <c r="BC63" s="247"/>
      <c r="BD63" s="247"/>
      <c r="BE63" s="247"/>
      <c r="BF63" s="247"/>
      <c r="BG63" s="247"/>
      <c r="BH63" s="247"/>
      <c r="BI63" s="247"/>
      <c r="BJ63" s="247"/>
      <c r="DK63" s="996"/>
      <c r="DL63" s="996"/>
      <c r="DM63" s="996"/>
      <c r="DN63" s="996"/>
    </row>
    <row r="64" spans="1:118" outlineLevel="1" x14ac:dyDescent="0.25">
      <c r="D64" s="7" t="s">
        <v>97</v>
      </c>
      <c r="E64" s="7"/>
      <c r="F64" s="7"/>
      <c r="G64" s="7"/>
      <c r="H64" s="449"/>
      <c r="I64" s="7"/>
      <c r="J64" s="7"/>
      <c r="K64" s="7"/>
      <c r="V64" s="247"/>
      <c r="W64" s="247"/>
      <c r="X64" s="247"/>
      <c r="Y64" s="247"/>
      <c r="Z64" s="247"/>
      <c r="AA64" s="1650"/>
      <c r="AB64" s="1650"/>
      <c r="AC64" s="1650"/>
      <c r="AD64" s="1650"/>
      <c r="AE64" s="1650"/>
      <c r="AF64" s="16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DK64" s="996"/>
      <c r="DL64" s="996"/>
      <c r="DM64" s="996"/>
      <c r="DN64" s="996"/>
    </row>
    <row r="65" spans="1:118" outlineLevel="1" x14ac:dyDescent="0.25">
      <c r="D65" s="450"/>
      <c r="G65" s="247"/>
      <c r="H65" s="451"/>
      <c r="M65" s="7"/>
      <c r="AA65" s="1644"/>
      <c r="AB65" s="1644"/>
      <c r="AC65" s="1644"/>
      <c r="AD65" s="1644"/>
      <c r="AE65" s="1644"/>
      <c r="AF65" s="1644"/>
      <c r="DK65" s="996"/>
      <c r="DL65" s="996"/>
      <c r="DM65" s="996"/>
      <c r="DN65" s="996"/>
    </row>
    <row r="66" spans="1:118" outlineLevel="1" x14ac:dyDescent="0.25">
      <c r="D66" s="450"/>
      <c r="G66" s="247"/>
      <c r="H66" s="451"/>
      <c r="M66" s="7"/>
      <c r="DK66" s="996"/>
      <c r="DL66" s="996"/>
      <c r="DM66" s="996"/>
      <c r="DN66" s="996"/>
    </row>
    <row r="67" spans="1:118" outlineLevel="1" x14ac:dyDescent="0.25">
      <c r="D67" s="450"/>
      <c r="G67" s="247"/>
      <c r="H67" s="451"/>
      <c r="M67" s="7"/>
    </row>
    <row r="68" spans="1:118" outlineLevel="1" x14ac:dyDescent="0.25">
      <c r="D68" s="450"/>
      <c r="G68" s="247"/>
      <c r="H68" s="451"/>
      <c r="M68" s="7"/>
    </row>
    <row r="69" spans="1:118" outlineLevel="1" x14ac:dyDescent="0.25">
      <c r="D69" s="450"/>
      <c r="G69" s="247"/>
      <c r="H69" s="451"/>
      <c r="M69" s="7"/>
    </row>
    <row r="70" spans="1:118" outlineLevel="1" x14ac:dyDescent="0.25">
      <c r="D70" s="450"/>
      <c r="G70" s="247"/>
      <c r="H70" s="451"/>
      <c r="M70" s="7"/>
    </row>
    <row r="71" spans="1:118" outlineLevel="1" x14ac:dyDescent="0.25">
      <c r="D71" s="450"/>
      <c r="G71" s="247"/>
      <c r="H71" s="451"/>
      <c r="M71" s="7"/>
    </row>
    <row r="72" spans="1:118" outlineLevel="1" x14ac:dyDescent="0.25">
      <c r="D72" s="450"/>
      <c r="G72" s="247"/>
      <c r="H72" s="451"/>
      <c r="V72" s="802" t="s">
        <v>53</v>
      </c>
      <c r="W72" s="637">
        <f>$W$8</f>
        <v>43252</v>
      </c>
      <c r="X72" s="637">
        <f>$X$8</f>
        <v>43465</v>
      </c>
      <c r="Y72" s="637">
        <f>$Y$8</f>
        <v>43800</v>
      </c>
      <c r="Z72" s="637">
        <f>$Z$8</f>
        <v>43862</v>
      </c>
      <c r="AA72" s="637">
        <f>$AA$8</f>
        <v>44013</v>
      </c>
      <c r="AB72" s="637">
        <v>44166</v>
      </c>
      <c r="AC72" s="637">
        <f>$AC$8</f>
        <v>44531</v>
      </c>
      <c r="AD72" s="637">
        <f>$AD$8</f>
        <v>44774</v>
      </c>
      <c r="AE72" s="637">
        <f>$AE$8</f>
        <v>45142</v>
      </c>
      <c r="AF72" s="637">
        <f>$AF$8</f>
        <v>45672</v>
      </c>
      <c r="AG72" s="637">
        <f>$AG$8</f>
        <v>45971</v>
      </c>
      <c r="AI72" s="802" t="s">
        <v>53</v>
      </c>
      <c r="AJ72" s="637">
        <f t="shared" ref="AJ72:AS72" si="30">W72</f>
        <v>43252</v>
      </c>
      <c r="AK72" s="637">
        <f t="shared" si="30"/>
        <v>43465</v>
      </c>
      <c r="AL72" s="637">
        <f t="shared" si="30"/>
        <v>43800</v>
      </c>
      <c r="AM72" s="637">
        <f t="shared" si="30"/>
        <v>43862</v>
      </c>
      <c r="AN72" s="637">
        <f t="shared" si="30"/>
        <v>44013</v>
      </c>
      <c r="AO72" s="637">
        <f t="shared" si="30"/>
        <v>44166</v>
      </c>
      <c r="AP72" s="637">
        <f t="shared" si="30"/>
        <v>44531</v>
      </c>
      <c r="AQ72" s="637">
        <f t="shared" si="30"/>
        <v>44774</v>
      </c>
      <c r="AR72" s="637">
        <f t="shared" si="30"/>
        <v>45142</v>
      </c>
      <c r="AS72" s="637">
        <f t="shared" si="30"/>
        <v>45672</v>
      </c>
      <c r="AT72" s="637"/>
      <c r="AV72" s="802" t="s">
        <v>53</v>
      </c>
      <c r="AW72" s="637">
        <f>W72</f>
        <v>43252</v>
      </c>
      <c r="AX72" s="637">
        <f>X72</f>
        <v>43465</v>
      </c>
      <c r="AY72" s="637">
        <f>Y72</f>
        <v>43800</v>
      </c>
      <c r="AZ72" s="637">
        <f>Z72</f>
        <v>43862</v>
      </c>
      <c r="BA72" s="637">
        <f>AA72</f>
        <v>44013</v>
      </c>
      <c r="BB72" s="637">
        <v>44166</v>
      </c>
      <c r="BC72" s="637">
        <f>AC72</f>
        <v>44531</v>
      </c>
      <c r="BD72" s="637">
        <f>AD72</f>
        <v>44774</v>
      </c>
      <c r="BE72" s="637">
        <f>AE72</f>
        <v>45142</v>
      </c>
      <c r="BF72" s="637">
        <f>AF72</f>
        <v>45672</v>
      </c>
      <c r="BG72" s="637">
        <f>$AT$8</f>
        <v>45971</v>
      </c>
      <c r="BI72" s="802" t="s">
        <v>53</v>
      </c>
      <c r="BJ72" s="637">
        <f>$W$8</f>
        <v>43252</v>
      </c>
      <c r="BK72" s="637">
        <f>$X$8</f>
        <v>43465</v>
      </c>
      <c r="BL72" s="637">
        <f>$Y$8</f>
        <v>43800</v>
      </c>
      <c r="BM72" s="637">
        <f>$Z$8</f>
        <v>43862</v>
      </c>
      <c r="BN72" s="637">
        <f>$AA$8</f>
        <v>44013</v>
      </c>
      <c r="BO72" s="637">
        <v>44166</v>
      </c>
      <c r="BP72" s="637">
        <f>$AC$8</f>
        <v>44531</v>
      </c>
      <c r="BQ72" s="637">
        <f>$AD$8</f>
        <v>44774</v>
      </c>
      <c r="BR72" s="637">
        <f>$AE$8</f>
        <v>45142</v>
      </c>
      <c r="BS72" s="637">
        <f>$AF$8</f>
        <v>45672</v>
      </c>
      <c r="BT72" s="637">
        <f>$AG$8</f>
        <v>45971</v>
      </c>
      <c r="BV72" s="162" t="s">
        <v>53</v>
      </c>
      <c r="BW72" s="163">
        <f>$W$8</f>
        <v>43252</v>
      </c>
      <c r="BX72" s="163">
        <f>$X$8</f>
        <v>43465</v>
      </c>
      <c r="BY72" s="163">
        <f>$Y$8</f>
        <v>43800</v>
      </c>
      <c r="BZ72" s="163">
        <f>$Z$8</f>
        <v>43862</v>
      </c>
      <c r="CA72" s="163">
        <f>$AA$8</f>
        <v>44013</v>
      </c>
      <c r="CB72" s="163">
        <v>44166</v>
      </c>
      <c r="CC72" s="163">
        <f>$AC$8</f>
        <v>44531</v>
      </c>
      <c r="CD72" s="163">
        <f>$AD$8</f>
        <v>44774</v>
      </c>
      <c r="CE72" s="163">
        <f>$AE$8</f>
        <v>45142</v>
      </c>
      <c r="CF72" s="163">
        <f>$AF$8</f>
        <v>45672</v>
      </c>
      <c r="CG72" s="163">
        <f>$AG$8</f>
        <v>45971</v>
      </c>
      <c r="CJ72" s="2"/>
      <c r="CN72"/>
      <c r="DA72" s="2"/>
      <c r="DE72"/>
      <c r="DK72" s="247"/>
      <c r="DL72" s="759"/>
    </row>
    <row r="73" spans="1:118" s="8" customFormat="1" ht="30" outlineLevel="1" x14ac:dyDescent="0.25">
      <c r="A73" s="247"/>
      <c r="B73" s="115"/>
      <c r="C73" s="64"/>
      <c r="D73" s="9" t="s">
        <v>43</v>
      </c>
      <c r="E73" s="1301" t="s">
        <v>99</v>
      </c>
      <c r="F73" s="1301" t="s">
        <v>140</v>
      </c>
      <c r="G73" s="1301" t="s">
        <v>141</v>
      </c>
      <c r="H73" s="10" t="s">
        <v>142</v>
      </c>
      <c r="I73" s="669" t="s">
        <v>103</v>
      </c>
      <c r="J73" s="669" t="s">
        <v>104</v>
      </c>
      <c r="K73" s="50"/>
      <c r="L73" s="64"/>
      <c r="M73" s="115"/>
      <c r="N73" s="115"/>
      <c r="O73" s="115"/>
      <c r="P73" s="115"/>
      <c r="Q73" s="115"/>
      <c r="R73" s="115"/>
      <c r="S73" s="115"/>
      <c r="T73" s="115"/>
      <c r="U73" s="115"/>
      <c r="V73" s="802" t="s">
        <v>43</v>
      </c>
      <c r="W73" s="971" t="str">
        <f>$F$73</f>
        <v>kWControlled</v>
      </c>
      <c r="X73" s="14" t="str">
        <f t="shared" ref="X73:AG73" si="31">$F$73</f>
        <v>kWControlled</v>
      </c>
      <c r="Y73" s="14" t="str">
        <f t="shared" si="31"/>
        <v>kWControlled</v>
      </c>
      <c r="Z73" s="14" t="str">
        <f t="shared" si="31"/>
        <v>kWControlled</v>
      </c>
      <c r="AA73" s="14" t="str">
        <f t="shared" si="31"/>
        <v>kWControlled</v>
      </c>
      <c r="AB73" s="14" t="s">
        <v>140</v>
      </c>
      <c r="AC73" s="14" t="str">
        <f t="shared" si="31"/>
        <v>kWControlled</v>
      </c>
      <c r="AD73" s="14" t="str">
        <f t="shared" si="31"/>
        <v>kWControlled</v>
      </c>
      <c r="AE73" s="14" t="str">
        <f t="shared" si="31"/>
        <v>kWControlled</v>
      </c>
      <c r="AF73" s="14" t="str">
        <f t="shared" si="31"/>
        <v>kWControlled</v>
      </c>
      <c r="AG73" s="14" t="str">
        <f t="shared" si="31"/>
        <v>kWControlled</v>
      </c>
      <c r="AI73" s="802" t="s">
        <v>43</v>
      </c>
      <c r="AJ73" s="14" t="str">
        <f t="shared" ref="AJ73:AS73" si="32">$G$73</f>
        <v>Hours</v>
      </c>
      <c r="AK73" s="14" t="str">
        <f t="shared" si="32"/>
        <v>Hours</v>
      </c>
      <c r="AL73" s="14" t="str">
        <f t="shared" si="32"/>
        <v>Hours</v>
      </c>
      <c r="AM73" s="14" t="str">
        <f t="shared" si="32"/>
        <v>Hours</v>
      </c>
      <c r="AN73" s="14" t="str">
        <f t="shared" si="32"/>
        <v>Hours</v>
      </c>
      <c r="AO73" s="14" t="str">
        <f t="shared" si="32"/>
        <v>Hours</v>
      </c>
      <c r="AP73" s="14" t="str">
        <f t="shared" si="32"/>
        <v>Hours</v>
      </c>
      <c r="AQ73" s="14" t="str">
        <f t="shared" si="32"/>
        <v>Hours</v>
      </c>
      <c r="AR73" s="14" t="str">
        <f t="shared" si="32"/>
        <v>Hours</v>
      </c>
      <c r="AS73" s="14" t="str">
        <f t="shared" si="32"/>
        <v>Hours</v>
      </c>
      <c r="AT73" s="1936"/>
      <c r="AV73" s="802" t="s">
        <v>43</v>
      </c>
      <c r="AW73" s="15" t="str">
        <f t="shared" ref="AW73:BG73" si="33">$H$73</f>
        <v>ESF</v>
      </c>
      <c r="AX73" s="15" t="str">
        <f t="shared" si="33"/>
        <v>ESF</v>
      </c>
      <c r="AY73" s="15" t="str">
        <f t="shared" si="33"/>
        <v>ESF</v>
      </c>
      <c r="AZ73" s="15" t="str">
        <f t="shared" si="33"/>
        <v>ESF</v>
      </c>
      <c r="BA73" s="15" t="str">
        <f t="shared" si="33"/>
        <v>ESF</v>
      </c>
      <c r="BB73" s="15" t="s">
        <v>142</v>
      </c>
      <c r="BC73" s="15" t="str">
        <f t="shared" si="33"/>
        <v>ESF</v>
      </c>
      <c r="BD73" s="15" t="str">
        <f t="shared" si="33"/>
        <v>ESF</v>
      </c>
      <c r="BE73" s="15" t="str">
        <f t="shared" si="33"/>
        <v>ESF</v>
      </c>
      <c r="BF73" s="15" t="str">
        <f t="shared" si="33"/>
        <v>ESF</v>
      </c>
      <c r="BG73" s="15" t="str">
        <f t="shared" si="33"/>
        <v>ESF</v>
      </c>
      <c r="BI73" s="802" t="s">
        <v>43</v>
      </c>
      <c r="BJ73" s="15" t="str">
        <f>$I$73</f>
        <v>WHFe + -IFkWh</v>
      </c>
      <c r="BK73" s="15" t="str">
        <f t="shared" ref="BK73:BT73" si="34">$I$73</f>
        <v>WHFe + -IFkWh</v>
      </c>
      <c r="BL73" s="15" t="str">
        <f t="shared" si="34"/>
        <v>WHFe + -IFkWh</v>
      </c>
      <c r="BM73" s="15" t="str">
        <f t="shared" si="34"/>
        <v>WHFe + -IFkWh</v>
      </c>
      <c r="BN73" s="15" t="str">
        <f t="shared" si="34"/>
        <v>WHFe + -IFkWh</v>
      </c>
      <c r="BO73" s="15" t="s">
        <v>103</v>
      </c>
      <c r="BP73" s="15" t="str">
        <f t="shared" si="34"/>
        <v>WHFe + -IFkWh</v>
      </c>
      <c r="BQ73" s="15" t="str">
        <f t="shared" si="34"/>
        <v>WHFe + -IFkWh</v>
      </c>
      <c r="BR73" s="15" t="str">
        <f t="shared" si="34"/>
        <v>WHFe + -IFkWh</v>
      </c>
      <c r="BS73" s="15" t="str">
        <f t="shared" si="34"/>
        <v>WHFe + -IFkWh</v>
      </c>
      <c r="BT73" s="15" t="str">
        <f t="shared" si="34"/>
        <v>WHFe + -IFkWh</v>
      </c>
      <c r="BU73" s="2"/>
      <c r="BV73" s="15" t="s">
        <v>43</v>
      </c>
      <c r="BW73" s="15" t="s">
        <v>104</v>
      </c>
      <c r="BX73" s="15" t="s">
        <v>104</v>
      </c>
      <c r="BY73" s="15" t="s">
        <v>104</v>
      </c>
      <c r="BZ73" s="15" t="s">
        <v>104</v>
      </c>
      <c r="CA73" s="15" t="s">
        <v>104</v>
      </c>
      <c r="CB73" s="15" t="s">
        <v>104</v>
      </c>
      <c r="CC73" s="15" t="s">
        <v>104</v>
      </c>
      <c r="CD73" s="15" t="s">
        <v>104</v>
      </c>
      <c r="CE73" s="15" t="s">
        <v>104</v>
      </c>
      <c r="CF73" s="15" t="s">
        <v>104</v>
      </c>
      <c r="CG73" s="15" t="s">
        <v>104</v>
      </c>
      <c r="CI73" s="2"/>
      <c r="DI73" s="2"/>
      <c r="DJ73" s="2"/>
      <c r="DK73" s="115"/>
      <c r="DL73" s="996"/>
      <c r="DM73" s="115"/>
      <c r="DN73" s="499"/>
    </row>
    <row r="74" spans="1:118" s="8" customFormat="1" outlineLevel="1" x14ac:dyDescent="0.25">
      <c r="A74" s="247"/>
      <c r="B74" s="115"/>
      <c r="C74" s="64"/>
      <c r="D74" s="647" t="str">
        <f>C60</f>
        <v>801010_2024_12_</v>
      </c>
      <c r="E74" s="452" t="str">
        <f>E60</f>
        <v>Fixture Mounted Occupancy Sensor Controlling &gt; 60 Watts, &lt;200 Watts</v>
      </c>
      <c r="F74" s="1676">
        <v>0.13800000000000001</v>
      </c>
      <c r="G74" s="1707">
        <v>4293.1629845769066</v>
      </c>
      <c r="H74" s="1677">
        <v>0.24</v>
      </c>
      <c r="I74" s="1678">
        <v>1.056</v>
      </c>
      <c r="J74" s="1678">
        <v>1.032</v>
      </c>
      <c r="K74" s="50"/>
      <c r="L74" s="64"/>
      <c r="M74" s="115"/>
      <c r="N74" s="115"/>
      <c r="O74" s="115"/>
      <c r="P74" s="115"/>
      <c r="Q74" s="115"/>
      <c r="R74" s="115"/>
      <c r="S74" s="115"/>
      <c r="T74" s="115"/>
      <c r="U74" s="115"/>
      <c r="V74" s="647" t="s">
        <v>143</v>
      </c>
      <c r="W74" s="52"/>
      <c r="X74" s="52"/>
      <c r="Y74" s="52"/>
      <c r="Z74" s="68"/>
      <c r="AA74" s="721">
        <v>0.13</v>
      </c>
      <c r="AB74" s="720">
        <v>0.13800000000000001</v>
      </c>
      <c r="AC74" s="792">
        <v>0.13800000000000001</v>
      </c>
      <c r="AD74" s="968">
        <v>0.13800000000000001</v>
      </c>
      <c r="AE74" s="68">
        <v>0.13800000000000001</v>
      </c>
      <c r="AF74" s="68">
        <v>0.13800000000000001</v>
      </c>
      <c r="AG74" s="68"/>
      <c r="AH74" s="2"/>
      <c r="AI74" s="647" t="s">
        <v>143</v>
      </c>
      <c r="AJ74" s="52"/>
      <c r="AK74" s="52"/>
      <c r="AL74" s="68"/>
      <c r="AM74" s="68"/>
      <c r="AN74" s="293">
        <v>3351</v>
      </c>
      <c r="AO74" s="722">
        <v>3351</v>
      </c>
      <c r="AP74" s="793">
        <v>3351</v>
      </c>
      <c r="AQ74" s="969">
        <v>3351</v>
      </c>
      <c r="AR74" s="969">
        <v>4713.4677103718195</v>
      </c>
      <c r="AS74" s="260">
        <v>4293.1629845769066</v>
      </c>
      <c r="AT74" s="1937"/>
      <c r="AU74" s="2"/>
      <c r="AV74" s="647" t="s">
        <v>143</v>
      </c>
      <c r="AW74" s="52"/>
      <c r="AX74" s="52"/>
      <c r="AY74" s="68"/>
      <c r="AZ74" s="68"/>
      <c r="BA74" s="644">
        <v>0.24</v>
      </c>
      <c r="BB74" s="724">
        <v>0.24</v>
      </c>
      <c r="BC74" s="724">
        <v>0.24</v>
      </c>
      <c r="BD74" s="970">
        <v>0.24</v>
      </c>
      <c r="BE74" s="970">
        <v>0.24</v>
      </c>
      <c r="BF74" s="970">
        <v>0.24</v>
      </c>
      <c r="BG74" s="970">
        <v>0.24</v>
      </c>
      <c r="BH74" s="2"/>
      <c r="BI74" s="647" t="s">
        <v>143</v>
      </c>
      <c r="BJ74" s="52"/>
      <c r="BK74" s="52"/>
      <c r="BL74" s="52"/>
      <c r="BM74" s="68"/>
      <c r="BN74" s="644">
        <v>1.07</v>
      </c>
      <c r="BO74" s="616">
        <v>1.071</v>
      </c>
      <c r="BP74" s="616">
        <v>1.071</v>
      </c>
      <c r="BQ74" s="682">
        <v>1.056</v>
      </c>
      <c r="BR74" s="1037">
        <v>1.056</v>
      </c>
      <c r="BS74" s="1037">
        <v>1.056</v>
      </c>
      <c r="BT74" s="1037">
        <v>1.056</v>
      </c>
      <c r="BU74" s="2"/>
      <c r="BV74" s="53" t="s">
        <v>143</v>
      </c>
      <c r="BW74" s="786"/>
      <c r="BX74" s="786"/>
      <c r="BY74" s="786"/>
      <c r="BZ74" s="786"/>
      <c r="CA74" s="786"/>
      <c r="CB74" s="786"/>
      <c r="CC74" s="786"/>
      <c r="CD74" s="682">
        <v>1.032</v>
      </c>
      <c r="CE74" s="1037">
        <v>1.032</v>
      </c>
      <c r="CF74" s="1037">
        <v>1.032</v>
      </c>
      <c r="CG74" s="1037">
        <v>1.032</v>
      </c>
      <c r="CI74" s="2"/>
      <c r="DI74" s="2"/>
      <c r="DJ74" s="2"/>
      <c r="DK74" s="115"/>
      <c r="DL74" s="996"/>
      <c r="DM74" s="115"/>
      <c r="DN74" s="499"/>
    </row>
    <row r="75" spans="1:118" s="8" customFormat="1" outlineLevel="1" x14ac:dyDescent="0.25">
      <c r="A75" s="247"/>
      <c r="B75" s="115"/>
      <c r="C75" s="64"/>
      <c r="D75" s="647" t="str">
        <f>C61</f>
        <v>801020_2024_12_</v>
      </c>
      <c r="E75" s="452" t="str">
        <f>E61</f>
        <v>Remote Mounted Occupancy Sensor Controlling &gt; 150 Watts</v>
      </c>
      <c r="F75" s="1676">
        <v>0.33800000000000002</v>
      </c>
      <c r="G75" s="1707">
        <v>6373.0262361251262</v>
      </c>
      <c r="H75" s="1677">
        <v>0.24</v>
      </c>
      <c r="I75" s="1678">
        <v>1.056</v>
      </c>
      <c r="J75" s="1678">
        <v>1.032</v>
      </c>
      <c r="K75" s="50"/>
      <c r="L75" s="64"/>
      <c r="M75" s="115"/>
      <c r="N75" s="115"/>
      <c r="O75" s="115"/>
      <c r="P75" s="115"/>
      <c r="Q75" s="115"/>
      <c r="R75" s="115"/>
      <c r="S75" s="115"/>
      <c r="T75" s="115"/>
      <c r="U75" s="115"/>
      <c r="V75" s="647" t="s">
        <v>144</v>
      </c>
      <c r="W75" s="52"/>
      <c r="X75" s="52"/>
      <c r="Y75" s="52"/>
      <c r="Z75" s="68"/>
      <c r="AA75" s="721">
        <v>0.33800000000000002</v>
      </c>
      <c r="AB75" s="720">
        <v>0.33800000000000002</v>
      </c>
      <c r="AC75" s="792">
        <v>0.33800000000000002</v>
      </c>
      <c r="AD75" s="968">
        <v>0.33800000000000002</v>
      </c>
      <c r="AE75" s="68">
        <v>0.33800000000000002</v>
      </c>
      <c r="AF75" s="68">
        <v>0.33800000000000002</v>
      </c>
      <c r="AG75" s="68"/>
      <c r="AH75" s="2"/>
      <c r="AI75" s="647" t="s">
        <v>144</v>
      </c>
      <c r="AJ75" s="52"/>
      <c r="AK75" s="52"/>
      <c r="AL75" s="68"/>
      <c r="AM75" s="68"/>
      <c r="AN75" s="293">
        <v>3351</v>
      </c>
      <c r="AO75" s="722">
        <v>3351</v>
      </c>
      <c r="AP75" s="793">
        <v>3351</v>
      </c>
      <c r="AQ75" s="969">
        <v>3351</v>
      </c>
      <c r="AR75" s="969">
        <v>2817.3612774451099</v>
      </c>
      <c r="AS75" s="260">
        <v>6373.0262361251262</v>
      </c>
      <c r="AT75" s="1937"/>
      <c r="AU75" s="2"/>
      <c r="AV75" s="647" t="s">
        <v>144</v>
      </c>
      <c r="AW75" s="52"/>
      <c r="AX75" s="52"/>
      <c r="AY75" s="68"/>
      <c r="AZ75" s="68"/>
      <c r="BA75" s="644">
        <v>0.24</v>
      </c>
      <c r="BB75" s="724">
        <v>0.24</v>
      </c>
      <c r="BC75" s="724">
        <v>0.24</v>
      </c>
      <c r="BD75" s="970">
        <v>0.24</v>
      </c>
      <c r="BE75" s="970">
        <v>0.24</v>
      </c>
      <c r="BF75" s="970">
        <v>0.24</v>
      </c>
      <c r="BG75" s="970">
        <v>0.24</v>
      </c>
      <c r="BH75" s="2"/>
      <c r="BI75" s="647" t="s">
        <v>144</v>
      </c>
      <c r="BJ75" s="52"/>
      <c r="BK75" s="52"/>
      <c r="BL75" s="52"/>
      <c r="BM75" s="68"/>
      <c r="BN75" s="644">
        <v>1.07</v>
      </c>
      <c r="BO75" s="616">
        <v>1.071</v>
      </c>
      <c r="BP75" s="616">
        <v>1.071</v>
      </c>
      <c r="BQ75" s="682">
        <v>1.056</v>
      </c>
      <c r="BR75" s="1037">
        <v>1.056</v>
      </c>
      <c r="BS75" s="1037">
        <v>1.056</v>
      </c>
      <c r="BT75" s="1037">
        <v>1.056</v>
      </c>
      <c r="BU75" s="2"/>
      <c r="BV75" s="53" t="s">
        <v>144</v>
      </c>
      <c r="BW75" s="786"/>
      <c r="BX75" s="786"/>
      <c r="BY75" s="786"/>
      <c r="BZ75" s="786"/>
      <c r="CA75" s="786"/>
      <c r="CB75" s="786"/>
      <c r="CC75" s="786"/>
      <c r="CD75" s="682">
        <v>1.032</v>
      </c>
      <c r="CE75" s="1037">
        <v>1.032</v>
      </c>
      <c r="CF75" s="1037">
        <v>1.032</v>
      </c>
      <c r="CG75" s="1037">
        <v>1.032</v>
      </c>
      <c r="CI75" s="2"/>
      <c r="DI75" s="2"/>
      <c r="DJ75" s="2"/>
      <c r="DK75" s="115"/>
      <c r="DL75" s="996"/>
      <c r="DM75" s="115"/>
      <c r="DN75" s="499"/>
    </row>
    <row r="76" spans="1:118" s="8" customFormat="1" x14ac:dyDescent="0.25">
      <c r="A76" s="247"/>
      <c r="B76" s="115"/>
      <c r="C76" s="64"/>
      <c r="D76" s="461" t="s">
        <v>145</v>
      </c>
      <c r="E76" s="461"/>
      <c r="F76" s="462"/>
      <c r="G76" s="462"/>
      <c r="H76" s="463"/>
      <c r="I76" s="462"/>
      <c r="J76" s="462"/>
      <c r="K76" s="115"/>
      <c r="L76" s="64"/>
      <c r="M76" s="115"/>
      <c r="N76" s="115"/>
      <c r="O76" s="115"/>
      <c r="P76" s="115"/>
      <c r="Q76" s="115"/>
      <c r="R76" s="115"/>
      <c r="S76" s="115"/>
      <c r="T76" s="115"/>
      <c r="U76" s="115"/>
      <c r="BU76" s="2"/>
      <c r="BV76" s="2"/>
      <c r="DI76" s="2"/>
      <c r="DJ76" s="2"/>
      <c r="DK76" s="996"/>
      <c r="DL76" s="115"/>
      <c r="DM76" s="115"/>
      <c r="DN76" s="499"/>
    </row>
    <row r="77" spans="1:118" s="8" customFormat="1" x14ac:dyDescent="0.25">
      <c r="A77" s="247"/>
      <c r="B77" s="115"/>
      <c r="C77" s="64"/>
      <c r="D77" s="64"/>
      <c r="E77" s="64"/>
      <c r="F77" s="64"/>
      <c r="G77" s="462"/>
      <c r="H77" s="463"/>
      <c r="I77" s="462"/>
      <c r="J77" s="462"/>
      <c r="K77" s="115"/>
      <c r="L77" s="64"/>
      <c r="M77" s="115"/>
      <c r="N77" s="115"/>
      <c r="O77" s="115"/>
      <c r="P77" s="115"/>
      <c r="Q77" s="115"/>
      <c r="R77" s="115"/>
      <c r="S77" s="115"/>
      <c r="T77" s="115"/>
      <c r="U77" s="115"/>
      <c r="BU77" s="2"/>
      <c r="BV77" s="2"/>
      <c r="DI77" s="2"/>
      <c r="DJ77" s="2"/>
      <c r="DK77" s="996"/>
      <c r="DL77" s="115"/>
      <c r="DM77" s="115"/>
      <c r="DN77" s="499"/>
    </row>
    <row r="78" spans="1:118" s="8" customFormat="1" x14ac:dyDescent="0.25">
      <c r="A78" s="247"/>
      <c r="B78" s="115"/>
      <c r="C78" s="64"/>
      <c r="D78" s="64"/>
      <c r="E78" s="64"/>
      <c r="F78" s="64"/>
      <c r="G78" s="462"/>
      <c r="H78" s="463"/>
      <c r="I78" s="462"/>
      <c r="J78" s="462"/>
      <c r="K78" s="115"/>
      <c r="L78" s="64"/>
      <c r="M78" s="115"/>
      <c r="N78" s="115"/>
      <c r="O78" s="115"/>
      <c r="P78" s="115"/>
      <c r="Q78" s="115"/>
      <c r="R78" s="115"/>
      <c r="S78" s="115"/>
      <c r="T78" s="115"/>
      <c r="U78" s="115"/>
      <c r="DI78" s="2"/>
      <c r="DJ78" s="2"/>
      <c r="DK78" s="996"/>
      <c r="DL78" s="115"/>
      <c r="DM78" s="115"/>
      <c r="DN78" s="499"/>
    </row>
    <row r="79" spans="1:118" s="7" customFormat="1" x14ac:dyDescent="0.25">
      <c r="A79" s="247"/>
      <c r="B79" s="2308" t="s">
        <v>146</v>
      </c>
      <c r="C79" s="2309"/>
      <c r="D79" s="2309"/>
      <c r="E79" s="2309"/>
      <c r="F79" s="2309"/>
      <c r="G79" s="2309"/>
      <c r="H79" s="2309"/>
      <c r="I79" s="2310"/>
      <c r="J79" s="2310"/>
      <c r="K79" s="2310"/>
      <c r="L79" s="2310"/>
      <c r="M79" s="2311"/>
      <c r="N79" s="2311"/>
      <c r="O79" s="2312"/>
      <c r="V79" s="1234" t="str">
        <f>B79</f>
        <v>Commercial Solid and Glass Door Refrigerators &amp; Freezers</v>
      </c>
      <c r="W79" s="1235"/>
      <c r="X79" s="1235"/>
      <c r="Y79" s="1235"/>
      <c r="Z79" s="1235"/>
      <c r="AA79" s="1235"/>
      <c r="AB79" s="1235"/>
      <c r="AC79" s="1235"/>
      <c r="AD79" s="1235"/>
      <c r="AE79" s="1235"/>
      <c r="AF79" s="1235"/>
      <c r="AG79" s="1235"/>
      <c r="AH79" s="1235"/>
      <c r="AI79" s="1235"/>
      <c r="AJ79" s="1235"/>
      <c r="AK79" s="1235"/>
      <c r="AL79" s="1235"/>
      <c r="AM79" s="1235"/>
      <c r="AN79" s="1235"/>
      <c r="AO79" s="1235"/>
      <c r="AP79" s="1235"/>
      <c r="AQ79" s="1235"/>
      <c r="AR79" s="1235"/>
      <c r="AS79" s="1235"/>
      <c r="AT79" s="1235"/>
      <c r="AU79" s="1235"/>
      <c r="AV79" s="1235"/>
      <c r="AW79" s="1235"/>
      <c r="AX79" s="1235"/>
      <c r="AY79" s="1235"/>
      <c r="AZ79" s="1235"/>
      <c r="BA79" s="1235"/>
      <c r="BB79" s="1235"/>
      <c r="BC79" s="1235"/>
      <c r="BD79" s="1235"/>
      <c r="BE79" s="1235"/>
      <c r="BF79" s="1235"/>
      <c r="BG79" s="1235"/>
      <c r="BH79" s="1235"/>
      <c r="BI79" s="1235"/>
      <c r="BJ79" s="1235"/>
      <c r="BK79" s="1235"/>
      <c r="DI79" s="2"/>
      <c r="DJ79" s="2"/>
      <c r="DK79" s="23"/>
      <c r="DN79" s="2031"/>
    </row>
    <row r="80" spans="1:118" x14ac:dyDescent="0.25">
      <c r="D80" s="439"/>
      <c r="E80" s="7"/>
      <c r="F80" s="7"/>
      <c r="G80" s="7"/>
      <c r="H80" s="440"/>
      <c r="I80" s="7"/>
      <c r="J80" s="7"/>
      <c r="K80" s="7"/>
      <c r="L80" s="7"/>
      <c r="P80" s="7"/>
      <c r="Q80" s="7"/>
      <c r="R80" s="7"/>
      <c r="S80" s="7"/>
      <c r="T80" s="7"/>
      <c r="U80" s="7"/>
      <c r="V80"/>
      <c r="W80"/>
      <c r="X80"/>
      <c r="Y80"/>
      <c r="Z80"/>
      <c r="AA80"/>
      <c r="AB80"/>
      <c r="AC80"/>
      <c r="AD80"/>
      <c r="AE80"/>
      <c r="AF80"/>
      <c r="AG80"/>
      <c r="AH80"/>
      <c r="AI80"/>
      <c r="AJ80" s="6"/>
      <c r="AK80" s="6"/>
      <c r="AL80" s="6"/>
      <c r="AM80" s="6"/>
      <c r="AN80" s="6"/>
      <c r="AO80" s="6"/>
      <c r="AP80" s="6"/>
      <c r="AQ80" s="6"/>
      <c r="AR80" s="6"/>
      <c r="AS80" s="6"/>
      <c r="AT80" s="6"/>
      <c r="AV80" s="6"/>
      <c r="BG80" s="6"/>
    </row>
    <row r="81" spans="1:118" s="8" customFormat="1" ht="30" x14ac:dyDescent="0.25">
      <c r="A81" s="247"/>
      <c r="B81" s="64"/>
      <c r="C81" s="9" t="s">
        <v>43</v>
      </c>
      <c r="D81" s="1301" t="s">
        <v>44</v>
      </c>
      <c r="E81" s="1301" t="s">
        <v>45</v>
      </c>
      <c r="F81" s="1301" t="s">
        <v>46</v>
      </c>
      <c r="G81" s="1301" t="s">
        <v>47</v>
      </c>
      <c r="H81" s="10" t="s">
        <v>48</v>
      </c>
      <c r="I81" s="1301" t="s">
        <v>49</v>
      </c>
      <c r="J81" s="1301" t="s">
        <v>50</v>
      </c>
      <c r="K81" s="9" t="s">
        <v>51</v>
      </c>
      <c r="L81" s="9" t="s">
        <v>52</v>
      </c>
      <c r="M81" s="247"/>
      <c r="N81" s="247"/>
      <c r="O81" s="247"/>
      <c r="P81" s="115"/>
      <c r="Q81" s="115"/>
      <c r="R81" s="115"/>
      <c r="S81" s="115"/>
      <c r="T81" s="115"/>
      <c r="U81" s="115"/>
      <c r="V81" s="636" t="s">
        <v>53</v>
      </c>
      <c r="W81" s="637">
        <f>$W$8</f>
        <v>43252</v>
      </c>
      <c r="X81" s="637">
        <f>$X$8</f>
        <v>43465</v>
      </c>
      <c r="Y81" s="637">
        <f>$Y$8</f>
        <v>43800</v>
      </c>
      <c r="Z81" s="637">
        <f>$Z$8</f>
        <v>43862</v>
      </c>
      <c r="AA81" s="637">
        <f>$AA$8</f>
        <v>44013</v>
      </c>
      <c r="AB81" s="637">
        <v>44166</v>
      </c>
      <c r="AC81" s="637">
        <f>$AC$8</f>
        <v>44531</v>
      </c>
      <c r="AD81" s="637">
        <f>$AD$8</f>
        <v>44774</v>
      </c>
      <c r="AE81" s="637">
        <f>$AE$8</f>
        <v>45142</v>
      </c>
      <c r="AF81" s="637">
        <f>$AF$8</f>
        <v>45672</v>
      </c>
      <c r="AG81" s="637">
        <f>$AG$8</f>
        <v>45971</v>
      </c>
      <c r="AH81"/>
      <c r="AI81" s="636" t="s">
        <v>53</v>
      </c>
      <c r="AJ81" s="637">
        <v>43252</v>
      </c>
      <c r="AK81" s="637">
        <f>$X$8</f>
        <v>43465</v>
      </c>
      <c r="AL81" s="637">
        <f>$Y$8</f>
        <v>43800</v>
      </c>
      <c r="AM81" s="637">
        <f>$Z$8</f>
        <v>43862</v>
      </c>
      <c r="AN81" s="637">
        <f>$AA$8</f>
        <v>44013</v>
      </c>
      <c r="AO81" s="637">
        <f>$AB$8</f>
        <v>44166</v>
      </c>
      <c r="AP81" s="637">
        <f>$AC$8</f>
        <v>44531</v>
      </c>
      <c r="AQ81" s="637">
        <f>$AD$8</f>
        <v>44774</v>
      </c>
      <c r="AR81" s="637">
        <f>$AE$8</f>
        <v>45142</v>
      </c>
      <c r="AS81" s="637">
        <f>$AF$8</f>
        <v>45672</v>
      </c>
      <c r="AT81" s="637">
        <f>$AT$8</f>
        <v>45971</v>
      </c>
      <c r="AU81" s="2"/>
      <c r="AV81" s="636" t="s">
        <v>53</v>
      </c>
      <c r="AW81" s="637">
        <v>43252</v>
      </c>
      <c r="AX81" s="637">
        <f>$X$8</f>
        <v>43465</v>
      </c>
      <c r="AY81" s="637">
        <f>$Y$8</f>
        <v>43800</v>
      </c>
      <c r="AZ81" s="637">
        <f>$Z$8</f>
        <v>43862</v>
      </c>
      <c r="BA81" s="637">
        <f>$AA$8</f>
        <v>44013</v>
      </c>
      <c r="BB81" s="637">
        <v>44166</v>
      </c>
      <c r="BC81" s="637">
        <f>$AC$8</f>
        <v>44531</v>
      </c>
      <c r="BD81" s="637">
        <f>$AD$8</f>
        <v>44774</v>
      </c>
      <c r="BE81" s="637">
        <f>$AE$8</f>
        <v>45142</v>
      </c>
      <c r="BF81" s="637">
        <f>$AF$8</f>
        <v>45672</v>
      </c>
      <c r="BG81" s="637">
        <f>$AT$8</f>
        <v>45971</v>
      </c>
      <c r="BH81" s="1604"/>
      <c r="CH81" s="7"/>
      <c r="CI81" s="7"/>
      <c r="DI81" s="2"/>
      <c r="DJ81" s="2"/>
      <c r="DK81" s="991" t="str">
        <f>$DK$8</f>
        <v>TRC (2025)</v>
      </c>
      <c r="DL81" s="761" t="str">
        <f>$DL$8</f>
        <v>Benefit Lookup</v>
      </c>
      <c r="DM81" s="761" t="str">
        <f>$DM$8</f>
        <v>Benefits (2025 $)</v>
      </c>
      <c r="DN81" s="2034" t="str">
        <f>$DN$8</f>
        <v>Incremental Cost (2025 $)</v>
      </c>
    </row>
    <row r="82" spans="1:118" x14ac:dyDescent="0.25">
      <c r="A82" s="2006" t="s">
        <v>112</v>
      </c>
      <c r="B82" s="247">
        <f t="shared" ref="B82:B89" si="35">VALUE(LEFT(C82,6))</f>
        <v>801250</v>
      </c>
      <c r="C82" s="656" t="s">
        <v>147</v>
      </c>
      <c r="D82" s="1972" t="s">
        <v>60</v>
      </c>
      <c r="E82" s="1713" t="s">
        <v>148</v>
      </c>
      <c r="F82" s="399">
        <f>ROUND(((G105*I105+J105)-(H105))*365.25,2)</f>
        <v>329.82</v>
      </c>
      <c r="G82" s="441" t="s">
        <v>149</v>
      </c>
      <c r="H82" s="442">
        <f>VLOOKUP(G82,'CP FACTORS'!$A$26:$B$38,2,FALSE)</f>
        <v>1.3573829999999999E-4</v>
      </c>
      <c r="I82" s="1779">
        <f t="shared" ref="I82:I92" si="36">ROUND(H82*F82,6)</f>
        <v>4.4769000000000003E-2</v>
      </c>
      <c r="J82" s="478">
        <v>12</v>
      </c>
      <c r="K82" s="1689">
        <v>150</v>
      </c>
      <c r="L82" s="443" t="s">
        <v>63</v>
      </c>
      <c r="V82" s="1285" t="s">
        <v>46</v>
      </c>
      <c r="W82" s="1504">
        <v>379.86</v>
      </c>
      <c r="X82" s="1504">
        <v>379.86</v>
      </c>
      <c r="Y82" s="1504">
        <v>379.86</v>
      </c>
      <c r="Z82" s="1504">
        <v>379.86</v>
      </c>
      <c r="AA82" s="1504">
        <v>379.86</v>
      </c>
      <c r="AB82" s="1609">
        <v>379.86</v>
      </c>
      <c r="AC82" s="722">
        <v>379.86</v>
      </c>
      <c r="AD82" s="722">
        <v>379.86</v>
      </c>
      <c r="AE82" s="722">
        <v>379.86</v>
      </c>
      <c r="AF82" s="253">
        <v>329.82</v>
      </c>
      <c r="AG82" s="546">
        <f t="shared" ref="AG82:AG92" si="37">IF(F82&lt;&gt;"",F82,"")</f>
        <v>329.82</v>
      </c>
      <c r="AH82"/>
      <c r="AI82" s="1311" t="s">
        <v>50</v>
      </c>
      <c r="AJ82" s="19">
        <v>12</v>
      </c>
      <c r="AK82" s="19">
        <v>12</v>
      </c>
      <c r="AL82" s="19">
        <v>12</v>
      </c>
      <c r="AM82" s="19">
        <v>12</v>
      </c>
      <c r="AN82" s="19">
        <v>12</v>
      </c>
      <c r="AO82" s="16">
        <v>12</v>
      </c>
      <c r="AP82" s="16">
        <v>12</v>
      </c>
      <c r="AQ82" s="16">
        <v>12</v>
      </c>
      <c r="AR82" s="16">
        <v>12</v>
      </c>
      <c r="AS82" s="16">
        <v>12</v>
      </c>
      <c r="AT82" s="16">
        <v>12</v>
      </c>
      <c r="AV82" s="1311" t="s">
        <v>51</v>
      </c>
      <c r="AW82" s="1610">
        <v>150</v>
      </c>
      <c r="AX82" s="1610">
        <v>150</v>
      </c>
      <c r="AY82" s="1610">
        <v>150</v>
      </c>
      <c r="AZ82" s="1610">
        <v>150</v>
      </c>
      <c r="BA82" s="1610">
        <v>150</v>
      </c>
      <c r="BB82" s="1611">
        <v>150</v>
      </c>
      <c r="BC82" s="1611">
        <v>150</v>
      </c>
      <c r="BD82" s="1611">
        <v>150</v>
      </c>
      <c r="BE82" s="1611">
        <v>150</v>
      </c>
      <c r="BF82" s="1611">
        <v>150</v>
      </c>
      <c r="BG82" s="16">
        <v>150</v>
      </c>
      <c r="BH82" s="1612"/>
      <c r="DK82" s="993">
        <f>(DM82)/(DN82)</f>
        <v>1.3324016354481989</v>
      </c>
      <c r="DL82" s="1272" t="str">
        <f t="shared" ref="DL82:DL91" si="38">CONCATENATE(G82," ",J82," Year EUL")</f>
        <v>Refrigeration BUS 12 Year EUL</v>
      </c>
      <c r="DM82" s="181">
        <f>(INDEX('Avoided Cost Benefits'!$B$4:$B$865,MATCH(DL82,'Avoided Cost Benefits'!$A$4:$A$865,0)))*F82</f>
        <v>199.86024531722984</v>
      </c>
      <c r="DN82" s="2033">
        <f t="shared" ref="DN82:DN92" si="39">IFERROR(K82/((1+DiscountRate)^(CurrentYear-DiscountYear)),0)</f>
        <v>150</v>
      </c>
    </row>
    <row r="83" spans="1:118" x14ac:dyDescent="0.25">
      <c r="A83" s="2006" t="s">
        <v>112</v>
      </c>
      <c r="B83" s="247">
        <f t="shared" si="35"/>
        <v>801750</v>
      </c>
      <c r="C83" s="656" t="s">
        <v>150</v>
      </c>
      <c r="D83" s="1972" t="s">
        <v>60</v>
      </c>
      <c r="E83" s="1713" t="s">
        <v>151</v>
      </c>
      <c r="F83" s="399">
        <f t="shared" ref="F83:F89" si="40">ROUND(((K106*M106+N106)-(L106))*365.25,2)</f>
        <v>575.27</v>
      </c>
      <c r="G83" s="441" t="s">
        <v>149</v>
      </c>
      <c r="H83" s="442">
        <f>VLOOKUP(G83,'CP FACTORS'!$A$26:$B$38,2,FALSE)</f>
        <v>1.3573829999999999E-4</v>
      </c>
      <c r="I83" s="1779">
        <f t="shared" si="36"/>
        <v>7.8086000000000003E-2</v>
      </c>
      <c r="J83" s="465">
        <v>12</v>
      </c>
      <c r="K83" s="1689">
        <v>350</v>
      </c>
      <c r="L83" s="443" t="s">
        <v>63</v>
      </c>
      <c r="M83" s="466"/>
      <c r="N83" s="467"/>
      <c r="O83" s="467"/>
      <c r="P83" s="445"/>
      <c r="Q83" s="446"/>
      <c r="R83" s="447"/>
      <c r="S83" s="447"/>
      <c r="T83" s="448"/>
      <c r="V83" s="1285" t="s">
        <v>46</v>
      </c>
      <c r="W83" s="1504">
        <v>1307.5949999999998</v>
      </c>
      <c r="X83" s="1504">
        <v>1307.5949999999998</v>
      </c>
      <c r="Y83" s="1504">
        <v>1307.5949999999998</v>
      </c>
      <c r="Z83" s="1504">
        <v>1307.5949999999998</v>
      </c>
      <c r="AA83" s="1504">
        <v>1307.5949999999998</v>
      </c>
      <c r="AB83" s="1609">
        <v>1307.5999999999999</v>
      </c>
      <c r="AC83" s="722">
        <v>1307.5999999999999</v>
      </c>
      <c r="AD83" s="722">
        <v>1307.5999999999999</v>
      </c>
      <c r="AE83" s="722">
        <v>1307.5999999999999</v>
      </c>
      <c r="AF83" s="253">
        <v>575.27</v>
      </c>
      <c r="AG83" s="546">
        <f t="shared" si="37"/>
        <v>575.27</v>
      </c>
      <c r="AI83" s="1311" t="s">
        <v>50</v>
      </c>
      <c r="AJ83" s="19">
        <v>12</v>
      </c>
      <c r="AK83" s="19">
        <v>12</v>
      </c>
      <c r="AL83" s="19">
        <v>12</v>
      </c>
      <c r="AM83" s="19">
        <v>12</v>
      </c>
      <c r="AN83" s="19">
        <v>12</v>
      </c>
      <c r="AO83" s="16">
        <v>12</v>
      </c>
      <c r="AP83" s="16">
        <v>12</v>
      </c>
      <c r="AQ83" s="16">
        <v>12</v>
      </c>
      <c r="AR83" s="16">
        <v>12</v>
      </c>
      <c r="AS83" s="16">
        <v>12</v>
      </c>
      <c r="AT83" s="16">
        <v>12</v>
      </c>
      <c r="AV83" s="1311" t="s">
        <v>51</v>
      </c>
      <c r="AW83" s="1610">
        <v>400</v>
      </c>
      <c r="AX83" s="1610">
        <v>400</v>
      </c>
      <c r="AY83" s="1610">
        <v>400</v>
      </c>
      <c r="AZ83" s="1610">
        <v>400</v>
      </c>
      <c r="BA83" s="1610">
        <v>400</v>
      </c>
      <c r="BB83" s="1611">
        <v>400</v>
      </c>
      <c r="BC83" s="1611">
        <v>400</v>
      </c>
      <c r="BD83" s="1611">
        <v>400</v>
      </c>
      <c r="BE83" s="1611">
        <v>400</v>
      </c>
      <c r="BF83" s="1653">
        <v>350</v>
      </c>
      <c r="BG83" s="16">
        <v>350</v>
      </c>
      <c r="BH83" s="1612"/>
      <c r="DK83" s="2188">
        <f t="shared" ref="DK83:DK89" si="41">(DM83)/(DN83)</f>
        <v>0.99598571795561908</v>
      </c>
      <c r="DL83" s="641" t="str">
        <f t="shared" si="38"/>
        <v>Refrigeration BUS 12 Year EUL</v>
      </c>
      <c r="DM83" s="623">
        <f>(INDEX('Avoided Cost Benefits'!$B$4:$B$865,MATCH(DL83,'Avoided Cost Benefits'!$A$4:$A$865,0)))*F83</f>
        <v>348.59500128446666</v>
      </c>
      <c r="DN83" s="1928">
        <f t="shared" si="39"/>
        <v>350</v>
      </c>
    </row>
    <row r="84" spans="1:118" x14ac:dyDescent="0.25">
      <c r="A84" s="2006" t="s">
        <v>112</v>
      </c>
      <c r="B84" s="247">
        <f t="shared" si="35"/>
        <v>801800</v>
      </c>
      <c r="C84" s="656" t="s">
        <v>152</v>
      </c>
      <c r="D84" s="1972" t="s">
        <v>60</v>
      </c>
      <c r="E84" s="1713" t="s">
        <v>153</v>
      </c>
      <c r="F84" s="399">
        <f t="shared" si="40"/>
        <v>1117.67</v>
      </c>
      <c r="G84" s="441" t="s">
        <v>149</v>
      </c>
      <c r="H84" s="442">
        <f>VLOOKUP(G84,'CP FACTORS'!$A$26:$B$38,2,FALSE)</f>
        <v>1.3573829999999999E-4</v>
      </c>
      <c r="I84" s="1779">
        <f t="shared" si="36"/>
        <v>0.15171100000000001</v>
      </c>
      <c r="J84" s="465">
        <v>12</v>
      </c>
      <c r="K84" s="1689">
        <v>500</v>
      </c>
      <c r="L84" s="443" t="s">
        <v>63</v>
      </c>
      <c r="M84" s="466"/>
      <c r="N84" s="467"/>
      <c r="O84" s="467"/>
      <c r="P84" s="445"/>
      <c r="Q84" s="446"/>
      <c r="R84" s="447"/>
      <c r="S84" s="447"/>
      <c r="T84" s="448"/>
      <c r="V84" s="1285" t="s">
        <v>46</v>
      </c>
      <c r="W84" s="1504">
        <v>2403.3449999999993</v>
      </c>
      <c r="X84" s="1504">
        <v>2403.3449999999993</v>
      </c>
      <c r="Y84" s="1504">
        <v>2403.3449999999993</v>
      </c>
      <c r="Z84" s="1504">
        <v>2403.3449999999993</v>
      </c>
      <c r="AA84" s="1504">
        <v>2403.3449999999993</v>
      </c>
      <c r="AB84" s="1609">
        <v>2403.35</v>
      </c>
      <c r="AC84" s="722">
        <v>2403.35</v>
      </c>
      <c r="AD84" s="722">
        <v>2403.35</v>
      </c>
      <c r="AE84" s="722">
        <v>2403.35</v>
      </c>
      <c r="AF84" s="253">
        <v>1117.67</v>
      </c>
      <c r="AG84" s="546">
        <f t="shared" si="37"/>
        <v>1117.67</v>
      </c>
      <c r="AI84" s="1311" t="s">
        <v>50</v>
      </c>
      <c r="AJ84" s="19">
        <v>12</v>
      </c>
      <c r="AK84" s="19">
        <v>12</v>
      </c>
      <c r="AL84" s="19">
        <v>12</v>
      </c>
      <c r="AM84" s="19">
        <v>12</v>
      </c>
      <c r="AN84" s="19">
        <v>12</v>
      </c>
      <c r="AO84" s="16">
        <v>12</v>
      </c>
      <c r="AP84" s="16">
        <v>12</v>
      </c>
      <c r="AQ84" s="16">
        <v>12</v>
      </c>
      <c r="AR84" s="16">
        <v>12</v>
      </c>
      <c r="AS84" s="16">
        <v>12</v>
      </c>
      <c r="AT84" s="16">
        <v>12</v>
      </c>
      <c r="AV84" s="1311" t="s">
        <v>51</v>
      </c>
      <c r="AW84" s="1610">
        <v>550</v>
      </c>
      <c r="AX84" s="1610">
        <v>550</v>
      </c>
      <c r="AY84" s="1610">
        <v>550</v>
      </c>
      <c r="AZ84" s="1610">
        <v>550</v>
      </c>
      <c r="BA84" s="1610">
        <v>550</v>
      </c>
      <c r="BB84" s="1611">
        <v>550</v>
      </c>
      <c r="BC84" s="1611">
        <v>550</v>
      </c>
      <c r="BD84" s="1611">
        <v>550</v>
      </c>
      <c r="BE84" s="1611">
        <v>550</v>
      </c>
      <c r="BF84" s="1653">
        <v>500</v>
      </c>
      <c r="BG84" s="16">
        <v>500</v>
      </c>
      <c r="BH84" s="1612"/>
      <c r="DK84" s="994">
        <f t="shared" si="41"/>
        <v>1.3545436928246213</v>
      </c>
      <c r="DL84" s="641" t="str">
        <f t="shared" si="38"/>
        <v>Refrigeration BUS 12 Year EUL</v>
      </c>
      <c r="DM84" s="623">
        <f>(INDEX('Avoided Cost Benefits'!$B$4:$B$865,MATCH(DL84,'Avoided Cost Benefits'!$A$4:$A$865,0)))*F84</f>
        <v>677.27184641231065</v>
      </c>
      <c r="DN84" s="1928">
        <f t="shared" si="39"/>
        <v>500</v>
      </c>
    </row>
    <row r="85" spans="1:118" ht="15.75" customHeight="1" x14ac:dyDescent="0.25">
      <c r="A85" s="2006" t="s">
        <v>112</v>
      </c>
      <c r="B85" s="247">
        <f t="shared" si="35"/>
        <v>801850</v>
      </c>
      <c r="C85" s="656" t="s">
        <v>154</v>
      </c>
      <c r="D85" s="1972" t="s">
        <v>60</v>
      </c>
      <c r="E85" s="1713" t="s">
        <v>155</v>
      </c>
      <c r="F85" s="399">
        <f t="shared" si="40"/>
        <v>1504.46</v>
      </c>
      <c r="G85" s="441" t="s">
        <v>149</v>
      </c>
      <c r="H85" s="442">
        <f>VLOOKUP(G85,'CP FACTORS'!$A$26:$B$38,2,FALSE)</f>
        <v>1.3573829999999999E-4</v>
      </c>
      <c r="I85" s="1779">
        <f t="shared" si="36"/>
        <v>0.20421300000000001</v>
      </c>
      <c r="J85" s="465">
        <v>12</v>
      </c>
      <c r="K85" s="1689">
        <v>600</v>
      </c>
      <c r="L85" s="443" t="s">
        <v>63</v>
      </c>
      <c r="M85" s="466"/>
      <c r="P85" s="445"/>
      <c r="Q85" s="446"/>
      <c r="R85" s="447"/>
      <c r="S85" s="447"/>
      <c r="T85" s="448"/>
      <c r="V85" s="1285" t="s">
        <v>46</v>
      </c>
      <c r="W85" s="1504">
        <v>2951.2199999999993</v>
      </c>
      <c r="X85" s="1504">
        <v>2951.2199999999993</v>
      </c>
      <c r="Y85" s="1504">
        <v>2951.2199999999993</v>
      </c>
      <c r="Z85" s="1504">
        <v>2951.2199999999993</v>
      </c>
      <c r="AA85" s="1504">
        <v>2951.2199999999993</v>
      </c>
      <c r="AB85" s="1609">
        <v>2951.22</v>
      </c>
      <c r="AC85" s="722">
        <v>2951.22</v>
      </c>
      <c r="AD85" s="722">
        <v>2951.22</v>
      </c>
      <c r="AE85" s="722">
        <v>2951.22</v>
      </c>
      <c r="AF85" s="253">
        <v>1504.46</v>
      </c>
      <c r="AG85" s="546">
        <f t="shared" si="37"/>
        <v>1504.46</v>
      </c>
      <c r="AI85" s="1311" t="s">
        <v>50</v>
      </c>
      <c r="AJ85" s="19">
        <v>12</v>
      </c>
      <c r="AK85" s="19">
        <v>12</v>
      </c>
      <c r="AL85" s="19">
        <v>12</v>
      </c>
      <c r="AM85" s="19">
        <v>12</v>
      </c>
      <c r="AN85" s="19">
        <v>12</v>
      </c>
      <c r="AO85" s="16">
        <v>12</v>
      </c>
      <c r="AP85" s="16">
        <v>12</v>
      </c>
      <c r="AQ85" s="16">
        <v>12</v>
      </c>
      <c r="AR85" s="16">
        <v>12</v>
      </c>
      <c r="AS85" s="16">
        <v>12</v>
      </c>
      <c r="AT85" s="16">
        <v>12</v>
      </c>
      <c r="AV85" s="1311" t="s">
        <v>51</v>
      </c>
      <c r="AW85" s="1610">
        <v>700</v>
      </c>
      <c r="AX85" s="1610">
        <v>700</v>
      </c>
      <c r="AY85" s="1610">
        <v>700</v>
      </c>
      <c r="AZ85" s="1610">
        <v>700</v>
      </c>
      <c r="BA85" s="1610">
        <v>700</v>
      </c>
      <c r="BB85" s="1611">
        <v>700</v>
      </c>
      <c r="BC85" s="1611">
        <v>700</v>
      </c>
      <c r="BD85" s="1611">
        <v>700</v>
      </c>
      <c r="BE85" s="1611">
        <v>700</v>
      </c>
      <c r="BF85" s="1653">
        <v>600</v>
      </c>
      <c r="BG85" s="16">
        <v>600</v>
      </c>
      <c r="BH85" s="1612"/>
      <c r="DK85" s="994">
        <f t="shared" si="41"/>
        <v>1.5194234464756515</v>
      </c>
      <c r="DL85" s="641" t="str">
        <f t="shared" si="38"/>
        <v>Refrigeration BUS 12 Year EUL</v>
      </c>
      <c r="DM85" s="623">
        <f>(INDEX('Avoided Cost Benefits'!$B$4:$B$865,MATCH(DL85,'Avoided Cost Benefits'!$A$4:$A$865,0)))*F85</f>
        <v>911.65406788539087</v>
      </c>
      <c r="DN85" s="1928">
        <f t="shared" si="39"/>
        <v>600</v>
      </c>
    </row>
    <row r="86" spans="1:118" x14ac:dyDescent="0.25">
      <c r="A86" s="2006" t="s">
        <v>112</v>
      </c>
      <c r="B86" s="247">
        <f t="shared" si="35"/>
        <v>801900</v>
      </c>
      <c r="C86" s="656" t="s">
        <v>156</v>
      </c>
      <c r="D86" s="1972" t="s">
        <v>60</v>
      </c>
      <c r="E86" s="1713" t="s">
        <v>157</v>
      </c>
      <c r="F86" s="399">
        <f t="shared" si="40"/>
        <v>558.83000000000004</v>
      </c>
      <c r="G86" s="441" t="s">
        <v>149</v>
      </c>
      <c r="H86" s="442">
        <f>VLOOKUP(G86,'CP FACTORS'!$A$26:$B$38,2,FALSE)</f>
        <v>1.3573829999999999E-4</v>
      </c>
      <c r="I86" s="1779">
        <f t="shared" si="36"/>
        <v>7.5855000000000006E-2</v>
      </c>
      <c r="J86" s="465">
        <v>12</v>
      </c>
      <c r="K86" s="1689">
        <v>50</v>
      </c>
      <c r="L86" s="443" t="s">
        <v>63</v>
      </c>
      <c r="M86" s="466"/>
      <c r="P86" s="445"/>
      <c r="Q86" s="446"/>
      <c r="R86" s="447"/>
      <c r="S86" s="447"/>
      <c r="T86" s="448"/>
      <c r="V86" s="1285" t="s">
        <v>46</v>
      </c>
      <c r="W86" s="1504">
        <v>1429.9537499999997</v>
      </c>
      <c r="X86" s="1504">
        <v>1429.9537499999997</v>
      </c>
      <c r="Y86" s="1504">
        <v>1429.9537499999997</v>
      </c>
      <c r="Z86" s="1504">
        <v>1429.9537499999997</v>
      </c>
      <c r="AA86" s="1504">
        <v>1429.9537499999997</v>
      </c>
      <c r="AB86" s="1609">
        <v>1429.95</v>
      </c>
      <c r="AC86" s="722">
        <v>1429.95</v>
      </c>
      <c r="AD86" s="722">
        <v>1429.95</v>
      </c>
      <c r="AE86" s="722">
        <v>1429.95</v>
      </c>
      <c r="AF86" s="253">
        <v>558.83000000000004</v>
      </c>
      <c r="AG86" s="546">
        <f t="shared" si="37"/>
        <v>558.83000000000004</v>
      </c>
      <c r="AI86" s="1311" t="s">
        <v>50</v>
      </c>
      <c r="AJ86" s="19">
        <v>12</v>
      </c>
      <c r="AK86" s="19">
        <v>12</v>
      </c>
      <c r="AL86" s="19">
        <v>12</v>
      </c>
      <c r="AM86" s="19">
        <v>12</v>
      </c>
      <c r="AN86" s="19">
        <v>12</v>
      </c>
      <c r="AO86" s="16">
        <v>12</v>
      </c>
      <c r="AP86" s="16">
        <v>12</v>
      </c>
      <c r="AQ86" s="16">
        <v>12</v>
      </c>
      <c r="AR86" s="16">
        <v>12</v>
      </c>
      <c r="AS86" s="16">
        <v>12</v>
      </c>
      <c r="AT86" s="16">
        <v>12</v>
      </c>
      <c r="AV86" s="1311" t="s">
        <v>51</v>
      </c>
      <c r="AW86" s="1610">
        <v>220</v>
      </c>
      <c r="AX86" s="1610">
        <v>220</v>
      </c>
      <c r="AY86" s="1610">
        <v>220</v>
      </c>
      <c r="AZ86" s="1610">
        <v>220</v>
      </c>
      <c r="BA86" s="1610">
        <v>220</v>
      </c>
      <c r="BB86" s="1611">
        <v>220</v>
      </c>
      <c r="BC86" s="1611">
        <v>220</v>
      </c>
      <c r="BD86" s="1611">
        <v>220</v>
      </c>
      <c r="BE86" s="1611">
        <v>220</v>
      </c>
      <c r="BF86" s="1653">
        <v>50</v>
      </c>
      <c r="BG86" s="16">
        <v>50</v>
      </c>
      <c r="BH86" s="1612"/>
      <c r="DK86" s="994">
        <f t="shared" si="41"/>
        <v>6.7726578673596238</v>
      </c>
      <c r="DL86" s="641" t="str">
        <f t="shared" si="38"/>
        <v>Refrigeration BUS 12 Year EUL</v>
      </c>
      <c r="DM86" s="623">
        <f>(INDEX('Avoided Cost Benefits'!$B$4:$B$865,MATCH(DL86,'Avoided Cost Benefits'!$A$4:$A$865,0)))*F86</f>
        <v>338.63289336798118</v>
      </c>
      <c r="DN86" s="1928">
        <f t="shared" si="39"/>
        <v>50</v>
      </c>
    </row>
    <row r="87" spans="1:118" x14ac:dyDescent="0.25">
      <c r="A87" s="2006" t="s">
        <v>112</v>
      </c>
      <c r="B87" s="247">
        <f t="shared" si="35"/>
        <v>801950</v>
      </c>
      <c r="C87" s="656" t="s">
        <v>158</v>
      </c>
      <c r="D87" s="1972" t="s">
        <v>60</v>
      </c>
      <c r="E87" s="1713" t="s">
        <v>159</v>
      </c>
      <c r="F87" s="399">
        <f t="shared" si="40"/>
        <v>974.85</v>
      </c>
      <c r="G87" s="441" t="s">
        <v>149</v>
      </c>
      <c r="H87" s="442">
        <f>VLOOKUP(G87,'CP FACTORS'!$A$26:$B$38,2,FALSE)</f>
        <v>1.3573829999999999E-4</v>
      </c>
      <c r="I87" s="1779">
        <f t="shared" si="36"/>
        <v>0.132324</v>
      </c>
      <c r="J87" s="465">
        <v>12</v>
      </c>
      <c r="K87" s="1689">
        <v>100</v>
      </c>
      <c r="L87" s="443" t="s">
        <v>63</v>
      </c>
      <c r="M87" s="466"/>
      <c r="P87" s="445"/>
      <c r="Q87" s="446"/>
      <c r="R87" s="447"/>
      <c r="S87" s="447"/>
      <c r="T87" s="448"/>
      <c r="V87" s="1285" t="s">
        <v>46</v>
      </c>
      <c r="W87" s="1504">
        <v>3186.8062500000005</v>
      </c>
      <c r="X87" s="1504">
        <v>3186.8062500000005</v>
      </c>
      <c r="Y87" s="1504">
        <v>3186.8062500000005</v>
      </c>
      <c r="Z87" s="1504">
        <v>3186.8062500000005</v>
      </c>
      <c r="AA87" s="1504">
        <v>3186.8062500000005</v>
      </c>
      <c r="AB87" s="1609">
        <v>3186.81</v>
      </c>
      <c r="AC87" s="722">
        <v>3186.81</v>
      </c>
      <c r="AD87" s="722">
        <v>3186.81</v>
      </c>
      <c r="AE87" s="722">
        <v>3186.81</v>
      </c>
      <c r="AF87" s="253">
        <v>974.85</v>
      </c>
      <c r="AG87" s="546">
        <f t="shared" si="37"/>
        <v>974.85</v>
      </c>
      <c r="AI87" s="1311" t="s">
        <v>50</v>
      </c>
      <c r="AJ87" s="19">
        <v>12</v>
      </c>
      <c r="AK87" s="19">
        <v>12</v>
      </c>
      <c r="AL87" s="19">
        <v>12</v>
      </c>
      <c r="AM87" s="19">
        <v>12</v>
      </c>
      <c r="AN87" s="19">
        <v>12</v>
      </c>
      <c r="AO87" s="16">
        <v>12</v>
      </c>
      <c r="AP87" s="16">
        <v>12</v>
      </c>
      <c r="AQ87" s="16">
        <v>12</v>
      </c>
      <c r="AR87" s="16">
        <v>12</v>
      </c>
      <c r="AS87" s="16">
        <v>12</v>
      </c>
      <c r="AT87" s="16">
        <v>12</v>
      </c>
      <c r="AV87" s="1311" t="s">
        <v>51</v>
      </c>
      <c r="AW87" s="1610">
        <v>950</v>
      </c>
      <c r="AX87" s="1610">
        <v>950</v>
      </c>
      <c r="AY87" s="1610">
        <v>950</v>
      </c>
      <c r="AZ87" s="1610">
        <v>950</v>
      </c>
      <c r="BA87" s="1610">
        <v>950</v>
      </c>
      <c r="BB87" s="1611">
        <v>950</v>
      </c>
      <c r="BC87" s="1611">
        <v>950</v>
      </c>
      <c r="BD87" s="1611">
        <v>950</v>
      </c>
      <c r="BE87" s="1611">
        <v>950</v>
      </c>
      <c r="BF87" s="1653">
        <v>100</v>
      </c>
      <c r="BG87" s="16">
        <v>100</v>
      </c>
      <c r="BH87" s="1612"/>
      <c r="DK87" s="994">
        <f t="shared" si="41"/>
        <v>5.9072754880692955</v>
      </c>
      <c r="DL87" s="641" t="str">
        <f t="shared" si="38"/>
        <v>Refrigeration BUS 12 Year EUL</v>
      </c>
      <c r="DM87" s="623">
        <f>(INDEX('Avoided Cost Benefits'!$B$4:$B$865,MATCH(DL87,'Avoided Cost Benefits'!$A$4:$A$865,0)))*F87</f>
        <v>590.72754880692958</v>
      </c>
      <c r="DN87" s="1928">
        <f t="shared" si="39"/>
        <v>100</v>
      </c>
    </row>
    <row r="88" spans="1:118" x14ac:dyDescent="0.25">
      <c r="A88" s="2006" t="s">
        <v>112</v>
      </c>
      <c r="B88" s="247">
        <f t="shared" si="35"/>
        <v>802000</v>
      </c>
      <c r="C88" s="656" t="s">
        <v>160</v>
      </c>
      <c r="D88" s="1972" t="s">
        <v>60</v>
      </c>
      <c r="E88" s="1713" t="s">
        <v>161</v>
      </c>
      <c r="F88" s="399">
        <f t="shared" si="40"/>
        <v>1579.34</v>
      </c>
      <c r="G88" s="441" t="s">
        <v>149</v>
      </c>
      <c r="H88" s="442">
        <f>VLOOKUP(G88,'CP FACTORS'!$A$26:$B$38,2,FALSE)</f>
        <v>1.3573829999999999E-4</v>
      </c>
      <c r="I88" s="1779">
        <f t="shared" si="36"/>
        <v>0.21437700000000001</v>
      </c>
      <c r="J88" s="465">
        <v>12</v>
      </c>
      <c r="K88" s="1689">
        <v>300</v>
      </c>
      <c r="L88" s="443" t="s">
        <v>63</v>
      </c>
      <c r="M88" s="466"/>
      <c r="P88" s="445"/>
      <c r="Q88" s="446"/>
      <c r="R88" s="447"/>
      <c r="S88" s="447"/>
      <c r="T88" s="448"/>
      <c r="V88" s="1285" t="s">
        <v>46</v>
      </c>
      <c r="W88" s="1504">
        <v>5150.0250000000005</v>
      </c>
      <c r="X88" s="1504">
        <v>5150.0250000000005</v>
      </c>
      <c r="Y88" s="1504">
        <v>5150.0250000000005</v>
      </c>
      <c r="Z88" s="1504">
        <v>5150.0250000000005</v>
      </c>
      <c r="AA88" s="1504">
        <v>5150.0250000000005</v>
      </c>
      <c r="AB88" s="1609">
        <v>5150.03</v>
      </c>
      <c r="AC88" s="722">
        <v>5150.03</v>
      </c>
      <c r="AD88" s="722">
        <v>5150.03</v>
      </c>
      <c r="AE88" s="722">
        <v>5150.03</v>
      </c>
      <c r="AF88" s="253">
        <v>1579.34</v>
      </c>
      <c r="AG88" s="546">
        <f t="shared" si="37"/>
        <v>1579.34</v>
      </c>
      <c r="AI88" s="1311" t="s">
        <v>50</v>
      </c>
      <c r="AJ88" s="19">
        <v>12</v>
      </c>
      <c r="AK88" s="19">
        <v>12</v>
      </c>
      <c r="AL88" s="19">
        <v>12</v>
      </c>
      <c r="AM88" s="19">
        <v>12</v>
      </c>
      <c r="AN88" s="19">
        <v>12</v>
      </c>
      <c r="AO88" s="16">
        <v>12</v>
      </c>
      <c r="AP88" s="16">
        <v>12</v>
      </c>
      <c r="AQ88" s="16">
        <v>12</v>
      </c>
      <c r="AR88" s="16">
        <v>12</v>
      </c>
      <c r="AS88" s="16">
        <v>12</v>
      </c>
      <c r="AT88" s="16">
        <v>12</v>
      </c>
      <c r="AV88" s="1311" t="s">
        <v>51</v>
      </c>
      <c r="AW88" s="1610">
        <v>1307</v>
      </c>
      <c r="AX88" s="1610">
        <v>1307</v>
      </c>
      <c r="AY88" s="1610">
        <v>1307</v>
      </c>
      <c r="AZ88" s="1610">
        <v>1307</v>
      </c>
      <c r="BA88" s="1610">
        <v>1307</v>
      </c>
      <c r="BB88" s="1611">
        <v>1307</v>
      </c>
      <c r="BC88" s="1611">
        <v>1307</v>
      </c>
      <c r="BD88" s="1611">
        <v>1307</v>
      </c>
      <c r="BE88" s="1611">
        <v>1307</v>
      </c>
      <c r="BF88" s="1653">
        <v>300</v>
      </c>
      <c r="BG88" s="16">
        <v>300</v>
      </c>
      <c r="BH88" s="1612"/>
      <c r="DK88" s="994">
        <f t="shared" si="41"/>
        <v>3.1900964146030537</v>
      </c>
      <c r="DL88" s="641" t="str">
        <f t="shared" si="38"/>
        <v>Refrigeration BUS 12 Year EUL</v>
      </c>
      <c r="DM88" s="623">
        <f>(INDEX('Avoided Cost Benefits'!$B$4:$B$865,MATCH(DL88,'Avoided Cost Benefits'!$A$4:$A$865,0)))*F88</f>
        <v>957.02892438091612</v>
      </c>
      <c r="DN88" s="1928">
        <f t="shared" si="39"/>
        <v>300</v>
      </c>
    </row>
    <row r="89" spans="1:118" x14ac:dyDescent="0.25">
      <c r="A89" s="2006" t="s">
        <v>112</v>
      </c>
      <c r="B89" s="247">
        <f t="shared" si="35"/>
        <v>802050</v>
      </c>
      <c r="C89" s="656" t="s">
        <v>162</v>
      </c>
      <c r="D89" s="1972" t="s">
        <v>60</v>
      </c>
      <c r="E89" s="1713" t="s">
        <v>163</v>
      </c>
      <c r="F89" s="399">
        <f t="shared" si="40"/>
        <v>3149.19</v>
      </c>
      <c r="G89" s="441" t="s">
        <v>149</v>
      </c>
      <c r="H89" s="442">
        <f>VLOOKUP(G89,'CP FACTORS'!$A$26:$B$38,2,FALSE)</f>
        <v>1.3573829999999999E-4</v>
      </c>
      <c r="I89" s="1779">
        <f t="shared" si="36"/>
        <v>0.42746600000000001</v>
      </c>
      <c r="J89" s="465">
        <v>12</v>
      </c>
      <c r="K89" s="1689">
        <v>500</v>
      </c>
      <c r="L89" s="443" t="s">
        <v>63</v>
      </c>
      <c r="M89" s="466"/>
      <c r="V89" s="1285" t="s">
        <v>46</v>
      </c>
      <c r="W89" s="1504">
        <v>5884.1774999999998</v>
      </c>
      <c r="X89" s="1504">
        <v>5884.1774999999998</v>
      </c>
      <c r="Y89" s="1504">
        <v>5884.1774999999998</v>
      </c>
      <c r="Z89" s="1504">
        <v>5884.1774999999998</v>
      </c>
      <c r="AA89" s="1504">
        <v>5884.1774999999998</v>
      </c>
      <c r="AB89" s="1609">
        <v>5884.18</v>
      </c>
      <c r="AC89" s="722">
        <v>5884.18</v>
      </c>
      <c r="AD89" s="722">
        <v>5884.18</v>
      </c>
      <c r="AE89" s="722">
        <v>5884.18</v>
      </c>
      <c r="AF89" s="253">
        <v>3149.19</v>
      </c>
      <c r="AG89" s="546">
        <f t="shared" si="37"/>
        <v>3149.19</v>
      </c>
      <c r="AI89" s="1311" t="s">
        <v>50</v>
      </c>
      <c r="AJ89" s="19">
        <v>12</v>
      </c>
      <c r="AK89" s="19">
        <v>12</v>
      </c>
      <c r="AL89" s="19">
        <v>12</v>
      </c>
      <c r="AM89" s="19">
        <v>12</v>
      </c>
      <c r="AN89" s="19">
        <v>12</v>
      </c>
      <c r="AO89" s="16">
        <v>12</v>
      </c>
      <c r="AP89" s="16">
        <v>12</v>
      </c>
      <c r="AQ89" s="16">
        <v>12</v>
      </c>
      <c r="AR89" s="16">
        <v>12</v>
      </c>
      <c r="AS89" s="16">
        <v>12</v>
      </c>
      <c r="AT89" s="16">
        <v>12</v>
      </c>
      <c r="AV89" s="1311" t="s">
        <v>51</v>
      </c>
      <c r="AW89" s="1610">
        <v>2300</v>
      </c>
      <c r="AX89" s="1610">
        <v>2300</v>
      </c>
      <c r="AY89" s="1610">
        <v>2300</v>
      </c>
      <c r="AZ89" s="1610">
        <v>2300</v>
      </c>
      <c r="BA89" s="1610">
        <v>2300</v>
      </c>
      <c r="BB89" s="1611">
        <v>2300</v>
      </c>
      <c r="BC89" s="1611">
        <v>2300</v>
      </c>
      <c r="BD89" s="1611">
        <v>2300</v>
      </c>
      <c r="BE89" s="1611">
        <v>2300</v>
      </c>
      <c r="BF89" s="1653">
        <v>500</v>
      </c>
      <c r="BG89" s="16">
        <v>500</v>
      </c>
      <c r="BH89" s="1612"/>
      <c r="DK89" s="994">
        <f t="shared" si="41"/>
        <v>3.8166144318147293</v>
      </c>
      <c r="DL89" s="641" t="str">
        <f t="shared" si="38"/>
        <v>Refrigeration BUS 12 Year EUL</v>
      </c>
      <c r="DM89" s="623">
        <f>(INDEX('Avoided Cost Benefits'!$B$4:$B$865,MATCH(DL89,'Avoided Cost Benefits'!$A$4:$A$865,0)))*F89</f>
        <v>1908.3072159073647</v>
      </c>
      <c r="DN89" s="1928">
        <f t="shared" si="39"/>
        <v>500</v>
      </c>
    </row>
    <row r="90" spans="1:118" x14ac:dyDescent="0.25">
      <c r="A90" s="2006" t="s">
        <v>112</v>
      </c>
      <c r="B90" s="247">
        <f t="shared" ref="B90:B92" si="42">VALUE(LEFT(C90,6))</f>
        <v>801650</v>
      </c>
      <c r="C90" s="1778" t="s">
        <v>164</v>
      </c>
      <c r="D90" s="1972" t="s">
        <v>60</v>
      </c>
      <c r="E90" s="1713" t="s">
        <v>165</v>
      </c>
      <c r="F90" s="399">
        <f>ROUND(((G113*I113+J113)-(H113))*365.25,2)</f>
        <v>290.01</v>
      </c>
      <c r="G90" s="441" t="s">
        <v>149</v>
      </c>
      <c r="H90" s="442">
        <f>VLOOKUP(G90,'CP FACTORS'!$A$26:$B$38,2,FALSE)</f>
        <v>1.3573829999999999E-4</v>
      </c>
      <c r="I90" s="1779">
        <f t="shared" si="36"/>
        <v>3.9364999999999997E-2</v>
      </c>
      <c r="J90" s="465">
        <v>12</v>
      </c>
      <c r="K90" s="1689">
        <v>0</v>
      </c>
      <c r="L90" s="443" t="s">
        <v>63</v>
      </c>
      <c r="M90" s="466"/>
      <c r="P90" s="445"/>
      <c r="Q90" s="446"/>
      <c r="R90" s="447"/>
      <c r="S90" s="447"/>
      <c r="T90" s="448"/>
      <c r="V90" s="1285" t="s">
        <v>46</v>
      </c>
      <c r="W90" s="1504">
        <v>1219.9349999999997</v>
      </c>
      <c r="X90" s="1504">
        <v>1219.9349999999997</v>
      </c>
      <c r="Y90" s="1504">
        <v>1219.9349999999997</v>
      </c>
      <c r="Z90" s="1504">
        <v>1219.9349999999997</v>
      </c>
      <c r="AA90" s="1504">
        <v>1219.9349999999997</v>
      </c>
      <c r="AB90" s="1609">
        <v>1219.94</v>
      </c>
      <c r="AC90" s="722">
        <v>1219.94</v>
      </c>
      <c r="AD90" s="722">
        <v>1219.94</v>
      </c>
      <c r="AE90" s="722">
        <v>1219.94</v>
      </c>
      <c r="AF90" s="253">
        <v>290.01</v>
      </c>
      <c r="AG90" s="546">
        <f t="shared" si="37"/>
        <v>290.01</v>
      </c>
      <c r="AI90" s="1311" t="s">
        <v>50</v>
      </c>
      <c r="AJ90" s="19">
        <v>12</v>
      </c>
      <c r="AK90" s="19">
        <v>12</v>
      </c>
      <c r="AL90" s="19">
        <v>12</v>
      </c>
      <c r="AM90" s="19">
        <v>12</v>
      </c>
      <c r="AN90" s="19">
        <v>12</v>
      </c>
      <c r="AO90" s="16">
        <v>12</v>
      </c>
      <c r="AP90" s="16">
        <v>12</v>
      </c>
      <c r="AQ90" s="16">
        <v>12</v>
      </c>
      <c r="AR90" s="16">
        <v>12</v>
      </c>
      <c r="AS90" s="16">
        <v>12</v>
      </c>
      <c r="AT90" s="16">
        <v>12</v>
      </c>
      <c r="AV90" s="1311" t="s">
        <v>51</v>
      </c>
      <c r="AW90" s="1610">
        <v>525</v>
      </c>
      <c r="AX90" s="1610">
        <v>525</v>
      </c>
      <c r="AY90" s="1610">
        <v>525</v>
      </c>
      <c r="AZ90" s="1610">
        <v>525</v>
      </c>
      <c r="BA90" s="1610">
        <v>525</v>
      </c>
      <c r="BB90" s="1611">
        <v>525</v>
      </c>
      <c r="BC90" s="1611">
        <v>525</v>
      </c>
      <c r="BD90" s="1611">
        <v>525</v>
      </c>
      <c r="BE90" s="1611">
        <v>525</v>
      </c>
      <c r="BF90" s="1653">
        <v>0</v>
      </c>
      <c r="BG90" s="16">
        <v>0</v>
      </c>
      <c r="BH90" s="1612"/>
      <c r="DK90" s="994" t="str">
        <f>IFERROR((DM90)/(DN90),"n/a")</f>
        <v>n/a</v>
      </c>
      <c r="DL90" s="641" t="str">
        <f t="shared" ref="DL90" si="43">CONCATENATE(G90," ",J90," Year EUL")</f>
        <v>Refrigeration BUS 12 Year EUL</v>
      </c>
      <c r="DM90" s="623">
        <f>(INDEX('Avoided Cost Benefits'!$B$4:$B$865,MATCH(DL90,'Avoided Cost Benefits'!$A$4:$A$865,0)))*F90</f>
        <v>175.73667377493732</v>
      </c>
      <c r="DN90" s="1928">
        <f t="shared" si="39"/>
        <v>0</v>
      </c>
    </row>
    <row r="91" spans="1:118" x14ac:dyDescent="0.25">
      <c r="A91" s="2006" t="s">
        <v>112</v>
      </c>
      <c r="B91" s="247">
        <f t="shared" si="42"/>
        <v>801655</v>
      </c>
      <c r="C91" s="1778" t="s">
        <v>166</v>
      </c>
      <c r="D91" s="1972" t="s">
        <v>60</v>
      </c>
      <c r="E91" s="1713" t="s">
        <v>167</v>
      </c>
      <c r="F91" s="399">
        <f>ROUND(((G114*I114+J114)-(H114))*365.25,2)</f>
        <v>172.4</v>
      </c>
      <c r="G91" s="441" t="s">
        <v>149</v>
      </c>
      <c r="H91" s="442">
        <f>VLOOKUP(G91,'CP FACTORS'!$A$26:$B$38,2,FALSE)</f>
        <v>1.3573829999999999E-4</v>
      </c>
      <c r="I91" s="1779">
        <f t="shared" si="36"/>
        <v>2.3401000000000002E-2</v>
      </c>
      <c r="J91" s="465">
        <v>12</v>
      </c>
      <c r="K91" s="1689">
        <v>0</v>
      </c>
      <c r="L91" s="443" t="s">
        <v>63</v>
      </c>
      <c r="V91" s="1285" t="s">
        <v>46</v>
      </c>
      <c r="W91" s="1504"/>
      <c r="X91" s="1504"/>
      <c r="Y91" s="1504"/>
      <c r="Z91" s="1504"/>
      <c r="AA91" s="1504"/>
      <c r="AB91" s="1609"/>
      <c r="AC91" s="722"/>
      <c r="AD91" s="722"/>
      <c r="AE91" s="722"/>
      <c r="AF91" s="253">
        <v>172.4</v>
      </c>
      <c r="AG91" s="546">
        <f t="shared" si="37"/>
        <v>172.4</v>
      </c>
      <c r="AI91" s="1311" t="s">
        <v>50</v>
      </c>
      <c r="AJ91" s="19"/>
      <c r="AK91" s="19"/>
      <c r="AL91" s="19"/>
      <c r="AM91" s="19"/>
      <c r="AN91" s="19"/>
      <c r="AO91" s="16"/>
      <c r="AP91" s="16"/>
      <c r="AQ91" s="16"/>
      <c r="AR91" s="16"/>
      <c r="AS91" s="16">
        <v>12</v>
      </c>
      <c r="AT91" s="16">
        <v>12</v>
      </c>
      <c r="AV91" s="1311" t="s">
        <v>51</v>
      </c>
      <c r="AW91" s="1610"/>
      <c r="AX91" s="1610"/>
      <c r="AY91" s="1610"/>
      <c r="AZ91" s="1610"/>
      <c r="BA91" s="1610"/>
      <c r="BB91" s="1611"/>
      <c r="BC91" s="1611"/>
      <c r="BD91" s="1611"/>
      <c r="BE91" s="1611"/>
      <c r="BF91" s="1653">
        <v>0</v>
      </c>
      <c r="BG91" s="16">
        <v>0</v>
      </c>
      <c r="BH91" s="1612"/>
      <c r="DK91" s="994" t="str">
        <f>IFERROR((DM91)/(DN91),"n/a")</f>
        <v>n/a</v>
      </c>
      <c r="DL91" s="641" t="str">
        <f t="shared" si="38"/>
        <v>Refrigeration BUS 12 Year EUL</v>
      </c>
      <c r="DM91" s="997">
        <f>(INDEX('Avoided Cost Benefits'!$B$4:$B$865,MATCH(DL91,'Avoided Cost Benefits'!$A$4:$A$865,0)))*F91</f>
        <v>104.46882024343709</v>
      </c>
      <c r="DN91" s="1928">
        <f t="shared" si="39"/>
        <v>0</v>
      </c>
    </row>
    <row r="92" spans="1:118" x14ac:dyDescent="0.25">
      <c r="A92" s="2006" t="s">
        <v>112</v>
      </c>
      <c r="B92" s="247">
        <f t="shared" si="42"/>
        <v>802100</v>
      </c>
      <c r="C92" s="1778" t="s">
        <v>168</v>
      </c>
      <c r="D92" s="1972" t="s">
        <v>60</v>
      </c>
      <c r="E92" s="1713" t="s">
        <v>169</v>
      </c>
      <c r="F92" s="399">
        <f>ROUND(((K113*M113+N113)-(L113))*365.25,2)</f>
        <v>228.65</v>
      </c>
      <c r="G92" s="441" t="s">
        <v>149</v>
      </c>
      <c r="H92" s="442">
        <f>VLOOKUP(G92,'CP FACTORS'!$A$26:$B$38,2,FALSE)</f>
        <v>1.3573829999999999E-4</v>
      </c>
      <c r="I92" s="1779">
        <f t="shared" si="36"/>
        <v>3.1036999999999999E-2</v>
      </c>
      <c r="J92" s="465">
        <v>12</v>
      </c>
      <c r="K92" s="1689">
        <v>0</v>
      </c>
      <c r="L92" s="443" t="s">
        <v>63</v>
      </c>
      <c r="V92" s="1285" t="s">
        <v>46</v>
      </c>
      <c r="W92" s="1504">
        <v>5265.0787499999997</v>
      </c>
      <c r="X92" s="1504">
        <v>5265.0787499999997</v>
      </c>
      <c r="Y92" s="1504">
        <v>5265.0787499999997</v>
      </c>
      <c r="Z92" s="1504">
        <v>5265.0787499999997</v>
      </c>
      <c r="AA92" s="1504">
        <v>5265.0787499999997</v>
      </c>
      <c r="AB92" s="1504">
        <v>5265.08</v>
      </c>
      <c r="AC92" s="1652">
        <v>5265.08</v>
      </c>
      <c r="AD92" s="1652">
        <v>5265.08</v>
      </c>
      <c r="AE92" s="1652">
        <v>5265.08</v>
      </c>
      <c r="AF92" s="253">
        <v>228.65</v>
      </c>
      <c r="AG92" s="546">
        <f t="shared" si="37"/>
        <v>228.65</v>
      </c>
      <c r="AI92" s="1311" t="s">
        <v>50</v>
      </c>
      <c r="AJ92" s="19">
        <v>12</v>
      </c>
      <c r="AK92" s="19">
        <v>12</v>
      </c>
      <c r="AL92" s="19">
        <v>12</v>
      </c>
      <c r="AM92" s="19">
        <v>12</v>
      </c>
      <c r="AN92" s="19">
        <v>12</v>
      </c>
      <c r="AO92" s="16">
        <v>12</v>
      </c>
      <c r="AP92" s="16">
        <v>12</v>
      </c>
      <c r="AQ92" s="16">
        <v>12</v>
      </c>
      <c r="AR92" s="16">
        <v>12</v>
      </c>
      <c r="AS92" s="16">
        <v>12</v>
      </c>
      <c r="AT92" s="16">
        <v>12</v>
      </c>
      <c r="AV92" s="1311" t="s">
        <v>51</v>
      </c>
      <c r="AW92" s="672">
        <v>595</v>
      </c>
      <c r="AX92" s="672">
        <v>595</v>
      </c>
      <c r="AY92" s="672">
        <v>595</v>
      </c>
      <c r="AZ92" s="672">
        <v>595</v>
      </c>
      <c r="BA92" s="672">
        <v>595</v>
      </c>
      <c r="BB92" s="657">
        <v>595</v>
      </c>
      <c r="BC92" s="657">
        <v>595</v>
      </c>
      <c r="BD92" s="657">
        <v>595</v>
      </c>
      <c r="BE92" s="657">
        <v>595</v>
      </c>
      <c r="BF92" s="1653">
        <v>0</v>
      </c>
      <c r="BG92" s="16">
        <v>0</v>
      </c>
      <c r="BH92" s="1613"/>
      <c r="DK92" s="994" t="str">
        <f>IFERROR((DM92)/(DN92),"n/a")</f>
        <v>n/a</v>
      </c>
      <c r="DL92" s="641" t="str">
        <f t="shared" ref="DL92" si="44">CONCATENATE(G92," ",J92," Year EUL")</f>
        <v>Refrigeration BUS 12 Year EUL</v>
      </c>
      <c r="DM92" s="997">
        <f>(INDEX('Avoided Cost Benefits'!$B$4:$B$865,MATCH(DL92,'Avoided Cost Benefits'!$A$4:$A$865,0)))*F92</f>
        <v>138.55449970221517</v>
      </c>
      <c r="DN92" s="2035">
        <f t="shared" si="39"/>
        <v>0</v>
      </c>
    </row>
    <row r="93" spans="1:118" x14ac:dyDescent="0.25">
      <c r="B93" s="447"/>
      <c r="C93" s="447"/>
      <c r="D93" s="447"/>
      <c r="E93" s="447"/>
      <c r="F93" s="447"/>
      <c r="G93" s="447"/>
      <c r="H93" s="447"/>
      <c r="I93" s="447"/>
      <c r="J93" s="447"/>
      <c r="K93" s="447"/>
      <c r="L93" s="447"/>
      <c r="M93" s="447"/>
      <c r="N93" s="447"/>
      <c r="O93" s="447"/>
      <c r="P93" s="447"/>
      <c r="Q93" s="447"/>
      <c r="R93" s="447"/>
      <c r="S93" s="447"/>
      <c r="T93" s="447"/>
      <c r="U93" s="447"/>
      <c r="V93" s="447"/>
      <c r="W93" s="447"/>
      <c r="X93" s="447"/>
      <c r="Y93" s="447"/>
      <c r="Z93" s="447"/>
      <c r="AA93" s="447"/>
      <c r="AB93" s="447"/>
      <c r="AC93" s="447"/>
      <c r="AD93" s="447"/>
      <c r="AE93" s="447"/>
      <c r="AF93" s="447"/>
      <c r="AG93" s="447"/>
      <c r="AH93" s="447"/>
      <c r="AI93" s="447"/>
      <c r="AJ93" s="447"/>
      <c r="AK93" s="447"/>
      <c r="AL93" s="447"/>
      <c r="AM93" s="447"/>
      <c r="AN93" s="447"/>
      <c r="AO93" s="447"/>
      <c r="AP93" s="447"/>
      <c r="AQ93" s="447"/>
      <c r="AR93" s="447"/>
      <c r="AS93" s="447"/>
      <c r="AT93" s="447"/>
      <c r="AU93" s="447"/>
      <c r="AV93" s="447"/>
      <c r="AW93" s="447"/>
      <c r="AX93" s="447"/>
      <c r="AY93" s="447"/>
      <c r="AZ93" s="447"/>
      <c r="BA93" s="447"/>
      <c r="BB93" s="447"/>
      <c r="BC93" s="447"/>
      <c r="BD93" s="447"/>
      <c r="BE93" s="447"/>
      <c r="BF93" s="1605" t="s">
        <v>170</v>
      </c>
      <c r="BG93" s="447"/>
      <c r="BH93" s="447"/>
      <c r="BI93" s="447"/>
      <c r="BJ93" s="447"/>
      <c r="BK93" s="447"/>
      <c r="BL93" s="447"/>
      <c r="BM93" s="447"/>
      <c r="BN93" s="447"/>
      <c r="BO93" s="447"/>
      <c r="BP93" s="447"/>
      <c r="BQ93" s="447"/>
      <c r="BR93" s="447"/>
      <c r="BS93" s="447"/>
      <c r="BT93" s="447"/>
      <c r="BU93" s="447"/>
      <c r="BV93" s="447"/>
      <c r="BW93" s="447"/>
      <c r="BX93" s="447"/>
      <c r="BY93" s="447"/>
      <c r="BZ93" s="447"/>
      <c r="CA93" s="447"/>
      <c r="CB93" s="447"/>
      <c r="CC93" s="447"/>
      <c r="CD93" s="447"/>
      <c r="DK93" s="994"/>
      <c r="DL93" s="641"/>
      <c r="DM93" s="997"/>
      <c r="DN93" s="2036"/>
    </row>
    <row r="94" spans="1:118" outlineLevel="1" x14ac:dyDescent="0.25">
      <c r="D94" s="74" t="s">
        <v>95</v>
      </c>
      <c r="E94" s="108" t="s">
        <v>171</v>
      </c>
      <c r="F94" s="7"/>
      <c r="G94" s="7"/>
      <c r="H94" s="449"/>
      <c r="I94" s="7"/>
      <c r="J94" s="7"/>
      <c r="K94" s="7"/>
      <c r="BH94" s="1605"/>
    </row>
    <row r="95" spans="1:118" outlineLevel="1" x14ac:dyDescent="0.25">
      <c r="D95" s="7" t="s">
        <v>97</v>
      </c>
      <c r="E95" s="7"/>
      <c r="F95" s="7"/>
      <c r="G95" s="7"/>
      <c r="H95" s="449"/>
      <c r="I95" s="7"/>
      <c r="J95" s="7"/>
      <c r="K95" s="7"/>
      <c r="BH95" s="1605"/>
    </row>
    <row r="96" spans="1:118" outlineLevel="1" x14ac:dyDescent="0.25">
      <c r="D96" s="450"/>
      <c r="G96" s="1996"/>
      <c r="H96" s="451"/>
      <c r="BH96" s="1605"/>
    </row>
    <row r="97" spans="1:118" outlineLevel="1" x14ac:dyDescent="0.25">
      <c r="D97" s="450"/>
      <c r="G97" s="247"/>
      <c r="H97" s="451"/>
      <c r="BH97" s="1605"/>
    </row>
    <row r="98" spans="1:118" outlineLevel="1" x14ac:dyDescent="0.25">
      <c r="D98" s="450"/>
      <c r="G98" s="247"/>
      <c r="H98" s="451"/>
      <c r="M98" s="7"/>
      <c r="BH98" s="1605"/>
    </row>
    <row r="99" spans="1:118" outlineLevel="1" x14ac:dyDescent="0.25">
      <c r="D99" s="450"/>
      <c r="G99" s="247"/>
      <c r="H99" s="451"/>
      <c r="M99" s="7"/>
      <c r="BH99" s="1605"/>
    </row>
    <row r="100" spans="1:118" outlineLevel="1" x14ac:dyDescent="0.25">
      <c r="D100" s="450"/>
      <c r="G100" s="247"/>
      <c r="H100" s="451"/>
      <c r="I100" s="1997"/>
      <c r="M100" s="7"/>
      <c r="BH100" s="1605"/>
    </row>
    <row r="101" spans="1:118" outlineLevel="1" x14ac:dyDescent="0.25">
      <c r="D101" s="450"/>
      <c r="G101" s="247"/>
      <c r="H101" s="451"/>
      <c r="BH101" s="1605"/>
    </row>
    <row r="102" spans="1:118" s="8" customFormat="1" ht="60" outlineLevel="1" x14ac:dyDescent="0.25">
      <c r="A102" s="247"/>
      <c r="B102" s="247"/>
      <c r="C102" s="64"/>
      <c r="D102" s="1236" t="s">
        <v>172</v>
      </c>
      <c r="E102" s="1236" t="s">
        <v>173</v>
      </c>
      <c r="F102" s="1236" t="s">
        <v>174</v>
      </c>
      <c r="G102" s="1236" t="s">
        <v>175</v>
      </c>
      <c r="H102" s="1236" t="s">
        <v>176</v>
      </c>
      <c r="I102" s="2319" t="s">
        <v>177</v>
      </c>
      <c r="J102" s="2320"/>
      <c r="K102" s="1236" t="s">
        <v>178</v>
      </c>
      <c r="L102" s="1236" t="s">
        <v>179</v>
      </c>
      <c r="M102" s="2319" t="s">
        <v>180</v>
      </c>
      <c r="N102" s="2320"/>
      <c r="O102" s="1606"/>
      <c r="P102" s="115"/>
      <c r="Q102" s="115"/>
      <c r="R102" s="115"/>
      <c r="S102" s="115"/>
      <c r="T102" s="115"/>
      <c r="U102" s="115"/>
      <c r="V102" s="636" t="s">
        <v>53</v>
      </c>
      <c r="W102" s="637">
        <f>$W$8</f>
        <v>43252</v>
      </c>
      <c r="X102" s="637">
        <f>$X$8</f>
        <v>43465</v>
      </c>
      <c r="Y102" s="637">
        <f>$Y$8</f>
        <v>43800</v>
      </c>
      <c r="Z102" s="637">
        <f>$Z$8</f>
        <v>43862</v>
      </c>
      <c r="AA102" s="637">
        <f>$AA$8</f>
        <v>44013</v>
      </c>
      <c r="AB102" s="637">
        <v>44166</v>
      </c>
      <c r="AC102" s="637">
        <f>$AC$8</f>
        <v>44531</v>
      </c>
      <c r="AD102" s="637">
        <f>$AD$8</f>
        <v>44774</v>
      </c>
      <c r="AE102" s="637">
        <f>$AE$8</f>
        <v>45142</v>
      </c>
      <c r="AF102" s="637">
        <f>$AF$8</f>
        <v>45672</v>
      </c>
      <c r="AG102" s="637">
        <f>$AG$8</f>
        <v>45971</v>
      </c>
      <c r="BH102" s="1604"/>
      <c r="DI102" s="2"/>
      <c r="DJ102" s="2"/>
      <c r="DK102" s="996"/>
      <c r="DL102" s="115"/>
      <c r="DM102" s="115"/>
      <c r="DN102" s="499"/>
    </row>
    <row r="103" spans="1:118" s="8" customFormat="1" outlineLevel="1" x14ac:dyDescent="0.25">
      <c r="A103" s="247"/>
      <c r="B103" s="247"/>
      <c r="C103" s="64"/>
      <c r="D103" s="26"/>
      <c r="E103" s="26"/>
      <c r="F103" s="26"/>
      <c r="G103" s="26"/>
      <c r="H103" s="26"/>
      <c r="I103" s="1584" t="s">
        <v>181</v>
      </c>
      <c r="J103" s="1584"/>
      <c r="K103" s="26"/>
      <c r="L103" s="26"/>
      <c r="M103" s="1584" t="s">
        <v>182</v>
      </c>
      <c r="N103" s="1584"/>
      <c r="O103" s="1606"/>
      <c r="P103" s="115"/>
      <c r="Q103" s="115"/>
      <c r="R103" s="115"/>
      <c r="S103" s="115"/>
      <c r="T103" s="115"/>
      <c r="U103" s="115"/>
      <c r="DI103" s="2"/>
      <c r="DJ103" s="2"/>
      <c r="DK103" s="996"/>
      <c r="DL103" s="115"/>
      <c r="DM103" s="115"/>
      <c r="DN103" s="499"/>
    </row>
    <row r="104" spans="1:118" s="8" customFormat="1" outlineLevel="1" x14ac:dyDescent="0.25">
      <c r="A104" s="247"/>
      <c r="B104" s="247"/>
      <c r="C104" s="64"/>
      <c r="D104" s="27"/>
      <c r="E104" s="27"/>
      <c r="F104" s="27"/>
      <c r="G104" s="1301" t="s">
        <v>183</v>
      </c>
      <c r="H104" s="1301" t="s">
        <v>184</v>
      </c>
      <c r="I104" s="1301" t="s">
        <v>185</v>
      </c>
      <c r="J104" s="1301" t="s">
        <v>186</v>
      </c>
      <c r="K104" s="1301" t="s">
        <v>183</v>
      </c>
      <c r="L104" s="1301" t="s">
        <v>184</v>
      </c>
      <c r="M104" s="1301" t="s">
        <v>187</v>
      </c>
      <c r="N104" s="1301" t="s">
        <v>188</v>
      </c>
      <c r="O104" s="1606"/>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DI104" s="2"/>
      <c r="DJ104" s="2"/>
      <c r="DK104" s="996"/>
      <c r="DL104" s="115"/>
      <c r="DM104" s="115"/>
      <c r="DN104" s="499"/>
    </row>
    <row r="105" spans="1:118" outlineLevel="1" x14ac:dyDescent="0.25">
      <c r="D105" s="647" t="s">
        <v>189</v>
      </c>
      <c r="E105" s="647" t="s">
        <v>190</v>
      </c>
      <c r="F105" s="647" t="s">
        <v>191</v>
      </c>
      <c r="G105" s="1780">
        <v>9.1</v>
      </c>
      <c r="H105" s="1680">
        <v>0.91200000000000003</v>
      </c>
      <c r="I105" s="1586">
        <v>0.05</v>
      </c>
      <c r="J105" s="1587">
        <v>1.36</v>
      </c>
      <c r="K105" s="1679"/>
      <c r="L105" s="1680"/>
      <c r="M105" s="1587"/>
      <c r="N105" s="1589"/>
      <c r="O105" s="1607"/>
      <c r="V105" s="1285" t="s">
        <v>192</v>
      </c>
      <c r="W105" s="53"/>
      <c r="X105" s="53"/>
      <c r="Y105" s="53"/>
      <c r="Z105" s="53"/>
      <c r="AA105" s="53"/>
      <c r="AB105" s="52"/>
      <c r="AC105" s="692"/>
      <c r="AD105" s="692"/>
      <c r="AE105" s="692"/>
      <c r="AF105" s="692" t="str">
        <f>H105&amp;" and "&amp;L105</f>
        <v xml:space="preserve">0.912 and </v>
      </c>
      <c r="AG105" s="68"/>
      <c r="AH105" s="8"/>
    </row>
    <row r="106" spans="1:118" outlineLevel="1" x14ac:dyDescent="0.25">
      <c r="D106" s="647" t="s">
        <v>189</v>
      </c>
      <c r="E106" s="647" t="s">
        <v>190</v>
      </c>
      <c r="F106" s="647" t="s">
        <v>193</v>
      </c>
      <c r="G106" s="1780"/>
      <c r="H106" s="1680"/>
      <c r="I106" s="1586"/>
      <c r="J106" s="1587"/>
      <c r="K106" s="1679">
        <v>20.2</v>
      </c>
      <c r="L106" s="1680">
        <v>4.2489999999999997</v>
      </c>
      <c r="M106" s="1587">
        <v>0.22</v>
      </c>
      <c r="N106" s="1589">
        <v>1.38</v>
      </c>
      <c r="O106" s="1607"/>
      <c r="V106" s="1285" t="s">
        <v>192</v>
      </c>
      <c r="W106" s="53"/>
      <c r="X106" s="53"/>
      <c r="Y106" s="53"/>
      <c r="Z106" s="53"/>
      <c r="AA106" s="53"/>
      <c r="AB106" s="52"/>
      <c r="AC106" s="692"/>
      <c r="AD106" s="692"/>
      <c r="AE106" s="692"/>
      <c r="AF106" s="692" t="str">
        <f t="shared" ref="AF106:AF114" si="45">H106&amp;" and "&amp;L106</f>
        <v xml:space="preserve"> and 4.249</v>
      </c>
      <c r="AG106" s="68"/>
    </row>
    <row r="107" spans="1:118" outlineLevel="1" x14ac:dyDescent="0.25">
      <c r="D107" s="647" t="s">
        <v>189</v>
      </c>
      <c r="E107" s="647" t="s">
        <v>190</v>
      </c>
      <c r="F107" s="647" t="s">
        <v>194</v>
      </c>
      <c r="G107" s="1780"/>
      <c r="H107" s="1680"/>
      <c r="I107" s="1586"/>
      <c r="J107" s="1587"/>
      <c r="K107" s="1679">
        <v>42.5</v>
      </c>
      <c r="L107" s="1680">
        <v>7.67</v>
      </c>
      <c r="M107" s="1587">
        <v>0.22</v>
      </c>
      <c r="N107" s="1589">
        <v>1.38</v>
      </c>
      <c r="O107" s="1607"/>
      <c r="V107" s="1285" t="s">
        <v>192</v>
      </c>
      <c r="W107" s="53"/>
      <c r="X107" s="53"/>
      <c r="Y107" s="53"/>
      <c r="Z107" s="53"/>
      <c r="AA107" s="53"/>
      <c r="AB107" s="52"/>
      <c r="AC107" s="692"/>
      <c r="AD107" s="692"/>
      <c r="AE107" s="692"/>
      <c r="AF107" s="692" t="str">
        <f t="shared" si="45"/>
        <v xml:space="preserve"> and 7.67</v>
      </c>
      <c r="AG107" s="68"/>
    </row>
    <row r="108" spans="1:118" outlineLevel="1" x14ac:dyDescent="0.25">
      <c r="D108" s="647" t="s">
        <v>189</v>
      </c>
      <c r="E108" s="647" t="s">
        <v>190</v>
      </c>
      <c r="F108" s="647" t="s">
        <v>195</v>
      </c>
      <c r="G108" s="1780"/>
      <c r="H108" s="1680"/>
      <c r="I108" s="1586"/>
      <c r="J108" s="1587"/>
      <c r="K108" s="1679">
        <v>68</v>
      </c>
      <c r="L108" s="1680">
        <v>12.221</v>
      </c>
      <c r="M108" s="1587">
        <v>0.22</v>
      </c>
      <c r="N108" s="1589">
        <v>1.38</v>
      </c>
      <c r="O108" s="1607"/>
      <c r="V108" s="1285" t="s">
        <v>192</v>
      </c>
      <c r="W108" s="53"/>
      <c r="X108" s="53"/>
      <c r="Y108" s="53"/>
      <c r="Z108" s="53"/>
      <c r="AA108" s="53"/>
      <c r="AB108" s="52"/>
      <c r="AC108" s="692"/>
      <c r="AD108" s="692"/>
      <c r="AE108" s="692"/>
      <c r="AF108" s="692" t="str">
        <f t="shared" si="45"/>
        <v xml:space="preserve"> and 12.221</v>
      </c>
      <c r="AG108" s="68"/>
    </row>
    <row r="109" spans="1:118" outlineLevel="1" x14ac:dyDescent="0.25">
      <c r="D109" s="647" t="s">
        <v>189</v>
      </c>
      <c r="E109" s="647" t="s">
        <v>196</v>
      </c>
      <c r="F109" s="647" t="s">
        <v>191</v>
      </c>
      <c r="G109" s="1780"/>
      <c r="H109" s="1680"/>
      <c r="I109" s="1586"/>
      <c r="J109" s="1587"/>
      <c r="K109" s="1679">
        <v>6.8</v>
      </c>
      <c r="L109" s="1680">
        <v>3.3919999999999999</v>
      </c>
      <c r="M109" s="1587">
        <v>0.28999999999999998</v>
      </c>
      <c r="N109" s="1589">
        <v>2.95</v>
      </c>
      <c r="O109" s="1607"/>
      <c r="V109" s="1285" t="s">
        <v>192</v>
      </c>
      <c r="W109" s="53"/>
      <c r="X109" s="53"/>
      <c r="Y109" s="53"/>
      <c r="Z109" s="53"/>
      <c r="AA109" s="53"/>
      <c r="AB109" s="52"/>
      <c r="AC109" s="692"/>
      <c r="AD109" s="692"/>
      <c r="AE109" s="692"/>
      <c r="AF109" s="692" t="str">
        <f t="shared" si="45"/>
        <v xml:space="preserve"> and 3.392</v>
      </c>
      <c r="AG109" s="68"/>
    </row>
    <row r="110" spans="1:118" outlineLevel="1" x14ac:dyDescent="0.25">
      <c r="D110" s="647" t="s">
        <v>189</v>
      </c>
      <c r="E110" s="647" t="s">
        <v>196</v>
      </c>
      <c r="F110" s="647" t="s">
        <v>193</v>
      </c>
      <c r="G110" s="1780"/>
      <c r="H110" s="1680"/>
      <c r="I110" s="1586"/>
      <c r="J110" s="1587"/>
      <c r="K110" s="1679">
        <v>21</v>
      </c>
      <c r="L110" s="1680">
        <v>6.3710000000000004</v>
      </c>
      <c r="M110" s="1587">
        <v>0.28999999999999998</v>
      </c>
      <c r="N110" s="1589">
        <v>2.95</v>
      </c>
      <c r="O110" s="1608"/>
      <c r="V110" s="1285" t="s">
        <v>192</v>
      </c>
      <c r="W110" s="53"/>
      <c r="X110" s="53"/>
      <c r="Y110" s="53"/>
      <c r="Z110" s="53"/>
      <c r="AA110" s="53"/>
      <c r="AB110" s="52"/>
      <c r="AC110" s="692"/>
      <c r="AD110" s="692"/>
      <c r="AE110" s="692"/>
      <c r="AF110" s="692" t="str">
        <f t="shared" si="45"/>
        <v xml:space="preserve"> and 6.371</v>
      </c>
      <c r="AG110" s="68"/>
    </row>
    <row r="111" spans="1:118" outlineLevel="1" x14ac:dyDescent="0.25">
      <c r="D111" s="647" t="s">
        <v>189</v>
      </c>
      <c r="E111" s="647" t="s">
        <v>196</v>
      </c>
      <c r="F111" s="647" t="s">
        <v>194</v>
      </c>
      <c r="G111" s="1780"/>
      <c r="H111" s="1680"/>
      <c r="I111" s="1586"/>
      <c r="J111" s="1587"/>
      <c r="K111" s="1679">
        <v>41.8</v>
      </c>
      <c r="L111" s="1680">
        <v>10.747999999999999</v>
      </c>
      <c r="M111" s="1587">
        <v>0.28999999999999998</v>
      </c>
      <c r="N111" s="1589">
        <v>2.95</v>
      </c>
      <c r="O111" s="1608"/>
      <c r="V111" s="1285" t="s">
        <v>192</v>
      </c>
      <c r="W111" s="53"/>
      <c r="X111" s="53"/>
      <c r="Y111" s="53"/>
      <c r="Z111" s="53"/>
      <c r="AA111" s="53"/>
      <c r="AB111" s="52"/>
      <c r="AC111" s="692"/>
      <c r="AD111" s="692"/>
      <c r="AE111" s="692"/>
      <c r="AF111" s="692" t="str">
        <f t="shared" si="45"/>
        <v xml:space="preserve"> and 10.748</v>
      </c>
      <c r="AG111" s="68"/>
    </row>
    <row r="112" spans="1:118" outlineLevel="1" x14ac:dyDescent="0.25">
      <c r="D112" s="647" t="s">
        <v>189</v>
      </c>
      <c r="E112" s="647" t="s">
        <v>196</v>
      </c>
      <c r="F112" s="647" t="s">
        <v>195</v>
      </c>
      <c r="G112" s="1780"/>
      <c r="H112" s="1680"/>
      <c r="I112" s="1586"/>
      <c r="J112" s="1587"/>
      <c r="K112" s="1679">
        <v>80.7</v>
      </c>
      <c r="L112" s="1680">
        <v>17.731000000000002</v>
      </c>
      <c r="M112" s="1587">
        <v>0.28999999999999998</v>
      </c>
      <c r="N112" s="1589">
        <v>2.95</v>
      </c>
      <c r="O112" s="1608"/>
      <c r="V112" s="1285" t="s">
        <v>192</v>
      </c>
      <c r="W112" s="53"/>
      <c r="X112" s="53"/>
      <c r="Y112" s="53"/>
      <c r="Z112" s="53"/>
      <c r="AA112" s="53"/>
      <c r="AB112" s="52"/>
      <c r="AC112" s="692"/>
      <c r="AD112" s="692"/>
      <c r="AE112" s="692"/>
      <c r="AF112" s="692" t="str">
        <f t="shared" si="45"/>
        <v xml:space="preserve"> and 17.731</v>
      </c>
      <c r="AG112" s="68"/>
    </row>
    <row r="113" spans="1:118" outlineLevel="1" x14ac:dyDescent="0.25">
      <c r="D113" s="647" t="s">
        <v>189</v>
      </c>
      <c r="E113" s="647" t="s">
        <v>197</v>
      </c>
      <c r="F113" s="647" t="s">
        <v>198</v>
      </c>
      <c r="G113" s="1780">
        <v>18.600000000000001</v>
      </c>
      <c r="H113" s="1680">
        <v>1.046</v>
      </c>
      <c r="I113" s="1586">
        <v>0.05</v>
      </c>
      <c r="J113" s="1587">
        <v>0.91</v>
      </c>
      <c r="K113" s="1679">
        <v>19.100000000000001</v>
      </c>
      <c r="L113" s="1680">
        <v>1.64</v>
      </c>
      <c r="M113" s="1587">
        <v>0.06</v>
      </c>
      <c r="N113" s="1588">
        <v>1.1200000000000001</v>
      </c>
      <c r="O113" s="1608"/>
      <c r="V113" s="1285" t="s">
        <v>192</v>
      </c>
      <c r="W113" s="53"/>
      <c r="X113" s="53"/>
      <c r="Y113" s="53"/>
      <c r="Z113" s="53"/>
      <c r="AA113" s="53"/>
      <c r="AB113" s="52"/>
      <c r="AC113" s="692"/>
      <c r="AD113" s="692"/>
      <c r="AE113" s="692"/>
      <c r="AF113" s="692" t="str">
        <f t="shared" si="45"/>
        <v>1.046 and 1.64</v>
      </c>
      <c r="AG113" s="68"/>
    </row>
    <row r="114" spans="1:118" outlineLevel="1" x14ac:dyDescent="0.25">
      <c r="D114" s="647" t="s">
        <v>189</v>
      </c>
      <c r="E114" s="647" t="s">
        <v>199</v>
      </c>
      <c r="F114" s="647" t="s">
        <v>198</v>
      </c>
      <c r="G114" s="1780">
        <v>20.2</v>
      </c>
      <c r="H114" s="1680">
        <v>1.1100000000000001</v>
      </c>
      <c r="I114" s="1586">
        <v>0.06</v>
      </c>
      <c r="J114" s="1587">
        <v>0.37</v>
      </c>
      <c r="K114" s="1679"/>
      <c r="L114" s="1680"/>
      <c r="M114" s="1587">
        <v>0.08</v>
      </c>
      <c r="N114" s="1588" t="s">
        <v>200</v>
      </c>
      <c r="O114" s="1607" t="s">
        <v>201</v>
      </c>
      <c r="V114" s="1285" t="s">
        <v>192</v>
      </c>
      <c r="W114" s="53"/>
      <c r="X114" s="53"/>
      <c r="Y114" s="53"/>
      <c r="Z114" s="53"/>
      <c r="AA114" s="53"/>
      <c r="AB114" s="52"/>
      <c r="AC114" s="692"/>
      <c r="AD114" s="692"/>
      <c r="AE114" s="692"/>
      <c r="AF114" s="692" t="str">
        <f t="shared" si="45"/>
        <v xml:space="preserve">1.11 and </v>
      </c>
      <c r="AG114" s="68"/>
    </row>
    <row r="115" spans="1:118" outlineLevel="1" x14ac:dyDescent="0.25">
      <c r="G115" s="247"/>
      <c r="H115" s="1607"/>
      <c r="I115" s="1607" t="s">
        <v>202</v>
      </c>
      <c r="J115" s="1607"/>
      <c r="K115" s="1607"/>
      <c r="L115" s="1607"/>
      <c r="M115" s="1607" t="s">
        <v>202</v>
      </c>
      <c r="N115" s="1607"/>
      <c r="O115" s="1607"/>
      <c r="V115" s="247"/>
      <c r="W115" s="247"/>
      <c r="X115" s="247"/>
      <c r="Y115" s="247"/>
      <c r="Z115" s="247"/>
      <c r="AA115" s="247"/>
      <c r="AB115" s="247"/>
      <c r="AC115" s="247"/>
      <c r="AD115" s="247"/>
      <c r="AE115" s="247"/>
      <c r="AF115" s="247"/>
      <c r="AG115" s="247"/>
      <c r="AH115" s="247"/>
      <c r="AI115" s="247"/>
      <c r="AJ115" s="247"/>
    </row>
    <row r="117" spans="1:118" s="7" customFormat="1" x14ac:dyDescent="0.25">
      <c r="A117" s="247"/>
      <c r="B117" s="2308" t="s">
        <v>203</v>
      </c>
      <c r="C117" s="2309"/>
      <c r="D117" s="2309"/>
      <c r="E117" s="2309"/>
      <c r="F117" s="2309"/>
      <c r="G117" s="2309"/>
      <c r="H117" s="2309"/>
      <c r="I117" s="2310"/>
      <c r="J117" s="2310"/>
      <c r="K117" s="2310"/>
      <c r="L117" s="2310"/>
      <c r="M117" s="2311"/>
      <c r="N117" s="2311"/>
      <c r="O117" s="2312"/>
      <c r="V117" s="1234" t="str">
        <f>B117</f>
        <v>Refrigerators &amp; Freezers Controls</v>
      </c>
      <c r="W117" s="1235"/>
      <c r="X117" s="1235"/>
      <c r="Y117" s="1235"/>
      <c r="Z117" s="1235"/>
      <c r="AA117" s="1235"/>
      <c r="AB117" s="1235"/>
      <c r="AC117" s="1235"/>
      <c r="AD117" s="1235"/>
      <c r="AE117" s="1235"/>
      <c r="AF117" s="1235"/>
      <c r="AG117" s="1235"/>
      <c r="AH117" s="1235"/>
      <c r="AI117" s="1269"/>
      <c r="AJ117" s="2"/>
      <c r="AK117" s="2"/>
      <c r="AL117" s="2"/>
      <c r="AM117" s="2"/>
      <c r="AN117" s="2"/>
      <c r="AO117" s="2"/>
      <c r="AP117" s="2"/>
      <c r="AQ117" s="2"/>
      <c r="AR117" s="2"/>
      <c r="AS117" s="2"/>
      <c r="AT117" s="2"/>
      <c r="AU117" s="2"/>
      <c r="AV117" s="2"/>
      <c r="BG117" s="2"/>
      <c r="DI117" s="2"/>
      <c r="DJ117" s="2"/>
      <c r="DK117" s="23"/>
      <c r="DN117" s="2031"/>
    </row>
    <row r="118" spans="1:118" x14ac:dyDescent="0.25">
      <c r="D118" s="439"/>
      <c r="E118" s="7"/>
      <c r="F118" s="7"/>
      <c r="G118" s="7"/>
      <c r="H118" s="440"/>
      <c r="I118" s="7"/>
      <c r="J118" s="7"/>
      <c r="K118" s="7"/>
      <c r="L118" s="7"/>
      <c r="P118" s="7"/>
      <c r="Q118" s="7"/>
      <c r="R118" s="7"/>
      <c r="S118" s="7"/>
      <c r="T118" s="7"/>
      <c r="U118" s="7"/>
      <c r="V118"/>
      <c r="W118"/>
      <c r="X118"/>
      <c r="Y118"/>
      <c r="Z118"/>
      <c r="AA118"/>
      <c r="AB118"/>
      <c r="AC118"/>
      <c r="AD118"/>
      <c r="AE118"/>
      <c r="AF118"/>
      <c r="AG118"/>
      <c r="AH118"/>
      <c r="AI118"/>
      <c r="AJ118" s="6"/>
      <c r="AK118" s="6"/>
      <c r="AL118" s="6"/>
      <c r="AM118" s="6"/>
      <c r="AN118" s="6"/>
      <c r="AO118" s="6"/>
      <c r="AP118" s="6"/>
      <c r="AQ118" s="6"/>
      <c r="AR118" s="6"/>
      <c r="AS118" s="6"/>
      <c r="AT118" s="6"/>
      <c r="AU118" s="6"/>
      <c r="AV118" s="6"/>
      <c r="BG118" s="6"/>
    </row>
    <row r="119" spans="1:118" s="8" customFormat="1" ht="30" x14ac:dyDescent="0.25">
      <c r="A119" s="247"/>
      <c r="B119" s="64"/>
      <c r="C119" s="9" t="s">
        <v>43</v>
      </c>
      <c r="D119" s="1301" t="s">
        <v>44</v>
      </c>
      <c r="E119" s="1301" t="s">
        <v>45</v>
      </c>
      <c r="F119" s="1301" t="s">
        <v>204</v>
      </c>
      <c r="G119" s="1301" t="s">
        <v>47</v>
      </c>
      <c r="H119" s="1301" t="s">
        <v>48</v>
      </c>
      <c r="I119" s="1301" t="s">
        <v>49</v>
      </c>
      <c r="J119" s="1301" t="s">
        <v>50</v>
      </c>
      <c r="K119" s="1301" t="s">
        <v>205</v>
      </c>
      <c r="L119" s="9" t="s">
        <v>52</v>
      </c>
      <c r="M119" s="247"/>
      <c r="N119" s="247"/>
      <c r="O119" s="247"/>
      <c r="P119" s="115"/>
      <c r="Q119" s="115"/>
      <c r="R119" s="115"/>
      <c r="S119" s="115"/>
      <c r="T119" s="115"/>
      <c r="U119" s="115"/>
      <c r="V119" s="636" t="s">
        <v>53</v>
      </c>
      <c r="W119" s="637">
        <f>$W$8</f>
        <v>43252</v>
      </c>
      <c r="X119" s="637">
        <f>$X$8</f>
        <v>43465</v>
      </c>
      <c r="Y119" s="637">
        <f>$Y$8</f>
        <v>43800</v>
      </c>
      <c r="Z119" s="637">
        <f>$Z$8</f>
        <v>43862</v>
      </c>
      <c r="AA119" s="637">
        <f>$AA$8</f>
        <v>44013</v>
      </c>
      <c r="AB119" s="637">
        <v>44166</v>
      </c>
      <c r="AC119" s="637">
        <f>$AC$8</f>
        <v>44531</v>
      </c>
      <c r="AD119" s="637">
        <f>$AD$8</f>
        <v>44774</v>
      </c>
      <c r="AE119" s="637">
        <f>$AE$8</f>
        <v>45142</v>
      </c>
      <c r="AF119" s="637">
        <f>$AF$8</f>
        <v>45672</v>
      </c>
      <c r="AG119" s="637">
        <f>$AG$8</f>
        <v>45971</v>
      </c>
      <c r="AH119"/>
      <c r="AI119" s="636" t="s">
        <v>53</v>
      </c>
      <c r="AJ119" s="637">
        <v>43252</v>
      </c>
      <c r="AK119" s="637">
        <f>$X$8</f>
        <v>43465</v>
      </c>
      <c r="AL119" s="637">
        <f>$Y$8</f>
        <v>43800</v>
      </c>
      <c r="AM119" s="637">
        <f>$Z$8</f>
        <v>43862</v>
      </c>
      <c r="AN119" s="637">
        <f>$AA$8</f>
        <v>44013</v>
      </c>
      <c r="AO119" s="637">
        <f>$AB$8</f>
        <v>44166</v>
      </c>
      <c r="AP119" s="637">
        <f>$AC$8</f>
        <v>44531</v>
      </c>
      <c r="AQ119" s="637">
        <f>$AD$8</f>
        <v>44774</v>
      </c>
      <c r="AR119" s="637">
        <f>$AE$8</f>
        <v>45142</v>
      </c>
      <c r="AS119" s="637">
        <f>$AF$8</f>
        <v>45672</v>
      </c>
      <c r="AT119" s="637">
        <f>$AT$8</f>
        <v>45971</v>
      </c>
      <c r="AU119" s="2"/>
      <c r="AV119" s="636" t="s">
        <v>53</v>
      </c>
      <c r="AW119" s="637">
        <v>43252</v>
      </c>
      <c r="AX119" s="637">
        <f>$X$8</f>
        <v>43465</v>
      </c>
      <c r="AY119" s="637">
        <f>$Y$8</f>
        <v>43800</v>
      </c>
      <c r="AZ119" s="637">
        <f>$Z$8</f>
        <v>43862</v>
      </c>
      <c r="BA119" s="637">
        <f>$AA$8</f>
        <v>44013</v>
      </c>
      <c r="BB119" s="637">
        <v>44166</v>
      </c>
      <c r="BC119" s="637">
        <f>$AC$8</f>
        <v>44531</v>
      </c>
      <c r="BD119" s="637">
        <f>$AD$8</f>
        <v>44774</v>
      </c>
      <c r="BE119" s="637">
        <f>$AE$8</f>
        <v>45142</v>
      </c>
      <c r="BF119" s="637">
        <f>$AF$8</f>
        <v>45672</v>
      </c>
      <c r="BG119" s="637">
        <f>$AT$8</f>
        <v>45971</v>
      </c>
      <c r="DI119" s="2"/>
      <c r="DJ119" s="2"/>
      <c r="DK119" s="991" t="str">
        <f>$DK$8</f>
        <v>TRC (2025)</v>
      </c>
      <c r="DL119" s="761" t="str">
        <f>$DL$8</f>
        <v>Benefit Lookup</v>
      </c>
      <c r="DM119" s="761" t="str">
        <f>$DM$8</f>
        <v>Benefits (2025 $)</v>
      </c>
      <c r="DN119" s="2034" t="str">
        <f>$DN$8</f>
        <v>Incremental Cost (2025 $)</v>
      </c>
    </row>
    <row r="120" spans="1:118" ht="15" customHeight="1" x14ac:dyDescent="0.25">
      <c r="A120" s="2006" t="s">
        <v>112</v>
      </c>
      <c r="B120" s="247">
        <f t="shared" ref="B120:B121" si="46">VALUE(LEFT(C120,6))</f>
        <v>802150</v>
      </c>
      <c r="C120" s="656" t="s">
        <v>206</v>
      </c>
      <c r="D120" s="1972" t="s">
        <v>60</v>
      </c>
      <c r="E120" s="458" t="s">
        <v>207</v>
      </c>
      <c r="F120" s="399">
        <f>ROUND(F$131*G$131*(H$131-H132)*I$131*J132,2)</f>
        <v>668.14</v>
      </c>
      <c r="G120" s="441" t="s">
        <v>149</v>
      </c>
      <c r="H120" s="442">
        <f>VLOOKUP(G120,'CP FACTORS'!$A$26:$B$38,2,FALSE)</f>
        <v>1.3573829999999999E-4</v>
      </c>
      <c r="I120" s="459">
        <f>ROUND(H120*F120,6)</f>
        <v>9.0691999999999995E-2</v>
      </c>
      <c r="J120" s="478">
        <v>12</v>
      </c>
      <c r="K120" s="1681">
        <v>150</v>
      </c>
      <c r="L120" s="416" t="s">
        <v>208</v>
      </c>
      <c r="M120" s="7"/>
      <c r="V120" s="1285" t="str">
        <f>F119</f>
        <v>kWh Annual Savings (per door)</v>
      </c>
      <c r="W120" s="53">
        <v>668.13575400000013</v>
      </c>
      <c r="X120" s="53">
        <v>668.13575400000013</v>
      </c>
      <c r="Y120" s="53">
        <v>668.13575400000013</v>
      </c>
      <c r="Z120" s="53">
        <v>668.13575400000013</v>
      </c>
      <c r="AA120" s="53">
        <v>668.13575400000013</v>
      </c>
      <c r="AB120" s="52">
        <v>668.14</v>
      </c>
      <c r="AC120" s="692">
        <v>668.14</v>
      </c>
      <c r="AD120" s="692">
        <v>668.14</v>
      </c>
      <c r="AE120" s="692">
        <v>668.14</v>
      </c>
      <c r="AF120" s="692">
        <v>668.14</v>
      </c>
      <c r="AG120" s="253">
        <f>IF(F120&lt;&gt;"",F120,"")</f>
        <v>668.14</v>
      </c>
      <c r="AH120"/>
      <c r="AI120" s="1311" t="s">
        <v>50</v>
      </c>
      <c r="AJ120" s="19">
        <v>12</v>
      </c>
      <c r="AK120" s="19">
        <v>12</v>
      </c>
      <c r="AL120" s="19">
        <v>12</v>
      </c>
      <c r="AM120" s="19">
        <v>12</v>
      </c>
      <c r="AN120" s="19">
        <v>12</v>
      </c>
      <c r="AO120" s="16">
        <v>12</v>
      </c>
      <c r="AP120" s="16">
        <v>12</v>
      </c>
      <c r="AQ120" s="16">
        <v>12</v>
      </c>
      <c r="AR120" s="16">
        <v>12</v>
      </c>
      <c r="AS120" s="16">
        <v>12</v>
      </c>
      <c r="AT120" s="16">
        <v>12</v>
      </c>
      <c r="AV120" s="1311" t="str">
        <f>K119</f>
        <v>Inc. Cost (per door)</v>
      </c>
      <c r="AW120" s="672">
        <v>151</v>
      </c>
      <c r="AX120" s="672">
        <v>151</v>
      </c>
      <c r="AY120" s="672">
        <v>151</v>
      </c>
      <c r="AZ120" s="672">
        <v>151</v>
      </c>
      <c r="BA120" s="672">
        <v>151</v>
      </c>
      <c r="BB120" s="672">
        <v>151</v>
      </c>
      <c r="BC120" s="672">
        <v>151</v>
      </c>
      <c r="BD120" s="672">
        <v>151</v>
      </c>
      <c r="BE120" s="672">
        <v>151</v>
      </c>
      <c r="BF120" s="1614">
        <v>150</v>
      </c>
      <c r="BG120" s="667">
        <v>150</v>
      </c>
      <c r="DK120" s="993">
        <f>(DM120)/(DN120)</f>
        <v>2.6991414368696853</v>
      </c>
      <c r="DL120" s="1272" t="str">
        <f>CONCATENATE(G120," ",J120," Year EUL")</f>
        <v>Refrigeration BUS 12 Year EUL</v>
      </c>
      <c r="DM120" s="181">
        <f>(INDEX('Avoided Cost Benefits'!$B$4:$B$865,MATCH(DL120,'Avoided Cost Benefits'!$A$4:$A$865,0)))*F120</f>
        <v>404.87121553045279</v>
      </c>
      <c r="DN120" s="2033">
        <f>IFERROR(K120/((1+DiscountRate)^(CurrentYear-DiscountYear)),0)</f>
        <v>150</v>
      </c>
    </row>
    <row r="121" spans="1:118" x14ac:dyDescent="0.25">
      <c r="A121" s="2006" t="s">
        <v>112</v>
      </c>
      <c r="B121" s="247">
        <f t="shared" si="46"/>
        <v>802200</v>
      </c>
      <c r="C121" s="656" t="s">
        <v>209</v>
      </c>
      <c r="D121" s="1972" t="s">
        <v>60</v>
      </c>
      <c r="E121" s="458" t="s">
        <v>210</v>
      </c>
      <c r="F121" s="399">
        <f>ROUND(F$131*G$131*(H$131-H133)*I$131*J133,2)</f>
        <v>770.93</v>
      </c>
      <c r="G121" s="441" t="s">
        <v>149</v>
      </c>
      <c r="H121" s="442">
        <f>VLOOKUP(G121,'CP FACTORS'!$A$26:$B$38,2,FALSE)</f>
        <v>1.3573829999999999E-4</v>
      </c>
      <c r="I121" s="459">
        <f>ROUND(H121*F121,6)</f>
        <v>0.104645</v>
      </c>
      <c r="J121" s="465">
        <v>12</v>
      </c>
      <c r="K121" s="1681">
        <v>150</v>
      </c>
      <c r="L121" s="416" t="s">
        <v>208</v>
      </c>
      <c r="V121" s="1285" t="str">
        <f>V120</f>
        <v>kWh Annual Savings (per door)</v>
      </c>
      <c r="W121" s="53">
        <v>770.92587000000003</v>
      </c>
      <c r="X121" s="53">
        <v>770.92587000000003</v>
      </c>
      <c r="Y121" s="53">
        <v>770.92587000000003</v>
      </c>
      <c r="Z121" s="53">
        <v>770.92587000000003</v>
      </c>
      <c r="AA121" s="53">
        <v>770.92587000000003</v>
      </c>
      <c r="AB121" s="52">
        <v>770.93</v>
      </c>
      <c r="AC121" s="692">
        <v>770.93</v>
      </c>
      <c r="AD121" s="692">
        <v>770.93</v>
      </c>
      <c r="AE121" s="692">
        <v>770.93</v>
      </c>
      <c r="AF121" s="692">
        <v>770.93</v>
      </c>
      <c r="AG121" s="253">
        <f>IF(F121&lt;&gt;"",F121,"")</f>
        <v>770.93</v>
      </c>
      <c r="AH121"/>
      <c r="AI121" s="1311" t="s">
        <v>50</v>
      </c>
      <c r="AJ121" s="19">
        <v>12</v>
      </c>
      <c r="AK121" s="19">
        <v>12</v>
      </c>
      <c r="AL121" s="19">
        <v>12</v>
      </c>
      <c r="AM121" s="19">
        <v>12</v>
      </c>
      <c r="AN121" s="19">
        <v>12</v>
      </c>
      <c r="AO121" s="16">
        <v>12</v>
      </c>
      <c r="AP121" s="16">
        <v>12</v>
      </c>
      <c r="AQ121" s="16">
        <v>12</v>
      </c>
      <c r="AR121" s="16">
        <v>12</v>
      </c>
      <c r="AS121" s="16">
        <v>12</v>
      </c>
      <c r="AT121" s="16">
        <v>12</v>
      </c>
      <c r="AV121" s="1311" t="str">
        <f>AV120</f>
        <v>Inc. Cost (per door)</v>
      </c>
      <c r="AW121" s="672">
        <v>151</v>
      </c>
      <c r="AX121" s="672">
        <v>151</v>
      </c>
      <c r="AY121" s="672">
        <v>151</v>
      </c>
      <c r="AZ121" s="672">
        <v>151</v>
      </c>
      <c r="BA121" s="672">
        <v>151</v>
      </c>
      <c r="BB121" s="672">
        <v>151</v>
      </c>
      <c r="BC121" s="672">
        <v>151</v>
      </c>
      <c r="BD121" s="672">
        <v>151</v>
      </c>
      <c r="BE121" s="672">
        <v>151</v>
      </c>
      <c r="BF121" s="1614">
        <v>150</v>
      </c>
      <c r="BG121" s="667">
        <v>150</v>
      </c>
      <c r="DK121" s="995">
        <f>(DM121)/(DN121)</f>
        <v>3.114390858092535</v>
      </c>
      <c r="DL121" s="641" t="str">
        <f>CONCATENATE(G121," ",J121," Year EUL")</f>
        <v>Refrigeration BUS 12 Year EUL</v>
      </c>
      <c r="DM121" s="997">
        <f>(INDEX('Avoided Cost Benefits'!$B$4:$B$865,MATCH(DL121,'Avoided Cost Benefits'!$A$4:$A$865,0)))*F121</f>
        <v>467.15862871388026</v>
      </c>
      <c r="DN121" s="2035">
        <f>IFERROR(K121/((1+DiscountRate)^(CurrentYear-DiscountYear)),0)</f>
        <v>150</v>
      </c>
    </row>
    <row r="122" spans="1:118" outlineLevel="1" x14ac:dyDescent="0.25">
      <c r="D122" s="74" t="s">
        <v>95</v>
      </c>
      <c r="E122" s="108" t="s">
        <v>211</v>
      </c>
      <c r="F122" s="7"/>
      <c r="G122" s="7"/>
      <c r="H122" s="449"/>
      <c r="I122" s="7"/>
      <c r="J122" s="7"/>
      <c r="K122" s="7"/>
      <c r="M122" s="7"/>
      <c r="BF122" s="1605" t="s">
        <v>212</v>
      </c>
    </row>
    <row r="123" spans="1:118" outlineLevel="1" x14ac:dyDescent="0.25">
      <c r="D123" s="7" t="s">
        <v>97</v>
      </c>
      <c r="E123" s="7"/>
      <c r="F123" s="7"/>
      <c r="G123" s="7"/>
      <c r="H123" s="449"/>
      <c r="I123" s="7"/>
      <c r="J123" s="7"/>
      <c r="K123" s="7"/>
    </row>
    <row r="124" spans="1:118" outlineLevel="1" x14ac:dyDescent="0.25">
      <c r="D124" s="450"/>
      <c r="G124" s="247"/>
      <c r="H124" s="451"/>
      <c r="M124" s="7"/>
    </row>
    <row r="125" spans="1:118" outlineLevel="1" x14ac:dyDescent="0.25">
      <c r="D125" s="450"/>
      <c r="G125" s="247"/>
      <c r="H125" s="451"/>
    </row>
    <row r="126" spans="1:118" outlineLevel="1" x14ac:dyDescent="0.25">
      <c r="D126" s="450"/>
      <c r="G126" s="247"/>
      <c r="H126" s="451"/>
      <c r="M126" s="7"/>
    </row>
    <row r="127" spans="1:118" outlineLevel="1" x14ac:dyDescent="0.25">
      <c r="D127" s="450"/>
      <c r="G127" s="247"/>
      <c r="H127" s="451"/>
      <c r="M127" s="7"/>
    </row>
    <row r="128" spans="1:118" outlineLevel="1" x14ac:dyDescent="0.25">
      <c r="D128" s="450"/>
      <c r="G128" s="247"/>
      <c r="H128" s="451"/>
      <c r="M128" s="7"/>
    </row>
    <row r="129" spans="1:121" outlineLevel="1" x14ac:dyDescent="0.25">
      <c r="D129" s="450"/>
      <c r="G129" s="247"/>
      <c r="H129" s="451"/>
    </row>
    <row r="130" spans="1:121" s="8" customFormat="1" ht="60" outlineLevel="1" x14ac:dyDescent="0.25">
      <c r="A130" s="247"/>
      <c r="B130" s="115"/>
      <c r="C130" s="64"/>
      <c r="D130" s="1236"/>
      <c r="E130" s="1236" t="s">
        <v>173</v>
      </c>
      <c r="F130" s="1236" t="s">
        <v>213</v>
      </c>
      <c r="G130" s="1236" t="s">
        <v>214</v>
      </c>
      <c r="H130" s="28" t="s">
        <v>215</v>
      </c>
      <c r="I130" s="28" t="s">
        <v>141</v>
      </c>
      <c r="J130" s="1301" t="s">
        <v>216</v>
      </c>
      <c r="K130" s="115"/>
      <c r="L130" s="115"/>
      <c r="M130" s="64"/>
      <c r="N130" s="115"/>
      <c r="O130" s="115"/>
      <c r="P130" s="115"/>
      <c r="Q130" s="115"/>
      <c r="R130" s="115"/>
      <c r="S130" s="115"/>
      <c r="T130" s="115"/>
      <c r="U130" s="115"/>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DI130" s="2"/>
      <c r="DJ130" s="2"/>
      <c r="DK130" s="759"/>
      <c r="DL130" s="247"/>
      <c r="DM130" s="247"/>
      <c r="DN130" s="499"/>
      <c r="DO130" s="2"/>
      <c r="DP130" s="2"/>
      <c r="DQ130" s="2"/>
    </row>
    <row r="131" spans="1:121" outlineLevel="1" x14ac:dyDescent="0.25">
      <c r="D131" s="647" t="s">
        <v>217</v>
      </c>
      <c r="E131" s="647" t="s">
        <v>218</v>
      </c>
      <c r="F131" s="469">
        <v>0.13</v>
      </c>
      <c r="G131" s="1679">
        <v>1</v>
      </c>
      <c r="H131" s="1682">
        <v>0.90700000000000003</v>
      </c>
      <c r="I131" s="470">
        <v>8766</v>
      </c>
      <c r="J131" s="471"/>
      <c r="K131" s="467"/>
    </row>
    <row r="132" spans="1:121" outlineLevel="1" x14ac:dyDescent="0.25">
      <c r="D132" s="647" t="s">
        <v>219</v>
      </c>
      <c r="E132" s="647" t="str">
        <f>E120</f>
        <v>Anti-Sweat Heater Controls Refrigerator</v>
      </c>
      <c r="F132" s="469">
        <v>0.13</v>
      </c>
      <c r="G132" s="1679">
        <v>1</v>
      </c>
      <c r="H132" s="1682">
        <v>0.45600000000000002</v>
      </c>
      <c r="I132" s="470">
        <v>8766</v>
      </c>
      <c r="J132" s="471">
        <v>1.3</v>
      </c>
      <c r="K132" s="467"/>
    </row>
    <row r="133" spans="1:121" outlineLevel="1" x14ac:dyDescent="0.25">
      <c r="D133" s="647" t="s">
        <v>220</v>
      </c>
      <c r="E133" s="647" t="str">
        <f>E121</f>
        <v>Anti-Sweat Heater Controls Freezer</v>
      </c>
      <c r="F133" s="469">
        <v>0.13</v>
      </c>
      <c r="G133" s="1679">
        <v>1</v>
      </c>
      <c r="H133" s="1682">
        <v>0.45600000000000002</v>
      </c>
      <c r="I133" s="470">
        <v>8766</v>
      </c>
      <c r="J133" s="471">
        <v>1.5</v>
      </c>
      <c r="K133" s="467"/>
    </row>
    <row r="136" spans="1:121" s="7" customFormat="1" x14ac:dyDescent="0.25">
      <c r="A136" s="247"/>
      <c r="B136" s="2308" t="s">
        <v>221</v>
      </c>
      <c r="C136" s="2309"/>
      <c r="D136" s="2309"/>
      <c r="E136" s="2309"/>
      <c r="F136" s="2309"/>
      <c r="G136" s="2309"/>
      <c r="H136" s="2309"/>
      <c r="I136" s="2310"/>
      <c r="J136" s="2310"/>
      <c r="K136" s="2310"/>
      <c r="L136" s="2310"/>
      <c r="M136" s="2311"/>
      <c r="N136" s="2311"/>
      <c r="O136" s="2312"/>
      <c r="V136" s="1234" t="str">
        <f>B136</f>
        <v>Heat Pump Water Heaters</v>
      </c>
      <c r="W136" s="1235"/>
      <c r="X136" s="1235"/>
      <c r="Y136" s="1235"/>
      <c r="Z136" s="1235"/>
      <c r="AA136" s="1235"/>
      <c r="AB136" s="1235"/>
      <c r="AC136" s="1235"/>
      <c r="AD136" s="1235"/>
      <c r="AE136" s="1235"/>
      <c r="AF136" s="1235"/>
      <c r="AG136" s="1235"/>
      <c r="AH136" s="1235"/>
      <c r="AI136" s="1269"/>
      <c r="AJ136" s="2"/>
      <c r="AK136" s="2"/>
      <c r="AL136" s="2"/>
      <c r="AM136" s="2"/>
      <c r="AN136" s="2"/>
      <c r="AO136" s="2"/>
      <c r="AP136" s="2"/>
      <c r="AQ136" s="2"/>
      <c r="AR136" s="2"/>
      <c r="AS136" s="2"/>
      <c r="AT136" s="2"/>
      <c r="AU136" s="2"/>
      <c r="AV136" s="2"/>
      <c r="BG136" s="2"/>
      <c r="DI136" s="2"/>
      <c r="DJ136" s="2"/>
      <c r="DK136" s="23"/>
      <c r="DN136" s="2031"/>
    </row>
    <row r="137" spans="1:121" x14ac:dyDescent="0.25">
      <c r="D137" s="439"/>
      <c r="E137" s="7"/>
      <c r="F137" s="7"/>
      <c r="G137" s="7"/>
      <c r="H137" s="440"/>
      <c r="I137" s="7"/>
      <c r="J137" s="7"/>
      <c r="K137" s="7"/>
      <c r="L137" s="7"/>
      <c r="P137" s="7"/>
      <c r="Q137" s="7"/>
      <c r="R137" s="7"/>
      <c r="S137" s="7"/>
      <c r="T137" s="7"/>
      <c r="U137" s="7"/>
      <c r="V137"/>
      <c r="W137"/>
      <c r="X137"/>
      <c r="Y137"/>
      <c r="Z137"/>
      <c r="AA137"/>
      <c r="AB137"/>
      <c r="AC137"/>
      <c r="AD137"/>
      <c r="AE137"/>
      <c r="AF137"/>
      <c r="AG137"/>
      <c r="AH137"/>
      <c r="AI137"/>
      <c r="AJ137" s="6"/>
      <c r="AK137" s="6"/>
      <c r="AL137" s="6"/>
      <c r="AM137" s="6"/>
      <c r="AN137" s="6"/>
      <c r="AO137" s="6"/>
      <c r="AP137" s="6"/>
      <c r="AQ137" s="6"/>
      <c r="AR137" s="6"/>
      <c r="AS137" s="6"/>
      <c r="AT137" s="6"/>
      <c r="AU137" s="6"/>
      <c r="AV137" s="6"/>
      <c r="BG137" s="6"/>
    </row>
    <row r="138" spans="1:121" s="8" customFormat="1" ht="30" x14ac:dyDescent="0.25">
      <c r="A138" s="247"/>
      <c r="B138" s="64"/>
      <c r="C138" s="9" t="s">
        <v>43</v>
      </c>
      <c r="D138" s="1301" t="s">
        <v>44</v>
      </c>
      <c r="E138" s="1301" t="s">
        <v>45</v>
      </c>
      <c r="F138" s="1301" t="s">
        <v>46</v>
      </c>
      <c r="G138" s="1301" t="s">
        <v>47</v>
      </c>
      <c r="H138" s="10" t="s">
        <v>48</v>
      </c>
      <c r="I138" s="1301" t="s">
        <v>49</v>
      </c>
      <c r="J138" s="1301" t="s">
        <v>50</v>
      </c>
      <c r="K138" s="9" t="s">
        <v>51</v>
      </c>
      <c r="L138" s="9" t="s">
        <v>52</v>
      </c>
      <c r="M138" s="247"/>
      <c r="N138" s="247"/>
      <c r="O138" s="247"/>
      <c r="P138" s="115"/>
      <c r="Q138" s="115"/>
      <c r="R138" s="115"/>
      <c r="S138" s="115"/>
      <c r="T138" s="115"/>
      <c r="U138" s="115"/>
      <c r="V138" s="636" t="s">
        <v>53</v>
      </c>
      <c r="W138" s="637">
        <f>$W$8</f>
        <v>43252</v>
      </c>
      <c r="X138" s="637">
        <f>$X$8</f>
        <v>43465</v>
      </c>
      <c r="Y138" s="637">
        <f>$Y$8</f>
        <v>43800</v>
      </c>
      <c r="Z138" s="637">
        <f>$Z$8</f>
        <v>43862</v>
      </c>
      <c r="AA138" s="637">
        <f>$AA$8</f>
        <v>44013</v>
      </c>
      <c r="AB138" s="637">
        <v>44166</v>
      </c>
      <c r="AC138" s="637">
        <f>$AC$8</f>
        <v>44531</v>
      </c>
      <c r="AD138" s="637">
        <f>$AD$8</f>
        <v>44774</v>
      </c>
      <c r="AE138" s="637">
        <f>$AE$8</f>
        <v>45142</v>
      </c>
      <c r="AF138" s="637">
        <f>$AF$8</f>
        <v>45672</v>
      </c>
      <c r="AG138" s="637">
        <f>$AG$8</f>
        <v>45971</v>
      </c>
      <c r="AH138"/>
      <c r="AI138" s="636" t="s">
        <v>53</v>
      </c>
      <c r="AJ138" s="637">
        <v>43252</v>
      </c>
      <c r="AK138" s="637">
        <f>$X$8</f>
        <v>43465</v>
      </c>
      <c r="AL138" s="637">
        <f>$Y$8</f>
        <v>43800</v>
      </c>
      <c r="AM138" s="637">
        <f>$Z$8</f>
        <v>43862</v>
      </c>
      <c r="AN138" s="637">
        <f>$AA$8</f>
        <v>44013</v>
      </c>
      <c r="AO138" s="637">
        <f>$AB$8</f>
        <v>44166</v>
      </c>
      <c r="AP138" s="637">
        <f>$AC$8</f>
        <v>44531</v>
      </c>
      <c r="AQ138" s="637">
        <f>$AD$8</f>
        <v>44774</v>
      </c>
      <c r="AR138" s="637">
        <f>$AE$8</f>
        <v>45142</v>
      </c>
      <c r="AS138" s="637">
        <f>$AF$8</f>
        <v>45672</v>
      </c>
      <c r="AT138" s="637">
        <f>$AT$8</f>
        <v>45971</v>
      </c>
      <c r="AU138" s="2"/>
      <c r="AV138" s="636" t="s">
        <v>53</v>
      </c>
      <c r="AW138" s="637">
        <v>43252</v>
      </c>
      <c r="AX138" s="637">
        <f>$X$8</f>
        <v>43465</v>
      </c>
      <c r="AY138" s="637">
        <f>$Y$8</f>
        <v>43800</v>
      </c>
      <c r="AZ138" s="637">
        <f>$Z$8</f>
        <v>43862</v>
      </c>
      <c r="BA138" s="637">
        <f>$AA$8</f>
        <v>44013</v>
      </c>
      <c r="BB138" s="637">
        <v>44166</v>
      </c>
      <c r="BC138" s="637">
        <f>$AC$8</f>
        <v>44531</v>
      </c>
      <c r="BD138" s="637">
        <f>$AD$8</f>
        <v>44774</v>
      </c>
      <c r="BE138" s="637">
        <f>$AE$8</f>
        <v>45142</v>
      </c>
      <c r="BF138" s="637">
        <f>$AF$8</f>
        <v>45672</v>
      </c>
      <c r="BG138" s="637">
        <f>$AT$8</f>
        <v>45971</v>
      </c>
      <c r="DI138" s="2"/>
      <c r="DJ138" s="2"/>
      <c r="DK138" s="991" t="str">
        <f>$DK$8</f>
        <v>TRC (2025)</v>
      </c>
      <c r="DL138" s="761" t="str">
        <f>$DL$8</f>
        <v>Benefit Lookup</v>
      </c>
      <c r="DM138" s="761" t="str">
        <f>$DM$8</f>
        <v>Benefits (2025 $)</v>
      </c>
      <c r="DN138" s="2034" t="str">
        <f>$DN$8</f>
        <v>Incremental Cost (2025 $)</v>
      </c>
    </row>
    <row r="139" spans="1:121" x14ac:dyDescent="0.25">
      <c r="A139" s="2006" t="s">
        <v>112</v>
      </c>
      <c r="B139" s="247">
        <f t="shared" ref="B139:B145" si="47">VALUE(LEFT(C139,6))</f>
        <v>802250</v>
      </c>
      <c r="C139" s="656" t="s">
        <v>222</v>
      </c>
      <c r="D139" s="1972" t="s">
        <v>60</v>
      </c>
      <c r="E139" s="458" t="s">
        <v>223</v>
      </c>
      <c r="F139" s="399">
        <f>ROUND((((1/F155-1/G155)*H155*J155*(K155-L155)*1)/3412)+M155-N155,2)</f>
        <v>18785.38</v>
      </c>
      <c r="G139" s="441" t="s">
        <v>224</v>
      </c>
      <c r="H139" s="442">
        <f>VLOOKUP(G139,'CP FACTORS'!$A$26:$B$38,2,FALSE)</f>
        <v>1.811545E-4</v>
      </c>
      <c r="I139" s="1779">
        <f>ROUND(H139*F139,6)</f>
        <v>3.4030559999999999</v>
      </c>
      <c r="J139" s="464">
        <v>15</v>
      </c>
      <c r="K139" s="1683">
        <v>4000</v>
      </c>
      <c r="L139" s="443" t="s">
        <v>63</v>
      </c>
      <c r="V139" s="1285" t="s">
        <v>46</v>
      </c>
      <c r="W139" s="53">
        <v>21156</v>
      </c>
      <c r="X139" s="53">
        <v>21156</v>
      </c>
      <c r="Y139" s="53">
        <v>21156</v>
      </c>
      <c r="Z139" s="53">
        <v>21156</v>
      </c>
      <c r="AA139" s="53">
        <v>21156</v>
      </c>
      <c r="AB139" s="52">
        <v>21156</v>
      </c>
      <c r="AC139" s="692">
        <v>21156</v>
      </c>
      <c r="AD139" s="692">
        <v>21156</v>
      </c>
      <c r="AE139" s="692">
        <v>21156</v>
      </c>
      <c r="AF139" s="546">
        <f t="shared" ref="AF139:AF145" si="48">IF(F139&lt;&gt;"",F139,"")</f>
        <v>18785.38</v>
      </c>
      <c r="AG139" s="253">
        <f>IF(F139&lt;&gt;"",F139,"")</f>
        <v>18785.38</v>
      </c>
      <c r="AH139"/>
      <c r="AI139" s="1311" t="s">
        <v>50</v>
      </c>
      <c r="AJ139" s="24">
        <v>15</v>
      </c>
      <c r="AK139" s="24">
        <v>15</v>
      </c>
      <c r="AL139" s="24">
        <v>15</v>
      </c>
      <c r="AM139" s="618">
        <v>15</v>
      </c>
      <c r="AN139" s="618">
        <v>15</v>
      </c>
      <c r="AO139" s="16">
        <v>15</v>
      </c>
      <c r="AP139" s="16">
        <v>15</v>
      </c>
      <c r="AQ139" s="16">
        <v>15</v>
      </c>
      <c r="AR139" s="16">
        <v>15</v>
      </c>
      <c r="AS139" s="16">
        <v>15</v>
      </c>
      <c r="AT139" s="16">
        <v>15</v>
      </c>
      <c r="AV139" s="1311" t="s">
        <v>51</v>
      </c>
      <c r="AW139" s="673">
        <v>4000</v>
      </c>
      <c r="AX139" s="673">
        <v>4000</v>
      </c>
      <c r="AY139" s="673">
        <v>4000</v>
      </c>
      <c r="AZ139" s="673">
        <v>4000</v>
      </c>
      <c r="BA139" s="673">
        <v>4000</v>
      </c>
      <c r="BB139" s="725">
        <v>4000</v>
      </c>
      <c r="BC139" s="725">
        <v>4000</v>
      </c>
      <c r="BD139" s="725">
        <v>4000</v>
      </c>
      <c r="BE139" s="725">
        <v>4000</v>
      </c>
      <c r="BF139" s="725">
        <v>4000</v>
      </c>
      <c r="BG139" s="725">
        <v>4000</v>
      </c>
      <c r="DK139" s="993">
        <f>(DM139)/(DN139)</f>
        <v>3.9210604174884565</v>
      </c>
      <c r="DL139" s="1272" t="str">
        <f>CONCATENATE(G139," ",J139," Year EUL")</f>
        <v>Water Heating BUS 15 Year EUL</v>
      </c>
      <c r="DM139" s="181">
        <f>(INDEX('Avoided Cost Benefits'!$B$4:$B$865,MATCH(DL139,'Avoided Cost Benefits'!$A$4:$A$865,0)))*F139</f>
        <v>15684.241669953826</v>
      </c>
      <c r="DN139" s="2033">
        <f t="shared" ref="DN139:DN145" si="49">IFERROR(K139/((1+DiscountRate)^(CurrentYear-DiscountYear)),0)</f>
        <v>4000</v>
      </c>
    </row>
    <row r="140" spans="1:121" x14ac:dyDescent="0.25">
      <c r="A140" s="2006" t="s">
        <v>112</v>
      </c>
      <c r="B140" s="247">
        <f t="shared" si="47"/>
        <v>802300</v>
      </c>
      <c r="C140" s="656" t="s">
        <v>225</v>
      </c>
      <c r="D140" s="1972" t="s">
        <v>60</v>
      </c>
      <c r="E140" s="458" t="s">
        <v>226</v>
      </c>
      <c r="F140" s="399">
        <f>ROUND((((1/F156-1/G156)*H156*J156*(K156-L156)*1)/3412)+M156-N156,2)</f>
        <v>48912.79</v>
      </c>
      <c r="G140" s="441" t="s">
        <v>224</v>
      </c>
      <c r="H140" s="442">
        <f>VLOOKUP(G140,'CP FACTORS'!$A$26:$B$38,2,FALSE)</f>
        <v>1.811545E-4</v>
      </c>
      <c r="I140" s="1779">
        <f>ROUND(H140*F140,6)</f>
        <v>8.8607720000000008</v>
      </c>
      <c r="J140" s="465">
        <v>15</v>
      </c>
      <c r="K140" s="1683">
        <v>7000</v>
      </c>
      <c r="L140" s="443" t="s">
        <v>63</v>
      </c>
      <c r="V140" s="1285" t="s">
        <v>46</v>
      </c>
      <c r="W140" s="53">
        <v>52890.000000000015</v>
      </c>
      <c r="X140" s="53">
        <v>52890.000000000015</v>
      </c>
      <c r="Y140" s="53">
        <v>52890.000000000015</v>
      </c>
      <c r="Z140" s="53">
        <v>52890.000000000015</v>
      </c>
      <c r="AA140" s="53">
        <v>52890.000000000015</v>
      </c>
      <c r="AB140" s="52">
        <v>52890</v>
      </c>
      <c r="AC140" s="692">
        <v>52890</v>
      </c>
      <c r="AD140" s="692">
        <v>52890</v>
      </c>
      <c r="AE140" s="692">
        <v>52890</v>
      </c>
      <c r="AF140" s="546">
        <f t="shared" si="48"/>
        <v>48912.79</v>
      </c>
      <c r="AG140" s="253">
        <f t="shared" ref="AG140:AG145" si="50">IF(F140&lt;&gt;"",F140,"")</f>
        <v>48912.79</v>
      </c>
      <c r="AH140"/>
      <c r="AI140" s="1311" t="s">
        <v>50</v>
      </c>
      <c r="AJ140" s="25">
        <v>15</v>
      </c>
      <c r="AK140" s="25">
        <v>15</v>
      </c>
      <c r="AL140" s="25">
        <v>15</v>
      </c>
      <c r="AM140" s="618">
        <v>15</v>
      </c>
      <c r="AN140" s="618">
        <v>15</v>
      </c>
      <c r="AO140" s="16">
        <v>15</v>
      </c>
      <c r="AP140" s="16">
        <v>15</v>
      </c>
      <c r="AQ140" s="16">
        <v>15</v>
      </c>
      <c r="AR140" s="16">
        <v>15</v>
      </c>
      <c r="AS140" s="16">
        <v>15</v>
      </c>
      <c r="AT140" s="17">
        <v>15</v>
      </c>
      <c r="AV140" s="1311" t="s">
        <v>51</v>
      </c>
      <c r="AW140" s="673">
        <v>7000</v>
      </c>
      <c r="AX140" s="673">
        <v>7000</v>
      </c>
      <c r="AY140" s="673">
        <v>7000</v>
      </c>
      <c r="AZ140" s="673">
        <v>7000</v>
      </c>
      <c r="BA140" s="673">
        <v>7000</v>
      </c>
      <c r="BB140" s="725">
        <v>7000</v>
      </c>
      <c r="BC140" s="725">
        <v>7000</v>
      </c>
      <c r="BD140" s="725">
        <v>7000</v>
      </c>
      <c r="BE140" s="725">
        <v>7000</v>
      </c>
      <c r="BF140" s="725">
        <v>7000</v>
      </c>
      <c r="BG140" s="725">
        <v>7000</v>
      </c>
      <c r="DK140" s="994">
        <f>(DM140)/(DN140)</f>
        <v>5.8340203096519048</v>
      </c>
      <c r="DL140" s="641" t="str">
        <f>CONCATENATE(G140," ",J140," Year EUL")</f>
        <v>Water Heating BUS 15 Year EUL</v>
      </c>
      <c r="DM140" s="623">
        <f>(INDEX('Avoided Cost Benefits'!$B$4:$B$865,MATCH(DL140,'Avoided Cost Benefits'!$A$4:$A$865,0)))*F140</f>
        <v>40838.142167563332</v>
      </c>
      <c r="DN140" s="1928">
        <f t="shared" si="49"/>
        <v>7000</v>
      </c>
    </row>
    <row r="141" spans="1:121" x14ac:dyDescent="0.25">
      <c r="A141" s="2006" t="s">
        <v>112</v>
      </c>
      <c r="B141" s="247">
        <f t="shared" si="47"/>
        <v>802350</v>
      </c>
      <c r="C141" s="656" t="s">
        <v>227</v>
      </c>
      <c r="D141" s="1972" t="s">
        <v>60</v>
      </c>
      <c r="E141" s="458" t="s">
        <v>228</v>
      </c>
      <c r="F141" s="399">
        <f>ROUND((((1/F157-1/G157)*H157*J157*(K157-L157)*1)/3412)+M157-N157,2)</f>
        <v>129087.64</v>
      </c>
      <c r="G141" s="441" t="s">
        <v>224</v>
      </c>
      <c r="H141" s="442">
        <f>VLOOKUP(G141,'CP FACTORS'!$A$26:$B$38,2,FALSE)</f>
        <v>1.811545E-4</v>
      </c>
      <c r="I141" s="1779">
        <f>ROUND(H141*F141,6)</f>
        <v>23.384806999999999</v>
      </c>
      <c r="J141" s="465">
        <v>15</v>
      </c>
      <c r="K141" s="1683">
        <v>10000</v>
      </c>
      <c r="L141" s="443" t="s">
        <v>63</v>
      </c>
      <c r="V141" s="1285" t="s">
        <v>46</v>
      </c>
      <c r="W141" s="53">
        <v>141040.99999999997</v>
      </c>
      <c r="X141" s="53">
        <v>141040.99999999997</v>
      </c>
      <c r="Y141" s="53">
        <v>141040.99999999997</v>
      </c>
      <c r="Z141" s="53">
        <v>141040.99999999997</v>
      </c>
      <c r="AA141" s="53">
        <v>141040.99999999997</v>
      </c>
      <c r="AB141" s="52">
        <v>141041</v>
      </c>
      <c r="AC141" s="692">
        <v>141041</v>
      </c>
      <c r="AD141" s="692">
        <v>141041</v>
      </c>
      <c r="AE141" s="692">
        <v>141041</v>
      </c>
      <c r="AF141" s="546">
        <f t="shared" si="48"/>
        <v>129087.64</v>
      </c>
      <c r="AG141" s="253">
        <f t="shared" si="50"/>
        <v>129087.64</v>
      </c>
      <c r="AH141"/>
      <c r="AI141" s="1311" t="s">
        <v>50</v>
      </c>
      <c r="AJ141" s="25">
        <v>15</v>
      </c>
      <c r="AK141" s="25">
        <v>15</v>
      </c>
      <c r="AL141" s="25">
        <v>15</v>
      </c>
      <c r="AM141" s="618">
        <v>15</v>
      </c>
      <c r="AN141" s="618">
        <v>15</v>
      </c>
      <c r="AO141" s="16">
        <v>15</v>
      </c>
      <c r="AP141" s="16">
        <v>15</v>
      </c>
      <c r="AQ141" s="16">
        <v>15</v>
      </c>
      <c r="AR141" s="16">
        <v>15</v>
      </c>
      <c r="AS141" s="16">
        <v>15</v>
      </c>
      <c r="AT141" s="17">
        <v>15</v>
      </c>
      <c r="AV141" s="1311" t="s">
        <v>51</v>
      </c>
      <c r="AW141" s="673">
        <v>10000</v>
      </c>
      <c r="AX141" s="673">
        <v>10000</v>
      </c>
      <c r="AY141" s="673">
        <v>10000</v>
      </c>
      <c r="AZ141" s="673">
        <v>10000</v>
      </c>
      <c r="BA141" s="673">
        <v>10000</v>
      </c>
      <c r="BB141" s="725">
        <v>10000</v>
      </c>
      <c r="BC141" s="725">
        <v>10000</v>
      </c>
      <c r="BD141" s="725">
        <v>10000</v>
      </c>
      <c r="BE141" s="725">
        <v>10000</v>
      </c>
      <c r="BF141" s="725">
        <v>10000</v>
      </c>
      <c r="BG141" s="725">
        <v>10000</v>
      </c>
      <c r="DK141" s="994">
        <f>(DM141)/(DN141)</f>
        <v>10.777752392360433</v>
      </c>
      <c r="DL141" s="641" t="str">
        <f>CONCATENATE(G141," ",J141," Year EUL")</f>
        <v>Water Heating BUS 15 Year EUL</v>
      </c>
      <c r="DM141" s="623">
        <f>(INDEX('Avoided Cost Benefits'!$B$4:$B$865,MATCH(DL141,'Avoided Cost Benefits'!$A$4:$A$865,0)))*F141</f>
        <v>107777.52392360433</v>
      </c>
      <c r="DN141" s="1928">
        <f t="shared" si="49"/>
        <v>10000</v>
      </c>
    </row>
    <row r="142" spans="1:121" x14ac:dyDescent="0.25">
      <c r="A142" s="2006" t="s">
        <v>112</v>
      </c>
      <c r="B142" s="247">
        <f t="shared" si="47"/>
        <v>802400</v>
      </c>
      <c r="C142" s="656" t="s">
        <v>229</v>
      </c>
      <c r="D142" s="1972" t="s">
        <v>60</v>
      </c>
      <c r="E142" s="458" t="s">
        <v>230</v>
      </c>
      <c r="F142" s="399">
        <f>ROUND((((1/F158-1/G158)*H158*J158*(K158-L158)*1)/3412)+M158-N158,2)</f>
        <v>255265</v>
      </c>
      <c r="G142" s="441" t="s">
        <v>224</v>
      </c>
      <c r="H142" s="442">
        <f>VLOOKUP(G142,'CP FACTORS'!$A$26:$B$38,2,FALSE)</f>
        <v>1.811545E-4</v>
      </c>
      <c r="I142" s="1779">
        <f>ROUND(H142*F142,6)</f>
        <v>46.242403000000003</v>
      </c>
      <c r="J142" s="465">
        <v>15</v>
      </c>
      <c r="K142" s="1683">
        <v>14000</v>
      </c>
      <c r="L142" s="443" t="s">
        <v>63</v>
      </c>
      <c r="V142" s="1285" t="s">
        <v>46</v>
      </c>
      <c r="W142" s="53">
        <v>282081.00000000006</v>
      </c>
      <c r="X142" s="53">
        <v>282081.00000000006</v>
      </c>
      <c r="Y142" s="53">
        <v>282081.00000000006</v>
      </c>
      <c r="Z142" s="53">
        <v>282081.00000000006</v>
      </c>
      <c r="AA142" s="53">
        <v>282081.00000000006</v>
      </c>
      <c r="AB142" s="52">
        <v>282081</v>
      </c>
      <c r="AC142" s="692">
        <v>282081</v>
      </c>
      <c r="AD142" s="692">
        <v>282081</v>
      </c>
      <c r="AE142" s="692">
        <v>282081</v>
      </c>
      <c r="AF142" s="546">
        <f t="shared" si="48"/>
        <v>255265</v>
      </c>
      <c r="AG142" s="253">
        <f t="shared" si="50"/>
        <v>255265</v>
      </c>
      <c r="AH142"/>
      <c r="AI142" s="1311" t="s">
        <v>50</v>
      </c>
      <c r="AJ142" s="25">
        <v>15</v>
      </c>
      <c r="AK142" s="25">
        <v>15</v>
      </c>
      <c r="AL142" s="25">
        <v>15</v>
      </c>
      <c r="AM142" s="618">
        <v>15</v>
      </c>
      <c r="AN142" s="618">
        <v>15</v>
      </c>
      <c r="AO142" s="16">
        <v>15</v>
      </c>
      <c r="AP142" s="16">
        <v>15</v>
      </c>
      <c r="AQ142" s="16">
        <v>15</v>
      </c>
      <c r="AR142" s="16">
        <v>15</v>
      </c>
      <c r="AS142" s="16">
        <v>15</v>
      </c>
      <c r="AT142" s="17">
        <v>15</v>
      </c>
      <c r="AV142" s="1311" t="s">
        <v>51</v>
      </c>
      <c r="AW142" s="673">
        <v>14000</v>
      </c>
      <c r="AX142" s="673">
        <v>14000</v>
      </c>
      <c r="AY142" s="673">
        <v>14000</v>
      </c>
      <c r="AZ142" s="673">
        <v>14000</v>
      </c>
      <c r="BA142" s="673">
        <v>14000</v>
      </c>
      <c r="BB142" s="725">
        <v>14000</v>
      </c>
      <c r="BC142" s="725">
        <v>14000</v>
      </c>
      <c r="BD142" s="725">
        <v>14000</v>
      </c>
      <c r="BE142" s="725">
        <v>14000</v>
      </c>
      <c r="BF142" s="725">
        <v>14000</v>
      </c>
      <c r="BG142" s="725">
        <v>14000</v>
      </c>
      <c r="DK142" s="994">
        <f>(DM142)/(DN142)</f>
        <v>15.223228876775309</v>
      </c>
      <c r="DL142" s="641" t="str">
        <f>CONCATENATE(G142," ",J142," Year EUL")</f>
        <v>Water Heating BUS 15 Year EUL</v>
      </c>
      <c r="DM142" s="623">
        <f>(INDEX('Avoided Cost Benefits'!$B$4:$B$865,MATCH(DL142,'Avoided Cost Benefits'!$A$4:$A$865,0)))*F142</f>
        <v>213125.20427485433</v>
      </c>
      <c r="DN142" s="1928">
        <f t="shared" si="49"/>
        <v>14000</v>
      </c>
    </row>
    <row r="143" spans="1:121" x14ac:dyDescent="0.25">
      <c r="A143" s="2006" t="s">
        <v>112</v>
      </c>
      <c r="B143" s="247">
        <f t="shared" si="47"/>
        <v>802450</v>
      </c>
      <c r="C143" s="656" t="s">
        <v>231</v>
      </c>
      <c r="D143" s="1972" t="s">
        <v>60</v>
      </c>
      <c r="E143" s="458" t="s">
        <v>232</v>
      </c>
      <c r="F143" s="399">
        <f>ROUND((((1/F159-1/G159)*H159*J159*(K159-L159)*1)/3412)+M159-N159,2)</f>
        <v>382897.95</v>
      </c>
      <c r="G143" s="441" t="s">
        <v>224</v>
      </c>
      <c r="H143" s="442">
        <f>VLOOKUP(G143,'CP FACTORS'!$A$26:$B$38,2,FALSE)</f>
        <v>1.811545E-4</v>
      </c>
      <c r="I143" s="1779">
        <f>ROUND(H143*F143,6)</f>
        <v>69.363686999999999</v>
      </c>
      <c r="J143" s="465">
        <v>15</v>
      </c>
      <c r="K143" s="1683">
        <v>18000</v>
      </c>
      <c r="L143" s="443" t="s">
        <v>63</v>
      </c>
      <c r="V143" s="1285" t="s">
        <v>46</v>
      </c>
      <c r="W143" s="53">
        <v>423122.00000000012</v>
      </c>
      <c r="X143" s="53">
        <v>423122.00000000012</v>
      </c>
      <c r="Y143" s="53">
        <v>423122.00000000012</v>
      </c>
      <c r="Z143" s="53">
        <v>423122.00000000012</v>
      </c>
      <c r="AA143" s="53">
        <v>423122.00000000012</v>
      </c>
      <c r="AB143" s="52">
        <v>423122</v>
      </c>
      <c r="AC143" s="692">
        <v>423122</v>
      </c>
      <c r="AD143" s="692">
        <v>423122</v>
      </c>
      <c r="AE143" s="692">
        <v>423122</v>
      </c>
      <c r="AF143" s="546">
        <f t="shared" si="48"/>
        <v>382897.95</v>
      </c>
      <c r="AG143" s="253">
        <f t="shared" si="50"/>
        <v>382897.95</v>
      </c>
      <c r="AH143"/>
      <c r="AI143" s="1311" t="s">
        <v>50</v>
      </c>
      <c r="AJ143" s="25">
        <v>15</v>
      </c>
      <c r="AK143" s="25">
        <v>15</v>
      </c>
      <c r="AL143" s="25">
        <v>15</v>
      </c>
      <c r="AM143" s="618">
        <v>15</v>
      </c>
      <c r="AN143" s="618">
        <v>15</v>
      </c>
      <c r="AO143" s="16">
        <v>15</v>
      </c>
      <c r="AP143" s="16">
        <v>15</v>
      </c>
      <c r="AQ143" s="16">
        <v>15</v>
      </c>
      <c r="AR143" s="16">
        <v>15</v>
      </c>
      <c r="AS143" s="16">
        <v>15</v>
      </c>
      <c r="AT143" s="17">
        <v>15</v>
      </c>
      <c r="AV143" s="1311" t="s">
        <v>51</v>
      </c>
      <c r="AW143" s="673">
        <v>18000</v>
      </c>
      <c r="AX143" s="673">
        <v>18000</v>
      </c>
      <c r="AY143" s="673">
        <v>18000</v>
      </c>
      <c r="AZ143" s="673">
        <v>18000</v>
      </c>
      <c r="BA143" s="673">
        <v>18000</v>
      </c>
      <c r="BB143" s="725">
        <v>18000</v>
      </c>
      <c r="BC143" s="725">
        <v>18000</v>
      </c>
      <c r="BD143" s="725">
        <v>18000</v>
      </c>
      <c r="BE143" s="725">
        <v>18000</v>
      </c>
      <c r="BF143" s="725">
        <v>18000</v>
      </c>
      <c r="BG143" s="725">
        <v>18000</v>
      </c>
      <c r="DK143" s="995">
        <f>(DM143)/(DN143)</f>
        <v>17.760454562507583</v>
      </c>
      <c r="DL143" s="641" t="str">
        <f>CONCATENATE(G143," ",J143," Year EUL")</f>
        <v>Water Heating BUS 15 Year EUL</v>
      </c>
      <c r="DM143" s="997">
        <f>(INDEX('Avoided Cost Benefits'!$B$4:$B$865,MATCH(DL143,'Avoided Cost Benefits'!$A$4:$A$865,0)))*F143</f>
        <v>319688.18212513649</v>
      </c>
      <c r="DN143" s="1928">
        <f t="shared" si="49"/>
        <v>18000</v>
      </c>
    </row>
    <row r="144" spans="1:121" x14ac:dyDescent="0.25">
      <c r="A144" s="2006" t="s">
        <v>112</v>
      </c>
      <c r="B144" s="247">
        <f t="shared" si="47"/>
        <v>802455</v>
      </c>
      <c r="C144" s="656" t="s">
        <v>233</v>
      </c>
      <c r="D144" s="1972" t="s">
        <v>60</v>
      </c>
      <c r="E144" s="458" t="s">
        <v>234</v>
      </c>
      <c r="F144" s="399">
        <f t="shared" ref="F144:F145" si="51">ROUND((((1/F160-1/G160)*H160*J160*(K160-L160)*1)/3412)+M160-N160,2)</f>
        <v>3363.29</v>
      </c>
      <c r="G144" s="441" t="s">
        <v>224</v>
      </c>
      <c r="H144" s="442">
        <f>VLOOKUP(G144,'CP FACTORS'!$A$26:$B$38,2,FALSE)</f>
        <v>1.811545E-4</v>
      </c>
      <c r="I144" s="1779">
        <f t="shared" ref="I144:I145" si="52">ROUND(H144*F144,6)</f>
        <v>0.60927500000000001</v>
      </c>
      <c r="J144" s="465">
        <v>15</v>
      </c>
      <c r="K144" s="2189">
        <v>1154</v>
      </c>
      <c r="L144" s="443" t="s">
        <v>63</v>
      </c>
      <c r="V144" s="1285" t="s">
        <v>46</v>
      </c>
      <c r="W144" s="53"/>
      <c r="X144" s="53"/>
      <c r="Y144" s="53"/>
      <c r="Z144" s="53"/>
      <c r="AA144" s="53"/>
      <c r="AB144" s="52"/>
      <c r="AC144" s="692"/>
      <c r="AD144" s="692"/>
      <c r="AE144" s="692"/>
      <c r="AF144" s="546">
        <f t="shared" si="48"/>
        <v>3363.29</v>
      </c>
      <c r="AG144" s="253">
        <f t="shared" si="50"/>
        <v>3363.29</v>
      </c>
      <c r="AH144"/>
      <c r="AI144" s="1311" t="s">
        <v>50</v>
      </c>
      <c r="AJ144" s="25"/>
      <c r="AK144" s="25"/>
      <c r="AL144" s="25"/>
      <c r="AM144" s="618"/>
      <c r="AN144" s="618"/>
      <c r="AO144" s="16"/>
      <c r="AP144" s="16"/>
      <c r="AQ144" s="16"/>
      <c r="AR144" s="16"/>
      <c r="AS144" s="112">
        <v>15</v>
      </c>
      <c r="AT144" s="17">
        <v>15</v>
      </c>
      <c r="AV144" s="1311" t="s">
        <v>51</v>
      </c>
      <c r="AW144" s="673"/>
      <c r="AX144" s="673"/>
      <c r="AY144" s="673"/>
      <c r="AZ144" s="673"/>
      <c r="BA144" s="673"/>
      <c r="BB144" s="725"/>
      <c r="BC144" s="725"/>
      <c r="BD144" s="725"/>
      <c r="BE144" s="725"/>
      <c r="BF144" s="1623">
        <v>1154</v>
      </c>
      <c r="BG144" s="725">
        <v>1154</v>
      </c>
      <c r="DK144" s="995">
        <f t="shared" ref="DK144:DK145" si="53">(DM144)/(DN144)</f>
        <v>2.4333358135740162</v>
      </c>
      <c r="DL144" s="641" t="str">
        <f t="shared" ref="DL144:DL145" si="54">CONCATENATE(G144," ",J144," Year EUL")</f>
        <v>Water Heating BUS 15 Year EUL</v>
      </c>
      <c r="DM144" s="997">
        <f>(INDEX('Avoided Cost Benefits'!$B$4:$B$865,MATCH(DL144,'Avoided Cost Benefits'!$A$4:$A$865,0)))*F144</f>
        <v>2808.0695288644147</v>
      </c>
      <c r="DN144" s="1928">
        <f t="shared" si="49"/>
        <v>1154</v>
      </c>
    </row>
    <row r="145" spans="1:118" x14ac:dyDescent="0.25">
      <c r="A145" s="2006" t="s">
        <v>112</v>
      </c>
      <c r="B145" s="247">
        <f t="shared" si="47"/>
        <v>802460</v>
      </c>
      <c r="C145" s="656" t="s">
        <v>235</v>
      </c>
      <c r="D145" s="1972" t="s">
        <v>60</v>
      </c>
      <c r="E145" s="458" t="s">
        <v>236</v>
      </c>
      <c r="F145" s="399">
        <f t="shared" si="51"/>
        <v>5044.93</v>
      </c>
      <c r="G145" s="441" t="s">
        <v>224</v>
      </c>
      <c r="H145" s="442">
        <f>VLOOKUP(G145,'CP FACTORS'!$A$26:$B$38,2,FALSE)</f>
        <v>1.811545E-4</v>
      </c>
      <c r="I145" s="1779">
        <f t="shared" si="52"/>
        <v>0.91391199999999995</v>
      </c>
      <c r="J145" s="465">
        <v>15</v>
      </c>
      <c r="K145" s="2189">
        <v>1646</v>
      </c>
      <c r="L145" s="443" t="s">
        <v>63</v>
      </c>
      <c r="V145" s="1285" t="s">
        <v>46</v>
      </c>
      <c r="W145" s="53"/>
      <c r="X145" s="53"/>
      <c r="Y145" s="53"/>
      <c r="Z145" s="53"/>
      <c r="AA145" s="53"/>
      <c r="AB145" s="52"/>
      <c r="AC145" s="692"/>
      <c r="AD145" s="692"/>
      <c r="AE145" s="692"/>
      <c r="AF145" s="546">
        <f t="shared" si="48"/>
        <v>5044.93</v>
      </c>
      <c r="AG145" s="253">
        <f t="shared" si="50"/>
        <v>5044.93</v>
      </c>
      <c r="AH145"/>
      <c r="AI145" s="1311" t="s">
        <v>50</v>
      </c>
      <c r="AJ145" s="25"/>
      <c r="AK145" s="25"/>
      <c r="AL145" s="25"/>
      <c r="AM145" s="618"/>
      <c r="AN145" s="618"/>
      <c r="AO145" s="16"/>
      <c r="AP145" s="16"/>
      <c r="AQ145" s="16"/>
      <c r="AR145" s="16"/>
      <c r="AS145" s="112">
        <v>15</v>
      </c>
      <c r="AT145" s="17">
        <v>15</v>
      </c>
      <c r="AV145" s="1311" t="s">
        <v>51</v>
      </c>
      <c r="AW145" s="673"/>
      <c r="AX145" s="673"/>
      <c r="AY145" s="673"/>
      <c r="AZ145" s="673"/>
      <c r="BA145" s="673"/>
      <c r="BB145" s="725"/>
      <c r="BC145" s="725"/>
      <c r="BD145" s="725"/>
      <c r="BE145" s="725"/>
      <c r="BF145" s="1623">
        <v>1646</v>
      </c>
      <c r="BG145" s="725">
        <v>1646</v>
      </c>
      <c r="DK145" s="995">
        <f t="shared" si="53"/>
        <v>2.558991566652093</v>
      </c>
      <c r="DL145" s="641" t="str">
        <f t="shared" si="54"/>
        <v>Water Heating BUS 15 Year EUL</v>
      </c>
      <c r="DM145" s="997">
        <f>(INDEX('Avoided Cost Benefits'!$B$4:$B$865,MATCH(DL145,'Avoided Cost Benefits'!$A$4:$A$865,0)))*F145</f>
        <v>4212.1001187093452</v>
      </c>
      <c r="DN145" s="2035">
        <f t="shared" si="49"/>
        <v>1646</v>
      </c>
    </row>
    <row r="146" spans="1:118" outlineLevel="1" x14ac:dyDescent="0.25">
      <c r="D146" s="74" t="s">
        <v>95</v>
      </c>
      <c r="E146" s="247" t="s">
        <v>237</v>
      </c>
      <c r="F146" s="1616"/>
      <c r="G146" s="7"/>
      <c r="H146" s="449"/>
      <c r="I146" s="7"/>
      <c r="J146" s="7"/>
      <c r="K146" s="1617"/>
    </row>
    <row r="147" spans="1:118" outlineLevel="1" x14ac:dyDescent="0.25">
      <c r="D147" s="7" t="s">
        <v>97</v>
      </c>
      <c r="E147" s="64"/>
      <c r="F147" s="1616"/>
      <c r="G147" s="7"/>
      <c r="H147" s="449"/>
      <c r="I147" s="7"/>
      <c r="J147" s="7"/>
      <c r="K147" s="64"/>
    </row>
    <row r="148" spans="1:118" outlineLevel="1" x14ac:dyDescent="0.25">
      <c r="D148" s="450"/>
      <c r="F148" s="64"/>
      <c r="G148" s="247"/>
      <c r="H148" s="451"/>
    </row>
    <row r="149" spans="1:118" outlineLevel="1" x14ac:dyDescent="0.25">
      <c r="D149" s="450"/>
      <c r="G149" s="247"/>
      <c r="H149" s="451"/>
    </row>
    <row r="150" spans="1:118" outlineLevel="1" x14ac:dyDescent="0.25">
      <c r="D150" s="450"/>
      <c r="G150" s="247"/>
      <c r="H150" s="451"/>
      <c r="M150" s="7"/>
    </row>
    <row r="151" spans="1:118" outlineLevel="1" x14ac:dyDescent="0.25">
      <c r="D151" s="450"/>
      <c r="G151" s="247"/>
      <c r="H151" s="451"/>
      <c r="M151" s="7"/>
    </row>
    <row r="152" spans="1:118" outlineLevel="1" x14ac:dyDescent="0.25">
      <c r="D152" s="450"/>
      <c r="G152" s="247"/>
      <c r="H152" s="451"/>
      <c r="M152" s="7"/>
    </row>
    <row r="153" spans="1:118" outlineLevel="1" x14ac:dyDescent="0.25">
      <c r="D153" s="450"/>
      <c r="G153" s="247"/>
      <c r="H153" s="451"/>
    </row>
    <row r="154" spans="1:118" s="8" customFormat="1" outlineLevel="1" x14ac:dyDescent="0.25">
      <c r="A154" s="247"/>
      <c r="B154" s="115"/>
      <c r="C154" s="64"/>
      <c r="D154" s="9" t="s">
        <v>43</v>
      </c>
      <c r="E154" s="1236" t="s">
        <v>173</v>
      </c>
      <c r="F154" s="1236" t="s">
        <v>238</v>
      </c>
      <c r="G154" s="1236" t="s">
        <v>239</v>
      </c>
      <c r="H154" s="1231" t="s">
        <v>240</v>
      </c>
      <c r="I154" s="1231" t="s">
        <v>241</v>
      </c>
      <c r="J154" s="1231" t="s">
        <v>242</v>
      </c>
      <c r="K154" s="1231" t="s">
        <v>243</v>
      </c>
      <c r="L154" s="1231" t="s">
        <v>244</v>
      </c>
      <c r="M154" s="1301" t="s">
        <v>245</v>
      </c>
      <c r="N154" s="1301" t="s">
        <v>246</v>
      </c>
      <c r="O154" s="1301" t="s">
        <v>247</v>
      </c>
      <c r="P154" s="1301" t="s">
        <v>248</v>
      </c>
      <c r="Q154" s="1301" t="s">
        <v>249</v>
      </c>
      <c r="R154" s="1301" t="s">
        <v>250</v>
      </c>
      <c r="S154" s="1301" t="s">
        <v>251</v>
      </c>
      <c r="T154" s="115"/>
      <c r="U154" s="115"/>
      <c r="V154" s="636" t="s">
        <v>53</v>
      </c>
      <c r="W154" s="637">
        <f>$W$8</f>
        <v>43252</v>
      </c>
      <c r="X154" s="637">
        <f>$X$8</f>
        <v>43465</v>
      </c>
      <c r="Y154" s="637">
        <f>$Y$8</f>
        <v>43800</v>
      </c>
      <c r="Z154" s="637">
        <f>$Z$8</f>
        <v>43862</v>
      </c>
      <c r="AA154" s="637">
        <f>$AA$8</f>
        <v>44013</v>
      </c>
      <c r="AB154" s="637">
        <v>44166</v>
      </c>
      <c r="AC154" s="637">
        <f>$AC$8</f>
        <v>44531</v>
      </c>
      <c r="AD154" s="637">
        <f>$AD$8</f>
        <v>44774</v>
      </c>
      <c r="AE154" s="637">
        <f>$AE$8</f>
        <v>45142</v>
      </c>
      <c r="AF154" s="637">
        <f>$AF$8</f>
        <v>45672</v>
      </c>
      <c r="AG154" s="637">
        <f>$AG$8</f>
        <v>45971</v>
      </c>
      <c r="AH154"/>
      <c r="AI154" s="636" t="s">
        <v>53</v>
      </c>
      <c r="AJ154" s="637">
        <v>43252</v>
      </c>
      <c r="AK154" s="637">
        <f>$X$8</f>
        <v>43465</v>
      </c>
      <c r="AL154" s="637">
        <f>$Y$8</f>
        <v>43800</v>
      </c>
      <c r="AM154" s="637">
        <f>$Z$8</f>
        <v>43862</v>
      </c>
      <c r="AN154" s="637">
        <f>$AA$8</f>
        <v>44013</v>
      </c>
      <c r="AO154" s="637">
        <f>$AB$8</f>
        <v>44166</v>
      </c>
      <c r="AP154" s="637">
        <f>$AC$8</f>
        <v>44531</v>
      </c>
      <c r="AQ154" s="637">
        <f>$AD$8</f>
        <v>44774</v>
      </c>
      <c r="AR154" s="637">
        <f>$AE$8</f>
        <v>45142</v>
      </c>
      <c r="AS154" s="637">
        <f>$AF$8</f>
        <v>45672</v>
      </c>
      <c r="AT154" s="637">
        <f>$AT$8</f>
        <v>45971</v>
      </c>
      <c r="AU154" s="2"/>
      <c r="AV154" s="636" t="s">
        <v>53</v>
      </c>
      <c r="AW154" s="637">
        <v>43252</v>
      </c>
      <c r="AX154" s="637">
        <f>$X$8</f>
        <v>43465</v>
      </c>
      <c r="AY154" s="637">
        <f>$Y$8</f>
        <v>43800</v>
      </c>
      <c r="AZ154" s="637">
        <f>$Z$8</f>
        <v>43862</v>
      </c>
      <c r="BA154" s="637">
        <f>$AA$8</f>
        <v>44013</v>
      </c>
      <c r="BB154" s="637">
        <v>44166</v>
      </c>
      <c r="BC154" s="637">
        <f>$AC$8</f>
        <v>44531</v>
      </c>
      <c r="BD154" s="637">
        <f>$AD$8</f>
        <v>44774</v>
      </c>
      <c r="BE154" s="637">
        <f>$AE$8</f>
        <v>45142</v>
      </c>
      <c r="BF154" s="637">
        <f>$AF$8</f>
        <v>45672</v>
      </c>
      <c r="BG154" s="637">
        <f>$AT$8</f>
        <v>45971</v>
      </c>
      <c r="BI154" s="636" t="s">
        <v>53</v>
      </c>
      <c r="BJ154" s="637">
        <v>43252</v>
      </c>
      <c r="BK154" s="637">
        <f>$X$8</f>
        <v>43465</v>
      </c>
      <c r="BL154" s="637">
        <f>$Y$8</f>
        <v>43800</v>
      </c>
      <c r="BM154" s="637">
        <f>$Z$8</f>
        <v>43862</v>
      </c>
      <c r="BN154" s="637">
        <f>$AA$8</f>
        <v>44013</v>
      </c>
      <c r="BO154" s="637">
        <v>44166</v>
      </c>
      <c r="BP154" s="637">
        <f>$AC$8</f>
        <v>44531</v>
      </c>
      <c r="BQ154" s="637">
        <f>$AD$8</f>
        <v>44774</v>
      </c>
      <c r="BR154" s="637">
        <f>$AE$8</f>
        <v>45142</v>
      </c>
      <c r="BS154" s="637">
        <f>$AF$8</f>
        <v>45672</v>
      </c>
      <c r="BT154" s="637">
        <f>$AG$8</f>
        <v>45971</v>
      </c>
      <c r="DI154" s="2"/>
      <c r="DJ154" s="2"/>
      <c r="DK154" s="996"/>
      <c r="DL154" s="115"/>
      <c r="DM154" s="115"/>
      <c r="DN154" s="499"/>
    </row>
    <row r="155" spans="1:118" outlineLevel="1" x14ac:dyDescent="0.25">
      <c r="D155" s="647" t="str">
        <f>C139</f>
        <v>802250_2024_12_</v>
      </c>
      <c r="E155" s="647" t="str">
        <f>E139</f>
        <v>Heat Pump Water Heater replacing 98% Efficiency 2.9-14.6 kW (10 to 50 MBH)</v>
      </c>
      <c r="F155" s="1684">
        <v>0.98</v>
      </c>
      <c r="G155" s="1684">
        <v>4.6100000000000003</v>
      </c>
      <c r="H155" s="1685">
        <f>558*I155</f>
        <v>149421.71926647448</v>
      </c>
      <c r="I155" s="1686">
        <v>267.78085890049192</v>
      </c>
      <c r="J155" s="468">
        <v>8.33</v>
      </c>
      <c r="K155" s="1687">
        <v>125</v>
      </c>
      <c r="L155" s="471">
        <v>59.3</v>
      </c>
      <c r="M155" s="1618">
        <f>((((1-1/G155)*H155*J155*(K155-L155)*1)*Q155*0.53*3)/(O155*3412))*R155</f>
        <v>7598.4096289631689</v>
      </c>
      <c r="N155" s="1618">
        <f>((((1-1/G155)*H155*J155*(K155-L155)*1)*Q155*0.43)/(P155*3412))*S155</f>
        <v>8070.3024254178326</v>
      </c>
      <c r="O155" s="1780">
        <f>13.4/3.412</f>
        <v>3.9273153575615476</v>
      </c>
      <c r="P155" s="1781">
        <v>1</v>
      </c>
      <c r="Q155" s="1679">
        <v>1</v>
      </c>
      <c r="R155" s="1684">
        <v>1</v>
      </c>
      <c r="S155" s="1684">
        <v>1</v>
      </c>
      <c r="V155" s="1285" t="s">
        <v>239</v>
      </c>
      <c r="W155" s="1656">
        <v>4</v>
      </c>
      <c r="X155" s="1656">
        <v>4</v>
      </c>
      <c r="Y155" s="1656">
        <v>4</v>
      </c>
      <c r="Z155" s="1656">
        <v>4</v>
      </c>
      <c r="AA155" s="1656">
        <v>4</v>
      </c>
      <c r="AB155" s="1656">
        <v>4</v>
      </c>
      <c r="AC155" s="1656">
        <v>4</v>
      </c>
      <c r="AD155" s="1656">
        <v>4</v>
      </c>
      <c r="AE155" s="1656">
        <v>4</v>
      </c>
      <c r="AF155" s="295">
        <v>4.6100000000000003</v>
      </c>
      <c r="AG155" s="295">
        <v>4.6100000000000003</v>
      </c>
      <c r="AH155"/>
      <c r="AI155" s="1311" t="s">
        <v>244</v>
      </c>
      <c r="AJ155" s="24">
        <v>57.898000000000003</v>
      </c>
      <c r="AK155" s="24">
        <v>57.898000000000003</v>
      </c>
      <c r="AL155" s="24">
        <v>57.898000000000003</v>
      </c>
      <c r="AM155" s="24">
        <v>57.898000000000003</v>
      </c>
      <c r="AN155" s="24">
        <v>57.898000000000003</v>
      </c>
      <c r="AO155" s="24">
        <v>57.898000000000003</v>
      </c>
      <c r="AP155" s="24">
        <v>57.898000000000003</v>
      </c>
      <c r="AQ155" s="24">
        <v>57.898000000000003</v>
      </c>
      <c r="AR155" s="24">
        <v>57.898000000000003</v>
      </c>
      <c r="AS155" s="112">
        <v>59.3</v>
      </c>
      <c r="AT155" s="17">
        <v>59.3</v>
      </c>
      <c r="AV155" s="1311" t="s">
        <v>247</v>
      </c>
      <c r="AW155" s="1657">
        <v>2.8</v>
      </c>
      <c r="AX155" s="1657">
        <v>2.8</v>
      </c>
      <c r="AY155" s="1657">
        <v>2.8</v>
      </c>
      <c r="AZ155" s="1657">
        <v>2.8</v>
      </c>
      <c r="BA155" s="1657">
        <v>2.8</v>
      </c>
      <c r="BB155" s="1657">
        <v>2.8</v>
      </c>
      <c r="BC155" s="1657">
        <v>2.8</v>
      </c>
      <c r="BD155" s="1657">
        <v>2.8</v>
      </c>
      <c r="BE155" s="1657">
        <v>2.8</v>
      </c>
      <c r="BF155" s="646">
        <v>3.9273153575615476</v>
      </c>
      <c r="BG155" s="185">
        <v>3.9273153575615476</v>
      </c>
      <c r="BI155" s="1311" t="s">
        <v>248</v>
      </c>
      <c r="BJ155" s="1657">
        <v>0.88</v>
      </c>
      <c r="BK155" s="1657">
        <v>0.88</v>
      </c>
      <c r="BL155" s="1657">
        <v>0.88</v>
      </c>
      <c r="BM155" s="1657">
        <v>0.88</v>
      </c>
      <c r="BN155" s="1657">
        <v>0.88</v>
      </c>
      <c r="BO155" s="1657">
        <v>0.88</v>
      </c>
      <c r="BP155" s="1657">
        <v>0.88</v>
      </c>
      <c r="BQ155" s="1657">
        <v>0.88</v>
      </c>
      <c r="BR155" s="1657">
        <v>0.88</v>
      </c>
      <c r="BS155" s="646">
        <v>1</v>
      </c>
      <c r="BT155" s="185">
        <v>1</v>
      </c>
    </row>
    <row r="156" spans="1:118" outlineLevel="1" x14ac:dyDescent="0.25">
      <c r="D156" s="647" t="str">
        <f>C140</f>
        <v>802300_2024_12_</v>
      </c>
      <c r="E156" s="647" t="str">
        <f>E140</f>
        <v>Heat Pump Water Heater replacing 98% Efficiency 14.7-29.3 kW (50 to 100 MBH)</v>
      </c>
      <c r="F156" s="473">
        <v>0.98</v>
      </c>
      <c r="G156" s="1684">
        <v>4.6100000000000003</v>
      </c>
      <c r="H156" s="1685">
        <f>558*I156</f>
        <v>389059.7149286035</v>
      </c>
      <c r="I156" s="1686">
        <v>697.2396324885367</v>
      </c>
      <c r="J156" s="468">
        <v>8.33</v>
      </c>
      <c r="K156" s="1687">
        <v>125</v>
      </c>
      <c r="L156" s="471">
        <v>59.3</v>
      </c>
      <c r="M156" s="1618">
        <f>((((1-1/G156)*H156*J156*(K156-L156)*1)*1*0.53*3)/(O156*3412))*1</f>
        <v>19784.507223364901</v>
      </c>
      <c r="N156" s="1618">
        <f>((((1-1/G156)*H156*J156*(K156-L156)*1)*Q156*0.43)/(P156*3412))*S156</f>
        <v>21013.207292985273</v>
      </c>
      <c r="O156" s="1780">
        <f t="shared" ref="O156:O161" si="55">13.4/3.412</f>
        <v>3.9273153575615476</v>
      </c>
      <c r="P156" s="1781">
        <v>1</v>
      </c>
      <c r="Q156" s="1679">
        <v>1</v>
      </c>
      <c r="R156" s="1684">
        <v>1</v>
      </c>
      <c r="S156" s="1684">
        <v>1</v>
      </c>
      <c r="V156" s="1285" t="s">
        <v>239</v>
      </c>
      <c r="W156" s="1656">
        <v>4</v>
      </c>
      <c r="X156" s="1656">
        <v>4</v>
      </c>
      <c r="Y156" s="1656">
        <v>4</v>
      </c>
      <c r="Z156" s="1656">
        <v>4</v>
      </c>
      <c r="AA156" s="1656">
        <v>4</v>
      </c>
      <c r="AB156" s="1656">
        <v>4</v>
      </c>
      <c r="AC156" s="1656">
        <v>4</v>
      </c>
      <c r="AD156" s="1656">
        <v>4</v>
      </c>
      <c r="AE156" s="1656">
        <v>4</v>
      </c>
      <c r="AF156" s="295">
        <v>4.6100000000000003</v>
      </c>
      <c r="AG156" s="295">
        <v>4.6100000000000003</v>
      </c>
      <c r="AH156"/>
      <c r="AI156" s="1311" t="s">
        <v>244</v>
      </c>
      <c r="AJ156" s="25">
        <v>57.898000000000003</v>
      </c>
      <c r="AK156" s="25">
        <v>57.898000000000003</v>
      </c>
      <c r="AL156" s="25">
        <v>57.898000000000003</v>
      </c>
      <c r="AM156" s="25">
        <v>57.898000000000003</v>
      </c>
      <c r="AN156" s="25">
        <v>57.898000000000003</v>
      </c>
      <c r="AO156" s="25">
        <v>57.898000000000003</v>
      </c>
      <c r="AP156" s="25">
        <v>57.898000000000003</v>
      </c>
      <c r="AQ156" s="25">
        <v>57.898000000000003</v>
      </c>
      <c r="AR156" s="25">
        <v>57.898000000000003</v>
      </c>
      <c r="AS156" s="112">
        <v>59.3</v>
      </c>
      <c r="AT156" s="17">
        <v>59.3</v>
      </c>
      <c r="AV156" s="1311" t="s">
        <v>247</v>
      </c>
      <c r="AW156" s="1657">
        <v>2.8</v>
      </c>
      <c r="AX156" s="1657">
        <v>2.8</v>
      </c>
      <c r="AY156" s="1657">
        <v>2.8</v>
      </c>
      <c r="AZ156" s="1657">
        <v>2.8</v>
      </c>
      <c r="BA156" s="1657">
        <v>2.8</v>
      </c>
      <c r="BB156" s="1657">
        <v>2.8</v>
      </c>
      <c r="BC156" s="1657">
        <v>2.8</v>
      </c>
      <c r="BD156" s="1657">
        <v>2.8</v>
      </c>
      <c r="BE156" s="1657">
        <v>2.8</v>
      </c>
      <c r="BF156" s="646">
        <v>3.9273153575615476</v>
      </c>
      <c r="BG156" s="185">
        <v>3.9273153575615476</v>
      </c>
      <c r="BI156" s="1311" t="s">
        <v>248</v>
      </c>
      <c r="BJ156" s="1657">
        <v>0.88</v>
      </c>
      <c r="BK156" s="1657">
        <v>0.88</v>
      </c>
      <c r="BL156" s="1657">
        <v>0.88</v>
      </c>
      <c r="BM156" s="1657">
        <v>0.88</v>
      </c>
      <c r="BN156" s="1657">
        <v>0.88</v>
      </c>
      <c r="BO156" s="1657">
        <v>0.88</v>
      </c>
      <c r="BP156" s="1657">
        <v>0.88</v>
      </c>
      <c r="BQ156" s="1657">
        <v>0.88</v>
      </c>
      <c r="BR156" s="1657">
        <v>0.88</v>
      </c>
      <c r="BS156" s="646">
        <v>1</v>
      </c>
      <c r="BT156" s="185">
        <v>1</v>
      </c>
    </row>
    <row r="157" spans="1:118" outlineLevel="1" x14ac:dyDescent="0.25">
      <c r="D157" s="647" t="str">
        <f>C141</f>
        <v>802350_2024_12_</v>
      </c>
      <c r="E157" s="647" t="str">
        <f>E141</f>
        <v>Heat Pump Water Heater replacing 98% Efficiency 29.4-87.9 kW (100 to 300 MBH)</v>
      </c>
      <c r="F157" s="473">
        <v>0.98</v>
      </c>
      <c r="G157" s="1684">
        <v>4.4400000000000004</v>
      </c>
      <c r="H157" s="1685">
        <f>558*I157</f>
        <v>1037499.9291594848</v>
      </c>
      <c r="I157" s="1686">
        <v>1859.3188694614423</v>
      </c>
      <c r="J157" s="468">
        <v>8.33</v>
      </c>
      <c r="K157" s="1687">
        <v>125</v>
      </c>
      <c r="L157" s="471">
        <v>59.3</v>
      </c>
      <c r="M157" s="1618">
        <f>((((1-1/G157)*H157*J157*(K157-L157)*1)*1*0.53*3)/(O157*3412))*1</f>
        <v>52199.488225350025</v>
      </c>
      <c r="N157" s="1618">
        <f>((((1-1/G157)*H157*J157*(K157-L157)*1)*Q157*0.43)/(P157*3412))*S157</f>
        <v>55441.293244425302</v>
      </c>
      <c r="O157" s="1780">
        <f t="shared" si="55"/>
        <v>3.9273153575615476</v>
      </c>
      <c r="P157" s="1781">
        <v>1</v>
      </c>
      <c r="Q157" s="1679">
        <v>1</v>
      </c>
      <c r="R157" s="1684">
        <v>1</v>
      </c>
      <c r="S157" s="1684">
        <v>1</v>
      </c>
      <c r="V157" s="1285" t="s">
        <v>239</v>
      </c>
      <c r="W157" s="1656">
        <v>4</v>
      </c>
      <c r="X157" s="1656">
        <v>4</v>
      </c>
      <c r="Y157" s="1656">
        <v>4</v>
      </c>
      <c r="Z157" s="1656">
        <v>4</v>
      </c>
      <c r="AA157" s="1656">
        <v>4</v>
      </c>
      <c r="AB157" s="1656">
        <v>4</v>
      </c>
      <c r="AC157" s="1656">
        <v>4</v>
      </c>
      <c r="AD157" s="1656">
        <v>4</v>
      </c>
      <c r="AE157" s="1656">
        <v>4</v>
      </c>
      <c r="AF157" s="295">
        <v>4.4400000000000004</v>
      </c>
      <c r="AG157" s="295">
        <v>4.4400000000000004</v>
      </c>
      <c r="AH157"/>
      <c r="AI157" s="1311" t="s">
        <v>244</v>
      </c>
      <c r="AJ157" s="25">
        <v>57.898000000000003</v>
      </c>
      <c r="AK157" s="25">
        <v>57.898000000000003</v>
      </c>
      <c r="AL157" s="25">
        <v>57.898000000000003</v>
      </c>
      <c r="AM157" s="25">
        <v>57.898000000000003</v>
      </c>
      <c r="AN157" s="25">
        <v>57.898000000000003</v>
      </c>
      <c r="AO157" s="25">
        <v>57.898000000000003</v>
      </c>
      <c r="AP157" s="25">
        <v>57.898000000000003</v>
      </c>
      <c r="AQ157" s="25">
        <v>57.898000000000003</v>
      </c>
      <c r="AR157" s="25">
        <v>57.898000000000003</v>
      </c>
      <c r="AS157" s="112">
        <v>59.3</v>
      </c>
      <c r="AT157" s="17">
        <v>59.3</v>
      </c>
      <c r="AV157" s="1311" t="s">
        <v>247</v>
      </c>
      <c r="AW157" s="1657">
        <v>2.8</v>
      </c>
      <c r="AX157" s="1657">
        <v>2.8</v>
      </c>
      <c r="AY157" s="1657">
        <v>2.8</v>
      </c>
      <c r="AZ157" s="1657">
        <v>2.8</v>
      </c>
      <c r="BA157" s="1657">
        <v>2.8</v>
      </c>
      <c r="BB157" s="1657">
        <v>2.8</v>
      </c>
      <c r="BC157" s="1657">
        <v>2.8</v>
      </c>
      <c r="BD157" s="1657">
        <v>2.8</v>
      </c>
      <c r="BE157" s="1657">
        <v>2.8</v>
      </c>
      <c r="BF157" s="646">
        <v>3.9273153575615476</v>
      </c>
      <c r="BG157" s="185">
        <v>3.9273153575615476</v>
      </c>
      <c r="BI157" s="1311" t="s">
        <v>248</v>
      </c>
      <c r="BJ157" s="1657">
        <v>0.88</v>
      </c>
      <c r="BK157" s="1657">
        <v>0.88</v>
      </c>
      <c r="BL157" s="1657">
        <v>0.88</v>
      </c>
      <c r="BM157" s="1657">
        <v>0.88</v>
      </c>
      <c r="BN157" s="1657">
        <v>0.88</v>
      </c>
      <c r="BO157" s="1657">
        <v>0.88</v>
      </c>
      <c r="BP157" s="1657">
        <v>0.88</v>
      </c>
      <c r="BQ157" s="1657">
        <v>0.88</v>
      </c>
      <c r="BR157" s="1657">
        <v>0.88</v>
      </c>
      <c r="BS157" s="646">
        <v>1</v>
      </c>
      <c r="BT157" s="185">
        <v>1</v>
      </c>
    </row>
    <row r="158" spans="1:118" outlineLevel="1" x14ac:dyDescent="0.25">
      <c r="D158" s="647" t="str">
        <f>C142</f>
        <v>802400_2024_12_</v>
      </c>
      <c r="E158" s="647" t="str">
        <f>E142</f>
        <v>Heat Pump Water Heater replacing 98% Efficiency 88-146.5 kW (300 to 500 MBH)</v>
      </c>
      <c r="F158" s="473">
        <v>0.98</v>
      </c>
      <c r="G158" s="1684">
        <v>4.2699999999999996</v>
      </c>
      <c r="H158" s="1685">
        <f>558*I158</f>
        <v>2074992.5023024278</v>
      </c>
      <c r="I158" s="1686">
        <v>3718.6245560975408</v>
      </c>
      <c r="J158" s="468">
        <v>8.33</v>
      </c>
      <c r="K158" s="1687">
        <v>125</v>
      </c>
      <c r="L158" s="471">
        <v>59.3</v>
      </c>
      <c r="M158" s="1618">
        <f>((((1-1/G158)*H158*J158*(K158-L158)*1)*1*0.53*3)/(O158*3412))*1</f>
        <v>103190.35495496581</v>
      </c>
      <c r="N158" s="1618">
        <f>((((1-1/G158)*H158*J158*(K158-L158)*1)*Q158*0.43)/(P158*3412))*S158</f>
        <v>109598.90457846022</v>
      </c>
      <c r="O158" s="1780">
        <f t="shared" si="55"/>
        <v>3.9273153575615476</v>
      </c>
      <c r="P158" s="1781">
        <v>1</v>
      </c>
      <c r="Q158" s="1679">
        <v>1</v>
      </c>
      <c r="R158" s="1684">
        <v>1</v>
      </c>
      <c r="S158" s="1684">
        <v>1</v>
      </c>
      <c r="V158" s="1285" t="s">
        <v>239</v>
      </c>
      <c r="W158" s="1656">
        <v>4</v>
      </c>
      <c r="X158" s="1656">
        <v>4</v>
      </c>
      <c r="Y158" s="1656">
        <v>4</v>
      </c>
      <c r="Z158" s="1656">
        <v>4</v>
      </c>
      <c r="AA158" s="1656">
        <v>4</v>
      </c>
      <c r="AB158" s="1656">
        <v>4</v>
      </c>
      <c r="AC158" s="1656">
        <v>4</v>
      </c>
      <c r="AD158" s="1656">
        <v>4</v>
      </c>
      <c r="AE158" s="1656">
        <v>4</v>
      </c>
      <c r="AF158" s="295">
        <v>4.2699999999999996</v>
      </c>
      <c r="AG158" s="295">
        <v>4.2699999999999996</v>
      </c>
      <c r="AH158"/>
      <c r="AI158" s="1311" t="s">
        <v>244</v>
      </c>
      <c r="AJ158" s="25">
        <v>57.898000000000003</v>
      </c>
      <c r="AK158" s="25">
        <v>57.898000000000003</v>
      </c>
      <c r="AL158" s="25">
        <v>57.898000000000003</v>
      </c>
      <c r="AM158" s="25">
        <v>57.898000000000003</v>
      </c>
      <c r="AN158" s="25">
        <v>57.898000000000003</v>
      </c>
      <c r="AO158" s="25">
        <v>57.898000000000003</v>
      </c>
      <c r="AP158" s="25">
        <v>57.898000000000003</v>
      </c>
      <c r="AQ158" s="25">
        <v>57.898000000000003</v>
      </c>
      <c r="AR158" s="25">
        <v>57.898000000000003</v>
      </c>
      <c r="AS158" s="112">
        <v>59.3</v>
      </c>
      <c r="AT158" s="17">
        <v>59.3</v>
      </c>
      <c r="AV158" s="1311" t="s">
        <v>247</v>
      </c>
      <c r="AW158" s="1657">
        <v>2.8</v>
      </c>
      <c r="AX158" s="1657">
        <v>2.8</v>
      </c>
      <c r="AY158" s="1657">
        <v>2.8</v>
      </c>
      <c r="AZ158" s="1657">
        <v>2.8</v>
      </c>
      <c r="BA158" s="1657">
        <v>2.8</v>
      </c>
      <c r="BB158" s="1657">
        <v>2.8</v>
      </c>
      <c r="BC158" s="1657">
        <v>2.8</v>
      </c>
      <c r="BD158" s="1657">
        <v>2.8</v>
      </c>
      <c r="BE158" s="1657">
        <v>2.8</v>
      </c>
      <c r="BF158" s="646">
        <v>3.9273153575615476</v>
      </c>
      <c r="BG158" s="185">
        <v>3.9273153575615476</v>
      </c>
      <c r="BI158" s="1311" t="s">
        <v>248</v>
      </c>
      <c r="BJ158" s="1657">
        <v>0.88</v>
      </c>
      <c r="BK158" s="1657">
        <v>0.88</v>
      </c>
      <c r="BL158" s="1657">
        <v>0.88</v>
      </c>
      <c r="BM158" s="1657">
        <v>0.88</v>
      </c>
      <c r="BN158" s="1657">
        <v>0.88</v>
      </c>
      <c r="BO158" s="1657">
        <v>0.88</v>
      </c>
      <c r="BP158" s="1657">
        <v>0.88</v>
      </c>
      <c r="BQ158" s="1657">
        <v>0.88</v>
      </c>
      <c r="BR158" s="1657">
        <v>0.88</v>
      </c>
      <c r="BS158" s="646">
        <v>1</v>
      </c>
      <c r="BT158" s="185">
        <v>1</v>
      </c>
    </row>
    <row r="159" spans="1:118" outlineLevel="1" x14ac:dyDescent="0.25">
      <c r="D159" s="647" t="str">
        <f>C143</f>
        <v>802450_2024_12_</v>
      </c>
      <c r="E159" s="647" t="str">
        <f>E143</f>
        <v>Heat Pump Water Heater replacing 98% Efficiency &gt;146.6 kW (above 500 MBH)</v>
      </c>
      <c r="F159" s="473">
        <v>0.98</v>
      </c>
      <c r="G159" s="1684">
        <v>4.2699999999999996</v>
      </c>
      <c r="H159" s="1685">
        <f>558*I159</f>
        <v>3112492.431461913</v>
      </c>
      <c r="I159" s="1686">
        <v>5577.943425558984</v>
      </c>
      <c r="J159" s="468">
        <v>8.33</v>
      </c>
      <c r="K159" s="1687">
        <v>125</v>
      </c>
      <c r="L159" s="471">
        <v>59.3</v>
      </c>
      <c r="M159" s="1618">
        <f>((((1-1/G159)*H159*J159*(K159-L159)*1)*1*0.53*3)/(O159*3412))*1</f>
        <v>154785.71534153324</v>
      </c>
      <c r="N159" s="1618">
        <f>((((1-1/G159)*H159*J159*(K159-L159)*1)*Q159*0.43)/(P159*3412))*S159</f>
        <v>164398.5511361887</v>
      </c>
      <c r="O159" s="1780">
        <f t="shared" si="55"/>
        <v>3.9273153575615476</v>
      </c>
      <c r="P159" s="1781">
        <v>1</v>
      </c>
      <c r="Q159" s="1679">
        <v>1</v>
      </c>
      <c r="R159" s="1684">
        <v>1</v>
      </c>
      <c r="S159" s="1684">
        <v>1</v>
      </c>
      <c r="V159" s="1285" t="s">
        <v>239</v>
      </c>
      <c r="W159" s="1656">
        <v>4</v>
      </c>
      <c r="X159" s="1656">
        <v>4</v>
      </c>
      <c r="Y159" s="1656">
        <v>4</v>
      </c>
      <c r="Z159" s="1656">
        <v>4</v>
      </c>
      <c r="AA159" s="1656">
        <v>4</v>
      </c>
      <c r="AB159" s="1656">
        <v>4</v>
      </c>
      <c r="AC159" s="1656">
        <v>4</v>
      </c>
      <c r="AD159" s="1656">
        <v>4</v>
      </c>
      <c r="AE159" s="1656">
        <v>4</v>
      </c>
      <c r="AF159" s="295">
        <v>4.2699999999999996</v>
      </c>
      <c r="AG159" s="295">
        <v>4.2699999999999996</v>
      </c>
      <c r="AH159"/>
      <c r="AI159" s="1311" t="s">
        <v>244</v>
      </c>
      <c r="AJ159" s="25">
        <v>57.898000000000003</v>
      </c>
      <c r="AK159" s="25">
        <v>57.898000000000003</v>
      </c>
      <c r="AL159" s="25">
        <v>57.898000000000003</v>
      </c>
      <c r="AM159" s="25">
        <v>57.898000000000003</v>
      </c>
      <c r="AN159" s="25">
        <v>57.898000000000003</v>
      </c>
      <c r="AO159" s="25">
        <v>57.898000000000003</v>
      </c>
      <c r="AP159" s="25">
        <v>57.898000000000003</v>
      </c>
      <c r="AQ159" s="25">
        <v>57.898000000000003</v>
      </c>
      <c r="AR159" s="25">
        <v>57.898000000000003</v>
      </c>
      <c r="AS159" s="112">
        <v>59.3</v>
      </c>
      <c r="AT159" s="17">
        <v>59.3</v>
      </c>
      <c r="AV159" s="1311" t="s">
        <v>247</v>
      </c>
      <c r="AW159" s="1657">
        <v>2.8</v>
      </c>
      <c r="AX159" s="1657">
        <v>2.8</v>
      </c>
      <c r="AY159" s="1657">
        <v>2.8</v>
      </c>
      <c r="AZ159" s="1657">
        <v>2.8</v>
      </c>
      <c r="BA159" s="1657">
        <v>2.8</v>
      </c>
      <c r="BB159" s="1657">
        <v>2.8</v>
      </c>
      <c r="BC159" s="1657">
        <v>2.8</v>
      </c>
      <c r="BD159" s="1657">
        <v>2.8</v>
      </c>
      <c r="BE159" s="1657">
        <v>2.8</v>
      </c>
      <c r="BF159" s="646">
        <v>3.9273153575615476</v>
      </c>
      <c r="BG159" s="185">
        <v>3.9273153575615476</v>
      </c>
      <c r="BI159" s="1311" t="s">
        <v>248</v>
      </c>
      <c r="BJ159" s="1657">
        <v>0.88</v>
      </c>
      <c r="BK159" s="1657">
        <v>0.88</v>
      </c>
      <c r="BL159" s="1657">
        <v>0.88</v>
      </c>
      <c r="BM159" s="1657">
        <v>0.88</v>
      </c>
      <c r="BN159" s="1657">
        <v>0.88</v>
      </c>
      <c r="BO159" s="1657">
        <v>0.88</v>
      </c>
      <c r="BP159" s="1657">
        <v>0.88</v>
      </c>
      <c r="BQ159" s="1657">
        <v>0.88</v>
      </c>
      <c r="BR159" s="1657">
        <v>0.88</v>
      </c>
      <c r="BS159" s="646">
        <v>1</v>
      </c>
      <c r="BT159" s="185">
        <v>1</v>
      </c>
    </row>
    <row r="160" spans="1:118" outlineLevel="1" x14ac:dyDescent="0.25">
      <c r="D160" s="647" t="str">
        <f t="shared" ref="D160:D161" si="56">C144</f>
        <v>802455_2024_12_</v>
      </c>
      <c r="E160" s="647" t="str">
        <f t="shared" ref="E160:E161" si="57">E144</f>
        <v>Heat Pump Water Heater replacing 98% Efficiency, ≤55 gal, medium draw</v>
      </c>
      <c r="F160" s="473">
        <v>0.98</v>
      </c>
      <c r="G160" s="1684">
        <v>4</v>
      </c>
      <c r="H160" s="1685">
        <f t="shared" ref="H160:H161" si="58">558*I160</f>
        <v>27900</v>
      </c>
      <c r="I160" s="1686">
        <v>50</v>
      </c>
      <c r="J160" s="468">
        <v>8.33</v>
      </c>
      <c r="K160" s="1687">
        <v>125</v>
      </c>
      <c r="L160" s="471">
        <v>59.3</v>
      </c>
      <c r="M160" s="1618">
        <f t="shared" ref="M160:M161" si="59">((((1-1/G160)*H160*J160*(K160-L160)*1)*1*0.53*3)/(O160*3412))*1</f>
        <v>1358.8395022947764</v>
      </c>
      <c r="N160" s="1618">
        <f t="shared" ref="N160:N161" si="60">((((1-1/G160)*H160*J160*(K160-L160)*1)*Q160*0.43)/(P160*3412))*S160</f>
        <v>1443.2290790592028</v>
      </c>
      <c r="O160" s="1780">
        <f t="shared" si="55"/>
        <v>3.9273153575615476</v>
      </c>
      <c r="P160" s="1781">
        <v>1</v>
      </c>
      <c r="Q160" s="1679">
        <v>1</v>
      </c>
      <c r="R160" s="1684">
        <v>1</v>
      </c>
      <c r="S160" s="1684">
        <v>1</v>
      </c>
      <c r="V160" s="1285" t="s">
        <v>239</v>
      </c>
      <c r="W160" s="53"/>
      <c r="X160" s="53"/>
      <c r="Y160" s="53"/>
      <c r="Z160" s="53"/>
      <c r="AA160" s="53"/>
      <c r="AB160" s="52"/>
      <c r="AC160" s="692"/>
      <c r="AD160" s="692"/>
      <c r="AE160" s="692"/>
      <c r="AF160" s="295">
        <v>4</v>
      </c>
      <c r="AG160" s="295">
        <v>4</v>
      </c>
      <c r="AH160"/>
      <c r="AI160" s="1311" t="s">
        <v>244</v>
      </c>
      <c r="AJ160" s="25"/>
      <c r="AK160" s="25"/>
      <c r="AL160" s="25"/>
      <c r="AM160" s="618"/>
      <c r="AN160" s="618"/>
      <c r="AO160" s="16"/>
      <c r="AP160" s="16"/>
      <c r="AQ160" s="16"/>
      <c r="AR160" s="16"/>
      <c r="AS160" s="112">
        <v>59.3</v>
      </c>
      <c r="AT160" s="17">
        <v>59.3</v>
      </c>
      <c r="AV160" s="1311" t="s">
        <v>247</v>
      </c>
      <c r="AW160" s="673"/>
      <c r="AX160" s="673"/>
      <c r="AY160" s="673"/>
      <c r="AZ160" s="673"/>
      <c r="BA160" s="673"/>
      <c r="BB160" s="725"/>
      <c r="BC160" s="725"/>
      <c r="BD160" s="725"/>
      <c r="BE160" s="725"/>
      <c r="BF160" s="646">
        <v>3.9273153575615476</v>
      </c>
      <c r="BG160" s="185">
        <v>3.9273153575615476</v>
      </c>
      <c r="BI160" s="1311" t="s">
        <v>248</v>
      </c>
      <c r="BJ160" s="673"/>
      <c r="BK160" s="673"/>
      <c r="BL160" s="673"/>
      <c r="BM160" s="673"/>
      <c r="BN160" s="673"/>
      <c r="BO160" s="725"/>
      <c r="BP160" s="725"/>
      <c r="BQ160" s="725"/>
      <c r="BR160" s="725"/>
      <c r="BS160" s="646">
        <v>1</v>
      </c>
      <c r="BT160" s="185">
        <v>1</v>
      </c>
    </row>
    <row r="161" spans="1:118" outlineLevel="1" x14ac:dyDescent="0.25">
      <c r="D161" s="647" t="str">
        <f t="shared" si="56"/>
        <v>802460_2024_12_</v>
      </c>
      <c r="E161" s="647" t="str">
        <f t="shared" si="57"/>
        <v>Heat Pump Water Heater replacing 98% Efficiency, &gt;55 gal and ≤ 120 gal, medium draw</v>
      </c>
      <c r="F161" s="473">
        <v>0.98</v>
      </c>
      <c r="G161" s="1684">
        <v>4</v>
      </c>
      <c r="H161" s="1685">
        <f t="shared" si="58"/>
        <v>41850</v>
      </c>
      <c r="I161" s="1686">
        <v>75</v>
      </c>
      <c r="J161" s="468">
        <v>8.33</v>
      </c>
      <c r="K161" s="1687">
        <v>125</v>
      </c>
      <c r="L161" s="471">
        <v>59.3</v>
      </c>
      <c r="M161" s="1618">
        <f t="shared" si="59"/>
        <v>2038.259253442164</v>
      </c>
      <c r="N161" s="1618">
        <f t="shared" si="60"/>
        <v>2164.843618588804</v>
      </c>
      <c r="O161" s="1780">
        <f t="shared" si="55"/>
        <v>3.9273153575615476</v>
      </c>
      <c r="P161" s="1781">
        <v>1</v>
      </c>
      <c r="Q161" s="1679">
        <v>1</v>
      </c>
      <c r="R161" s="1684">
        <v>1</v>
      </c>
      <c r="S161" s="1684">
        <v>1</v>
      </c>
      <c r="V161" s="1285" t="s">
        <v>239</v>
      </c>
      <c r="W161" s="53"/>
      <c r="X161" s="53"/>
      <c r="Y161" s="53"/>
      <c r="Z161" s="53"/>
      <c r="AA161" s="53"/>
      <c r="AB161" s="52"/>
      <c r="AC161" s="692"/>
      <c r="AD161" s="692"/>
      <c r="AE161" s="692"/>
      <c r="AF161" s="295">
        <v>4</v>
      </c>
      <c r="AG161" s="295">
        <v>4</v>
      </c>
      <c r="AH161"/>
      <c r="AI161" s="1311" t="s">
        <v>244</v>
      </c>
      <c r="AJ161" s="25"/>
      <c r="AK161" s="25"/>
      <c r="AL161" s="25"/>
      <c r="AM161" s="618"/>
      <c r="AN161" s="618"/>
      <c r="AO161" s="16"/>
      <c r="AP161" s="16"/>
      <c r="AQ161" s="16"/>
      <c r="AR161" s="16"/>
      <c r="AS161" s="112">
        <v>59.3</v>
      </c>
      <c r="AT161" s="17">
        <v>59.3</v>
      </c>
      <c r="AV161" s="1311" t="s">
        <v>247</v>
      </c>
      <c r="AW161" s="673"/>
      <c r="AX161" s="673"/>
      <c r="AY161" s="673"/>
      <c r="AZ161" s="673"/>
      <c r="BA161" s="673"/>
      <c r="BB161" s="725"/>
      <c r="BC161" s="725"/>
      <c r="BD161" s="725"/>
      <c r="BE161" s="725"/>
      <c r="BF161" s="646">
        <v>3.9273153575615476</v>
      </c>
      <c r="BG161" s="185">
        <v>3.9273153575615476</v>
      </c>
      <c r="BI161" s="1311" t="s">
        <v>248</v>
      </c>
      <c r="BJ161" s="673"/>
      <c r="BK161" s="673"/>
      <c r="BL161" s="673"/>
      <c r="BM161" s="673"/>
      <c r="BN161" s="673"/>
      <c r="BO161" s="725"/>
      <c r="BP161" s="725"/>
      <c r="BQ161" s="725"/>
      <c r="BR161" s="725"/>
      <c r="BS161" s="646">
        <v>1</v>
      </c>
      <c r="BT161" s="185">
        <v>1</v>
      </c>
    </row>
    <row r="162" spans="1:118" x14ac:dyDescent="0.25">
      <c r="F162" s="1607" t="s">
        <v>252</v>
      </c>
      <c r="G162" s="1619" t="s">
        <v>253</v>
      </c>
      <c r="H162" s="1620" t="s">
        <v>254</v>
      </c>
      <c r="I162" s="1607"/>
      <c r="J162" s="1607"/>
      <c r="K162" s="1607"/>
      <c r="L162" s="1607" t="s">
        <v>255</v>
      </c>
      <c r="M162" s="1607"/>
      <c r="N162" s="1607"/>
      <c r="O162" s="1607" t="s">
        <v>256</v>
      </c>
      <c r="P162" s="1607" t="s">
        <v>257</v>
      </c>
      <c r="Q162" s="1607" t="s">
        <v>258</v>
      </c>
      <c r="R162" s="1607"/>
      <c r="S162" s="1607"/>
    </row>
    <row r="164" spans="1:118" s="7" customFormat="1" x14ac:dyDescent="0.25">
      <c r="A164" s="247"/>
      <c r="B164" s="2308" t="s">
        <v>259</v>
      </c>
      <c r="C164" s="2309"/>
      <c r="D164" s="2309"/>
      <c r="E164" s="2309"/>
      <c r="F164" s="2309"/>
      <c r="G164" s="2309"/>
      <c r="H164" s="2309"/>
      <c r="I164" s="2310"/>
      <c r="J164" s="2310"/>
      <c r="K164" s="2310"/>
      <c r="L164" s="2310"/>
      <c r="M164" s="2311"/>
      <c r="N164" s="2311"/>
      <c r="O164" s="2312"/>
      <c r="V164" s="1234" t="str">
        <f>B164</f>
        <v>Pool Pump</v>
      </c>
      <c r="W164" s="1235"/>
      <c r="X164" s="1235"/>
      <c r="Y164" s="1235"/>
      <c r="Z164" s="1235"/>
      <c r="AA164" s="1235"/>
      <c r="AB164" s="1235"/>
      <c r="AC164" s="1235"/>
      <c r="AD164" s="1235"/>
      <c r="AE164" s="1235"/>
      <c r="AF164" s="1235"/>
      <c r="AG164" s="1235"/>
      <c r="AH164" s="1235"/>
      <c r="AI164" s="1269"/>
      <c r="AJ164" s="2"/>
      <c r="AK164" s="2"/>
      <c r="AL164" s="2"/>
      <c r="AM164" s="2"/>
      <c r="AN164" s="2"/>
      <c r="AO164" s="2"/>
      <c r="AP164" s="2"/>
      <c r="AQ164" s="2"/>
      <c r="AR164" s="2"/>
      <c r="AS164" s="2"/>
      <c r="AT164" s="2"/>
      <c r="AU164" s="2"/>
      <c r="AV164" s="2"/>
      <c r="BG164" s="2"/>
      <c r="DI164" s="2"/>
      <c r="DJ164" s="2"/>
      <c r="DK164" s="23"/>
      <c r="DN164" s="2031"/>
    </row>
    <row r="165" spans="1:118" x14ac:dyDescent="0.25">
      <c r="D165" s="439"/>
      <c r="E165" s="7"/>
      <c r="F165" s="7"/>
      <c r="G165" s="7"/>
      <c r="H165" s="440"/>
      <c r="I165" s="7"/>
      <c r="J165" s="7"/>
      <c r="K165" s="7"/>
      <c r="L165" s="7"/>
      <c r="P165" s="7"/>
      <c r="Q165" s="7"/>
      <c r="R165" s="7"/>
      <c r="S165" s="7"/>
      <c r="T165" s="7"/>
      <c r="U165" s="7"/>
      <c r="V165"/>
      <c r="W165"/>
      <c r="X165"/>
      <c r="Y165"/>
      <c r="Z165"/>
      <c r="AA165"/>
      <c r="AB165"/>
      <c r="AC165"/>
      <c r="AD165"/>
      <c r="AE165"/>
      <c r="AF165"/>
      <c r="AG165"/>
      <c r="AH165"/>
      <c r="AI165"/>
      <c r="AJ165" s="6"/>
      <c r="AK165" s="6"/>
      <c r="AL165" s="6"/>
      <c r="AM165" s="6"/>
      <c r="AN165" s="6"/>
      <c r="AO165" s="6"/>
      <c r="AP165" s="6"/>
      <c r="AQ165" s="6"/>
      <c r="AR165" s="6"/>
      <c r="AS165" s="6"/>
      <c r="AT165" s="6"/>
      <c r="AU165" s="6"/>
      <c r="AV165" s="6"/>
      <c r="BG165" s="6"/>
      <c r="DK165" s="989" t="s">
        <v>260</v>
      </c>
    </row>
    <row r="166" spans="1:118" s="8" customFormat="1" ht="30" x14ac:dyDescent="0.25">
      <c r="A166" s="247"/>
      <c r="B166" s="64"/>
      <c r="C166" s="9" t="s">
        <v>43</v>
      </c>
      <c r="D166" s="1301" t="s">
        <v>44</v>
      </c>
      <c r="E166" s="1301" t="s">
        <v>45</v>
      </c>
      <c r="F166" s="1301" t="s">
        <v>261</v>
      </c>
      <c r="G166" s="1301" t="s">
        <v>47</v>
      </c>
      <c r="H166" s="10" t="s">
        <v>48</v>
      </c>
      <c r="I166" s="1301" t="s">
        <v>49</v>
      </c>
      <c r="J166" s="1301" t="s">
        <v>50</v>
      </c>
      <c r="K166" s="9" t="s">
        <v>51</v>
      </c>
      <c r="L166" s="9" t="s">
        <v>52</v>
      </c>
      <c r="M166" s="247"/>
      <c r="N166" s="247"/>
      <c r="O166" s="247"/>
      <c r="P166" s="115"/>
      <c r="Q166" s="115"/>
      <c r="R166" s="115"/>
      <c r="S166" s="115"/>
      <c r="T166" s="115"/>
      <c r="U166" s="115"/>
      <c r="V166" s="636" t="s">
        <v>53</v>
      </c>
      <c r="W166" s="637">
        <f>$W$8</f>
        <v>43252</v>
      </c>
      <c r="X166" s="637">
        <f>$X$8</f>
        <v>43465</v>
      </c>
      <c r="Y166" s="637">
        <f>$Y$8</f>
        <v>43800</v>
      </c>
      <c r="Z166" s="637">
        <f>$Z$8</f>
        <v>43862</v>
      </c>
      <c r="AA166" s="637">
        <f>$AA$8</f>
        <v>44013</v>
      </c>
      <c r="AB166" s="637">
        <v>44166</v>
      </c>
      <c r="AC166" s="637">
        <f>$AC$8</f>
        <v>44531</v>
      </c>
      <c r="AD166" s="637">
        <f>$AD$8</f>
        <v>44774</v>
      </c>
      <c r="AE166" s="637">
        <f>$AE$8</f>
        <v>45142</v>
      </c>
      <c r="AF166" s="637">
        <f>$AF$8</f>
        <v>45672</v>
      </c>
      <c r="AG166" s="637">
        <f>$AG$8</f>
        <v>45971</v>
      </c>
      <c r="AH166"/>
      <c r="AI166" s="636" t="s">
        <v>53</v>
      </c>
      <c r="AJ166" s="637">
        <v>43252</v>
      </c>
      <c r="AK166" s="637">
        <f>$X$8</f>
        <v>43465</v>
      </c>
      <c r="AL166" s="637">
        <f>$Y$8</f>
        <v>43800</v>
      </c>
      <c r="AM166" s="637">
        <f>$Z$8</f>
        <v>43862</v>
      </c>
      <c r="AN166" s="637">
        <f>$AA$8</f>
        <v>44013</v>
      </c>
      <c r="AO166" s="637">
        <f>$AB$8</f>
        <v>44166</v>
      </c>
      <c r="AP166" s="637">
        <f>$AC$8</f>
        <v>44531</v>
      </c>
      <c r="AQ166" s="637">
        <f>$AD$8</f>
        <v>44774</v>
      </c>
      <c r="AR166" s="637">
        <f>$AE$8</f>
        <v>45142</v>
      </c>
      <c r="AS166" s="637">
        <f>$AF$8</f>
        <v>45672</v>
      </c>
      <c r="AT166" s="637">
        <f>$AT$8</f>
        <v>45971</v>
      </c>
      <c r="AU166" s="2"/>
      <c r="AV166" s="636" t="s">
        <v>53</v>
      </c>
      <c r="AW166" s="637">
        <v>43252</v>
      </c>
      <c r="AX166" s="637">
        <f>$X$8</f>
        <v>43465</v>
      </c>
      <c r="AY166" s="637">
        <f>$Y$8</f>
        <v>43800</v>
      </c>
      <c r="AZ166" s="637">
        <f>$Z$8</f>
        <v>43862</v>
      </c>
      <c r="BA166" s="637">
        <f>$AA$8</f>
        <v>44013</v>
      </c>
      <c r="BB166" s="637">
        <v>44166</v>
      </c>
      <c r="BC166" s="637">
        <f>$AC$8</f>
        <v>44531</v>
      </c>
      <c r="BD166" s="637">
        <f>$AD$8</f>
        <v>44774</v>
      </c>
      <c r="BE166" s="637">
        <f>$AE$8</f>
        <v>45142</v>
      </c>
      <c r="BF166" s="637">
        <f>$AF$8</f>
        <v>45672</v>
      </c>
      <c r="BG166" s="637">
        <f>$AT$8</f>
        <v>45971</v>
      </c>
      <c r="DI166" s="2"/>
      <c r="DJ166" s="2"/>
      <c r="DK166" s="991" t="str">
        <f>$DK$8</f>
        <v>TRC (2025)</v>
      </c>
      <c r="DL166" s="761" t="str">
        <f>$DL$8</f>
        <v>Benefit Lookup</v>
      </c>
      <c r="DM166" s="761" t="str">
        <f>$DM$8</f>
        <v>Benefits (2025 $)</v>
      </c>
      <c r="DN166" s="2034" t="str">
        <f>$DN$8</f>
        <v>Incremental Cost (2025 $)</v>
      </c>
    </row>
    <row r="167" spans="1:118" x14ac:dyDescent="0.25">
      <c r="A167" s="2005" t="s">
        <v>58</v>
      </c>
      <c r="B167" s="247">
        <f t="shared" ref="B167" si="61">VALUE(LEFT(C167,6))</f>
        <v>802600</v>
      </c>
      <c r="C167" s="656" t="s">
        <v>262</v>
      </c>
      <c r="D167" s="1972" t="s">
        <v>60</v>
      </c>
      <c r="E167" s="458" t="s">
        <v>263</v>
      </c>
      <c r="F167" s="399">
        <f>ROUND(1747*F177,2)</f>
        <v>1747</v>
      </c>
      <c r="G167" s="441" t="s">
        <v>264</v>
      </c>
      <c r="H167" s="442">
        <f>VLOOKUP(G167,'CP FACTORS'!$A$26:$B$38,2,FALSE)</f>
        <v>1.379439E-4</v>
      </c>
      <c r="I167" s="459">
        <f>ROUND(H167*F167,6)</f>
        <v>0.24098800000000001</v>
      </c>
      <c r="J167" s="475">
        <v>10</v>
      </c>
      <c r="K167" s="1683">
        <f>200*F177+46</f>
        <v>246</v>
      </c>
      <c r="L167" s="443" t="s">
        <v>265</v>
      </c>
      <c r="M167" s="801"/>
      <c r="N167" s="801"/>
      <c r="O167" s="801"/>
      <c r="V167" s="1285" t="s">
        <v>46</v>
      </c>
      <c r="W167" s="53">
        <v>1747</v>
      </c>
      <c r="X167" s="53">
        <v>1747</v>
      </c>
      <c r="Y167" s="53">
        <v>1747</v>
      </c>
      <c r="Z167" s="53">
        <v>1747</v>
      </c>
      <c r="AA167" s="53">
        <v>1747</v>
      </c>
      <c r="AB167" s="52">
        <v>1747</v>
      </c>
      <c r="AC167" s="692">
        <v>1747</v>
      </c>
      <c r="AD167" s="692">
        <v>1747</v>
      </c>
      <c r="AE167" s="692">
        <v>1747</v>
      </c>
      <c r="AF167" s="253">
        <v>1747</v>
      </c>
      <c r="AG167" s="52">
        <v>1747</v>
      </c>
      <c r="AH167"/>
      <c r="AI167" s="1311" t="s">
        <v>50</v>
      </c>
      <c r="AJ167" s="674">
        <v>15</v>
      </c>
      <c r="AK167" s="674">
        <v>15</v>
      </c>
      <c r="AL167" s="674">
        <v>15</v>
      </c>
      <c r="AM167" s="674">
        <v>15</v>
      </c>
      <c r="AN167" s="674">
        <v>15</v>
      </c>
      <c r="AO167" s="16">
        <v>15</v>
      </c>
      <c r="AP167" s="638">
        <v>10</v>
      </c>
      <c r="AQ167" s="53">
        <v>10</v>
      </c>
      <c r="AR167" s="52">
        <v>10</v>
      </c>
      <c r="AS167" s="52">
        <v>10</v>
      </c>
      <c r="AT167" s="52">
        <v>10</v>
      </c>
      <c r="AV167" s="1311" t="s">
        <v>51</v>
      </c>
      <c r="AW167" s="672">
        <v>246</v>
      </c>
      <c r="AX167" s="672">
        <v>246</v>
      </c>
      <c r="AY167" s="672">
        <v>246</v>
      </c>
      <c r="AZ167" s="672">
        <v>246</v>
      </c>
      <c r="BA167" s="672">
        <v>246</v>
      </c>
      <c r="BB167" s="725">
        <v>246</v>
      </c>
      <c r="BC167" s="725">
        <v>246</v>
      </c>
      <c r="BD167" s="725">
        <v>246</v>
      </c>
      <c r="BE167" s="725">
        <v>246</v>
      </c>
      <c r="BF167" s="725">
        <v>246</v>
      </c>
      <c r="BG167" s="725">
        <v>246</v>
      </c>
      <c r="DK167" s="998">
        <f>(DM167)/(DN167)</f>
        <v>3.786650095230387</v>
      </c>
      <c r="DL167" s="1272" t="str">
        <f>CONCATENATE(G167," ",J167," Year EUL")</f>
        <v>Motors BUS 10 Year EUL</v>
      </c>
      <c r="DM167" s="999">
        <f>(INDEX('Avoided Cost Benefits'!$B$4:$B$865,MATCH(DL167,'Avoided Cost Benefits'!$A$4:$A$865,0)))*F167</f>
        <v>931.51592342667516</v>
      </c>
      <c r="DN167" s="2037">
        <f>IFERROR(K167/((1+DiscountRate)^(CurrentYear-DiscountYear)),0)</f>
        <v>246</v>
      </c>
    </row>
    <row r="168" spans="1:118" outlineLevel="1" x14ac:dyDescent="0.25">
      <c r="D168" s="74" t="s">
        <v>95</v>
      </c>
      <c r="E168" s="108" t="s">
        <v>266</v>
      </c>
      <c r="F168" s="1622" t="s">
        <v>267</v>
      </c>
      <c r="G168" s="7"/>
      <c r="H168" s="449"/>
      <c r="I168" s="7"/>
      <c r="J168" s="7"/>
      <c r="K168" s="7"/>
      <c r="M168" s="801"/>
      <c r="N168" s="801"/>
      <c r="O168" s="801"/>
      <c r="AG168" s="1954"/>
    </row>
    <row r="169" spans="1:118" outlineLevel="1" x14ac:dyDescent="0.25">
      <c r="D169" s="7" t="s">
        <v>97</v>
      </c>
      <c r="E169" s="7"/>
      <c r="F169" s="7"/>
      <c r="G169" s="7"/>
      <c r="H169" s="449"/>
      <c r="I169" s="7"/>
      <c r="J169" s="7"/>
      <c r="K169" s="7"/>
      <c r="M169" s="801"/>
      <c r="N169" s="801"/>
      <c r="O169" s="801"/>
      <c r="AG169" s="1954"/>
    </row>
    <row r="170" spans="1:118" outlineLevel="1" x14ac:dyDescent="0.25">
      <c r="D170" s="450"/>
      <c r="G170" s="247"/>
      <c r="H170" s="451"/>
      <c r="M170" s="801"/>
      <c r="N170" s="801"/>
      <c r="O170" s="801"/>
      <c r="AG170" s="1954"/>
    </row>
    <row r="171" spans="1:118" outlineLevel="1" x14ac:dyDescent="0.25">
      <c r="D171" s="450"/>
      <c r="G171" s="247"/>
      <c r="H171" s="451"/>
      <c r="M171" s="801"/>
      <c r="N171" s="801"/>
      <c r="O171" s="801"/>
      <c r="AG171" s="1954"/>
    </row>
    <row r="172" spans="1:118" outlineLevel="1" x14ac:dyDescent="0.25">
      <c r="D172" s="450"/>
      <c r="G172" s="247"/>
      <c r="H172" s="451"/>
      <c r="M172" s="7"/>
      <c r="AG172" s="1954"/>
    </row>
    <row r="173" spans="1:118" outlineLevel="1" x14ac:dyDescent="0.25">
      <c r="D173" s="450"/>
      <c r="G173" s="247"/>
      <c r="H173" s="451"/>
      <c r="M173" s="7"/>
      <c r="AG173" s="1954"/>
    </row>
    <row r="174" spans="1:118" outlineLevel="1" x14ac:dyDescent="0.25">
      <c r="D174" s="450"/>
      <c r="G174" s="247"/>
      <c r="H174" s="451"/>
      <c r="M174" s="7"/>
      <c r="AG174" s="1954"/>
    </row>
    <row r="175" spans="1:118" outlineLevel="1" x14ac:dyDescent="0.25">
      <c r="D175" s="450"/>
      <c r="G175" s="247"/>
      <c r="H175" s="451"/>
      <c r="AG175" s="1954"/>
    </row>
    <row r="176" spans="1:118" s="8" customFormat="1" outlineLevel="1" x14ac:dyDescent="0.25">
      <c r="A176" s="247"/>
      <c r="B176" s="115"/>
      <c r="C176" s="64"/>
      <c r="D176" s="9" t="s">
        <v>43</v>
      </c>
      <c r="E176" s="1236" t="s">
        <v>173</v>
      </c>
      <c r="F176" s="1236" t="s">
        <v>268</v>
      </c>
      <c r="G176" s="115"/>
      <c r="H176" s="115"/>
      <c r="I176" s="64"/>
      <c r="J176" s="115"/>
      <c r="K176" s="115"/>
      <c r="L176" s="115"/>
      <c r="M176" s="115"/>
      <c r="N176" s="115"/>
      <c r="O176" s="115"/>
      <c r="P176" s="115"/>
      <c r="Q176" s="115"/>
      <c r="R176" s="115"/>
      <c r="S176" s="115"/>
      <c r="T176" s="115"/>
      <c r="U176" s="115"/>
      <c r="V176" s="2"/>
      <c r="W176" s="2"/>
      <c r="X176" s="2"/>
      <c r="Y176" s="2"/>
      <c r="Z176" s="2"/>
      <c r="AA176" s="2"/>
      <c r="AB176" s="2"/>
      <c r="AC176" s="2"/>
      <c r="AD176" s="2"/>
      <c r="AE176" s="2"/>
      <c r="AF176" s="2"/>
      <c r="AG176" s="1954"/>
      <c r="AH176" s="2"/>
      <c r="DI176" s="2"/>
      <c r="DJ176" s="2"/>
      <c r="DK176" s="996"/>
      <c r="DL176" s="115"/>
      <c r="DM176" s="115"/>
      <c r="DN176" s="499"/>
    </row>
    <row r="177" spans="1:118" outlineLevel="1" x14ac:dyDescent="0.25">
      <c r="D177" s="647" t="str">
        <f>C167</f>
        <v>802600_2019_12_</v>
      </c>
      <c r="E177" s="647" t="str">
        <f>E167</f>
        <v>Pool Pump w/ Variable Frequency Drive per HP</v>
      </c>
      <c r="F177" s="1692">
        <v>1</v>
      </c>
      <c r="H177" s="247"/>
      <c r="AG177" s="1954"/>
    </row>
    <row r="178" spans="1:118" x14ac:dyDescent="0.25">
      <c r="AG178" s="1954"/>
    </row>
    <row r="179" spans="1:118" x14ac:dyDescent="0.25">
      <c r="AG179" s="1954"/>
    </row>
    <row r="180" spans="1:118" s="7" customFormat="1" x14ac:dyDescent="0.25">
      <c r="A180" s="247"/>
      <c r="B180" s="2308" t="s">
        <v>269</v>
      </c>
      <c r="C180" s="2309"/>
      <c r="D180" s="2309"/>
      <c r="E180" s="2309"/>
      <c r="F180" s="2309"/>
      <c r="G180" s="2309"/>
      <c r="H180" s="2309"/>
      <c r="I180" s="2310"/>
      <c r="J180" s="2310"/>
      <c r="K180" s="2310"/>
      <c r="L180" s="2310"/>
      <c r="M180" s="2311"/>
      <c r="N180" s="2311"/>
      <c r="O180" s="2312"/>
      <c r="V180" s="1234" t="str">
        <f>B180</f>
        <v>Steam Cookers</v>
      </c>
      <c r="W180" s="1235"/>
      <c r="X180" s="1235"/>
      <c r="Y180" s="1235"/>
      <c r="Z180" s="1235"/>
      <c r="AA180" s="1235"/>
      <c r="AB180" s="1235"/>
      <c r="AC180" s="1235"/>
      <c r="AD180" s="1235"/>
      <c r="AE180" s="1235"/>
      <c r="AF180" s="1235"/>
      <c r="AG180" s="1955"/>
      <c r="AH180" s="1235"/>
      <c r="AI180" s="1269"/>
      <c r="AJ180" s="2"/>
      <c r="AK180" s="2"/>
      <c r="AL180" s="2"/>
      <c r="AM180" s="2"/>
      <c r="AN180" s="2"/>
      <c r="AO180" s="2"/>
      <c r="AP180" s="2"/>
      <c r="AQ180" s="2"/>
      <c r="AR180" s="2"/>
      <c r="AS180" s="2"/>
      <c r="AT180" s="2"/>
      <c r="AU180" s="2"/>
      <c r="AV180" s="2"/>
      <c r="BG180" s="2"/>
      <c r="DI180" s="2"/>
      <c r="DJ180" s="2"/>
      <c r="DK180" s="23"/>
      <c r="DN180" s="2031"/>
    </row>
    <row r="181" spans="1:118" x14ac:dyDescent="0.25">
      <c r="D181" s="439"/>
      <c r="E181" s="7"/>
      <c r="F181" s="7"/>
      <c r="G181" s="7"/>
      <c r="H181" s="440"/>
      <c r="I181" s="7"/>
      <c r="J181" s="7"/>
      <c r="K181" s="7"/>
      <c r="L181" s="7"/>
      <c r="P181" s="7"/>
      <c r="Q181" s="7"/>
      <c r="R181" s="7"/>
      <c r="S181" s="7"/>
      <c r="T181" s="7"/>
      <c r="U181" s="7"/>
      <c r="V181"/>
      <c r="W181"/>
      <c r="X181"/>
      <c r="Y181"/>
      <c r="Z181"/>
      <c r="AA181"/>
      <c r="AB181"/>
      <c r="AC181"/>
      <c r="AD181"/>
      <c r="AE181"/>
      <c r="AF181"/>
      <c r="AG181" s="1938"/>
      <c r="AH181"/>
      <c r="AI181"/>
      <c r="AJ181" s="6"/>
      <c r="AK181" s="6"/>
      <c r="AL181" s="6"/>
      <c r="AM181" s="6"/>
      <c r="AN181" s="6"/>
      <c r="AO181" s="6"/>
      <c r="AP181" s="6"/>
      <c r="AQ181" s="6"/>
      <c r="AR181" s="6"/>
      <c r="AS181" s="6"/>
      <c r="AT181" s="6"/>
      <c r="AU181" s="6"/>
      <c r="AV181" s="6"/>
      <c r="BG181" s="6"/>
    </row>
    <row r="182" spans="1:118" s="8" customFormat="1" ht="30" x14ac:dyDescent="0.25">
      <c r="A182" s="247"/>
      <c r="B182" s="64"/>
      <c r="C182" s="9" t="s">
        <v>43</v>
      </c>
      <c r="D182" s="1301" t="s">
        <v>44</v>
      </c>
      <c r="E182" s="1301" t="s">
        <v>45</v>
      </c>
      <c r="F182" s="1301" t="s">
        <v>46</v>
      </c>
      <c r="G182" s="1301" t="s">
        <v>47</v>
      </c>
      <c r="H182" s="10" t="s">
        <v>48</v>
      </c>
      <c r="I182" s="1301" t="s">
        <v>49</v>
      </c>
      <c r="J182" s="1301" t="s">
        <v>50</v>
      </c>
      <c r="K182" s="9" t="s">
        <v>51</v>
      </c>
      <c r="L182" s="9" t="s">
        <v>52</v>
      </c>
      <c r="M182" s="9" t="s">
        <v>270</v>
      </c>
      <c r="N182" s="9" t="s">
        <v>271</v>
      </c>
      <c r="O182" s="9" t="s">
        <v>272</v>
      </c>
      <c r="P182" s="9" t="s">
        <v>273</v>
      </c>
      <c r="Q182" s="9" t="s">
        <v>274</v>
      </c>
      <c r="R182" s="9" t="s">
        <v>275</v>
      </c>
      <c r="S182" s="9" t="s">
        <v>217</v>
      </c>
      <c r="T182" s="9" t="s">
        <v>276</v>
      </c>
      <c r="U182" s="9" t="s">
        <v>277</v>
      </c>
      <c r="V182" s="636" t="s">
        <v>53</v>
      </c>
      <c r="W182" s="637">
        <f>$W$8</f>
        <v>43252</v>
      </c>
      <c r="X182" s="637">
        <f>$X$8</f>
        <v>43465</v>
      </c>
      <c r="Y182" s="637">
        <f>$Y$8</f>
        <v>43800</v>
      </c>
      <c r="Z182" s="637">
        <f>$Z$8</f>
        <v>43862</v>
      </c>
      <c r="AA182" s="637">
        <f>$AA$8</f>
        <v>44013</v>
      </c>
      <c r="AB182" s="637">
        <v>44166</v>
      </c>
      <c r="AC182" s="637">
        <f>$AC$8</f>
        <v>44531</v>
      </c>
      <c r="AD182" s="637">
        <f>$AD$8</f>
        <v>44774</v>
      </c>
      <c r="AE182" s="637">
        <f>$AE$8</f>
        <v>45142</v>
      </c>
      <c r="AF182" s="637">
        <v>45672</v>
      </c>
      <c r="AG182" s="637">
        <f>$AG$8</f>
        <v>45971</v>
      </c>
      <c r="AH182"/>
      <c r="AI182" s="636" t="s">
        <v>53</v>
      </c>
      <c r="AJ182" s="637">
        <v>43252</v>
      </c>
      <c r="AK182" s="637">
        <f>$X$8</f>
        <v>43465</v>
      </c>
      <c r="AL182" s="637">
        <f>$Y$8</f>
        <v>43800</v>
      </c>
      <c r="AM182" s="637">
        <f>$Z$8</f>
        <v>43862</v>
      </c>
      <c r="AN182" s="637">
        <f>$AA$8</f>
        <v>44013</v>
      </c>
      <c r="AO182" s="637">
        <f>$AB$8</f>
        <v>44166</v>
      </c>
      <c r="AP182" s="637">
        <f>$AC$8</f>
        <v>44531</v>
      </c>
      <c r="AQ182" s="637">
        <f>$AD$8</f>
        <v>44774</v>
      </c>
      <c r="AR182" s="637">
        <f>$AE$8</f>
        <v>45142</v>
      </c>
      <c r="AS182" s="637">
        <f>$AF$8</f>
        <v>45672</v>
      </c>
      <c r="AT182" s="637">
        <f>$AG$8</f>
        <v>45971</v>
      </c>
      <c r="AU182" s="2"/>
      <c r="AV182" s="636" t="s">
        <v>53</v>
      </c>
      <c r="AW182" s="637">
        <v>43252</v>
      </c>
      <c r="AX182" s="637">
        <f>$X$8</f>
        <v>43465</v>
      </c>
      <c r="AY182" s="637">
        <f>$Y$8</f>
        <v>43800</v>
      </c>
      <c r="AZ182" s="637">
        <f>$Z$8</f>
        <v>43862</v>
      </c>
      <c r="BA182" s="637">
        <f>$AA$8</f>
        <v>44013</v>
      </c>
      <c r="BB182" s="637">
        <v>44166</v>
      </c>
      <c r="BC182" s="637">
        <f>$AC$8</f>
        <v>44531</v>
      </c>
      <c r="BD182" s="637">
        <f>$AD$8</f>
        <v>44774</v>
      </c>
      <c r="BE182" s="637">
        <f>$AE$8</f>
        <v>45142</v>
      </c>
      <c r="BF182" s="637">
        <f>$AF$8</f>
        <v>45672</v>
      </c>
      <c r="BG182" s="637">
        <f>$AT$8</f>
        <v>45971</v>
      </c>
      <c r="DI182" s="2"/>
      <c r="DJ182" s="2"/>
      <c r="DK182" s="991" t="str">
        <f>$DK$8</f>
        <v>TRC (2025)</v>
      </c>
      <c r="DL182" s="761" t="str">
        <f>$DL$8</f>
        <v>Benefit Lookup</v>
      </c>
      <c r="DM182" s="761" t="str">
        <f>$DM$8</f>
        <v>Benefits (2025 $)</v>
      </c>
      <c r="DN182" s="2034" t="str">
        <f>$DN$8</f>
        <v>Incremental Cost (2025 $)</v>
      </c>
    </row>
    <row r="183" spans="1:118" x14ac:dyDescent="0.25">
      <c r="A183" s="2006" t="s">
        <v>112</v>
      </c>
      <c r="B183" s="247">
        <f t="shared" ref="B183:B186" si="62">VALUE(LEFT(C183,6))</f>
        <v>802700</v>
      </c>
      <c r="C183" s="656" t="s">
        <v>278</v>
      </c>
      <c r="D183" s="1972" t="s">
        <v>60</v>
      </c>
      <c r="E183" s="458" t="s">
        <v>279</v>
      </c>
      <c r="F183" s="399">
        <f>ROUND((F197+G197+T197)*H197/1000,2)</f>
        <v>7383.26</v>
      </c>
      <c r="G183" s="441" t="s">
        <v>280</v>
      </c>
      <c r="H183" s="442">
        <f>VLOOKUP(G183,'CP FACTORS'!$A$26:$B$38,2,FALSE)</f>
        <v>1.998949E-4</v>
      </c>
      <c r="I183" s="459">
        <f>ROUND(H183*F183,6)</f>
        <v>1.475876</v>
      </c>
      <c r="J183" s="478">
        <v>12</v>
      </c>
      <c r="K183" s="1782">
        <v>2000</v>
      </c>
      <c r="L183" s="443" t="s">
        <v>63</v>
      </c>
      <c r="M183" s="1648">
        <f>((1-I197)*(J197+I197*L197*N197*(O197/P197))*(R197-S197/(L197*N197)))</f>
        <v>25813.989081545067</v>
      </c>
      <c r="N183" s="1648">
        <f>((1-I197)*(K197+I197*M197*N197*(O197/Q197))*(R197-S197/(M197*N197)))</f>
        <v>9810.6988838323341</v>
      </c>
      <c r="O183" s="1648">
        <f>(S197*(O197/P197))</f>
        <v>10266.666666666668</v>
      </c>
      <c r="P183" s="1648">
        <f>(S197*(O197/Q197))</f>
        <v>6160</v>
      </c>
      <c r="Q183" s="1648">
        <v>1776</v>
      </c>
      <c r="R183" s="1647">
        <v>1671.7</v>
      </c>
      <c r="S183" s="1648">
        <f t="shared" ref="S183:T186" si="63">M183+O183+Q183</f>
        <v>37856.655748211735</v>
      </c>
      <c r="T183" s="1648">
        <f t="shared" si="63"/>
        <v>17642.398883832335</v>
      </c>
      <c r="U183" s="1647">
        <f>(S183-T183)*H197/1000</f>
        <v>7383.2573197145757</v>
      </c>
      <c r="V183" s="1285" t="s">
        <v>46</v>
      </c>
      <c r="W183" s="1632">
        <v>7856.3138680450465</v>
      </c>
      <c r="X183" s="1632">
        <v>7856.3138680450465</v>
      </c>
      <c r="Y183" s="1632">
        <v>7856.3138680450465</v>
      </c>
      <c r="Z183" s="1632">
        <v>7856.3138680450465</v>
      </c>
      <c r="AA183" s="1632">
        <v>7856.3138680450465</v>
      </c>
      <c r="AB183" s="793">
        <v>7856.31</v>
      </c>
      <c r="AC183" s="1634">
        <v>7856.31</v>
      </c>
      <c r="AD183" s="1634">
        <v>7856.31</v>
      </c>
      <c r="AE183" s="1634">
        <v>7856.31</v>
      </c>
      <c r="AF183" s="253">
        <v>7383.26</v>
      </c>
      <c r="AG183" s="52">
        <v>7383.26</v>
      </c>
      <c r="AH183"/>
      <c r="AI183" s="1311" t="s">
        <v>50</v>
      </c>
      <c r="AJ183" s="19">
        <v>12</v>
      </c>
      <c r="AK183" s="19">
        <v>12</v>
      </c>
      <c r="AL183" s="19">
        <v>12</v>
      </c>
      <c r="AM183" s="19">
        <v>12</v>
      </c>
      <c r="AN183" s="19">
        <v>12</v>
      </c>
      <c r="AO183" s="16">
        <v>12</v>
      </c>
      <c r="AP183" s="16">
        <v>12</v>
      </c>
      <c r="AQ183" s="16">
        <v>12</v>
      </c>
      <c r="AR183" s="16">
        <v>12</v>
      </c>
      <c r="AS183" s="16">
        <v>12</v>
      </c>
      <c r="AT183" s="16">
        <v>12</v>
      </c>
      <c r="AV183" s="1311" t="s">
        <v>51</v>
      </c>
      <c r="AW183" s="672">
        <v>4150</v>
      </c>
      <c r="AX183" s="672">
        <v>4150</v>
      </c>
      <c r="AY183" s="672">
        <v>4150</v>
      </c>
      <c r="AZ183" s="672">
        <v>4150</v>
      </c>
      <c r="BA183" s="672">
        <v>4150</v>
      </c>
      <c r="BB183" s="725">
        <v>4150</v>
      </c>
      <c r="BC183" s="725">
        <v>4150</v>
      </c>
      <c r="BD183" s="725">
        <v>4150</v>
      </c>
      <c r="BE183" s="725">
        <v>4150</v>
      </c>
      <c r="BF183" s="1623">
        <v>2000</v>
      </c>
      <c r="BG183" s="1722">
        <f>K183</f>
        <v>2000</v>
      </c>
      <c r="DK183" s="993">
        <f>(DM183)/(DN183)</f>
        <v>2.6007745812285687</v>
      </c>
      <c r="DL183" s="1272" t="str">
        <f>CONCATENATE(G183," ",J183," Year EUL")</f>
        <v>Cooking BUS 12 Year EUL</v>
      </c>
      <c r="DM183" s="181">
        <f>(INDEX('Avoided Cost Benefits'!$B$4:$B$865,MATCH(DL183,'Avoided Cost Benefits'!$A$4:$A$865,0)))*F183</f>
        <v>5201.5491624571378</v>
      </c>
      <c r="DN183" s="2033">
        <f>IFERROR(K183/((1+DiscountRate)^(CurrentYear-DiscountYear)),0)</f>
        <v>2000</v>
      </c>
    </row>
    <row r="184" spans="1:118" x14ac:dyDescent="0.25">
      <c r="A184" s="2006" t="s">
        <v>112</v>
      </c>
      <c r="B184" s="247">
        <f t="shared" si="62"/>
        <v>802750</v>
      </c>
      <c r="C184" s="656" t="s">
        <v>281</v>
      </c>
      <c r="D184" s="1972" t="s">
        <v>60</v>
      </c>
      <c r="E184" s="458" t="s">
        <v>282</v>
      </c>
      <c r="F184" s="399">
        <f>ROUND((F198+G198+T198)*H198/1000,2)</f>
        <v>8568.5499999999993</v>
      </c>
      <c r="G184" s="441" t="s">
        <v>280</v>
      </c>
      <c r="H184" s="442">
        <f>VLOOKUP(G184,'CP FACTORS'!$A$26:$B$38,2,FALSE)</f>
        <v>1.998949E-4</v>
      </c>
      <c r="I184" s="459">
        <f>ROUND(H184*F184,6)</f>
        <v>1.712809</v>
      </c>
      <c r="J184" s="465">
        <v>12</v>
      </c>
      <c r="K184" s="1782">
        <v>2000</v>
      </c>
      <c r="L184" s="443" t="s">
        <v>63</v>
      </c>
      <c r="M184" s="1648">
        <f>((1-I198)*(J198+I198*L198*N198*(O198/P198))*(R198-S198/(L198*N198)))</f>
        <v>32960.843811158797</v>
      </c>
      <c r="N184" s="1648">
        <f>((1-I198)*(K198+I198*M198*N198*(O198/Q198))*(R198-S198/(M198*N198)))</f>
        <v>13712.406495808384</v>
      </c>
      <c r="O184" s="1648">
        <f>(S198*(O198/P198))</f>
        <v>10266.666666666668</v>
      </c>
      <c r="P184" s="1648">
        <f>(S198*(O198/Q198))</f>
        <v>6160</v>
      </c>
      <c r="Q184" s="1648">
        <v>1776</v>
      </c>
      <c r="R184" s="1647">
        <v>1671.7</v>
      </c>
      <c r="S184" s="1648">
        <f t="shared" si="63"/>
        <v>45003.510477825461</v>
      </c>
      <c r="T184" s="1648">
        <f t="shared" si="63"/>
        <v>21544.106495808384</v>
      </c>
      <c r="U184" s="1648">
        <f>(S184-T184)*H198/1000</f>
        <v>8568.5473044317368</v>
      </c>
      <c r="V184" s="1285" t="s">
        <v>46</v>
      </c>
      <c r="W184" s="1632">
        <v>9213.5039339295909</v>
      </c>
      <c r="X184" s="1632">
        <v>9213.5039339295909</v>
      </c>
      <c r="Y184" s="1632">
        <v>9213.5039339295909</v>
      </c>
      <c r="Z184" s="1632">
        <v>9213.5039339295909</v>
      </c>
      <c r="AA184" s="1632">
        <v>9213.5039339295909</v>
      </c>
      <c r="AB184" s="793">
        <v>9213.5</v>
      </c>
      <c r="AC184" s="1634">
        <v>9213.5</v>
      </c>
      <c r="AD184" s="1634">
        <v>9213.5</v>
      </c>
      <c r="AE184" s="1634">
        <v>9213.5</v>
      </c>
      <c r="AF184" s="253">
        <v>8568.5499999999993</v>
      </c>
      <c r="AG184" s="52">
        <v>8568.5499999999993</v>
      </c>
      <c r="AH184"/>
      <c r="AI184" s="1311" t="s">
        <v>50</v>
      </c>
      <c r="AJ184" s="19">
        <v>12</v>
      </c>
      <c r="AK184" s="19">
        <v>12</v>
      </c>
      <c r="AL184" s="19">
        <v>12</v>
      </c>
      <c r="AM184" s="19">
        <v>12</v>
      </c>
      <c r="AN184" s="19">
        <v>12</v>
      </c>
      <c r="AO184" s="16">
        <v>12</v>
      </c>
      <c r="AP184" s="16">
        <v>12</v>
      </c>
      <c r="AQ184" s="16">
        <v>12</v>
      </c>
      <c r="AR184" s="16">
        <v>12</v>
      </c>
      <c r="AS184" s="16">
        <v>12</v>
      </c>
      <c r="AT184" s="16">
        <v>12</v>
      </c>
      <c r="AV184" s="1311" t="s">
        <v>51</v>
      </c>
      <c r="AW184" s="672">
        <v>4150</v>
      </c>
      <c r="AX184" s="672">
        <v>4150</v>
      </c>
      <c r="AY184" s="672">
        <v>4150</v>
      </c>
      <c r="AZ184" s="672">
        <v>4150</v>
      </c>
      <c r="BA184" s="672">
        <v>4150</v>
      </c>
      <c r="BB184" s="725">
        <v>4150</v>
      </c>
      <c r="BC184" s="725">
        <v>4150</v>
      </c>
      <c r="BD184" s="725">
        <v>4150</v>
      </c>
      <c r="BE184" s="725">
        <v>4150</v>
      </c>
      <c r="BF184" s="1623">
        <v>2000</v>
      </c>
      <c r="BG184" s="1722">
        <f t="shared" ref="BG184:BG186" si="64">K184</f>
        <v>2000</v>
      </c>
      <c r="DK184" s="994">
        <f>(DM184)/(DN184)</f>
        <v>3.0182963945446932</v>
      </c>
      <c r="DL184" s="641" t="str">
        <f>CONCATENATE(G184," ",J184," Year EUL")</f>
        <v>Cooking BUS 12 Year EUL</v>
      </c>
      <c r="DM184" s="623">
        <f>(INDEX('Avoided Cost Benefits'!$B$4:$B$865,MATCH(DL184,'Avoided Cost Benefits'!$A$4:$A$865,0)))*F184</f>
        <v>6036.5927890893863</v>
      </c>
      <c r="DN184" s="1928">
        <f>IFERROR(K184/((1+DiscountRate)^(CurrentYear-DiscountYear)),0)</f>
        <v>2000</v>
      </c>
    </row>
    <row r="185" spans="1:118" x14ac:dyDescent="0.25">
      <c r="A185" s="2006" t="s">
        <v>112</v>
      </c>
      <c r="B185" s="247">
        <f t="shared" si="62"/>
        <v>802800</v>
      </c>
      <c r="C185" s="656" t="s">
        <v>283</v>
      </c>
      <c r="D185" s="1972" t="s">
        <v>60</v>
      </c>
      <c r="E185" s="458" t="s">
        <v>284</v>
      </c>
      <c r="F185" s="399">
        <f t="shared" ref="F185:F186" si="65">ROUND((F199+G199+T199)*H199/1000,2)</f>
        <v>9692.98</v>
      </c>
      <c r="G185" s="441" t="s">
        <v>280</v>
      </c>
      <c r="H185" s="442">
        <f>VLOOKUP(G185,'CP FACTORS'!$A$26:$B$38,2,FALSE)</f>
        <v>1.998949E-4</v>
      </c>
      <c r="I185" s="459">
        <f>ROUND(H185*F185,6)</f>
        <v>1.9375770000000001</v>
      </c>
      <c r="J185" s="465">
        <v>12</v>
      </c>
      <c r="K185" s="1782">
        <v>2000</v>
      </c>
      <c r="L185" s="443" t="s">
        <v>63</v>
      </c>
      <c r="M185" s="1648">
        <f>((1-I199)*(J199+I199*L199*N199*(O199/P199))*(R199-S199/(L199*N199)))</f>
        <v>40004.694248927044</v>
      </c>
      <c r="N185" s="1648">
        <f>((1-I199)*(K199+I199*M199*N199*(O199/Q199))*(R199-S199/(M199*N199)))</f>
        <v>17677.730874251498</v>
      </c>
      <c r="O185" s="1648">
        <f>(S199*(O199/P199))</f>
        <v>10266.666666666668</v>
      </c>
      <c r="P185" s="1648">
        <f>(S199*(O199/Q199))</f>
        <v>6160</v>
      </c>
      <c r="Q185" s="1648">
        <v>1776</v>
      </c>
      <c r="R185" s="1647">
        <v>1671.7</v>
      </c>
      <c r="S185" s="1648">
        <f t="shared" si="63"/>
        <v>52047.360915593716</v>
      </c>
      <c r="T185" s="1648">
        <f t="shared" si="63"/>
        <v>25509.430874251499</v>
      </c>
      <c r="U185" s="1648">
        <f>(S185-T185)*H199/1000</f>
        <v>9692.9789476002461</v>
      </c>
      <c r="V185" s="1285" t="s">
        <v>46</v>
      </c>
      <c r="W185" s="1632">
        <v>10512.970851398522</v>
      </c>
      <c r="X185" s="1632">
        <v>10512.970851398522</v>
      </c>
      <c r="Y185" s="1632">
        <v>10512.970851398522</v>
      </c>
      <c r="Z185" s="1632">
        <v>10512.970851398522</v>
      </c>
      <c r="AA185" s="1632">
        <v>10512.970851398522</v>
      </c>
      <c r="AB185" s="793">
        <v>10512.97</v>
      </c>
      <c r="AC185" s="1634">
        <v>10512.97</v>
      </c>
      <c r="AD185" s="1634">
        <v>10512.97</v>
      </c>
      <c r="AE185" s="1634">
        <v>10512.97</v>
      </c>
      <c r="AF185" s="253">
        <v>9692.98</v>
      </c>
      <c r="AG185" s="52">
        <v>9692.98</v>
      </c>
      <c r="AH185"/>
      <c r="AI185" s="1311" t="s">
        <v>50</v>
      </c>
      <c r="AJ185" s="19">
        <v>12</v>
      </c>
      <c r="AK185" s="19">
        <v>12</v>
      </c>
      <c r="AL185" s="19">
        <v>12</v>
      </c>
      <c r="AM185" s="19">
        <v>12</v>
      </c>
      <c r="AN185" s="19">
        <v>12</v>
      </c>
      <c r="AO185" s="16">
        <v>12</v>
      </c>
      <c r="AP185" s="16">
        <v>12</v>
      </c>
      <c r="AQ185" s="16">
        <v>12</v>
      </c>
      <c r="AR185" s="16">
        <v>12</v>
      </c>
      <c r="AS185" s="16">
        <v>12</v>
      </c>
      <c r="AT185" s="16">
        <v>12</v>
      </c>
      <c r="AV185" s="1311" t="s">
        <v>51</v>
      </c>
      <c r="AW185" s="672">
        <v>4150</v>
      </c>
      <c r="AX185" s="672">
        <v>4150</v>
      </c>
      <c r="AY185" s="672">
        <v>4150</v>
      </c>
      <c r="AZ185" s="672">
        <v>4150</v>
      </c>
      <c r="BA185" s="672">
        <v>4150</v>
      </c>
      <c r="BB185" s="725">
        <v>4150</v>
      </c>
      <c r="BC185" s="725">
        <v>4150</v>
      </c>
      <c r="BD185" s="725">
        <v>4150</v>
      </c>
      <c r="BE185" s="725">
        <v>4150</v>
      </c>
      <c r="BF185" s="1623">
        <v>2000</v>
      </c>
      <c r="BG185" s="1722">
        <f t="shared" si="64"/>
        <v>2000</v>
      </c>
      <c r="DK185" s="994">
        <f>(DM185)/(DN185)</f>
        <v>3.4143800977287664</v>
      </c>
      <c r="DL185" s="641" t="str">
        <f>CONCATENATE(G185," ",J185," Year EUL")</f>
        <v>Cooking BUS 12 Year EUL</v>
      </c>
      <c r="DM185" s="623">
        <f>(INDEX('Avoided Cost Benefits'!$B$4:$B$865,MATCH(DL185,'Avoided Cost Benefits'!$A$4:$A$865,0)))*F185</f>
        <v>6828.760195457533</v>
      </c>
      <c r="DN185" s="1928">
        <f>IFERROR(K185/((1+DiscountRate)^(CurrentYear-DiscountYear)),0)</f>
        <v>2000</v>
      </c>
    </row>
    <row r="186" spans="1:118" x14ac:dyDescent="0.25">
      <c r="A186" s="2006" t="s">
        <v>112</v>
      </c>
      <c r="B186" s="247">
        <f t="shared" si="62"/>
        <v>802850</v>
      </c>
      <c r="C186" s="656" t="s">
        <v>285</v>
      </c>
      <c r="D186" s="1972" t="s">
        <v>60</v>
      </c>
      <c r="E186" s="458" t="s">
        <v>286</v>
      </c>
      <c r="F186" s="399">
        <f t="shared" si="65"/>
        <v>10822.05</v>
      </c>
      <c r="G186" s="441" t="s">
        <v>280</v>
      </c>
      <c r="H186" s="442">
        <f>VLOOKUP(G186,'CP FACTORS'!$A$26:$B$38,2,FALSE)</f>
        <v>1.998949E-4</v>
      </c>
      <c r="I186" s="459">
        <f>ROUND(H186*F186,6)</f>
        <v>2.1632729999999998</v>
      </c>
      <c r="J186" s="465">
        <v>12</v>
      </c>
      <c r="K186" s="1782">
        <v>2000</v>
      </c>
      <c r="L186" s="443" t="s">
        <v>63</v>
      </c>
      <c r="M186" s="1648">
        <f>((1-I200)*(J200+I200*L200*N200*(O200/P200))*(R200-S200/(L200*N200)))</f>
        <v>46997.042540772534</v>
      </c>
      <c r="N186" s="1648">
        <f>((1-I200)*(K200+I200*M200*N200*(O200/Q200))*(R200-S200/(M200*N200)))</f>
        <v>21578.839683832332</v>
      </c>
      <c r="O186" s="1648">
        <f>(S200*(O200/P200))</f>
        <v>10266.666666666668</v>
      </c>
      <c r="P186" s="1648">
        <f>(S200*(O200/Q200))</f>
        <v>6160</v>
      </c>
      <c r="Q186" s="1648">
        <v>1776</v>
      </c>
      <c r="R186" s="1647">
        <v>1671.7</v>
      </c>
      <c r="S186" s="1648">
        <f t="shared" si="63"/>
        <v>59039.709207439199</v>
      </c>
      <c r="T186" s="1648">
        <f t="shared" si="63"/>
        <v>29410.539683832332</v>
      </c>
      <c r="U186" s="1648">
        <f>(S186-T186)*H200/1000</f>
        <v>10822.054168497409</v>
      </c>
      <c r="V186" s="1285" t="s">
        <v>46</v>
      </c>
      <c r="W186" s="1632">
        <v>11818.648943162641</v>
      </c>
      <c r="X186" s="1632">
        <v>11818.648943162641</v>
      </c>
      <c r="Y186" s="1632">
        <v>11818.648943162641</v>
      </c>
      <c r="Z186" s="1632">
        <v>11818.648943162641</v>
      </c>
      <c r="AA186" s="1632">
        <v>11818.648943162641</v>
      </c>
      <c r="AB186" s="793">
        <v>11818.65</v>
      </c>
      <c r="AC186" s="1634">
        <v>11818.65</v>
      </c>
      <c r="AD186" s="1634">
        <v>11818.65</v>
      </c>
      <c r="AE186" s="1634">
        <v>11818.65</v>
      </c>
      <c r="AF186" s="253">
        <v>10822.05</v>
      </c>
      <c r="AG186" s="52">
        <v>10822.05</v>
      </c>
      <c r="AH186"/>
      <c r="AI186" s="1311" t="s">
        <v>50</v>
      </c>
      <c r="AJ186" s="19">
        <v>12</v>
      </c>
      <c r="AK186" s="19">
        <v>12</v>
      </c>
      <c r="AL186" s="19">
        <v>12</v>
      </c>
      <c r="AM186" s="19">
        <v>12</v>
      </c>
      <c r="AN186" s="19">
        <v>12</v>
      </c>
      <c r="AO186" s="16">
        <v>12</v>
      </c>
      <c r="AP186" s="16">
        <v>12</v>
      </c>
      <c r="AQ186" s="16">
        <v>12</v>
      </c>
      <c r="AR186" s="16">
        <v>12</v>
      </c>
      <c r="AS186" s="16">
        <v>12</v>
      </c>
      <c r="AT186" s="16">
        <v>12</v>
      </c>
      <c r="AV186" s="1311" t="s">
        <v>51</v>
      </c>
      <c r="AW186" s="672">
        <v>4150</v>
      </c>
      <c r="AX186" s="672">
        <v>4150</v>
      </c>
      <c r="AY186" s="672">
        <v>4150</v>
      </c>
      <c r="AZ186" s="672">
        <v>4150</v>
      </c>
      <c r="BA186" s="672">
        <v>4150</v>
      </c>
      <c r="BB186" s="725">
        <v>4150</v>
      </c>
      <c r="BC186" s="725">
        <v>4150</v>
      </c>
      <c r="BD186" s="725">
        <v>4150</v>
      </c>
      <c r="BE186" s="725">
        <v>4150</v>
      </c>
      <c r="BF186" s="1623">
        <v>2000</v>
      </c>
      <c r="BG186" s="1722">
        <f t="shared" si="64"/>
        <v>2000</v>
      </c>
      <c r="DK186" s="995">
        <f>(DM186)/(DN186)</f>
        <v>3.8120982542650035</v>
      </c>
      <c r="DL186" s="641" t="str">
        <f>CONCATENATE(G186," ",J186," Year EUL")</f>
        <v>Cooking BUS 12 Year EUL</v>
      </c>
      <c r="DM186" s="997">
        <f>(INDEX('Avoided Cost Benefits'!$B$4:$B$865,MATCH(DL186,'Avoided Cost Benefits'!$A$4:$A$865,0)))*F186</f>
        <v>7624.1965085300071</v>
      </c>
      <c r="DN186" s="1928">
        <f>IFERROR(K186/((1+DiscountRate)^(CurrentYear-DiscountYear)),0)</f>
        <v>2000</v>
      </c>
    </row>
    <row r="187" spans="1:118" outlineLevel="1" x14ac:dyDescent="0.25">
      <c r="D187" s="74" t="s">
        <v>95</v>
      </c>
      <c r="E187" s="108" t="s">
        <v>287</v>
      </c>
      <c r="F187" s="7"/>
      <c r="G187" s="7"/>
      <c r="H187" s="449"/>
      <c r="I187" s="7"/>
      <c r="J187" s="7"/>
      <c r="K187" s="7"/>
      <c r="L187" s="7"/>
      <c r="M187" s="988"/>
      <c r="N187" s="988"/>
      <c r="O187" s="988"/>
      <c r="P187" s="988"/>
      <c r="Q187" s="988"/>
      <c r="R187" s="988" t="s">
        <v>288</v>
      </c>
      <c r="S187" s="1648">
        <f>AVERAGE(S183:S186)</f>
        <v>48486.809087267524</v>
      </c>
      <c r="T187" s="1648">
        <f>AVERAGE(T183:T186)</f>
        <v>23526.618984431138</v>
      </c>
      <c r="U187" s="1648">
        <f>AVERAGE(U183:U186)</f>
        <v>9116.7094350609914</v>
      </c>
      <c r="BF187" s="1605" t="s">
        <v>289</v>
      </c>
    </row>
    <row r="188" spans="1:118" outlineLevel="1" x14ac:dyDescent="0.25">
      <c r="D188" s="7" t="s">
        <v>97</v>
      </c>
      <c r="E188" s="64"/>
      <c r="F188" s="7"/>
      <c r="G188" s="7"/>
      <c r="H188" s="449"/>
      <c r="I188" s="7"/>
      <c r="J188" s="7"/>
      <c r="K188" s="64"/>
      <c r="M188" s="1646"/>
      <c r="N188" s="1646"/>
      <c r="O188" s="1646"/>
      <c r="P188" s="1646"/>
      <c r="Q188" s="1646"/>
      <c r="R188" s="1646"/>
      <c r="S188" s="1646"/>
      <c r="T188" s="1646"/>
      <c r="U188" s="1646"/>
    </row>
    <row r="189" spans="1:118" outlineLevel="1" x14ac:dyDescent="0.25">
      <c r="E189" s="64"/>
      <c r="F189" s="7"/>
      <c r="G189" s="7"/>
      <c r="H189" s="449"/>
      <c r="I189" s="7"/>
      <c r="J189" s="7"/>
      <c r="K189" s="64"/>
    </row>
    <row r="190" spans="1:118" outlineLevel="1" x14ac:dyDescent="0.25">
      <c r="D190" s="450"/>
      <c r="E190" s="64"/>
      <c r="F190" s="64"/>
      <c r="G190" s="247"/>
      <c r="H190" s="451"/>
    </row>
    <row r="191" spans="1:118" ht="21" outlineLevel="1" x14ac:dyDescent="0.35">
      <c r="D191" s="450"/>
      <c r="G191" s="247"/>
      <c r="H191" s="451"/>
      <c r="P191" s="1645"/>
      <c r="Q191" s="1658">
        <f>M183-N183</f>
        <v>16003.290197712733</v>
      </c>
      <c r="R191" s="1430">
        <f>O183-P183</f>
        <v>4106.6666666666679</v>
      </c>
      <c r="S191" s="1430">
        <f>Q183-R183</f>
        <v>104.29999999999995</v>
      </c>
      <c r="U191" s="444">
        <f>Q191+R191+S191</f>
        <v>20214.2568643794</v>
      </c>
    </row>
    <row r="192" spans="1:118" ht="21" outlineLevel="1" x14ac:dyDescent="0.35">
      <c r="D192" s="450"/>
      <c r="G192" s="247"/>
      <c r="H192" s="451"/>
      <c r="M192" s="7"/>
      <c r="P192" s="1645"/>
      <c r="Q192" s="1645"/>
      <c r="U192" s="1430">
        <f>U191*365.25/1000</f>
        <v>7383.2573197145757</v>
      </c>
    </row>
    <row r="193" spans="1:118" ht="21" outlineLevel="1" x14ac:dyDescent="0.35">
      <c r="D193" s="450"/>
      <c r="G193" s="247"/>
      <c r="H193" s="451"/>
      <c r="M193" s="7"/>
      <c r="P193" s="1645"/>
      <c r="Q193" s="1645"/>
    </row>
    <row r="194" spans="1:118" outlineLevel="1" x14ac:dyDescent="0.25">
      <c r="D194" s="450"/>
      <c r="G194" s="247"/>
      <c r="H194" s="451"/>
      <c r="M194" s="7"/>
      <c r="T194" s="476"/>
    </row>
    <row r="195" spans="1:118" outlineLevel="1" x14ac:dyDescent="0.25">
      <c r="D195" s="450"/>
      <c r="G195" s="247"/>
      <c r="H195" s="451"/>
    </row>
    <row r="196" spans="1:118" s="8" customFormat="1" ht="30" outlineLevel="1" x14ac:dyDescent="0.25">
      <c r="A196" s="247"/>
      <c r="B196" s="115"/>
      <c r="C196" s="64"/>
      <c r="D196" s="1236" t="s">
        <v>43</v>
      </c>
      <c r="E196" s="1236" t="s">
        <v>173</v>
      </c>
      <c r="F196" s="31" t="s">
        <v>290</v>
      </c>
      <c r="G196" s="1236" t="s">
        <v>291</v>
      </c>
      <c r="H196" s="1236" t="s">
        <v>292</v>
      </c>
      <c r="I196" s="1236" t="s">
        <v>293</v>
      </c>
      <c r="J196" s="1231" t="s">
        <v>294</v>
      </c>
      <c r="K196" s="1231" t="s">
        <v>295</v>
      </c>
      <c r="L196" s="1231" t="s">
        <v>296</v>
      </c>
      <c r="M196" s="1231" t="s">
        <v>297</v>
      </c>
      <c r="N196" s="1231" t="s">
        <v>298</v>
      </c>
      <c r="O196" s="1231" t="s">
        <v>299</v>
      </c>
      <c r="P196" s="1231" t="s">
        <v>300</v>
      </c>
      <c r="Q196" s="1231" t="s">
        <v>301</v>
      </c>
      <c r="R196" s="1231" t="s">
        <v>141</v>
      </c>
      <c r="S196" s="1301" t="s">
        <v>302</v>
      </c>
      <c r="T196" s="1783" t="s">
        <v>303</v>
      </c>
      <c r="U196" s="115"/>
      <c r="V196" s="636" t="s">
        <v>53</v>
      </c>
      <c r="W196" s="637">
        <f>$W$8</f>
        <v>43252</v>
      </c>
      <c r="X196" s="637">
        <f>$X$8</f>
        <v>43465</v>
      </c>
      <c r="Y196" s="637">
        <f>$Y$8</f>
        <v>43800</v>
      </c>
      <c r="Z196" s="637">
        <f>$Z$8</f>
        <v>43862</v>
      </c>
      <c r="AA196" s="637">
        <f>$AA$8</f>
        <v>44013</v>
      </c>
      <c r="AB196" s="637">
        <v>44166</v>
      </c>
      <c r="AC196" s="637">
        <f>$AC$8</f>
        <v>44531</v>
      </c>
      <c r="AD196" s="637">
        <f>$AD$8</f>
        <v>44774</v>
      </c>
      <c r="AE196" s="637">
        <f>$AE$8</f>
        <v>45142</v>
      </c>
      <c r="AF196" s="637">
        <f>$AF$8</f>
        <v>45672</v>
      </c>
      <c r="AG196" s="637">
        <f>$AG$8</f>
        <v>45971</v>
      </c>
      <c r="AI196" s="636" t="s">
        <v>53</v>
      </c>
      <c r="AJ196" s="637">
        <f>$W$8</f>
        <v>43252</v>
      </c>
      <c r="AK196" s="637">
        <f>$X$8</f>
        <v>43465</v>
      </c>
      <c r="AL196" s="637">
        <f>$Y$8</f>
        <v>43800</v>
      </c>
      <c r="AM196" s="637">
        <f>$Z$8</f>
        <v>43862</v>
      </c>
      <c r="AN196" s="637">
        <f>$AA$8</f>
        <v>44013</v>
      </c>
      <c r="AO196" s="637">
        <v>44166</v>
      </c>
      <c r="AP196" s="637">
        <f>$AC$8</f>
        <v>44531</v>
      </c>
      <c r="AQ196" s="637">
        <f>$AD$8</f>
        <v>44774</v>
      </c>
      <c r="AR196" s="637">
        <f>$AE$8</f>
        <v>45142</v>
      </c>
      <c r="AS196" s="637">
        <f>$AF$8</f>
        <v>45672</v>
      </c>
      <c r="AT196" s="637">
        <f>$AG$8</f>
        <v>45971</v>
      </c>
      <c r="AU196" s="2"/>
      <c r="AV196" s="636" t="s">
        <v>53</v>
      </c>
      <c r="AW196" s="637">
        <f>$W$8</f>
        <v>43252</v>
      </c>
      <c r="AX196" s="637">
        <f>$X$8</f>
        <v>43465</v>
      </c>
      <c r="AY196" s="637">
        <f>$Y$8</f>
        <v>43800</v>
      </c>
      <c r="AZ196" s="637">
        <f>$Z$8</f>
        <v>43862</v>
      </c>
      <c r="BA196" s="637">
        <f>$AA$8</f>
        <v>44013</v>
      </c>
      <c r="BB196" s="637">
        <v>44166</v>
      </c>
      <c r="BC196" s="637">
        <f>$AC$8</f>
        <v>44531</v>
      </c>
      <c r="BD196" s="637">
        <f>$AD$8</f>
        <v>44774</v>
      </c>
      <c r="BE196" s="637">
        <f>$AE$8</f>
        <v>45142</v>
      </c>
      <c r="BF196" s="637">
        <f>$AF$8</f>
        <v>45672</v>
      </c>
      <c r="BG196" s="637">
        <f>$AT$8</f>
        <v>45971</v>
      </c>
      <c r="DI196" s="2"/>
      <c r="DJ196" s="2"/>
      <c r="DK196" s="996"/>
      <c r="DL196" s="115"/>
      <c r="DM196" s="115"/>
      <c r="DN196" s="499"/>
    </row>
    <row r="197" spans="1:118" outlineLevel="1" x14ac:dyDescent="0.25">
      <c r="D197" s="647" t="str">
        <f>C183</f>
        <v>802700_2024_12_</v>
      </c>
      <c r="E197" s="647" t="str">
        <f>E183</f>
        <v>3 Pan ENERGY STAR Steam Cooker</v>
      </c>
      <c r="F197" s="479">
        <f>((1-I197)*(J197+I197*L197*N197*(O197/P197))*(R197-S197/(L197*N197)))-((1-I197)*(K197+I197*M197*N197*(O197/Q197))*(R197-S197/(M197*N197)))</f>
        <v>16003.290197712733</v>
      </c>
      <c r="G197" s="481">
        <f>(S197*(O197/P197))-(S197*(O197/Q197))</f>
        <v>4106.6666666666679</v>
      </c>
      <c r="H197" s="1694">
        <v>365.25</v>
      </c>
      <c r="I197" s="1684">
        <v>0.4</v>
      </c>
      <c r="J197" s="480">
        <v>1200</v>
      </c>
      <c r="K197" s="1687">
        <v>400</v>
      </c>
      <c r="L197" s="471">
        <v>23.3</v>
      </c>
      <c r="M197" s="1695">
        <v>16.7</v>
      </c>
      <c r="N197" s="1687">
        <v>3</v>
      </c>
      <c r="O197" s="471">
        <v>30.8</v>
      </c>
      <c r="P197" s="473">
        <v>0.3</v>
      </c>
      <c r="Q197" s="1684">
        <v>0.5</v>
      </c>
      <c r="R197" s="1679">
        <v>12</v>
      </c>
      <c r="S197" s="1686">
        <v>100</v>
      </c>
      <c r="T197" s="1784">
        <v>104.3</v>
      </c>
      <c r="V197" s="1285" t="s">
        <v>294</v>
      </c>
      <c r="W197" s="53"/>
      <c r="X197" s="53"/>
      <c r="Y197" s="53">
        <v>1100</v>
      </c>
      <c r="Z197" s="53">
        <v>1100</v>
      </c>
      <c r="AA197" s="53">
        <v>1100</v>
      </c>
      <c r="AB197" s="53">
        <v>1100</v>
      </c>
      <c r="AC197" s="53">
        <v>1100</v>
      </c>
      <c r="AD197" s="53">
        <v>1100</v>
      </c>
      <c r="AE197" s="53">
        <v>1100</v>
      </c>
      <c r="AF197" s="253">
        <v>16003.290197712733</v>
      </c>
      <c r="AG197" s="253">
        <f>IF(F197&lt;&gt;"",F197,"")</f>
        <v>16003.290197712733</v>
      </c>
      <c r="AI197" s="1285" t="s">
        <v>300</v>
      </c>
      <c r="AJ197" s="53"/>
      <c r="AK197" s="53"/>
      <c r="AL197" s="53">
        <v>0.28000000000000003</v>
      </c>
      <c r="AM197" s="53">
        <v>0.28000000000000003</v>
      </c>
      <c r="AN197" s="53">
        <v>0.28000000000000003</v>
      </c>
      <c r="AO197" s="53">
        <v>0.28000000000000003</v>
      </c>
      <c r="AP197" s="53">
        <v>0.28000000000000003</v>
      </c>
      <c r="AQ197" s="53">
        <v>0.28000000000000003</v>
      </c>
      <c r="AR197" s="53">
        <v>0.28000000000000003</v>
      </c>
      <c r="AS197" s="692">
        <v>0.3</v>
      </c>
      <c r="AT197" s="692">
        <v>0.3</v>
      </c>
      <c r="AV197" s="1285" t="s">
        <v>304</v>
      </c>
      <c r="AW197" s="53"/>
      <c r="AX197" s="53"/>
      <c r="AY197" s="53"/>
      <c r="AZ197" s="53"/>
      <c r="BA197" s="53"/>
      <c r="BB197" s="52"/>
      <c r="BC197" s="692"/>
      <c r="BD197" s="692"/>
      <c r="BE197" s="692"/>
      <c r="BF197" s="692">
        <v>16003.290197712733</v>
      </c>
      <c r="BG197" s="692">
        <f>AF197</f>
        <v>16003.290197712733</v>
      </c>
    </row>
    <row r="198" spans="1:118" outlineLevel="1" x14ac:dyDescent="0.25">
      <c r="D198" s="647" t="str">
        <f>C184</f>
        <v>802750_2024_12_</v>
      </c>
      <c r="E198" s="647" t="str">
        <f>E184</f>
        <v>4 Pan ENERGY STAR Steam Cooker</v>
      </c>
      <c r="F198" s="479">
        <f>((1-I198)*(J198+I198*L198*N198*(O198/P198))*(R198-S198/(L198*N198)))-((1-I198)*(K198+I198*M198*N198*(O198/Q198))*(R198-S198/(M198*N198)))</f>
        <v>19248.437315350413</v>
      </c>
      <c r="G198" s="481">
        <f>(S198*(O198/P198))-(S198*(O198/Q198))</f>
        <v>4106.6666666666679</v>
      </c>
      <c r="H198" s="1694">
        <v>365.25</v>
      </c>
      <c r="I198" s="1684">
        <v>0.4</v>
      </c>
      <c r="J198" s="480">
        <v>1200</v>
      </c>
      <c r="K198" s="1687">
        <v>530</v>
      </c>
      <c r="L198" s="471">
        <v>23.3</v>
      </c>
      <c r="M198" s="1695">
        <v>16.7</v>
      </c>
      <c r="N198" s="1687">
        <v>4</v>
      </c>
      <c r="O198" s="471">
        <v>30.8</v>
      </c>
      <c r="P198" s="473">
        <v>0.3</v>
      </c>
      <c r="Q198" s="1684">
        <v>0.5</v>
      </c>
      <c r="R198" s="1679">
        <v>12</v>
      </c>
      <c r="S198" s="1686">
        <v>100</v>
      </c>
      <c r="T198" s="1784">
        <v>104.3</v>
      </c>
      <c r="V198" s="1285" t="s">
        <v>294</v>
      </c>
      <c r="W198" s="53"/>
      <c r="X198" s="53"/>
      <c r="Y198" s="53">
        <v>1100</v>
      </c>
      <c r="Z198" s="53">
        <v>1100</v>
      </c>
      <c r="AA198" s="53">
        <v>1100</v>
      </c>
      <c r="AB198" s="53">
        <v>1100</v>
      </c>
      <c r="AC198" s="53">
        <v>1100</v>
      </c>
      <c r="AD198" s="53">
        <v>1100</v>
      </c>
      <c r="AE198" s="53">
        <v>1100</v>
      </c>
      <c r="AF198" s="253">
        <v>19248.437315350413</v>
      </c>
      <c r="AG198" s="253">
        <f t="shared" ref="AG198:AG200" si="66">IF(F198&lt;&gt;"",F198,"")</f>
        <v>19248.437315350413</v>
      </c>
      <c r="AI198" s="1285" t="s">
        <v>300</v>
      </c>
      <c r="AJ198" s="53"/>
      <c r="AK198" s="53"/>
      <c r="AL198" s="53">
        <v>0.28000000000000003</v>
      </c>
      <c r="AM198" s="53">
        <v>0.28000000000000003</v>
      </c>
      <c r="AN198" s="53">
        <v>0.28000000000000003</v>
      </c>
      <c r="AO198" s="53">
        <v>0.28000000000000003</v>
      </c>
      <c r="AP198" s="53">
        <v>0.28000000000000003</v>
      </c>
      <c r="AQ198" s="53">
        <v>0.28000000000000003</v>
      </c>
      <c r="AR198" s="53">
        <v>0.28000000000000003</v>
      </c>
      <c r="AS198" s="692">
        <v>0.3</v>
      </c>
      <c r="AT198" s="692">
        <v>0.3</v>
      </c>
      <c r="AV198" s="1285" t="s">
        <v>304</v>
      </c>
      <c r="AW198" s="53"/>
      <c r="AX198" s="53"/>
      <c r="AY198" s="53"/>
      <c r="AZ198" s="53"/>
      <c r="BA198" s="53"/>
      <c r="BB198" s="52"/>
      <c r="BC198" s="692"/>
      <c r="BD198" s="692"/>
      <c r="BE198" s="692"/>
      <c r="BF198" s="692">
        <v>19248.437315350413</v>
      </c>
      <c r="BG198" s="692">
        <f t="shared" ref="BG198:BG200" si="67">AF198</f>
        <v>19248.437315350413</v>
      </c>
    </row>
    <row r="199" spans="1:118" outlineLevel="1" x14ac:dyDescent="0.25">
      <c r="D199" s="647" t="str">
        <f>C185</f>
        <v>802800_2024_12_</v>
      </c>
      <c r="E199" s="647" t="str">
        <f>E185</f>
        <v>5 Pan ENERGY STAR Steam Cooker</v>
      </c>
      <c r="F199" s="479">
        <f t="shared" ref="F199:F200" si="68">((1-I199)*(J199+I199*L199*N199*(O199/P199))*(R199-S199/(L199*N199)))-((1-I199)*(K199+I199*M199*N199*(O199/Q199))*(R199-S199/(M199*N199)))</f>
        <v>22326.963374675546</v>
      </c>
      <c r="G199" s="481">
        <f>(S199*(O199/P199))-(S199*(O199/Q199))</f>
        <v>4106.6666666666679</v>
      </c>
      <c r="H199" s="1694">
        <v>365.25</v>
      </c>
      <c r="I199" s="1684">
        <v>0.4</v>
      </c>
      <c r="J199" s="480">
        <v>1200</v>
      </c>
      <c r="K199" s="1687">
        <v>670</v>
      </c>
      <c r="L199" s="471">
        <v>23.3</v>
      </c>
      <c r="M199" s="1695">
        <v>16.7</v>
      </c>
      <c r="N199" s="1687">
        <v>5</v>
      </c>
      <c r="O199" s="471">
        <v>30.8</v>
      </c>
      <c r="P199" s="473">
        <v>0.3</v>
      </c>
      <c r="Q199" s="1684">
        <v>0.5</v>
      </c>
      <c r="R199" s="1679">
        <v>12</v>
      </c>
      <c r="S199" s="1686">
        <v>100</v>
      </c>
      <c r="T199" s="1784">
        <v>104.3</v>
      </c>
      <c r="V199" s="1285" t="s">
        <v>294</v>
      </c>
      <c r="W199" s="53"/>
      <c r="X199" s="53"/>
      <c r="Y199" s="53">
        <v>1100</v>
      </c>
      <c r="Z199" s="53">
        <v>1100</v>
      </c>
      <c r="AA199" s="53">
        <v>1100</v>
      </c>
      <c r="AB199" s="53">
        <v>1100</v>
      </c>
      <c r="AC199" s="53">
        <v>1100</v>
      </c>
      <c r="AD199" s="53">
        <v>1100</v>
      </c>
      <c r="AE199" s="53">
        <v>1100</v>
      </c>
      <c r="AF199" s="253">
        <v>22326.963374675546</v>
      </c>
      <c r="AG199" s="253">
        <f t="shared" si="66"/>
        <v>22326.963374675546</v>
      </c>
      <c r="AI199" s="1285" t="s">
        <v>300</v>
      </c>
      <c r="AJ199" s="53"/>
      <c r="AK199" s="53"/>
      <c r="AL199" s="53">
        <v>0.28000000000000003</v>
      </c>
      <c r="AM199" s="53">
        <v>0.28000000000000003</v>
      </c>
      <c r="AN199" s="53">
        <v>0.28000000000000003</v>
      </c>
      <c r="AO199" s="53">
        <v>0.28000000000000003</v>
      </c>
      <c r="AP199" s="53">
        <v>0.28000000000000003</v>
      </c>
      <c r="AQ199" s="53">
        <v>0.28000000000000003</v>
      </c>
      <c r="AR199" s="53">
        <v>0.28000000000000003</v>
      </c>
      <c r="AS199" s="692">
        <v>0.3</v>
      </c>
      <c r="AT199" s="692">
        <v>0.3</v>
      </c>
      <c r="AV199" s="1285" t="s">
        <v>304</v>
      </c>
      <c r="AW199" s="53"/>
      <c r="AX199" s="53"/>
      <c r="AY199" s="53"/>
      <c r="AZ199" s="53"/>
      <c r="BA199" s="53"/>
      <c r="BB199" s="52"/>
      <c r="BC199" s="692"/>
      <c r="BD199" s="692"/>
      <c r="BE199" s="692"/>
      <c r="BF199" s="692">
        <v>22326.963374675546</v>
      </c>
      <c r="BG199" s="692">
        <f t="shared" si="67"/>
        <v>22326.963374675546</v>
      </c>
    </row>
    <row r="200" spans="1:118" outlineLevel="1" x14ac:dyDescent="0.25">
      <c r="D200" s="647" t="str">
        <f>C186</f>
        <v>802850_2024_12_</v>
      </c>
      <c r="E200" s="647" t="str">
        <f>E186</f>
        <v>6 Pan ENERGY STAR Steam Cooker</v>
      </c>
      <c r="F200" s="479">
        <f t="shared" si="68"/>
        <v>25418.202856940203</v>
      </c>
      <c r="G200" s="481">
        <f>(S200*(O200/P200))-(S200*(O200/Q200))</f>
        <v>4106.6666666666679</v>
      </c>
      <c r="H200" s="1694">
        <v>365.25</v>
      </c>
      <c r="I200" s="1684">
        <v>0.4</v>
      </c>
      <c r="J200" s="480">
        <v>1200</v>
      </c>
      <c r="K200" s="1687">
        <v>800</v>
      </c>
      <c r="L200" s="471">
        <v>23.3</v>
      </c>
      <c r="M200" s="1695">
        <v>16.7</v>
      </c>
      <c r="N200" s="1687">
        <v>6</v>
      </c>
      <c r="O200" s="471">
        <v>30.8</v>
      </c>
      <c r="P200" s="473">
        <v>0.3</v>
      </c>
      <c r="Q200" s="1684">
        <v>0.5</v>
      </c>
      <c r="R200" s="1679">
        <v>12</v>
      </c>
      <c r="S200" s="1686">
        <v>100</v>
      </c>
      <c r="T200" s="1784">
        <v>104.3</v>
      </c>
      <c r="V200" s="1285" t="s">
        <v>294</v>
      </c>
      <c r="W200" s="53"/>
      <c r="X200" s="53"/>
      <c r="Y200" s="53">
        <v>1100</v>
      </c>
      <c r="Z200" s="53">
        <v>1100</v>
      </c>
      <c r="AA200" s="53">
        <v>1100</v>
      </c>
      <c r="AB200" s="53">
        <v>1100</v>
      </c>
      <c r="AC200" s="53">
        <v>1100</v>
      </c>
      <c r="AD200" s="53">
        <v>1100</v>
      </c>
      <c r="AE200" s="53">
        <v>1100</v>
      </c>
      <c r="AF200" s="253">
        <v>25418.202856940203</v>
      </c>
      <c r="AG200" s="253">
        <f t="shared" si="66"/>
        <v>25418.202856940203</v>
      </c>
      <c r="AI200" s="1285" t="s">
        <v>300</v>
      </c>
      <c r="AJ200" s="53"/>
      <c r="AK200" s="53"/>
      <c r="AL200" s="53">
        <v>0.28000000000000003</v>
      </c>
      <c r="AM200" s="53">
        <v>0.28000000000000003</v>
      </c>
      <c r="AN200" s="53">
        <v>0.28000000000000003</v>
      </c>
      <c r="AO200" s="53">
        <v>0.28000000000000003</v>
      </c>
      <c r="AP200" s="53">
        <v>0.28000000000000003</v>
      </c>
      <c r="AQ200" s="53">
        <v>0.28000000000000003</v>
      </c>
      <c r="AR200" s="53">
        <v>0.28000000000000003</v>
      </c>
      <c r="AS200" s="692">
        <v>0.3</v>
      </c>
      <c r="AT200" s="692">
        <v>0.3</v>
      </c>
      <c r="AV200" s="1285" t="s">
        <v>304</v>
      </c>
      <c r="AW200" s="53"/>
      <c r="AX200" s="53"/>
      <c r="AY200" s="53"/>
      <c r="AZ200" s="53"/>
      <c r="BA200" s="53"/>
      <c r="BB200" s="52"/>
      <c r="BC200" s="692"/>
      <c r="BD200" s="692"/>
      <c r="BE200" s="692"/>
      <c r="BF200" s="692">
        <v>25418.202856940203</v>
      </c>
      <c r="BG200" s="692">
        <f t="shared" si="67"/>
        <v>25418.202856940203</v>
      </c>
    </row>
    <row r="201" spans="1:118" outlineLevel="1" x14ac:dyDescent="0.25">
      <c r="H201" s="1621"/>
      <c r="I201" s="1607" t="s">
        <v>305</v>
      </c>
      <c r="J201" s="1607" t="s">
        <v>306</v>
      </c>
      <c r="K201" s="1607" t="s">
        <v>305</v>
      </c>
      <c r="L201" s="1607" t="s">
        <v>305</v>
      </c>
      <c r="M201" s="1607" t="s">
        <v>305</v>
      </c>
      <c r="N201" s="1607"/>
      <c r="O201" s="1607" t="s">
        <v>305</v>
      </c>
      <c r="P201" s="1607" t="s">
        <v>305</v>
      </c>
      <c r="Q201" s="1607" t="s">
        <v>305</v>
      </c>
      <c r="R201" s="1607" t="s">
        <v>307</v>
      </c>
      <c r="S201" s="1607" t="s">
        <v>305</v>
      </c>
      <c r="T201" s="1607" t="s">
        <v>305</v>
      </c>
    </row>
    <row r="203" spans="1:118" s="7" customFormat="1" x14ac:dyDescent="0.25">
      <c r="A203" s="247"/>
      <c r="B203" s="2308" t="s">
        <v>308</v>
      </c>
      <c r="C203" s="2309"/>
      <c r="D203" s="2309"/>
      <c r="E203" s="2309"/>
      <c r="F203" s="2309"/>
      <c r="G203" s="2309"/>
      <c r="H203" s="2309"/>
      <c r="I203" s="2310"/>
      <c r="J203" s="2310"/>
      <c r="K203" s="2310"/>
      <c r="L203" s="2310"/>
      <c r="M203" s="2311"/>
      <c r="N203" s="2311"/>
      <c r="O203" s="2312"/>
      <c r="V203" s="1234" t="str">
        <f>B203</f>
        <v>Holding Cabinet</v>
      </c>
      <c r="W203" s="1235"/>
      <c r="X203" s="1235"/>
      <c r="Y203" s="1235"/>
      <c r="Z203" s="1235"/>
      <c r="AA203" s="1235"/>
      <c r="AB203" s="1235"/>
      <c r="AC203" s="1235"/>
      <c r="AD203" s="1235"/>
      <c r="AE203" s="1235"/>
      <c r="AF203" s="1235"/>
      <c r="AG203" s="1235"/>
      <c r="AH203" s="1235"/>
      <c r="AI203" s="1269"/>
      <c r="AJ203" s="2"/>
      <c r="AK203" s="2"/>
      <c r="AL203" s="2"/>
      <c r="AM203" s="2"/>
      <c r="AN203" s="2"/>
      <c r="AO203" s="2"/>
      <c r="AP203" s="2"/>
      <c r="AQ203" s="2"/>
      <c r="AR203" s="2"/>
      <c r="AS203" s="2"/>
      <c r="AT203" s="2"/>
      <c r="AU203" s="2"/>
      <c r="AV203" s="2"/>
      <c r="BG203" s="2"/>
      <c r="DI203" s="2"/>
      <c r="DJ203" s="2"/>
      <c r="DK203" s="23"/>
      <c r="DN203" s="2031"/>
    </row>
    <row r="204" spans="1:118" x14ac:dyDescent="0.25">
      <c r="D204" s="439"/>
      <c r="E204" s="7"/>
      <c r="F204" s="7"/>
      <c r="G204" s="7"/>
      <c r="H204" s="440"/>
      <c r="I204" s="7"/>
      <c r="J204" s="7"/>
      <c r="K204" s="7"/>
      <c r="L204" s="7"/>
      <c r="P204" s="7"/>
      <c r="Q204" s="7"/>
      <c r="R204" s="7" t="s">
        <v>307</v>
      </c>
      <c r="S204" s="7"/>
      <c r="T204" s="7"/>
      <c r="U204" s="7"/>
      <c r="V204"/>
      <c r="W204"/>
      <c r="X204"/>
      <c r="Y204"/>
      <c r="Z204"/>
      <c r="AA204"/>
      <c r="AB204"/>
      <c r="AC204"/>
      <c r="AD204"/>
      <c r="AE204"/>
      <c r="AF204"/>
      <c r="AG204"/>
      <c r="AH204"/>
      <c r="AI204"/>
      <c r="AJ204" s="6"/>
      <c r="AK204" s="6"/>
      <c r="AL204" s="6"/>
      <c r="AM204" s="6"/>
      <c r="AN204" s="6"/>
      <c r="AO204" s="6"/>
      <c r="AP204" s="6"/>
      <c r="AQ204" s="6"/>
      <c r="AR204" s="6"/>
      <c r="AS204" s="6"/>
      <c r="AT204" s="6"/>
      <c r="AU204" s="6"/>
      <c r="AV204" s="6"/>
      <c r="BG204" s="6"/>
    </row>
    <row r="205" spans="1:118" s="8" customFormat="1" ht="30" x14ac:dyDescent="0.25">
      <c r="A205" s="247"/>
      <c r="B205" s="64"/>
      <c r="C205" s="9" t="s">
        <v>43</v>
      </c>
      <c r="D205" s="9" t="s">
        <v>44</v>
      </c>
      <c r="E205" s="1301" t="s">
        <v>45</v>
      </c>
      <c r="F205" s="1301" t="s">
        <v>46</v>
      </c>
      <c r="G205" s="1301" t="s">
        <v>47</v>
      </c>
      <c r="H205" s="10" t="s">
        <v>48</v>
      </c>
      <c r="I205" s="1301" t="s">
        <v>49</v>
      </c>
      <c r="J205" s="1301" t="s">
        <v>50</v>
      </c>
      <c r="K205" s="9" t="s">
        <v>51</v>
      </c>
      <c r="L205" s="9" t="s">
        <v>52</v>
      </c>
      <c r="M205" s="247"/>
      <c r="N205" s="247"/>
      <c r="O205" s="247"/>
      <c r="P205" s="115"/>
      <c r="Q205" s="115"/>
      <c r="R205" s="115"/>
      <c r="S205" s="115"/>
      <c r="T205" s="115"/>
      <c r="U205" s="115"/>
      <c r="V205" s="636" t="s">
        <v>53</v>
      </c>
      <c r="W205" s="637">
        <f>$W$8</f>
        <v>43252</v>
      </c>
      <c r="X205" s="637">
        <f>$X$8</f>
        <v>43465</v>
      </c>
      <c r="Y205" s="637">
        <f>$Y$8</f>
        <v>43800</v>
      </c>
      <c r="Z205" s="637">
        <f>$Z$8</f>
        <v>43862</v>
      </c>
      <c r="AA205" s="637">
        <f>$AA$8</f>
        <v>44013</v>
      </c>
      <c r="AB205" s="637">
        <v>44166</v>
      </c>
      <c r="AC205" s="637">
        <f>$AC$8</f>
        <v>44531</v>
      </c>
      <c r="AD205" s="637">
        <f>$AD$8</f>
        <v>44774</v>
      </c>
      <c r="AE205" s="637">
        <f>$AE$8</f>
        <v>45142</v>
      </c>
      <c r="AF205" s="637">
        <f>$AF$8</f>
        <v>45672</v>
      </c>
      <c r="AG205" s="637">
        <f>$AG$8</f>
        <v>45971</v>
      </c>
      <c r="AH205"/>
      <c r="AI205" s="636" t="s">
        <v>53</v>
      </c>
      <c r="AJ205" s="637">
        <v>43252</v>
      </c>
      <c r="AK205" s="637">
        <f>$X$8</f>
        <v>43465</v>
      </c>
      <c r="AL205" s="637">
        <f>$Y$8</f>
        <v>43800</v>
      </c>
      <c r="AM205" s="637">
        <f>$Z$8</f>
        <v>43862</v>
      </c>
      <c r="AN205" s="637">
        <f>$AA$8</f>
        <v>44013</v>
      </c>
      <c r="AO205" s="637">
        <f>$AB$8</f>
        <v>44166</v>
      </c>
      <c r="AP205" s="637">
        <f>$AC$8</f>
        <v>44531</v>
      </c>
      <c r="AQ205" s="637">
        <f>$AD$8</f>
        <v>44774</v>
      </c>
      <c r="AR205" s="637">
        <f>$AE$8</f>
        <v>45142</v>
      </c>
      <c r="AS205" s="637">
        <f>$AF$8</f>
        <v>45672</v>
      </c>
      <c r="AT205" s="637">
        <f>$AG$8</f>
        <v>45971</v>
      </c>
      <c r="AU205" s="2"/>
      <c r="AV205" s="636" t="s">
        <v>53</v>
      </c>
      <c r="AW205" s="637">
        <v>43252</v>
      </c>
      <c r="AX205" s="637">
        <f>$X$8</f>
        <v>43465</v>
      </c>
      <c r="AY205" s="637">
        <f>$Y$8</f>
        <v>43800</v>
      </c>
      <c r="AZ205" s="637">
        <f>$Z$8</f>
        <v>43862</v>
      </c>
      <c r="BA205" s="637">
        <f>$AA$8</f>
        <v>44013</v>
      </c>
      <c r="BB205" s="637">
        <v>44166</v>
      </c>
      <c r="BC205" s="637">
        <f>$AC$8</f>
        <v>44531</v>
      </c>
      <c r="BD205" s="637">
        <f>$AD$8</f>
        <v>44774</v>
      </c>
      <c r="BE205" s="637">
        <f>$AE$8</f>
        <v>45142</v>
      </c>
      <c r="BF205" s="637">
        <f>$AF$8</f>
        <v>45672</v>
      </c>
      <c r="BG205" s="637">
        <f>$AT$8</f>
        <v>45971</v>
      </c>
      <c r="DI205" s="2"/>
      <c r="DJ205" s="2"/>
      <c r="DK205" s="991" t="str">
        <f>$DK$8</f>
        <v>TRC (2025)</v>
      </c>
      <c r="DL205" s="761" t="str">
        <f>$DL$8</f>
        <v>Benefit Lookup</v>
      </c>
      <c r="DM205" s="761" t="str">
        <f>$DM$8</f>
        <v>Benefits (2025 $)</v>
      </c>
      <c r="DN205" s="2034" t="str">
        <f>$DN$8</f>
        <v>Incremental Cost (2025 $)</v>
      </c>
    </row>
    <row r="206" spans="1:118" x14ac:dyDescent="0.25">
      <c r="A206" s="2006" t="s">
        <v>112</v>
      </c>
      <c r="B206" s="247">
        <f t="shared" ref="B206:B208" si="69">VALUE(LEFT(C206,6))</f>
        <v>802900</v>
      </c>
      <c r="C206" s="656" t="s">
        <v>309</v>
      </c>
      <c r="D206" s="1972" t="s">
        <v>60</v>
      </c>
      <c r="E206" s="458" t="s">
        <v>310</v>
      </c>
      <c r="F206" s="399">
        <f>ROUND((H218-I218)*J218*K218/1000,2)</f>
        <v>325.99</v>
      </c>
      <c r="G206" s="441" t="s">
        <v>280</v>
      </c>
      <c r="H206" s="442">
        <f>VLOOKUP(G206,'CP FACTORS'!$A$26:$B$38,2,FALSE)</f>
        <v>1.998949E-4</v>
      </c>
      <c r="I206" s="459">
        <f>ROUND(H206*F206,6)</f>
        <v>6.5164E-2</v>
      </c>
      <c r="J206" s="477">
        <v>12</v>
      </c>
      <c r="K206" s="1689">
        <v>1000</v>
      </c>
      <c r="L206" s="443" t="s">
        <v>63</v>
      </c>
      <c r="V206" s="1285" t="s">
        <v>46</v>
      </c>
      <c r="W206" s="1504">
        <v>709.49812499999996</v>
      </c>
      <c r="X206" s="1504">
        <v>709.49812499999996</v>
      </c>
      <c r="Y206" s="1504">
        <v>709.49812499999996</v>
      </c>
      <c r="Z206" s="1504">
        <v>709.49812499999996</v>
      </c>
      <c r="AA206" s="1504">
        <v>709.49812499999996</v>
      </c>
      <c r="AB206" s="1609">
        <v>709.5</v>
      </c>
      <c r="AC206" s="722">
        <v>709.5</v>
      </c>
      <c r="AD206" s="722">
        <v>709.5</v>
      </c>
      <c r="AE206" s="722">
        <v>709.5</v>
      </c>
      <c r="AF206" s="16">
        <v>325.99</v>
      </c>
      <c r="AG206" s="52">
        <v>325.99</v>
      </c>
      <c r="AH206"/>
      <c r="AI206" s="1311" t="s">
        <v>50</v>
      </c>
      <c r="AJ206" s="19">
        <v>12</v>
      </c>
      <c r="AK206" s="19">
        <v>12</v>
      </c>
      <c r="AL206" s="19">
        <v>12</v>
      </c>
      <c r="AM206" s="19">
        <v>12</v>
      </c>
      <c r="AN206" s="19">
        <v>12</v>
      </c>
      <c r="AO206" s="16">
        <v>12</v>
      </c>
      <c r="AP206" s="16">
        <v>12</v>
      </c>
      <c r="AQ206" s="16">
        <v>12</v>
      </c>
      <c r="AR206" s="16">
        <v>12</v>
      </c>
      <c r="AS206" s="16">
        <v>12</v>
      </c>
      <c r="AT206" s="16">
        <v>12</v>
      </c>
      <c r="AV206" s="1311" t="s">
        <v>51</v>
      </c>
      <c r="AW206" s="672">
        <v>1783</v>
      </c>
      <c r="AX206" s="672">
        <v>1783</v>
      </c>
      <c r="AY206" s="672">
        <v>1783</v>
      </c>
      <c r="AZ206" s="672">
        <v>1783</v>
      </c>
      <c r="BA206" s="672">
        <v>1783</v>
      </c>
      <c r="BB206" s="657">
        <v>1783</v>
      </c>
      <c r="BC206" s="657">
        <v>1783</v>
      </c>
      <c r="BD206" s="657">
        <v>1783</v>
      </c>
      <c r="BE206" s="657">
        <v>1783</v>
      </c>
      <c r="BF206" s="726">
        <f>K206</f>
        <v>1000</v>
      </c>
      <c r="BG206" s="545">
        <f>K206</f>
        <v>1000</v>
      </c>
      <c r="DK206" s="993">
        <f>(DM206)/(DN206)</f>
        <v>0.22966183115174088</v>
      </c>
      <c r="DL206" s="1272" t="str">
        <f>CONCATENATE(G206," ",J206," Year EUL")</f>
        <v>Cooking BUS 12 Year EUL</v>
      </c>
      <c r="DM206" s="181">
        <f>(INDEX('Avoided Cost Benefits'!$B$4:$B$865,MATCH(DL206,'Avoided Cost Benefits'!$A$4:$A$865,0)))*F206</f>
        <v>229.66183115174087</v>
      </c>
      <c r="DN206" s="2033">
        <f>IFERROR(K206/((1+DiscountRate)^(CurrentYear-DiscountYear)),0)</f>
        <v>1000</v>
      </c>
    </row>
    <row r="207" spans="1:118" x14ac:dyDescent="0.25">
      <c r="A207" s="2006" t="s">
        <v>112</v>
      </c>
      <c r="B207" s="247">
        <f t="shared" si="69"/>
        <v>802950</v>
      </c>
      <c r="C207" s="656" t="s">
        <v>311</v>
      </c>
      <c r="D207" s="1972" t="s">
        <v>60</v>
      </c>
      <c r="E207" s="458" t="s">
        <v>312</v>
      </c>
      <c r="F207" s="399">
        <f>ROUND((H219-I219)*J219*K219/1000,2)</f>
        <v>1676.5</v>
      </c>
      <c r="G207" s="441" t="s">
        <v>280</v>
      </c>
      <c r="H207" s="442">
        <f>VLOOKUP(G207,'CP FACTORS'!$A$26:$B$38,2,FALSE)</f>
        <v>1.998949E-4</v>
      </c>
      <c r="I207" s="459">
        <f>ROUND(H207*F207,6)</f>
        <v>0.33512399999999998</v>
      </c>
      <c r="J207" s="477">
        <v>12</v>
      </c>
      <c r="K207" s="1689">
        <v>1000</v>
      </c>
      <c r="L207" s="443" t="s">
        <v>63</v>
      </c>
      <c r="V207" s="1285" t="s">
        <v>46</v>
      </c>
      <c r="W207" s="1504">
        <v>2772.2474999999999</v>
      </c>
      <c r="X207" s="1504">
        <v>2772.2474999999999</v>
      </c>
      <c r="Y207" s="1504">
        <v>2772.2474999999999</v>
      </c>
      <c r="Z207" s="1504">
        <v>2772.2474999999999</v>
      </c>
      <c r="AA207" s="1504">
        <v>2772.2474999999999</v>
      </c>
      <c r="AB207" s="1609">
        <v>2772.25</v>
      </c>
      <c r="AC207" s="722">
        <v>2772.25</v>
      </c>
      <c r="AD207" s="722">
        <v>2772.25</v>
      </c>
      <c r="AE207" s="722">
        <v>2772.25</v>
      </c>
      <c r="AF207" s="16">
        <v>1676.5</v>
      </c>
      <c r="AG207" s="52">
        <v>1676.5</v>
      </c>
      <c r="AH207"/>
      <c r="AI207" s="1311" t="s">
        <v>50</v>
      </c>
      <c r="AJ207" s="19">
        <v>12</v>
      </c>
      <c r="AK207" s="19">
        <v>12</v>
      </c>
      <c r="AL207" s="19">
        <v>12</v>
      </c>
      <c r="AM207" s="19">
        <v>12</v>
      </c>
      <c r="AN207" s="19">
        <v>12</v>
      </c>
      <c r="AO207" s="16">
        <v>12</v>
      </c>
      <c r="AP207" s="16">
        <v>12</v>
      </c>
      <c r="AQ207" s="16">
        <v>12</v>
      </c>
      <c r="AR207" s="16">
        <v>12</v>
      </c>
      <c r="AS207" s="16">
        <v>12</v>
      </c>
      <c r="AT207" s="16">
        <v>12</v>
      </c>
      <c r="AV207" s="1311" t="s">
        <v>51</v>
      </c>
      <c r="AW207" s="672">
        <v>1783</v>
      </c>
      <c r="AX207" s="672">
        <v>1783</v>
      </c>
      <c r="AY207" s="672">
        <v>1783</v>
      </c>
      <c r="AZ207" s="672">
        <v>1783</v>
      </c>
      <c r="BA207" s="672">
        <v>1783</v>
      </c>
      <c r="BB207" s="657">
        <v>1783</v>
      </c>
      <c r="BC207" s="657">
        <v>1783</v>
      </c>
      <c r="BD207" s="657">
        <v>1783</v>
      </c>
      <c r="BE207" s="657">
        <v>1783</v>
      </c>
      <c r="BF207" s="726">
        <f t="shared" ref="BF207:BF208" si="70">K207</f>
        <v>1000</v>
      </c>
      <c r="BG207" s="545">
        <f t="shared" ref="BG207:BG208" si="71">K207</f>
        <v>1000</v>
      </c>
      <c r="DK207" s="994">
        <f>(DM207)/(DN207)</f>
        <v>1.1811038986652769</v>
      </c>
      <c r="DL207" s="641" t="str">
        <f>CONCATENATE(G207," ",J207," Year EUL")</f>
        <v>Cooking BUS 12 Year EUL</v>
      </c>
      <c r="DM207" s="623">
        <f>(INDEX('Avoided Cost Benefits'!$B$4:$B$865,MATCH(DL207,'Avoided Cost Benefits'!$A$4:$A$865,0)))*F207</f>
        <v>1181.1038986652768</v>
      </c>
      <c r="DN207" s="1928">
        <f>IFERROR(K207/((1+DiscountRate)^(CurrentYear-DiscountYear)),0)</f>
        <v>1000</v>
      </c>
    </row>
    <row r="208" spans="1:118" x14ac:dyDescent="0.25">
      <c r="A208" s="2006" t="s">
        <v>112</v>
      </c>
      <c r="B208" s="247">
        <f t="shared" si="69"/>
        <v>803000</v>
      </c>
      <c r="C208" s="656" t="s">
        <v>313</v>
      </c>
      <c r="D208" s="1972" t="s">
        <v>60</v>
      </c>
      <c r="E208" s="458" t="s">
        <v>314</v>
      </c>
      <c r="F208" s="399">
        <f>ROUND((H220-I220)*J220*K220/1000,2)</f>
        <v>2904.29</v>
      </c>
      <c r="G208" s="441" t="s">
        <v>280</v>
      </c>
      <c r="H208" s="442">
        <f>VLOOKUP(G208,'CP FACTORS'!$A$26:$B$38,2,FALSE)</f>
        <v>1.998949E-4</v>
      </c>
      <c r="I208" s="459">
        <f>ROUND(H208*F208,6)</f>
        <v>0.58055299999999999</v>
      </c>
      <c r="J208" s="477">
        <v>12</v>
      </c>
      <c r="K208" s="1689">
        <v>1000</v>
      </c>
      <c r="L208" s="443" t="s">
        <v>63</v>
      </c>
      <c r="V208" s="1285" t="s">
        <v>46</v>
      </c>
      <c r="W208" s="1504">
        <v>4438.3353749999997</v>
      </c>
      <c r="X208" s="1504">
        <v>4438.3353749999997</v>
      </c>
      <c r="Y208" s="1504">
        <v>4438.3353749999997</v>
      </c>
      <c r="Z208" s="1504">
        <v>4438.3353749999997</v>
      </c>
      <c r="AA208" s="1504">
        <v>4438.3353749999997</v>
      </c>
      <c r="AB208" s="1609">
        <v>4438.34</v>
      </c>
      <c r="AC208" s="722">
        <v>4438.34</v>
      </c>
      <c r="AD208" s="722">
        <v>4438.34</v>
      </c>
      <c r="AE208" s="722">
        <v>4438.34</v>
      </c>
      <c r="AF208" s="16">
        <v>2904.29</v>
      </c>
      <c r="AG208" s="52">
        <v>2904.29</v>
      </c>
      <c r="AH208"/>
      <c r="AI208" s="1311" t="s">
        <v>50</v>
      </c>
      <c r="AJ208" s="19">
        <v>12</v>
      </c>
      <c r="AK208" s="19">
        <v>12</v>
      </c>
      <c r="AL208" s="19">
        <v>12</v>
      </c>
      <c r="AM208" s="19">
        <v>12</v>
      </c>
      <c r="AN208" s="19">
        <v>12</v>
      </c>
      <c r="AO208" s="16">
        <v>12</v>
      </c>
      <c r="AP208" s="16">
        <v>12</v>
      </c>
      <c r="AQ208" s="16">
        <v>12</v>
      </c>
      <c r="AR208" s="16">
        <v>12</v>
      </c>
      <c r="AS208" s="16">
        <v>12</v>
      </c>
      <c r="AT208" s="16">
        <v>12</v>
      </c>
      <c r="AV208" s="1311" t="s">
        <v>51</v>
      </c>
      <c r="AW208" s="672">
        <v>1783</v>
      </c>
      <c r="AX208" s="672">
        <v>1783</v>
      </c>
      <c r="AY208" s="672">
        <v>1783</v>
      </c>
      <c r="AZ208" s="672">
        <v>1783</v>
      </c>
      <c r="BA208" s="672">
        <v>1783</v>
      </c>
      <c r="BB208" s="657">
        <v>1783</v>
      </c>
      <c r="BC208" s="657">
        <v>1783</v>
      </c>
      <c r="BD208" s="657">
        <v>1783</v>
      </c>
      <c r="BE208" s="657">
        <v>1783</v>
      </c>
      <c r="BF208" s="726">
        <f t="shared" si="70"/>
        <v>1000</v>
      </c>
      <c r="BG208" s="545">
        <f t="shared" si="71"/>
        <v>1000</v>
      </c>
      <c r="DK208" s="995">
        <f>(DM208)/(DN208)</f>
        <v>2.0460890198953634</v>
      </c>
      <c r="DL208" s="641" t="str">
        <f>CONCATENATE(G208," ",J208," Year EUL")</f>
        <v>Cooking BUS 12 Year EUL</v>
      </c>
      <c r="DM208" s="997">
        <f>(INDEX('Avoided Cost Benefits'!$B$4:$B$865,MATCH(DL208,'Avoided Cost Benefits'!$A$4:$A$865,0)))*F208</f>
        <v>2046.0890198953634</v>
      </c>
      <c r="DN208" s="2035">
        <f>IFERROR(K208/((1+DiscountRate)^(CurrentYear-DiscountYear)),0)</f>
        <v>1000</v>
      </c>
    </row>
    <row r="209" spans="1:118" outlineLevel="1" x14ac:dyDescent="0.25">
      <c r="D209" s="74" t="s">
        <v>95</v>
      </c>
      <c r="E209" s="108" t="s">
        <v>315</v>
      </c>
      <c r="F209" s="7"/>
      <c r="G209" s="7"/>
      <c r="H209" s="449"/>
      <c r="I209" s="7"/>
      <c r="J209" s="7"/>
      <c r="K209" s="1620"/>
      <c r="W209" s="1625"/>
      <c r="X209" s="1625"/>
      <c r="Y209" s="1625"/>
      <c r="Z209" s="1625"/>
      <c r="AA209" s="1625"/>
      <c r="AB209" s="1625"/>
      <c r="AC209" s="1625"/>
      <c r="AD209" s="1625"/>
      <c r="AE209" s="1625"/>
      <c r="AF209" s="1954"/>
      <c r="AG209" s="1954"/>
      <c r="BF209" s="1605" t="s">
        <v>316</v>
      </c>
    </row>
    <row r="210" spans="1:118" outlineLevel="1" x14ac:dyDescent="0.25">
      <c r="D210" s="7" t="s">
        <v>97</v>
      </c>
      <c r="E210" s="7"/>
      <c r="F210" s="7"/>
      <c r="G210" s="7"/>
      <c r="H210" s="449"/>
      <c r="I210" s="7"/>
      <c r="J210" s="7"/>
      <c r="K210" s="7"/>
      <c r="W210" s="1625"/>
      <c r="X210" s="1625"/>
      <c r="Y210" s="1625"/>
      <c r="Z210" s="1625"/>
      <c r="AA210" s="1625"/>
      <c r="AB210" s="1625"/>
      <c r="AC210" s="1625"/>
      <c r="AD210" s="1625"/>
      <c r="AE210" s="1625"/>
      <c r="AF210" s="1954"/>
      <c r="AG210" s="1954"/>
    </row>
    <row r="211" spans="1:118" outlineLevel="1" x14ac:dyDescent="0.25">
      <c r="D211" s="450"/>
      <c r="G211" s="247"/>
      <c r="H211" s="451"/>
      <c r="W211" s="1625"/>
      <c r="X211" s="1625"/>
      <c r="Y211" s="1625"/>
      <c r="Z211" s="1625"/>
      <c r="AA211" s="1625"/>
      <c r="AB211" s="1625"/>
      <c r="AC211" s="1625"/>
      <c r="AD211" s="1625"/>
      <c r="AE211" s="1625"/>
      <c r="AF211" s="1954"/>
      <c r="AG211" s="1954"/>
    </row>
    <row r="212" spans="1:118" outlineLevel="1" x14ac:dyDescent="0.25">
      <c r="D212" s="64"/>
      <c r="G212" s="247"/>
      <c r="H212" s="451"/>
      <c r="W212" s="1625"/>
      <c r="X212" s="1625"/>
      <c r="Y212" s="1625"/>
      <c r="Z212" s="1625"/>
      <c r="AA212" s="1625"/>
      <c r="AB212" s="1625"/>
      <c r="AC212" s="1625"/>
      <c r="AD212" s="1625"/>
      <c r="AE212" s="1625"/>
      <c r="AF212" s="1954"/>
      <c r="AG212" s="1954"/>
    </row>
    <row r="213" spans="1:118" outlineLevel="1" x14ac:dyDescent="0.25">
      <c r="D213" s="450"/>
      <c r="G213" s="247"/>
      <c r="H213" s="451"/>
      <c r="M213" s="7"/>
      <c r="W213" s="1625"/>
      <c r="X213" s="1625"/>
      <c r="Y213" s="1625"/>
      <c r="Z213" s="1625"/>
      <c r="AA213" s="1625"/>
      <c r="AB213" s="1625"/>
      <c r="AC213" s="1625"/>
      <c r="AD213" s="1625"/>
      <c r="AE213" s="1625"/>
      <c r="AF213" s="1954"/>
      <c r="AG213" s="1954"/>
    </row>
    <row r="214" spans="1:118" outlineLevel="1" x14ac:dyDescent="0.25">
      <c r="D214" s="450"/>
      <c r="G214" s="247"/>
      <c r="H214" s="451"/>
      <c r="M214" s="7"/>
      <c r="AF214" s="1954"/>
      <c r="AG214" s="1954"/>
    </row>
    <row r="215" spans="1:118" outlineLevel="1" x14ac:dyDescent="0.25">
      <c r="D215" s="450"/>
      <c r="G215" s="247"/>
      <c r="H215" s="451"/>
      <c r="M215" s="7"/>
      <c r="AF215" s="1954"/>
      <c r="AG215" s="1954"/>
    </row>
    <row r="216" spans="1:118" outlineLevel="1" x14ac:dyDescent="0.25">
      <c r="D216" s="450"/>
      <c r="G216" s="247"/>
      <c r="H216" s="451"/>
      <c r="AF216" s="1954"/>
      <c r="AG216" s="1954"/>
    </row>
    <row r="217" spans="1:118" s="8" customFormat="1" ht="17.25" outlineLevel="1" x14ac:dyDescent="0.25">
      <c r="A217" s="247"/>
      <c r="B217" s="115"/>
      <c r="C217" s="64"/>
      <c r="D217" s="1236" t="s">
        <v>43</v>
      </c>
      <c r="E217" s="1236" t="s">
        <v>173</v>
      </c>
      <c r="F217" s="1236" t="s">
        <v>174</v>
      </c>
      <c r="G217" s="1236" t="s">
        <v>317</v>
      </c>
      <c r="H217" s="28" t="s">
        <v>318</v>
      </c>
      <c r="I217" s="30" t="s">
        <v>319</v>
      </c>
      <c r="J217" s="30" t="s">
        <v>141</v>
      </c>
      <c r="K217" s="30" t="s">
        <v>292</v>
      </c>
      <c r="L217" s="64"/>
      <c r="M217" s="115"/>
      <c r="N217" s="115"/>
      <c r="O217" s="115"/>
      <c r="P217" s="115"/>
      <c r="Q217" s="115"/>
      <c r="R217" s="115"/>
      <c r="S217" s="115"/>
      <c r="T217" s="115"/>
      <c r="U217" s="115"/>
      <c r="V217" s="636" t="s">
        <v>53</v>
      </c>
      <c r="W217" s="637">
        <f>$W$8</f>
        <v>43252</v>
      </c>
      <c r="X217" s="637">
        <f>$X$8</f>
        <v>43465</v>
      </c>
      <c r="Y217" s="637">
        <f>$Y$8</f>
        <v>43800</v>
      </c>
      <c r="Z217" s="637">
        <f>$Z$8</f>
        <v>43862</v>
      </c>
      <c r="AA217" s="637">
        <f>$AA$8</f>
        <v>44013</v>
      </c>
      <c r="AB217" s="637">
        <v>44166</v>
      </c>
      <c r="AC217" s="637">
        <f>$AC$8</f>
        <v>44531</v>
      </c>
      <c r="AD217" s="637">
        <f>$AD$8</f>
        <v>44774</v>
      </c>
      <c r="AE217" s="637">
        <f>$AE$8</f>
        <v>45142</v>
      </c>
      <c r="AF217" s="637">
        <f>$AF$8</f>
        <v>45672</v>
      </c>
      <c r="AG217" s="637">
        <f>$AG$8</f>
        <v>45971</v>
      </c>
      <c r="AH217"/>
      <c r="AI217" s="636" t="s">
        <v>53</v>
      </c>
      <c r="AJ217" s="637">
        <v>43252</v>
      </c>
      <c r="AK217" s="637">
        <f>$X$8</f>
        <v>43465</v>
      </c>
      <c r="AL217" s="637">
        <f>$Y$8</f>
        <v>43800</v>
      </c>
      <c r="AM217" s="637">
        <f>$Z$8</f>
        <v>43862</v>
      </c>
      <c r="AN217" s="637">
        <f>$AA$8</f>
        <v>44013</v>
      </c>
      <c r="AO217" s="637">
        <f>$AB$8</f>
        <v>44166</v>
      </c>
      <c r="AP217" s="637">
        <f>$AC$8</f>
        <v>44531</v>
      </c>
      <c r="AQ217" s="637">
        <f>$AD$8</f>
        <v>44774</v>
      </c>
      <c r="AR217" s="637">
        <f>$AE$8</f>
        <v>45142</v>
      </c>
      <c r="AS217" s="637">
        <f>$AF$8</f>
        <v>45672</v>
      </c>
      <c r="AT217" s="637">
        <f>$AG$8</f>
        <v>45971</v>
      </c>
      <c r="AU217" s="2"/>
      <c r="AV217" s="636" t="s">
        <v>53</v>
      </c>
      <c r="AW217" s="637">
        <v>43252</v>
      </c>
      <c r="AX217" s="637">
        <f>$X$8</f>
        <v>43465</v>
      </c>
      <c r="AY217" s="637">
        <f>$Y$8</f>
        <v>43800</v>
      </c>
      <c r="AZ217" s="637">
        <f>$Z$8</f>
        <v>43862</v>
      </c>
      <c r="BA217" s="637">
        <f>$AA$8</f>
        <v>44013</v>
      </c>
      <c r="BB217" s="637">
        <v>44166</v>
      </c>
      <c r="BC217" s="637">
        <f>$AC$8</f>
        <v>44531</v>
      </c>
      <c r="BD217" s="637">
        <f>$AD$8</f>
        <v>44774</v>
      </c>
      <c r="BE217" s="637">
        <f>$AE$8</f>
        <v>45142</v>
      </c>
      <c r="BF217" s="637">
        <f>$AF$8</f>
        <v>45672</v>
      </c>
      <c r="BG217" s="637">
        <f>$AT$8</f>
        <v>45971</v>
      </c>
      <c r="DI217" s="2"/>
      <c r="DJ217" s="2"/>
      <c r="DK217" s="996"/>
      <c r="DL217" s="115"/>
      <c r="DM217" s="115"/>
      <c r="DN217" s="499"/>
    </row>
    <row r="218" spans="1:118" outlineLevel="1" x14ac:dyDescent="0.25">
      <c r="D218" s="647" t="str">
        <f>C206</f>
        <v>802900_2024_12_</v>
      </c>
      <c r="E218" s="647" t="str">
        <f>E206</f>
        <v>ENERGY STAR Hot Holding Cabinet (0 &lt; V &lt;13)</v>
      </c>
      <c r="F218" s="469" t="s">
        <v>320</v>
      </c>
      <c r="G218" s="1679">
        <v>7</v>
      </c>
      <c r="H218" s="481">
        <f>30*G218</f>
        <v>210</v>
      </c>
      <c r="I218" s="482">
        <f>21.5*G218</f>
        <v>150.5</v>
      </c>
      <c r="J218" s="1696">
        <v>15</v>
      </c>
      <c r="K218" s="1697">
        <v>365.25</v>
      </c>
      <c r="V218" s="1285" t="s">
        <v>318</v>
      </c>
      <c r="W218" s="1504">
        <v>280</v>
      </c>
      <c r="X218" s="1504">
        <v>280</v>
      </c>
      <c r="Y218" s="1504">
        <v>280</v>
      </c>
      <c r="Z218" s="1504">
        <v>280</v>
      </c>
      <c r="AA218" s="1504">
        <v>280</v>
      </c>
      <c r="AB218" s="1609">
        <v>280</v>
      </c>
      <c r="AC218" s="722">
        <v>280</v>
      </c>
      <c r="AD218" s="722">
        <v>280</v>
      </c>
      <c r="AE218" s="722">
        <v>280</v>
      </c>
      <c r="AF218" s="16">
        <v>210</v>
      </c>
      <c r="AG218" s="52">
        <v>210</v>
      </c>
      <c r="AH218"/>
      <c r="AI218" s="1311" t="s">
        <v>319</v>
      </c>
      <c r="AJ218" s="19">
        <v>150.5</v>
      </c>
      <c r="AK218" s="19">
        <v>150.5</v>
      </c>
      <c r="AL218" s="19">
        <v>150.5</v>
      </c>
      <c r="AM218" s="19">
        <v>150.5</v>
      </c>
      <c r="AN218" s="19">
        <v>150.5</v>
      </c>
      <c r="AO218" s="16">
        <v>150.5</v>
      </c>
      <c r="AP218" s="16">
        <v>150.5</v>
      </c>
      <c r="AQ218" s="16">
        <v>150.5</v>
      </c>
      <c r="AR218" s="16">
        <v>150.5</v>
      </c>
      <c r="AS218" s="16">
        <v>150.5</v>
      </c>
      <c r="AT218" s="16">
        <v>150.5</v>
      </c>
      <c r="AV218" s="1311"/>
      <c r="AW218" s="672"/>
      <c r="AX218" s="672"/>
      <c r="AY218" s="672"/>
      <c r="AZ218" s="672"/>
      <c r="BA218" s="672"/>
      <c r="BB218" s="657"/>
      <c r="BC218" s="657"/>
      <c r="BD218" s="657"/>
      <c r="BE218" s="657"/>
      <c r="BF218" s="726"/>
      <c r="BG218" s="726"/>
    </row>
    <row r="219" spans="1:118" outlineLevel="1" x14ac:dyDescent="0.25">
      <c r="D219" s="647" t="str">
        <f>C207</f>
        <v>802950_2024_12_</v>
      </c>
      <c r="E219" s="647" t="str">
        <f>E207</f>
        <v>ENERGY STAR Hot Holding Cabinet (13 ≤ V &lt;28)</v>
      </c>
      <c r="F219" s="469" t="s">
        <v>321</v>
      </c>
      <c r="G219" s="1679">
        <v>20</v>
      </c>
      <c r="H219" s="481">
        <f t="shared" ref="H219:H220" si="72">30*G219</f>
        <v>600</v>
      </c>
      <c r="I219" s="482">
        <f>(2*G219)+254</f>
        <v>294</v>
      </c>
      <c r="J219" s="1696">
        <v>15</v>
      </c>
      <c r="K219" s="1697">
        <v>365.25</v>
      </c>
      <c r="V219" s="1285" t="s">
        <v>318</v>
      </c>
      <c r="W219" s="1504">
        <v>800</v>
      </c>
      <c r="X219" s="1504">
        <v>800</v>
      </c>
      <c r="Y219" s="1504">
        <v>800</v>
      </c>
      <c r="Z219" s="1504">
        <v>800</v>
      </c>
      <c r="AA219" s="1504">
        <v>800</v>
      </c>
      <c r="AB219" s="1609">
        <v>800</v>
      </c>
      <c r="AC219" s="722">
        <v>800</v>
      </c>
      <c r="AD219" s="722">
        <v>800</v>
      </c>
      <c r="AE219" s="722">
        <v>800</v>
      </c>
      <c r="AF219" s="16">
        <v>600</v>
      </c>
      <c r="AG219" s="52">
        <v>600</v>
      </c>
      <c r="AH219"/>
      <c r="AI219" s="1311" t="s">
        <v>319</v>
      </c>
      <c r="AJ219" s="19">
        <v>294</v>
      </c>
      <c r="AK219" s="19">
        <v>294</v>
      </c>
      <c r="AL219" s="19">
        <v>294</v>
      </c>
      <c r="AM219" s="19">
        <v>294</v>
      </c>
      <c r="AN219" s="19">
        <v>294</v>
      </c>
      <c r="AO219" s="16">
        <v>294</v>
      </c>
      <c r="AP219" s="16">
        <v>294</v>
      </c>
      <c r="AQ219" s="16">
        <v>294</v>
      </c>
      <c r="AR219" s="16">
        <v>294</v>
      </c>
      <c r="AS219" s="16">
        <v>294</v>
      </c>
      <c r="AT219" s="16">
        <v>294</v>
      </c>
      <c r="AV219" s="1311"/>
      <c r="AW219" s="672"/>
      <c r="AX219" s="672"/>
      <c r="AY219" s="672"/>
      <c r="AZ219" s="672"/>
      <c r="BA219" s="672"/>
      <c r="BB219" s="657"/>
      <c r="BC219" s="657"/>
      <c r="BD219" s="657"/>
      <c r="BE219" s="657"/>
      <c r="BF219" s="726"/>
      <c r="BG219" s="726"/>
    </row>
    <row r="220" spans="1:118" outlineLevel="1" x14ac:dyDescent="0.25">
      <c r="D220" s="647" t="str">
        <f>C208</f>
        <v>803000_2024_12_</v>
      </c>
      <c r="E220" s="647" t="str">
        <f>E208</f>
        <v>ENERGY STAR Hot Holding Cabinet (28 ≤ V)</v>
      </c>
      <c r="F220" s="469" t="s">
        <v>322</v>
      </c>
      <c r="G220" s="1679">
        <v>28</v>
      </c>
      <c r="H220" s="481">
        <f t="shared" si="72"/>
        <v>840</v>
      </c>
      <c r="I220" s="482">
        <f>(3.8*G220)+203.5</f>
        <v>309.89999999999998</v>
      </c>
      <c r="J220" s="1696">
        <v>15</v>
      </c>
      <c r="K220" s="1697">
        <v>365.25</v>
      </c>
      <c r="V220" s="1285" t="s">
        <v>318</v>
      </c>
      <c r="W220" s="1504">
        <v>1120</v>
      </c>
      <c r="X220" s="1504">
        <v>1120</v>
      </c>
      <c r="Y220" s="1504">
        <v>1120</v>
      </c>
      <c r="Z220" s="1504">
        <v>1120</v>
      </c>
      <c r="AA220" s="1504">
        <v>1120</v>
      </c>
      <c r="AB220" s="1609">
        <v>1120</v>
      </c>
      <c r="AC220" s="722">
        <v>1120</v>
      </c>
      <c r="AD220" s="722">
        <v>1120</v>
      </c>
      <c r="AE220" s="722">
        <v>1120</v>
      </c>
      <c r="AF220" s="16">
        <v>840</v>
      </c>
      <c r="AG220" s="52">
        <v>840</v>
      </c>
      <c r="AH220"/>
      <c r="AI220" s="1311" t="s">
        <v>319</v>
      </c>
      <c r="AJ220" s="19">
        <v>309.89999999999998</v>
      </c>
      <c r="AK220" s="19">
        <v>309.89999999999998</v>
      </c>
      <c r="AL220" s="19">
        <v>309.89999999999998</v>
      </c>
      <c r="AM220" s="19">
        <v>309.89999999999998</v>
      </c>
      <c r="AN220" s="19">
        <v>309.89999999999998</v>
      </c>
      <c r="AO220" s="16">
        <v>309.89999999999998</v>
      </c>
      <c r="AP220" s="16">
        <v>309.89999999999998</v>
      </c>
      <c r="AQ220" s="16">
        <v>309.89999999999998</v>
      </c>
      <c r="AR220" s="16">
        <v>309.89999999999998</v>
      </c>
      <c r="AS220" s="16">
        <v>309.89999999999998</v>
      </c>
      <c r="AT220" s="16">
        <v>309.89999999999998</v>
      </c>
      <c r="AV220" s="1311"/>
      <c r="AW220" s="672"/>
      <c r="AX220" s="672"/>
      <c r="AY220" s="672"/>
      <c r="AZ220" s="672"/>
      <c r="BA220" s="672"/>
      <c r="BB220" s="657"/>
      <c r="BC220" s="657"/>
      <c r="BD220" s="657"/>
      <c r="BE220" s="657"/>
      <c r="BF220" s="726"/>
      <c r="BG220" s="726"/>
    </row>
    <row r="221" spans="1:118" x14ac:dyDescent="0.25">
      <c r="H221" s="1620" t="s">
        <v>323</v>
      </c>
      <c r="AF221" s="1954"/>
      <c r="AG221" s="1954"/>
    </row>
    <row r="222" spans="1:118" x14ac:dyDescent="0.25">
      <c r="AF222" s="1954"/>
      <c r="AG222" s="1954"/>
    </row>
    <row r="223" spans="1:118" s="7" customFormat="1" x14ac:dyDescent="0.25">
      <c r="A223" s="247"/>
      <c r="B223" s="2308" t="s">
        <v>324</v>
      </c>
      <c r="C223" s="2309"/>
      <c r="D223" s="2309"/>
      <c r="E223" s="2309"/>
      <c r="F223" s="2309"/>
      <c r="G223" s="2309"/>
      <c r="H223" s="2309"/>
      <c r="I223" s="2310"/>
      <c r="J223" s="2310"/>
      <c r="K223" s="2310"/>
      <c r="L223" s="2310"/>
      <c r="M223" s="2311"/>
      <c r="N223" s="2311"/>
      <c r="O223" s="2312"/>
      <c r="V223" s="1234" t="str">
        <f>B223</f>
        <v>HVAC</v>
      </c>
      <c r="W223" s="1235"/>
      <c r="X223" s="1235"/>
      <c r="Y223" s="1235"/>
      <c r="Z223" s="1235"/>
      <c r="AA223" s="1235"/>
      <c r="AB223" s="1235"/>
      <c r="AC223" s="1235"/>
      <c r="AD223" s="1235"/>
      <c r="AE223" s="1235"/>
      <c r="AF223" s="1955"/>
      <c r="AG223" s="1955"/>
      <c r="AH223" s="1235"/>
      <c r="AI223" s="1269"/>
      <c r="AJ223" s="2"/>
      <c r="AK223" s="2"/>
      <c r="AL223" s="2"/>
      <c r="AM223" s="2"/>
      <c r="AN223" s="2"/>
      <c r="AO223" s="2"/>
      <c r="AP223" s="2"/>
      <c r="AQ223" s="2"/>
      <c r="AR223" s="2"/>
      <c r="AS223" s="2"/>
      <c r="AT223" s="2"/>
      <c r="AU223" s="2"/>
      <c r="AV223" s="2"/>
      <c r="BG223" s="2"/>
      <c r="DI223" s="2"/>
      <c r="DJ223" s="2"/>
      <c r="DK223" s="23"/>
      <c r="DN223" s="2031"/>
    </row>
    <row r="224" spans="1:118" x14ac:dyDescent="0.25">
      <c r="D224" s="439"/>
      <c r="E224" s="7"/>
      <c r="F224" s="7"/>
      <c r="G224" s="7"/>
      <c r="H224" s="440"/>
      <c r="I224" s="7"/>
      <c r="J224" s="7"/>
      <c r="K224" s="7"/>
      <c r="L224" s="7"/>
      <c r="P224" s="7"/>
      <c r="Q224" s="7"/>
      <c r="R224" s="7"/>
      <c r="S224" s="7"/>
      <c r="T224" s="7"/>
      <c r="U224" s="7"/>
      <c r="V224"/>
      <c r="W224"/>
      <c r="X224"/>
      <c r="Y224"/>
      <c r="Z224"/>
      <c r="AA224"/>
      <c r="AB224"/>
      <c r="AC224"/>
      <c r="AD224"/>
      <c r="AE224"/>
      <c r="AF224" s="1938"/>
      <c r="AG224" s="1938"/>
      <c r="AH224"/>
      <c r="AI224"/>
      <c r="AJ224" s="6"/>
      <c r="AK224" s="6"/>
      <c r="AL224" s="6"/>
      <c r="AM224" s="6"/>
      <c r="AN224" s="6"/>
      <c r="AO224" s="6"/>
      <c r="AP224" s="6"/>
      <c r="AQ224" s="6"/>
      <c r="AR224" s="6"/>
      <c r="AS224" s="6"/>
      <c r="AT224" s="6"/>
      <c r="AU224" s="6"/>
      <c r="AV224" s="6"/>
      <c r="BG224" s="6"/>
      <c r="DK224" s="989" t="s">
        <v>325</v>
      </c>
    </row>
    <row r="225" spans="1:118" s="8" customFormat="1" ht="30" x14ac:dyDescent="0.25">
      <c r="A225" s="247"/>
      <c r="B225" s="64"/>
      <c r="C225" s="9" t="s">
        <v>43</v>
      </c>
      <c r="D225" s="9" t="s">
        <v>44</v>
      </c>
      <c r="E225" s="1301" t="s">
        <v>45</v>
      </c>
      <c r="F225" s="1301" t="s">
        <v>326</v>
      </c>
      <c r="G225" s="1301" t="s">
        <v>327</v>
      </c>
      <c r="H225" s="1301" t="s">
        <v>328</v>
      </c>
      <c r="I225" s="1301" t="s">
        <v>47</v>
      </c>
      <c r="J225" s="1301" t="s">
        <v>47</v>
      </c>
      <c r="K225" s="10" t="s">
        <v>48</v>
      </c>
      <c r="L225" s="1301" t="s">
        <v>49</v>
      </c>
      <c r="M225" s="1301" t="s">
        <v>50</v>
      </c>
      <c r="N225" s="1301" t="s">
        <v>51</v>
      </c>
      <c r="O225" s="9" t="s">
        <v>52</v>
      </c>
      <c r="P225" s="483"/>
      <c r="Q225" s="484"/>
      <c r="R225" s="115"/>
      <c r="S225" s="115"/>
      <c r="T225" s="115"/>
      <c r="U225" s="115"/>
      <c r="V225" s="636" t="s">
        <v>53</v>
      </c>
      <c r="W225" s="637">
        <f>$W$8</f>
        <v>43252</v>
      </c>
      <c r="X225" s="637">
        <f>$X$8</f>
        <v>43465</v>
      </c>
      <c r="Y225" s="637">
        <f>$Y$8</f>
        <v>43800</v>
      </c>
      <c r="Z225" s="637">
        <f>$Z$8</f>
        <v>43862</v>
      </c>
      <c r="AA225" s="637">
        <f>$AA$8</f>
        <v>44013</v>
      </c>
      <c r="AB225" s="637">
        <v>44166</v>
      </c>
      <c r="AC225" s="637">
        <f>$AC$8</f>
        <v>44531</v>
      </c>
      <c r="AD225" s="637">
        <f>$AD$8</f>
        <v>44774</v>
      </c>
      <c r="AE225" s="637">
        <f>$AE$8</f>
        <v>45142</v>
      </c>
      <c r="AF225" s="637">
        <f>$AF$8</f>
        <v>45672</v>
      </c>
      <c r="AG225" s="637">
        <f>$AG$8</f>
        <v>45971</v>
      </c>
      <c r="AH225"/>
      <c r="AI225" s="636" t="s">
        <v>53</v>
      </c>
      <c r="AJ225" s="637">
        <v>43252</v>
      </c>
      <c r="AK225" s="637">
        <f>$X$8</f>
        <v>43465</v>
      </c>
      <c r="AL225" s="637">
        <f>$Y$8</f>
        <v>43800</v>
      </c>
      <c r="AM225" s="637">
        <f>$Z$8</f>
        <v>43862</v>
      </c>
      <c r="AN225" s="637">
        <f>$AA$8</f>
        <v>44013</v>
      </c>
      <c r="AO225" s="637">
        <f>$AB$8</f>
        <v>44166</v>
      </c>
      <c r="AP225" s="637">
        <f>$AC$8</f>
        <v>44531</v>
      </c>
      <c r="AQ225" s="637">
        <f>$AD$8</f>
        <v>44774</v>
      </c>
      <c r="AR225" s="637">
        <f>$AE$8</f>
        <v>45142</v>
      </c>
      <c r="AS225" s="637">
        <f>$AF$8</f>
        <v>45672</v>
      </c>
      <c r="AT225" s="637">
        <f>$AT$8</f>
        <v>45971</v>
      </c>
      <c r="AU225"/>
      <c r="AV225" s="636" t="s">
        <v>53</v>
      </c>
      <c r="AW225" s="637">
        <v>43252</v>
      </c>
      <c r="AX225" s="637">
        <f>$X$8</f>
        <v>43465</v>
      </c>
      <c r="AY225" s="637">
        <f>$Y$8</f>
        <v>43800</v>
      </c>
      <c r="AZ225" s="637">
        <f>$Z$8</f>
        <v>43862</v>
      </c>
      <c r="BA225" s="637">
        <f>$AA$8</f>
        <v>44013</v>
      </c>
      <c r="BB225" s="637">
        <v>44166</v>
      </c>
      <c r="BC225" s="637">
        <f>$AC$8</f>
        <v>44531</v>
      </c>
      <c r="BD225" s="637">
        <f>$AD$8</f>
        <v>44774</v>
      </c>
      <c r="BE225" s="637">
        <f>$AE$8</f>
        <v>45142</v>
      </c>
      <c r="BF225" s="637">
        <f>$AF$8</f>
        <v>45672</v>
      </c>
      <c r="BG225" s="637">
        <f>$AT$8</f>
        <v>45971</v>
      </c>
      <c r="BH225"/>
      <c r="BI225" s="636" t="s">
        <v>53</v>
      </c>
      <c r="BJ225" s="637">
        <v>43252</v>
      </c>
      <c r="BK225" s="637">
        <f>$X$8</f>
        <v>43465</v>
      </c>
      <c r="BL225" s="637">
        <f>$Y$8</f>
        <v>43800</v>
      </c>
      <c r="BM225" s="637">
        <f>$Z$8</f>
        <v>43862</v>
      </c>
      <c r="BN225" s="637">
        <f>$AA$8</f>
        <v>44013</v>
      </c>
      <c r="BO225" s="637">
        <v>44166</v>
      </c>
      <c r="BP225" s="637">
        <f>$AC$8</f>
        <v>44531</v>
      </c>
      <c r="BQ225" s="637">
        <f>$AD$8</f>
        <v>44774</v>
      </c>
      <c r="BR225" s="637">
        <f>$AE$8</f>
        <v>45142</v>
      </c>
      <c r="BS225" s="637">
        <f>$AF$8</f>
        <v>45672</v>
      </c>
      <c r="BT225" s="637">
        <f>BT37</f>
        <v>45971</v>
      </c>
      <c r="BU225" s="2"/>
      <c r="BV225" s="2"/>
      <c r="BW225" s="636" t="s">
        <v>53</v>
      </c>
      <c r="BX225" s="637">
        <v>43252</v>
      </c>
      <c r="BY225" s="637">
        <f>$X$8</f>
        <v>43465</v>
      </c>
      <c r="BZ225" s="637">
        <f>$Y$8</f>
        <v>43800</v>
      </c>
      <c r="CA225" s="637">
        <f>$Z$8</f>
        <v>43862</v>
      </c>
      <c r="CB225" s="637">
        <f>$AA$8</f>
        <v>44013</v>
      </c>
      <c r="CC225" s="637">
        <f>$AB$8</f>
        <v>44166</v>
      </c>
      <c r="CD225" s="637">
        <f>$AC$8</f>
        <v>44531</v>
      </c>
      <c r="CE225" s="637">
        <f>$AD$8</f>
        <v>44774</v>
      </c>
      <c r="CF225" s="637">
        <f>$AE$8</f>
        <v>45142</v>
      </c>
      <c r="CG225" s="637">
        <f>$AF$8</f>
        <v>45672</v>
      </c>
      <c r="CH225" s="163">
        <f>BT225</f>
        <v>45971</v>
      </c>
      <c r="DI225" s="2"/>
      <c r="DJ225" s="2"/>
      <c r="DK225" s="991" t="str">
        <f>$DK$8</f>
        <v>TRC (2025)</v>
      </c>
      <c r="DL225" s="761" t="str">
        <f>$DL$8</f>
        <v>Benefit Lookup</v>
      </c>
      <c r="DM225" s="761" t="str">
        <f>$DM$8</f>
        <v>Benefits (2025 $)</v>
      </c>
      <c r="DN225" s="2034" t="str">
        <f>$DN$8</f>
        <v>Incremental Cost (2025 $)</v>
      </c>
    </row>
    <row r="226" spans="1:118" x14ac:dyDescent="0.25">
      <c r="A226" s="2006" t="s">
        <v>329</v>
      </c>
      <c r="B226" s="247">
        <f t="shared" ref="B226:B227" si="73">VALUE(LEFT(C226,6))</f>
        <v>803050</v>
      </c>
      <c r="C226" s="656" t="s">
        <v>330</v>
      </c>
      <c r="D226" s="1972" t="s">
        <v>60</v>
      </c>
      <c r="E226" s="485" t="s">
        <v>331</v>
      </c>
      <c r="F226" s="19">
        <f>SUM(G226:H226)</f>
        <v>0</v>
      </c>
      <c r="G226" s="55">
        <f>ROUND((1/F237)*G237*(H237/1000)*I237/(H237/12000),2)*0</f>
        <v>0</v>
      </c>
      <c r="H226" s="639">
        <f>J237*(L237/(K237*3412)*1/(L237/12000))*M237*0</f>
        <v>0</v>
      </c>
      <c r="I226" s="441" t="s">
        <v>332</v>
      </c>
      <c r="J226" s="441" t="s">
        <v>333</v>
      </c>
      <c r="K226" s="442">
        <v>9.1068395835808389E-4</v>
      </c>
      <c r="L226" s="486">
        <f>ROUND(K226*G226,6)</f>
        <v>0</v>
      </c>
      <c r="M226" s="477">
        <v>9</v>
      </c>
      <c r="N226" s="1698">
        <f>N237/(H237/12000)</f>
        <v>105.6</v>
      </c>
      <c r="O226" s="443" t="s">
        <v>334</v>
      </c>
      <c r="V226" s="1311" t="str">
        <f>F225</f>
        <v>Total kWh Annual Savings per ton</v>
      </c>
      <c r="W226" s="53">
        <v>438.34117233294256</v>
      </c>
      <c r="X226" s="53">
        <v>438.34117233294256</v>
      </c>
      <c r="Y226" s="53">
        <v>438.34117233294256</v>
      </c>
      <c r="Z226" s="53">
        <v>438.34117233294256</v>
      </c>
      <c r="AA226" s="53">
        <v>438.34117233294256</v>
      </c>
      <c r="AB226" s="53">
        <v>438.34117233294256</v>
      </c>
      <c r="AC226" s="53">
        <v>438.34117233294256</v>
      </c>
      <c r="AD226" s="53">
        <v>438.34117233294256</v>
      </c>
      <c r="AE226" s="53">
        <v>438.34117233294256</v>
      </c>
      <c r="AF226" s="253">
        <v>0</v>
      </c>
      <c r="AG226" s="52">
        <v>0</v>
      </c>
      <c r="AH226"/>
      <c r="AI226" s="1311" t="str">
        <f>G225</f>
        <v>Cooling kWh Annual Savings (per Ton)</v>
      </c>
      <c r="AJ226" s="53">
        <v>233.00117233294256</v>
      </c>
      <c r="AK226" s="53">
        <v>233.00117233294256</v>
      </c>
      <c r="AL226" s="53">
        <v>233.00117233294256</v>
      </c>
      <c r="AM226" s="53">
        <v>233.00117233294256</v>
      </c>
      <c r="AN226" s="53">
        <v>233.00117233294256</v>
      </c>
      <c r="AO226" s="618">
        <v>233.00117233294256</v>
      </c>
      <c r="AP226" s="52">
        <v>233</v>
      </c>
      <c r="AQ226" s="51">
        <v>233</v>
      </c>
      <c r="AR226" s="51">
        <v>233</v>
      </c>
      <c r="AS226" s="45">
        <v>0</v>
      </c>
      <c r="AT226" s="46">
        <f>G226</f>
        <v>0</v>
      </c>
      <c r="AU226"/>
      <c r="AV226" s="1311" t="str">
        <f>H225</f>
        <v>Heating kWh Annual Savings (per ton)</v>
      </c>
      <c r="AW226" s="53">
        <v>205.33500000000004</v>
      </c>
      <c r="AX226" s="53">
        <v>205.33500000000004</v>
      </c>
      <c r="AY226" s="53">
        <v>205.33500000000004</v>
      </c>
      <c r="AZ226" s="53">
        <v>205.33500000000004</v>
      </c>
      <c r="BA226" s="53">
        <v>205.33500000000004</v>
      </c>
      <c r="BB226" s="52">
        <v>205.34</v>
      </c>
      <c r="BC226" s="616">
        <v>205.34</v>
      </c>
      <c r="BD226" s="958">
        <v>205.34</v>
      </c>
      <c r="BE226" s="958">
        <v>205.34</v>
      </c>
      <c r="BF226" s="627">
        <v>0</v>
      </c>
      <c r="BG226" s="627">
        <f>H226</f>
        <v>0</v>
      </c>
      <c r="BH226"/>
      <c r="BI226" s="1311" t="s">
        <v>50</v>
      </c>
      <c r="BJ226" s="19">
        <v>10</v>
      </c>
      <c r="BK226" s="19">
        <v>10</v>
      </c>
      <c r="BL226" s="19">
        <v>10</v>
      </c>
      <c r="BM226" s="19">
        <v>10</v>
      </c>
      <c r="BN226" s="19">
        <v>10</v>
      </c>
      <c r="BO226" s="52">
        <v>10</v>
      </c>
      <c r="BP226" s="52">
        <v>10</v>
      </c>
      <c r="BQ226" s="52">
        <v>10</v>
      </c>
      <c r="BR226" s="52">
        <v>10</v>
      </c>
      <c r="BS226" s="638">
        <v>9</v>
      </c>
      <c r="BT226" s="53">
        <f>M226</f>
        <v>9</v>
      </c>
      <c r="BW226" s="1311" t="str">
        <f>N225</f>
        <v>Inc. Cost</v>
      </c>
      <c r="BX226" s="672">
        <v>224</v>
      </c>
      <c r="BY226" s="672">
        <v>224</v>
      </c>
      <c r="BZ226" s="672">
        <v>224</v>
      </c>
      <c r="CA226" s="672">
        <v>224</v>
      </c>
      <c r="CB226" s="672">
        <v>224</v>
      </c>
      <c r="CC226" s="672">
        <v>224</v>
      </c>
      <c r="CD226" s="672">
        <v>224</v>
      </c>
      <c r="CE226" s="672">
        <v>224</v>
      </c>
      <c r="CF226" s="672">
        <v>224</v>
      </c>
      <c r="CG226" s="667">
        <v>105.6</v>
      </c>
      <c r="CH226" s="667">
        <f>N226</f>
        <v>105.6</v>
      </c>
      <c r="DK226" s="998">
        <f>(DM226)/(DN226)</f>
        <v>0</v>
      </c>
      <c r="DL226" s="1272" t="str">
        <f>CONCATENATE(I226," ",M226," Year EUL")</f>
        <v>Cooling BUS 9 Year EUL</v>
      </c>
      <c r="DM226" s="999">
        <f>(INDEX('Avoided Cost Benefits'!$B$4:$B$865,MATCH(DL226,'Avoided Cost Benefits'!$A$4:$A$865,0)))*G226</f>
        <v>0</v>
      </c>
      <c r="DN226" s="2033">
        <f>IFERROR(N226/((1+DiscountRate)^(CurrentYear-DiscountYear)),0)</f>
        <v>105.6</v>
      </c>
    </row>
    <row r="227" spans="1:118" x14ac:dyDescent="0.25">
      <c r="A227" s="2006" t="s">
        <v>329</v>
      </c>
      <c r="B227" s="247">
        <f t="shared" si="73"/>
        <v>803060</v>
      </c>
      <c r="C227" s="656" t="s">
        <v>335</v>
      </c>
      <c r="D227" s="1972" t="s">
        <v>60</v>
      </c>
      <c r="E227" s="485" t="s">
        <v>336</v>
      </c>
      <c r="F227" s="19">
        <f>SUM(G227:H227)</f>
        <v>0</v>
      </c>
      <c r="G227" s="55">
        <f>ROUND((1/F237)*G237*(H237/1000)*I237/(H237/12000),2)*0</f>
        <v>0</v>
      </c>
      <c r="H227" s="639">
        <v>0</v>
      </c>
      <c r="I227" s="441" t="s">
        <v>332</v>
      </c>
      <c r="J227" s="441" t="s">
        <v>333</v>
      </c>
      <c r="K227" s="442">
        <v>9.1068395835808389E-4</v>
      </c>
      <c r="L227" s="486">
        <f>ROUND(K227*G227,6)</f>
        <v>0</v>
      </c>
      <c r="M227" s="477">
        <v>9</v>
      </c>
      <c r="N227" s="1698">
        <f>N237/(H237/12000)</f>
        <v>105.6</v>
      </c>
      <c r="O227" s="443" t="s">
        <v>334</v>
      </c>
      <c r="V227" s="1311" t="str">
        <f>V226</f>
        <v>Total kWh Annual Savings per ton</v>
      </c>
      <c r="W227" s="53"/>
      <c r="X227" s="53"/>
      <c r="Y227" s="53"/>
      <c r="Z227" s="53"/>
      <c r="AA227" s="53"/>
      <c r="AB227" s="53"/>
      <c r="AC227" s="53"/>
      <c r="AD227" s="53"/>
      <c r="AE227" s="53"/>
      <c r="AF227" s="253">
        <v>0</v>
      </c>
      <c r="AG227" s="52">
        <v>0</v>
      </c>
      <c r="AH227"/>
      <c r="AI227" s="1311" t="str">
        <f>AI226</f>
        <v>Cooling kWh Annual Savings (per Ton)</v>
      </c>
      <c r="AJ227" s="53"/>
      <c r="AK227" s="53"/>
      <c r="AL227" s="53"/>
      <c r="AM227" s="53"/>
      <c r="AN227" s="53"/>
      <c r="AO227" s="618"/>
      <c r="AP227" s="52"/>
      <c r="AQ227" s="51"/>
      <c r="AR227" s="51"/>
      <c r="AS227" s="45">
        <v>0</v>
      </c>
      <c r="AT227" s="46">
        <f>G227</f>
        <v>0</v>
      </c>
      <c r="AU227"/>
      <c r="AV227" s="1311" t="str">
        <f>AV226</f>
        <v>Heating kWh Annual Savings (per ton)</v>
      </c>
      <c r="AW227" s="53"/>
      <c r="AX227" s="53"/>
      <c r="AY227" s="53"/>
      <c r="AZ227" s="53"/>
      <c r="BA227" s="53"/>
      <c r="BB227" s="52"/>
      <c r="BC227" s="616"/>
      <c r="BD227" s="958"/>
      <c r="BE227" s="958"/>
      <c r="BF227" s="627">
        <v>0</v>
      </c>
      <c r="BG227" s="627">
        <f>H227</f>
        <v>0</v>
      </c>
      <c r="BH227"/>
      <c r="BI227" s="1311" t="s">
        <v>50</v>
      </c>
      <c r="BJ227" s="19">
        <v>10</v>
      </c>
      <c r="BK227" s="19">
        <v>10</v>
      </c>
      <c r="BL227" s="19">
        <v>10</v>
      </c>
      <c r="BM227" s="19">
        <v>10</v>
      </c>
      <c r="BN227" s="19">
        <v>10</v>
      </c>
      <c r="BO227" s="52">
        <v>10</v>
      </c>
      <c r="BP227" s="52">
        <v>10</v>
      </c>
      <c r="BQ227" s="52">
        <v>10</v>
      </c>
      <c r="BR227" s="52">
        <v>10</v>
      </c>
      <c r="BS227" s="638">
        <v>9</v>
      </c>
      <c r="BT227" s="53">
        <f>M227</f>
        <v>9</v>
      </c>
      <c r="BW227" s="1311" t="str">
        <f>BW226</f>
        <v>Inc. Cost</v>
      </c>
      <c r="BX227" s="672"/>
      <c r="BY227" s="672"/>
      <c r="BZ227" s="672"/>
      <c r="CA227" s="672"/>
      <c r="CB227" s="672"/>
      <c r="CC227" s="672"/>
      <c r="CD227" s="672"/>
      <c r="CE227" s="672"/>
      <c r="CF227" s="672"/>
      <c r="CG227" s="667">
        <v>105.6</v>
      </c>
      <c r="CH227" s="667">
        <f>N227</f>
        <v>105.6</v>
      </c>
      <c r="DK227" s="998">
        <f>(DM227)/(DN227)</f>
        <v>0</v>
      </c>
      <c r="DL227" s="1272" t="str">
        <f>CONCATENATE(I227," ",M227," Year EUL")</f>
        <v>Cooling BUS 9 Year EUL</v>
      </c>
      <c r="DM227" s="999">
        <f>(INDEX('Avoided Cost Benefits'!$B$4:$B$865,MATCH(DL227,'Avoided Cost Benefits'!$A$4:$A$865,0)))*G227</f>
        <v>0</v>
      </c>
      <c r="DN227" s="2035">
        <f>IFERROR(N227/((1+DiscountRate)^(CurrentYear-DiscountYear)),0)</f>
        <v>105.6</v>
      </c>
    </row>
    <row r="228" spans="1:118" outlineLevel="1" x14ac:dyDescent="0.25">
      <c r="D228" s="74" t="s">
        <v>95</v>
      </c>
      <c r="E228" s="108" t="s">
        <v>337</v>
      </c>
      <c r="F228" s="7"/>
      <c r="G228" s="7"/>
      <c r="H228" s="449"/>
      <c r="I228" s="7"/>
      <c r="J228" s="7"/>
      <c r="K228" s="7"/>
      <c r="M228" s="1607" t="s">
        <v>338</v>
      </c>
      <c r="N228" s="1607"/>
      <c r="AF228" s="1956" t="s">
        <v>339</v>
      </c>
      <c r="AG228" s="1954" t="s">
        <v>339</v>
      </c>
      <c r="BS228" s="247" t="s">
        <v>338</v>
      </c>
      <c r="BT228" s="247"/>
      <c r="CG228" s="2" t="s">
        <v>340</v>
      </c>
    </row>
    <row r="229" spans="1:118" outlineLevel="1" x14ac:dyDescent="0.25">
      <c r="D229" s="7" t="s">
        <v>97</v>
      </c>
      <c r="E229" s="7"/>
      <c r="F229" s="7"/>
      <c r="G229" s="7"/>
      <c r="H229" s="449"/>
      <c r="I229" s="7"/>
      <c r="J229" s="7"/>
      <c r="K229" s="7"/>
      <c r="AF229" s="1954"/>
      <c r="AG229" s="1954"/>
    </row>
    <row r="230" spans="1:118" outlineLevel="1" x14ac:dyDescent="0.25">
      <c r="D230" s="450"/>
      <c r="G230" s="247"/>
      <c r="H230" s="451"/>
      <c r="I230" s="50"/>
      <c r="AF230" s="1954"/>
      <c r="AG230" s="1954"/>
    </row>
    <row r="231" spans="1:118" outlineLevel="1" x14ac:dyDescent="0.25">
      <c r="D231" s="450"/>
      <c r="G231" s="247"/>
      <c r="H231" s="451"/>
      <c r="AF231" s="1954"/>
      <c r="AG231" s="1954"/>
    </row>
    <row r="232" spans="1:118" outlineLevel="1" x14ac:dyDescent="0.25">
      <c r="D232" s="450"/>
      <c r="G232" s="247"/>
      <c r="H232" s="451"/>
      <c r="M232" s="7"/>
      <c r="AF232" s="1954"/>
      <c r="AG232" s="1954"/>
    </row>
    <row r="233" spans="1:118" outlineLevel="1" x14ac:dyDescent="0.25">
      <c r="D233" s="450"/>
      <c r="G233" s="247"/>
      <c r="H233" s="451"/>
      <c r="M233" s="7"/>
      <c r="AF233" s="1954"/>
      <c r="AG233" s="1954"/>
    </row>
    <row r="234" spans="1:118" outlineLevel="1" x14ac:dyDescent="0.25">
      <c r="D234" s="450"/>
      <c r="G234" s="247"/>
      <c r="H234" s="451"/>
      <c r="M234" s="7"/>
      <c r="AF234" s="1954"/>
      <c r="AG234" s="1954"/>
    </row>
    <row r="235" spans="1:118" outlineLevel="1" x14ac:dyDescent="0.25">
      <c r="D235" s="450"/>
      <c r="G235" s="247"/>
      <c r="H235" s="451"/>
      <c r="AF235" s="1954"/>
      <c r="AG235" s="1954"/>
    </row>
    <row r="236" spans="1:118" s="8" customFormat="1" ht="30" outlineLevel="1" x14ac:dyDescent="0.25">
      <c r="A236" s="247"/>
      <c r="B236" s="115"/>
      <c r="C236" s="64"/>
      <c r="D236" s="1236" t="s">
        <v>43</v>
      </c>
      <c r="E236" s="1236" t="s">
        <v>173</v>
      </c>
      <c r="F236" s="32" t="s">
        <v>341</v>
      </c>
      <c r="G236" s="1236" t="s">
        <v>342</v>
      </c>
      <c r="H236" s="1236" t="s">
        <v>343</v>
      </c>
      <c r="I236" s="1236" t="s">
        <v>344</v>
      </c>
      <c r="J236" s="32" t="s">
        <v>345</v>
      </c>
      <c r="K236" s="32" t="s">
        <v>346</v>
      </c>
      <c r="L236" s="1236" t="s">
        <v>347</v>
      </c>
      <c r="M236" s="1236" t="s">
        <v>348</v>
      </c>
      <c r="N236" s="1236" t="s">
        <v>349</v>
      </c>
      <c r="O236" s="115"/>
      <c r="P236" s="115"/>
      <c r="Q236" s="115"/>
      <c r="R236" s="115"/>
      <c r="S236" s="115"/>
      <c r="T236" s="115"/>
      <c r="U236" s="115"/>
      <c r="V236" s="636" t="s">
        <v>53</v>
      </c>
      <c r="W236" s="637">
        <f>$W$8</f>
        <v>43252</v>
      </c>
      <c r="X236" s="637">
        <f>$X$8</f>
        <v>43465</v>
      </c>
      <c r="Y236" s="637">
        <f>$Y$8</f>
        <v>43800</v>
      </c>
      <c r="Z236" s="637">
        <f>$Z$8</f>
        <v>43862</v>
      </c>
      <c r="AA236" s="637">
        <f>$AA$8</f>
        <v>44013</v>
      </c>
      <c r="AB236" s="637">
        <v>44166</v>
      </c>
      <c r="AC236" s="637">
        <f>$AC$8</f>
        <v>44531</v>
      </c>
      <c r="AD236" s="637">
        <f>$AD$8</f>
        <v>44774</v>
      </c>
      <c r="AE236" s="637">
        <f>$AE$8</f>
        <v>45142</v>
      </c>
      <c r="AF236" s="637">
        <f>$AF$8</f>
        <v>45672</v>
      </c>
      <c r="AG236" s="637">
        <f>$AG$8</f>
        <v>45971</v>
      </c>
      <c r="AI236" s="636" t="s">
        <v>53</v>
      </c>
      <c r="AJ236" s="637">
        <f>$W$8</f>
        <v>43252</v>
      </c>
      <c r="AK236" s="637">
        <f>$X$8</f>
        <v>43465</v>
      </c>
      <c r="AL236" s="637">
        <f>$Y$8</f>
        <v>43800</v>
      </c>
      <c r="AM236" s="637">
        <f>$Z$8</f>
        <v>43862</v>
      </c>
      <c r="AN236" s="637">
        <f>$AA$8</f>
        <v>44013</v>
      </c>
      <c r="AO236" s="637">
        <v>44166</v>
      </c>
      <c r="AP236" s="637">
        <f>$AC$8</f>
        <v>44531</v>
      </c>
      <c r="AQ236" s="637">
        <f>$AD$8</f>
        <v>44774</v>
      </c>
      <c r="AR236" s="637">
        <f>$AE$8</f>
        <v>45142</v>
      </c>
      <c r="AS236" s="637">
        <f>$AF$8</f>
        <v>45672</v>
      </c>
      <c r="AT236" s="637">
        <f>$AG$8</f>
        <v>45971</v>
      </c>
      <c r="AU236" s="2"/>
      <c r="AV236" s="636" t="s">
        <v>53</v>
      </c>
      <c r="AW236" s="637">
        <f>$W$8</f>
        <v>43252</v>
      </c>
      <c r="AX236" s="637">
        <f>$X$8</f>
        <v>43465</v>
      </c>
      <c r="AY236" s="637">
        <f>$Y$8</f>
        <v>43800</v>
      </c>
      <c r="AZ236" s="637">
        <f>$Z$8</f>
        <v>43862</v>
      </c>
      <c r="BA236" s="637">
        <f>$AA$8</f>
        <v>44013</v>
      </c>
      <c r="BB236" s="637">
        <v>44166</v>
      </c>
      <c r="BC236" s="637">
        <f>$AC$8</f>
        <v>44531</v>
      </c>
      <c r="BD236" s="637">
        <f>$AD$8</f>
        <v>44774</v>
      </c>
      <c r="BE236" s="637">
        <f>$AE$8</f>
        <v>45142</v>
      </c>
      <c r="BF236" s="637">
        <f>$AF$8</f>
        <v>45672</v>
      </c>
      <c r="BG236" s="637">
        <f>$AG$8</f>
        <v>45971</v>
      </c>
      <c r="BI236" s="636" t="s">
        <v>53</v>
      </c>
      <c r="BJ236" s="637">
        <f>$W$8</f>
        <v>43252</v>
      </c>
      <c r="BK236" s="637">
        <f>$X$8</f>
        <v>43465</v>
      </c>
      <c r="BL236" s="637">
        <f>$Y$8</f>
        <v>43800</v>
      </c>
      <c r="BM236" s="637">
        <f>$Z$8</f>
        <v>43862</v>
      </c>
      <c r="BN236" s="637">
        <f>$AA$8</f>
        <v>44013</v>
      </c>
      <c r="BO236" s="637">
        <v>44166</v>
      </c>
      <c r="BP236" s="637">
        <f>$AC$8</f>
        <v>44531</v>
      </c>
      <c r="BQ236" s="637">
        <f>$AD$8</f>
        <v>44774</v>
      </c>
      <c r="BR236" s="637">
        <f>$AE$8</f>
        <v>45142</v>
      </c>
      <c r="BS236" s="637">
        <f>$AF$8</f>
        <v>45672</v>
      </c>
      <c r="BT236" s="637">
        <f>$AG$8</f>
        <v>45971</v>
      </c>
      <c r="BW236" s="636" t="s">
        <v>53</v>
      </c>
      <c r="BX236" s="637">
        <v>43252</v>
      </c>
      <c r="BY236" s="637">
        <f>$X$8</f>
        <v>43465</v>
      </c>
      <c r="BZ236" s="637">
        <f>$Y$8</f>
        <v>43800</v>
      </c>
      <c r="CA236" s="637">
        <f>$Z$8</f>
        <v>43862</v>
      </c>
      <c r="CB236" s="637">
        <f>$AA$8</f>
        <v>44013</v>
      </c>
      <c r="CC236" s="637">
        <f>$AB$8</f>
        <v>44166</v>
      </c>
      <c r="CD236" s="637">
        <f>$AC$8</f>
        <v>44531</v>
      </c>
      <c r="CE236" s="637">
        <f>$AD$8</f>
        <v>44774</v>
      </c>
      <c r="CF236" s="637">
        <f>$AE$8</f>
        <v>45142</v>
      </c>
      <c r="CG236" s="637">
        <f>$AF$8</f>
        <v>45672</v>
      </c>
      <c r="CH236" s="637">
        <f>$AG$8</f>
        <v>45971</v>
      </c>
      <c r="DI236" s="2"/>
      <c r="DJ236" s="2"/>
      <c r="DK236" s="996"/>
      <c r="DL236" s="115"/>
      <c r="DM236" s="115"/>
      <c r="DN236" s="499"/>
    </row>
    <row r="237" spans="1:118" ht="30" outlineLevel="1" x14ac:dyDescent="0.25">
      <c r="D237" s="647" t="str">
        <f>C226</f>
        <v>803050_2024_12_</v>
      </c>
      <c r="E237" s="647" t="str">
        <f>E226</f>
        <v>Learning Thermostat, cooling and electric heat, per ton</v>
      </c>
      <c r="F237" s="1704">
        <v>13.4</v>
      </c>
      <c r="G237" s="1693">
        <v>1053</v>
      </c>
      <c r="H237" s="1785">
        <v>30000</v>
      </c>
      <c r="I237" s="1699">
        <v>0.13900000000000001</v>
      </c>
      <c r="J237" s="1693">
        <v>1060</v>
      </c>
      <c r="K237" s="1692">
        <v>2</v>
      </c>
      <c r="L237" s="1785">
        <v>30000</v>
      </c>
      <c r="M237" s="1699">
        <v>0.125</v>
      </c>
      <c r="N237" s="1693">
        <v>264</v>
      </c>
      <c r="V237" s="1285" t="s">
        <v>341</v>
      </c>
      <c r="W237" s="1504">
        <v>10</v>
      </c>
      <c r="X237" s="1504">
        <v>10</v>
      </c>
      <c r="Y237" s="1504">
        <v>10</v>
      </c>
      <c r="Z237" s="1504">
        <v>10</v>
      </c>
      <c r="AA237" s="1504">
        <v>10</v>
      </c>
      <c r="AB237" s="1504">
        <v>10</v>
      </c>
      <c r="AC237" s="1504">
        <v>10</v>
      </c>
      <c r="AD237" s="1504">
        <v>10</v>
      </c>
      <c r="AE237" s="1504">
        <v>10</v>
      </c>
      <c r="AF237" s="16">
        <v>13.4</v>
      </c>
      <c r="AG237" s="52">
        <v>13.4</v>
      </c>
      <c r="AI237" s="1285" t="s">
        <v>343</v>
      </c>
      <c r="AJ237" s="1641">
        <v>12000</v>
      </c>
      <c r="AK237" s="1641">
        <v>12000</v>
      </c>
      <c r="AL237" s="1641">
        <v>12000</v>
      </c>
      <c r="AM237" s="1641">
        <v>12000</v>
      </c>
      <c r="AN237" s="1641">
        <v>12000</v>
      </c>
      <c r="AO237" s="1641">
        <v>12000</v>
      </c>
      <c r="AP237" s="1641">
        <v>12000</v>
      </c>
      <c r="AQ237" s="1641">
        <v>12000</v>
      </c>
      <c r="AR237" s="1641">
        <v>12000</v>
      </c>
      <c r="AS237" s="1651">
        <v>30000</v>
      </c>
      <c r="AT237" s="1998">
        <v>30000</v>
      </c>
      <c r="AV237" s="1285" t="s">
        <v>344</v>
      </c>
      <c r="AW237" s="1654">
        <v>0.16250000000000001</v>
      </c>
      <c r="AX237" s="1654">
        <v>0.16250000000000001</v>
      </c>
      <c r="AY237" s="1654">
        <v>0.16250000000000001</v>
      </c>
      <c r="AZ237" s="1654">
        <v>0.16250000000000001</v>
      </c>
      <c r="BA237" s="1654">
        <v>0.16250000000000001</v>
      </c>
      <c r="BB237" s="1654">
        <v>0.16250000000000001</v>
      </c>
      <c r="BC237" s="1654">
        <v>0.16250000000000001</v>
      </c>
      <c r="BD237" s="1654">
        <v>0.16250000000000001</v>
      </c>
      <c r="BE237" s="1654">
        <v>0.16250000000000001</v>
      </c>
      <c r="BF237" s="1655">
        <v>0.13900000000000001</v>
      </c>
      <c r="BG237" s="1999">
        <v>0.13900000000000001</v>
      </c>
      <c r="BI237" s="1285" t="s">
        <v>347</v>
      </c>
      <c r="BJ237" s="1641">
        <v>12000</v>
      </c>
      <c r="BK237" s="1641">
        <v>12000</v>
      </c>
      <c r="BL237" s="1641">
        <v>12000</v>
      </c>
      <c r="BM237" s="1641">
        <v>12000</v>
      </c>
      <c r="BN237" s="1641">
        <v>12000</v>
      </c>
      <c r="BO237" s="1641">
        <v>12000</v>
      </c>
      <c r="BP237" s="1641">
        <v>12000</v>
      </c>
      <c r="BQ237" s="1641">
        <v>12000</v>
      </c>
      <c r="BR237" s="1641">
        <v>12000</v>
      </c>
      <c r="BS237" s="1651">
        <v>30000</v>
      </c>
      <c r="BT237" s="1998">
        <v>30000</v>
      </c>
      <c r="BW237" s="1311" t="str">
        <f>N236</f>
        <v>Inc Cost per thermostat</v>
      </c>
      <c r="BX237" s="672">
        <v>224</v>
      </c>
      <c r="BY237" s="672">
        <v>224</v>
      </c>
      <c r="BZ237" s="672">
        <v>224</v>
      </c>
      <c r="CA237" s="672">
        <v>224</v>
      </c>
      <c r="CB237" s="672">
        <v>224</v>
      </c>
      <c r="CC237" s="672">
        <v>224</v>
      </c>
      <c r="CD237" s="672">
        <v>224</v>
      </c>
      <c r="CE237" s="672">
        <v>224</v>
      </c>
      <c r="CF237" s="672">
        <v>224</v>
      </c>
      <c r="CG237" s="1614">
        <v>264</v>
      </c>
      <c r="CH237" s="667">
        <f>N237</f>
        <v>264</v>
      </c>
    </row>
    <row r="238" spans="1:118" ht="26.25" x14ac:dyDescent="0.25">
      <c r="F238" s="1607" t="s">
        <v>350</v>
      </c>
      <c r="G238" s="1619" t="s">
        <v>351</v>
      </c>
      <c r="H238" s="1621"/>
      <c r="I238" s="1607" t="s">
        <v>352</v>
      </c>
      <c r="J238" s="1607" t="s">
        <v>351</v>
      </c>
      <c r="K238" s="1607" t="s">
        <v>353</v>
      </c>
      <c r="L238" s="1607"/>
      <c r="M238" s="1607" t="s">
        <v>352</v>
      </c>
      <c r="N238" s="1607" t="s">
        <v>354</v>
      </c>
      <c r="AF238" s="1954"/>
      <c r="AG238" s="1954"/>
    </row>
    <row r="239" spans="1:118" x14ac:dyDescent="0.25">
      <c r="AF239" s="1954"/>
      <c r="AG239" s="1954"/>
    </row>
    <row r="240" spans="1:118" s="8" customFormat="1" ht="30" x14ac:dyDescent="0.25">
      <c r="A240" s="247"/>
      <c r="B240" s="64"/>
      <c r="C240" s="9" t="s">
        <v>43</v>
      </c>
      <c r="D240" s="9" t="s">
        <v>44</v>
      </c>
      <c r="E240" s="1301" t="s">
        <v>45</v>
      </c>
      <c r="F240" s="1301" t="s">
        <v>261</v>
      </c>
      <c r="G240" s="1301" t="s">
        <v>47</v>
      </c>
      <c r="H240" s="1301" t="s">
        <v>48</v>
      </c>
      <c r="I240" s="1301" t="s">
        <v>49</v>
      </c>
      <c r="J240" s="1301" t="s">
        <v>50</v>
      </c>
      <c r="K240" s="1301" t="s">
        <v>355</v>
      </c>
      <c r="L240" s="9" t="s">
        <v>52</v>
      </c>
      <c r="M240" s="247"/>
      <c r="N240" s="247"/>
      <c r="O240" s="247"/>
      <c r="P240" s="115"/>
      <c r="Q240" s="115"/>
      <c r="R240" s="115"/>
      <c r="S240" s="115"/>
      <c r="T240" s="115"/>
      <c r="U240" s="115"/>
      <c r="V240" s="636" t="s">
        <v>53</v>
      </c>
      <c r="W240" s="637">
        <f>$W$8</f>
        <v>43252</v>
      </c>
      <c r="X240" s="637">
        <f>$X$8</f>
        <v>43465</v>
      </c>
      <c r="Y240" s="637">
        <f>$Y$8</f>
        <v>43800</v>
      </c>
      <c r="Z240" s="637">
        <f>$Z$8</f>
        <v>43862</v>
      </c>
      <c r="AA240" s="637">
        <f>$AA$8</f>
        <v>44013</v>
      </c>
      <c r="AB240" s="637">
        <v>44166</v>
      </c>
      <c r="AC240" s="637">
        <f>$AC$8</f>
        <v>44531</v>
      </c>
      <c r="AD240" s="637">
        <f>$AD$8</f>
        <v>44774</v>
      </c>
      <c r="AE240" s="637">
        <f>$AE$8</f>
        <v>45142</v>
      </c>
      <c r="AF240" s="637">
        <f>$AF$8</f>
        <v>45672</v>
      </c>
      <c r="AG240" s="637">
        <f>$AG$8</f>
        <v>45971</v>
      </c>
      <c r="AH240"/>
      <c r="AI240" s="636" t="s">
        <v>53</v>
      </c>
      <c r="AJ240" s="637">
        <v>43252</v>
      </c>
      <c r="AK240" s="637">
        <f>$X$8</f>
        <v>43465</v>
      </c>
      <c r="AL240" s="637">
        <f>$Y$8</f>
        <v>43800</v>
      </c>
      <c r="AM240" s="637">
        <f>$Z$8</f>
        <v>43862</v>
      </c>
      <c r="AN240" s="637">
        <f>$AA$8</f>
        <v>44013</v>
      </c>
      <c r="AO240" s="637">
        <f>$AB$8</f>
        <v>44166</v>
      </c>
      <c r="AP240" s="637">
        <f>$AC$8</f>
        <v>44531</v>
      </c>
      <c r="AQ240" s="637">
        <f>$AD$8</f>
        <v>44774</v>
      </c>
      <c r="AR240" s="637">
        <f>$AE$8</f>
        <v>45142</v>
      </c>
      <c r="AS240" s="637">
        <f>$AF$8</f>
        <v>45672</v>
      </c>
      <c r="AT240" s="637">
        <f>$AT$8</f>
        <v>45971</v>
      </c>
      <c r="AU240" s="2"/>
      <c r="AV240" s="636" t="s">
        <v>53</v>
      </c>
      <c r="AW240" s="637">
        <v>43252</v>
      </c>
      <c r="AX240" s="637">
        <f>$X$8</f>
        <v>43465</v>
      </c>
      <c r="AY240" s="637">
        <f>$Y$8</f>
        <v>43800</v>
      </c>
      <c r="AZ240" s="637">
        <f>$Z$8</f>
        <v>43862</v>
      </c>
      <c r="BA240" s="637">
        <f>$AA$8</f>
        <v>44013</v>
      </c>
      <c r="BB240" s="637">
        <v>44166</v>
      </c>
      <c r="BC240" s="637">
        <f>$AC$8</f>
        <v>44531</v>
      </c>
      <c r="BD240" s="637">
        <f>$AD$8</f>
        <v>44774</v>
      </c>
      <c r="BE240" s="637">
        <f>$AE$8</f>
        <v>45142</v>
      </c>
      <c r="BF240" s="637">
        <f>$AF$8</f>
        <v>45672</v>
      </c>
      <c r="BG240" s="637">
        <f>$AT$8</f>
        <v>45971</v>
      </c>
      <c r="DI240" s="2"/>
      <c r="DJ240" s="2"/>
      <c r="DK240" s="991" t="str">
        <f>$DK$8</f>
        <v>TRC (2025)</v>
      </c>
      <c r="DL240" s="761" t="str">
        <f>$DL$8</f>
        <v>Benefit Lookup</v>
      </c>
      <c r="DM240" s="761" t="str">
        <f>$DM$8</f>
        <v>Benefits (2025 $)</v>
      </c>
      <c r="DN240" s="2034" t="str">
        <f>$DN$8</f>
        <v>Incremental Cost (2025 $)</v>
      </c>
    </row>
    <row r="241" spans="1:118" x14ac:dyDescent="0.25">
      <c r="A241" s="2006" t="s">
        <v>329</v>
      </c>
      <c r="B241" s="247">
        <f t="shared" ref="B241:B244" si="74">VALUE(LEFT(C241,6))</f>
        <v>803100</v>
      </c>
      <c r="C241" s="656" t="s">
        <v>356</v>
      </c>
      <c r="D241" s="1972" t="s">
        <v>60</v>
      </c>
      <c r="E241" s="485" t="s">
        <v>357</v>
      </c>
      <c r="F241" s="399">
        <f>ROUND((F254/G254)*H254*I254,2)</f>
        <v>1362.32</v>
      </c>
      <c r="G241" s="441" t="s">
        <v>332</v>
      </c>
      <c r="H241" s="442">
        <f>VLOOKUP(G241,'CP FACTORS'!$A$26:$B$38,2,FALSE)</f>
        <v>9.1068400000000004E-4</v>
      </c>
      <c r="I241" s="459">
        <f>ROUND(H241*F241,6)</f>
        <v>1.2406429999999999</v>
      </c>
      <c r="J241" s="477">
        <v>15</v>
      </c>
      <c r="K241" s="1689">
        <f>300*1+(1500/J254)</f>
        <v>360</v>
      </c>
      <c r="L241" s="487" t="s">
        <v>358</v>
      </c>
      <c r="V241" s="1285" t="str">
        <f>F240</f>
        <v>kWh Annual Savings (per HP)</v>
      </c>
      <c r="W241" s="1504">
        <v>1289.6420430107526</v>
      </c>
      <c r="X241" s="1504">
        <v>1289.6420430107526</v>
      </c>
      <c r="Y241" s="1504">
        <v>1289.6420430107526</v>
      </c>
      <c r="Z241" s="1504">
        <v>1289.6420430107526</v>
      </c>
      <c r="AA241" s="1504">
        <v>1289.6420430107526</v>
      </c>
      <c r="AB241" s="1609">
        <v>1289.6400000000001</v>
      </c>
      <c r="AC241" s="722">
        <v>1289.6400000000001</v>
      </c>
      <c r="AD241" s="722">
        <v>1289.6400000000001</v>
      </c>
      <c r="AE241" s="722">
        <v>1289.6400000000001</v>
      </c>
      <c r="AF241" s="253">
        <v>1362.32</v>
      </c>
      <c r="AG241" s="52">
        <v>1362.32</v>
      </c>
      <c r="AH241" s="1316"/>
      <c r="AI241" s="1285" t="s">
        <v>50</v>
      </c>
      <c r="AJ241" s="1334">
        <v>15</v>
      </c>
      <c r="AK241" s="1334">
        <v>15</v>
      </c>
      <c r="AL241" s="1334">
        <v>15</v>
      </c>
      <c r="AM241" s="1334">
        <v>15</v>
      </c>
      <c r="AN241" s="1334">
        <v>15</v>
      </c>
      <c r="AO241" s="16">
        <v>15</v>
      </c>
      <c r="AP241" s="16">
        <v>15</v>
      </c>
      <c r="AQ241" s="16">
        <v>15</v>
      </c>
      <c r="AR241" s="616">
        <v>15</v>
      </c>
      <c r="AS241" s="616">
        <v>15</v>
      </c>
      <c r="AT241" s="616">
        <v>15</v>
      </c>
      <c r="AV241" s="1285" t="str">
        <f>K240</f>
        <v>Inc. Cost (per HP)</v>
      </c>
      <c r="AW241" s="643">
        <v>179</v>
      </c>
      <c r="AX241" s="643">
        <v>179</v>
      </c>
      <c r="AY241" s="643">
        <v>179</v>
      </c>
      <c r="AZ241" s="643">
        <v>179</v>
      </c>
      <c r="BA241" s="643">
        <v>179</v>
      </c>
      <c r="BB241" s="657">
        <v>179</v>
      </c>
      <c r="BC241" s="657">
        <v>179</v>
      </c>
      <c r="BD241" s="657">
        <v>179</v>
      </c>
      <c r="BE241" s="657">
        <v>179</v>
      </c>
      <c r="BF241" s="726">
        <v>360</v>
      </c>
      <c r="BG241" s="545">
        <f>K241</f>
        <v>360</v>
      </c>
      <c r="DK241" s="993">
        <f>(DM241)/(DN241)</f>
        <v>7.3182991924593015</v>
      </c>
      <c r="DL241" s="1272" t="str">
        <f>CONCATENATE(G241," ",J241," Year EUL")</f>
        <v>Cooling BUS 15 Year EUL</v>
      </c>
      <c r="DM241" s="181">
        <f>(INDEX('Avoided Cost Benefits'!$B$4:$B$865,MATCH(DL241,'Avoided Cost Benefits'!$A$4:$A$865,0)))*F241</f>
        <v>2634.5877092853484</v>
      </c>
      <c r="DN241" s="2033">
        <f>IFERROR(K241/((1+DiscountRate)^(CurrentYear-DiscountYear)),0)</f>
        <v>360</v>
      </c>
    </row>
    <row r="242" spans="1:118" x14ac:dyDescent="0.25">
      <c r="A242" s="2006" t="s">
        <v>112</v>
      </c>
      <c r="B242" s="247">
        <f t="shared" si="74"/>
        <v>803150</v>
      </c>
      <c r="C242" s="656" t="s">
        <v>359</v>
      </c>
      <c r="D242" s="1972" t="s">
        <v>60</v>
      </c>
      <c r="E242" s="485" t="s">
        <v>360</v>
      </c>
      <c r="F242" s="399">
        <f>ROUND((F255/G255)*H255*I255,2)</f>
        <v>1181.01</v>
      </c>
      <c r="G242" s="441" t="s">
        <v>361</v>
      </c>
      <c r="H242" s="442">
        <f>VLOOKUP(G242,'CP FACTORS'!$A$26:$B$38,2,FALSE)</f>
        <v>4.4398300000000001E-4</v>
      </c>
      <c r="I242" s="459">
        <f>ROUND(H242*F242,6)</f>
        <v>0.52434800000000004</v>
      </c>
      <c r="J242" s="477">
        <v>15</v>
      </c>
      <c r="K242" s="1689">
        <f>300*1+(1500/J255)</f>
        <v>360</v>
      </c>
      <c r="L242" s="487" t="s">
        <v>358</v>
      </c>
      <c r="V242" s="1285" t="str">
        <f>V241</f>
        <v>kWh Annual Savings (per HP)</v>
      </c>
      <c r="W242" s="1504">
        <v>1696.5749462365593</v>
      </c>
      <c r="X242" s="1504">
        <v>1696.5749462365593</v>
      </c>
      <c r="Y242" s="1504">
        <v>1696.5749462365593</v>
      </c>
      <c r="Z242" s="1504">
        <v>1696.5749462365593</v>
      </c>
      <c r="AA242" s="1609">
        <v>1696.5749462365593</v>
      </c>
      <c r="AB242" s="1609">
        <v>1696.57</v>
      </c>
      <c r="AC242" s="722">
        <v>1696.57</v>
      </c>
      <c r="AD242" s="722">
        <v>1696.57</v>
      </c>
      <c r="AE242" s="722">
        <v>1696.57</v>
      </c>
      <c r="AF242" s="253">
        <v>1181.01</v>
      </c>
      <c r="AG242" s="52">
        <v>1181.01</v>
      </c>
      <c r="AH242" s="1316"/>
      <c r="AI242" s="1285" t="s">
        <v>50</v>
      </c>
      <c r="AJ242" s="1334">
        <v>15</v>
      </c>
      <c r="AK242" s="1334">
        <v>15</v>
      </c>
      <c r="AL242" s="1334">
        <v>15</v>
      </c>
      <c r="AM242" s="1334">
        <v>15</v>
      </c>
      <c r="AN242" s="1626">
        <v>15</v>
      </c>
      <c r="AO242" s="16">
        <v>15</v>
      </c>
      <c r="AP242" s="16">
        <v>15</v>
      </c>
      <c r="AQ242" s="16">
        <v>15</v>
      </c>
      <c r="AR242" s="616">
        <v>15</v>
      </c>
      <c r="AS242" s="616">
        <v>15</v>
      </c>
      <c r="AT242" s="616">
        <v>15</v>
      </c>
      <c r="AV242" s="1285" t="str">
        <f>AV241</f>
        <v>Inc. Cost (per HP)</v>
      </c>
      <c r="AW242" s="643">
        <f>AW241</f>
        <v>179</v>
      </c>
      <c r="AX242" s="643">
        <f>AX241</f>
        <v>179</v>
      </c>
      <c r="AY242" s="643">
        <v>179</v>
      </c>
      <c r="AZ242" s="643">
        <v>179</v>
      </c>
      <c r="BA242" s="1627">
        <v>179</v>
      </c>
      <c r="BB242" s="657">
        <v>179</v>
      </c>
      <c r="BC242" s="657">
        <v>179</v>
      </c>
      <c r="BD242" s="657">
        <v>179</v>
      </c>
      <c r="BE242" s="657">
        <v>179</v>
      </c>
      <c r="BF242" s="726">
        <v>360</v>
      </c>
      <c r="BG242" s="545">
        <f t="shared" ref="BG242:BG244" si="75">K242</f>
        <v>360</v>
      </c>
      <c r="DK242" s="995">
        <f>(DM242)/(DN242)</f>
        <v>4.0001669388996595</v>
      </c>
      <c r="DL242" s="641" t="str">
        <f>CONCATENATE(G242," ",J242," Year EUL")</f>
        <v>HVAC BUS 15 Year EUL</v>
      </c>
      <c r="DM242" s="997">
        <f>(INDEX('Avoided Cost Benefits'!$B$4:$B$865,MATCH(DL242,'Avoided Cost Benefits'!$A$4:$A$865,0)))*F242</f>
        <v>1440.0600980038776</v>
      </c>
      <c r="DN242" s="1928">
        <f>IFERROR(K242/((1+DiscountRate)^(CurrentYear-DiscountYear)),0)</f>
        <v>360</v>
      </c>
    </row>
    <row r="243" spans="1:118" x14ac:dyDescent="0.25">
      <c r="A243" s="2006" t="s">
        <v>112</v>
      </c>
      <c r="B243" s="247">
        <f t="shared" si="74"/>
        <v>803155</v>
      </c>
      <c r="C243" s="656" t="s">
        <v>362</v>
      </c>
      <c r="D243" s="1972" t="s">
        <v>60</v>
      </c>
      <c r="E243" s="485" t="s">
        <v>363</v>
      </c>
      <c r="F243" s="399">
        <f>ROUND((F256/G256)*H256*I256,2)</f>
        <v>1362.32</v>
      </c>
      <c r="G243" s="441" t="s">
        <v>332</v>
      </c>
      <c r="H243" s="442">
        <f>VLOOKUP(G243,'CP FACTORS'!$A$26:$B$38,2,FALSE)</f>
        <v>9.1068400000000004E-4</v>
      </c>
      <c r="I243" s="459">
        <f>ROUND(H243*F243,6)</f>
        <v>1.2406429999999999</v>
      </c>
      <c r="J243" s="477">
        <v>15</v>
      </c>
      <c r="K243" s="1689">
        <f t="shared" ref="K243:K244" si="76">300*1+(1500/J256)</f>
        <v>360</v>
      </c>
      <c r="L243" s="487" t="s">
        <v>358</v>
      </c>
      <c r="V243" s="1285" t="str">
        <f>V242</f>
        <v>kWh Annual Savings (per HP)</v>
      </c>
      <c r="W243" s="1504"/>
      <c r="X243" s="1504"/>
      <c r="Y243" s="1504"/>
      <c r="Z243" s="1609"/>
      <c r="AA243" s="1609">
        <v>1289.6400000000001</v>
      </c>
      <c r="AB243" s="1609">
        <v>1289.6400000000001</v>
      </c>
      <c r="AC243" s="722">
        <v>1289.6400000000001</v>
      </c>
      <c r="AD243" s="722">
        <v>1289.6400000000001</v>
      </c>
      <c r="AE243" s="722">
        <v>1289.6400000000001</v>
      </c>
      <c r="AF243" s="253">
        <v>1362.32</v>
      </c>
      <c r="AG243" s="52">
        <v>1362.32</v>
      </c>
      <c r="AH243" s="1316"/>
      <c r="AI243" s="1285" t="s">
        <v>50</v>
      </c>
      <c r="AJ243" s="1334"/>
      <c r="AK243" s="1334"/>
      <c r="AL243" s="1334"/>
      <c r="AM243" s="52"/>
      <c r="AN243" s="1626">
        <v>15</v>
      </c>
      <c r="AO243" s="16">
        <v>15</v>
      </c>
      <c r="AP243" s="16">
        <v>15</v>
      </c>
      <c r="AQ243" s="16">
        <v>15</v>
      </c>
      <c r="AR243" s="616">
        <v>15</v>
      </c>
      <c r="AS243" s="616">
        <v>15</v>
      </c>
      <c r="AT243" s="616">
        <v>15</v>
      </c>
      <c r="AV243" s="1285" t="str">
        <f>AV242</f>
        <v>Inc. Cost (per HP)</v>
      </c>
      <c r="AW243" s="643"/>
      <c r="AX243" s="643"/>
      <c r="AY243" s="643"/>
      <c r="AZ243" s="68"/>
      <c r="BA243" s="1627">
        <v>179</v>
      </c>
      <c r="BB243" s="657">
        <v>179</v>
      </c>
      <c r="BC243" s="657">
        <v>179</v>
      </c>
      <c r="BD243" s="657">
        <v>179</v>
      </c>
      <c r="BE243" s="657">
        <v>179</v>
      </c>
      <c r="BF243" s="726">
        <v>360</v>
      </c>
      <c r="BG243" s="545">
        <f t="shared" si="75"/>
        <v>360</v>
      </c>
      <c r="DK243" s="993">
        <f>(DM243)/(DN243)</f>
        <v>7.3182991924593015</v>
      </c>
      <c r="DL243" s="1272" t="str">
        <f>CONCATENATE(G243," ",J243," Year EUL")</f>
        <v>Cooling BUS 15 Year EUL</v>
      </c>
      <c r="DM243" s="181">
        <f>(INDEX('Avoided Cost Benefits'!$B$4:$B$865,MATCH(DL243,'Avoided Cost Benefits'!$A$4:$A$865,0)))*F243</f>
        <v>2634.5877092853484</v>
      </c>
      <c r="DN243" s="1928">
        <f>IFERROR(K243/((1+DiscountRate)^(CurrentYear-DiscountYear)),0)</f>
        <v>360</v>
      </c>
    </row>
    <row r="244" spans="1:118" x14ac:dyDescent="0.25">
      <c r="A244" s="2006" t="s">
        <v>112</v>
      </c>
      <c r="B244" s="247">
        <f t="shared" si="74"/>
        <v>803160</v>
      </c>
      <c r="C244" s="656" t="s">
        <v>364</v>
      </c>
      <c r="D244" s="1972" t="s">
        <v>60</v>
      </c>
      <c r="E244" s="485" t="s">
        <v>365</v>
      </c>
      <c r="F244" s="399">
        <f>ROUND((F257/G257)*H257*I257,2)</f>
        <v>1910.3</v>
      </c>
      <c r="G244" s="441" t="s">
        <v>361</v>
      </c>
      <c r="H244" s="442">
        <f>VLOOKUP(G244,'CP FACTORS'!$A$26:$B$38,2,FALSE)</f>
        <v>4.4398300000000001E-4</v>
      </c>
      <c r="I244" s="459">
        <f>ROUND(H244*F244,6)</f>
        <v>0.84814100000000003</v>
      </c>
      <c r="J244" s="477">
        <v>15</v>
      </c>
      <c r="K244" s="1689">
        <f t="shared" si="76"/>
        <v>360</v>
      </c>
      <c r="L244" s="487" t="s">
        <v>358</v>
      </c>
      <c r="V244" s="1285" t="str">
        <f>V243</f>
        <v>kWh Annual Savings (per HP)</v>
      </c>
      <c r="W244" s="1504"/>
      <c r="X244" s="1504"/>
      <c r="Y244" s="1504"/>
      <c r="Z244" s="1609"/>
      <c r="AA244" s="1609">
        <v>479.48</v>
      </c>
      <c r="AB244" s="1609">
        <v>479.48</v>
      </c>
      <c r="AC244" s="722">
        <v>479.48</v>
      </c>
      <c r="AD244" s="722">
        <v>479.48</v>
      </c>
      <c r="AE244" s="722">
        <v>479.48</v>
      </c>
      <c r="AF244" s="253">
        <v>1910.3</v>
      </c>
      <c r="AG244" s="52">
        <v>1910.3</v>
      </c>
      <c r="AH244" s="1316"/>
      <c r="AI244" s="1285" t="s">
        <v>50</v>
      </c>
      <c r="AJ244" s="1334"/>
      <c r="AK244" s="1334"/>
      <c r="AL244" s="1334"/>
      <c r="AM244" s="52"/>
      <c r="AN244" s="1626">
        <v>15</v>
      </c>
      <c r="AO244" s="16">
        <v>15</v>
      </c>
      <c r="AP244" s="16">
        <v>15</v>
      </c>
      <c r="AQ244" s="16">
        <v>15</v>
      </c>
      <c r="AR244" s="616">
        <v>15</v>
      </c>
      <c r="AS244" s="616">
        <v>15</v>
      </c>
      <c r="AT244" s="616">
        <v>15</v>
      </c>
      <c r="AV244" s="1285" t="str">
        <f>AV243</f>
        <v>Inc. Cost (per HP)</v>
      </c>
      <c r="AW244" s="643"/>
      <c r="AX244" s="643"/>
      <c r="AY244" s="643"/>
      <c r="AZ244" s="68"/>
      <c r="BA244" s="1627">
        <v>179</v>
      </c>
      <c r="BB244" s="657">
        <v>179</v>
      </c>
      <c r="BC244" s="657">
        <v>179</v>
      </c>
      <c r="BD244" s="657">
        <v>179</v>
      </c>
      <c r="BE244" s="657">
        <v>179</v>
      </c>
      <c r="BF244" s="726">
        <v>360</v>
      </c>
      <c r="BG244" s="545">
        <f t="shared" si="75"/>
        <v>360</v>
      </c>
      <c r="DK244" s="995">
        <f>(DM244)/(DN244)</f>
        <v>6.4703253176349218</v>
      </c>
      <c r="DL244" s="641" t="str">
        <f>CONCATENATE(G244," ",J244," Year EUL")</f>
        <v>HVAC BUS 15 Year EUL</v>
      </c>
      <c r="DM244" s="997">
        <f>(INDEX('Avoided Cost Benefits'!$B$4:$B$865,MATCH(DL244,'Avoided Cost Benefits'!$A$4:$A$865,0)))*F244</f>
        <v>2329.317114348572</v>
      </c>
      <c r="DN244" s="2035">
        <f>IFERROR(K244/((1+DiscountRate)^(CurrentYear-DiscountYear)),0)</f>
        <v>360</v>
      </c>
    </row>
    <row r="245" spans="1:118" outlineLevel="1" x14ac:dyDescent="0.25">
      <c r="D245" s="74" t="s">
        <v>95</v>
      </c>
      <c r="E245" s="108" t="s">
        <v>366</v>
      </c>
      <c r="F245" s="7"/>
      <c r="G245" s="7"/>
      <c r="H245" s="449"/>
      <c r="I245" s="7"/>
      <c r="J245" s="7"/>
      <c r="K245" s="7"/>
      <c r="L245" s="7"/>
      <c r="W245" s="1625"/>
      <c r="X245" s="1625"/>
      <c r="Y245" s="1625"/>
      <c r="Z245" s="1625"/>
      <c r="AA245" s="1625"/>
      <c r="AB245" s="1625"/>
      <c r="AC245" s="1625"/>
      <c r="AD245" s="1625"/>
      <c r="AE245" s="1625"/>
      <c r="AF245" s="1625"/>
      <c r="AG245" s="1625"/>
      <c r="AH245" s="1625"/>
      <c r="BF245" s="2" t="s">
        <v>367</v>
      </c>
    </row>
    <row r="246" spans="1:118" outlineLevel="1" x14ac:dyDescent="0.25">
      <c r="D246" s="7" t="s">
        <v>97</v>
      </c>
      <c r="E246" s="7"/>
      <c r="F246" s="7"/>
      <c r="G246" s="7"/>
      <c r="H246" s="449"/>
      <c r="I246" s="7"/>
      <c r="J246" s="7"/>
      <c r="K246" s="488"/>
      <c r="L246" s="7"/>
      <c r="W246" s="1625"/>
      <c r="X246" s="1625"/>
      <c r="Y246" s="1625"/>
      <c r="Z246" s="1625"/>
      <c r="AA246" s="1625"/>
      <c r="AB246" s="1625"/>
      <c r="AC246" s="1625"/>
      <c r="AD246" s="1625"/>
      <c r="AE246" s="1625"/>
      <c r="AF246" s="1625"/>
      <c r="AG246" s="1625"/>
      <c r="AH246" s="1625"/>
    </row>
    <row r="247" spans="1:118" outlineLevel="1" x14ac:dyDescent="0.25">
      <c r="D247" s="450"/>
      <c r="G247" s="247"/>
      <c r="H247" s="451"/>
      <c r="L247" s="7"/>
    </row>
    <row r="248" spans="1:118" outlineLevel="1" x14ac:dyDescent="0.25">
      <c r="D248" s="450"/>
      <c r="G248" s="247"/>
      <c r="H248" s="451"/>
      <c r="L248" s="7"/>
    </row>
    <row r="249" spans="1:118" outlineLevel="1" x14ac:dyDescent="0.25">
      <c r="D249" s="450"/>
      <c r="G249" s="247"/>
      <c r="H249" s="451"/>
      <c r="L249" s="7"/>
      <c r="M249" s="7"/>
    </row>
    <row r="250" spans="1:118" outlineLevel="1" x14ac:dyDescent="0.25">
      <c r="D250" s="450"/>
      <c r="G250" s="247"/>
      <c r="H250" s="451"/>
      <c r="L250" s="7"/>
      <c r="M250" s="7"/>
    </row>
    <row r="251" spans="1:118" outlineLevel="1" x14ac:dyDescent="0.25">
      <c r="D251" s="450"/>
      <c r="G251" s="247"/>
      <c r="H251" s="451"/>
      <c r="L251" s="7"/>
      <c r="M251" s="7"/>
    </row>
    <row r="252" spans="1:118" outlineLevel="1" x14ac:dyDescent="0.25">
      <c r="D252" s="450"/>
      <c r="G252" s="247"/>
      <c r="H252" s="451"/>
      <c r="L252" s="7"/>
    </row>
    <row r="253" spans="1:118" s="8" customFormat="1" ht="45" outlineLevel="1" x14ac:dyDescent="0.25">
      <c r="A253" s="247"/>
      <c r="B253" s="115"/>
      <c r="C253" s="64"/>
      <c r="D253" s="1236" t="s">
        <v>43</v>
      </c>
      <c r="E253" s="1236" t="s">
        <v>173</v>
      </c>
      <c r="F253" s="1236" t="s">
        <v>368</v>
      </c>
      <c r="G253" s="1236" t="s">
        <v>369</v>
      </c>
      <c r="H253" s="1236" t="s">
        <v>141</v>
      </c>
      <c r="I253" s="1236" t="s">
        <v>142</v>
      </c>
      <c r="J253" s="1236" t="s">
        <v>370</v>
      </c>
      <c r="K253" s="115"/>
      <c r="L253" s="7"/>
      <c r="M253" s="115"/>
      <c r="N253" s="115"/>
      <c r="O253" s="115"/>
      <c r="P253" s="115"/>
      <c r="Q253" s="115"/>
      <c r="R253" s="115"/>
      <c r="S253" s="115"/>
      <c r="T253" s="115"/>
      <c r="U253" s="115"/>
      <c r="V253" s="636" t="s">
        <v>53</v>
      </c>
      <c r="W253" s="637">
        <f>$W$8</f>
        <v>43252</v>
      </c>
      <c r="X253" s="637">
        <f>$X$8</f>
        <v>43465</v>
      </c>
      <c r="Y253" s="637">
        <f>$Y$8</f>
        <v>43800</v>
      </c>
      <c r="Z253" s="637">
        <f>$Z$8</f>
        <v>43862</v>
      </c>
      <c r="AA253" s="637">
        <f>$AA$8</f>
        <v>44013</v>
      </c>
      <c r="AB253" s="637">
        <v>44166</v>
      </c>
      <c r="AC253" s="637">
        <f>$AC$8</f>
        <v>44531</v>
      </c>
      <c r="AD253" s="637">
        <f>$AD$8</f>
        <v>44774</v>
      </c>
      <c r="AE253" s="637">
        <f>$AE$8</f>
        <v>45142</v>
      </c>
      <c r="AF253" s="637">
        <f>$AF$8</f>
        <v>45672</v>
      </c>
      <c r="AG253" s="637">
        <f>$AG$8</f>
        <v>45971</v>
      </c>
      <c r="AI253" s="636" t="s">
        <v>53</v>
      </c>
      <c r="AJ253" s="637">
        <f>$W$8</f>
        <v>43252</v>
      </c>
      <c r="AK253" s="637">
        <f>$X$8</f>
        <v>43465</v>
      </c>
      <c r="AL253" s="637">
        <f>$Y$8</f>
        <v>43800</v>
      </c>
      <c r="AM253" s="637">
        <f>$Z$8</f>
        <v>43862</v>
      </c>
      <c r="AN253" s="637">
        <f>$AA$8</f>
        <v>44013</v>
      </c>
      <c r="AO253" s="637">
        <v>44166</v>
      </c>
      <c r="AP253" s="637">
        <f>$AC$8</f>
        <v>44531</v>
      </c>
      <c r="AQ253" s="637">
        <f>$AD$8</f>
        <v>44774</v>
      </c>
      <c r="AR253" s="637">
        <f>$AE$8</f>
        <v>45142</v>
      </c>
      <c r="AS253" s="637">
        <f>$AF$8</f>
        <v>45672</v>
      </c>
      <c r="AT253" s="637">
        <f>$AG$8</f>
        <v>45971</v>
      </c>
      <c r="AU253" s="2"/>
      <c r="DI253" s="2"/>
      <c r="DJ253" s="2"/>
      <c r="DK253" s="996"/>
      <c r="DL253" s="115"/>
      <c r="DM253" s="115"/>
      <c r="DN253" s="499"/>
    </row>
    <row r="254" spans="1:118" outlineLevel="1" x14ac:dyDescent="0.25">
      <c r="D254" s="647" t="str">
        <f>C241</f>
        <v>803100_2024_12_</v>
      </c>
      <c r="E254" s="647" t="str">
        <f>E241</f>
        <v>VFD on Chilled Water Pump &gt;= 1HP, per Hp</v>
      </c>
      <c r="F254" s="1692">
        <v>1</v>
      </c>
      <c r="G254" s="1700">
        <v>0.93</v>
      </c>
      <c r="H254" s="1693">
        <v>3539</v>
      </c>
      <c r="I254" s="1699">
        <v>0.35799999999999998</v>
      </c>
      <c r="J254" s="1693">
        <f>$M$287</f>
        <v>25</v>
      </c>
      <c r="L254" s="7"/>
      <c r="V254" s="1285" t="s">
        <v>142</v>
      </c>
      <c r="W254" s="605">
        <v>0.33889999999999998</v>
      </c>
      <c r="X254" s="605">
        <v>0.33889999999999998</v>
      </c>
      <c r="Y254" s="605">
        <v>0.33889999999999998</v>
      </c>
      <c r="Z254" s="605">
        <v>0.33889999999999998</v>
      </c>
      <c r="AA254" s="605">
        <v>0.33889999999999998</v>
      </c>
      <c r="AB254" s="1660">
        <v>0.33889999999999998</v>
      </c>
      <c r="AC254" s="1659">
        <v>0.33889999999999998</v>
      </c>
      <c r="AD254" s="1659">
        <v>0.33889999999999998</v>
      </c>
      <c r="AE254" s="1659">
        <v>0.33889999999999998</v>
      </c>
      <c r="AF254" s="1659">
        <v>0.35799999999999998</v>
      </c>
      <c r="AG254" s="1659">
        <v>0.35799999999999998</v>
      </c>
      <c r="AI254" s="1285" t="s">
        <v>370</v>
      </c>
      <c r="AJ254" s="605"/>
      <c r="AK254" s="605"/>
      <c r="AL254" s="605"/>
      <c r="AM254" s="605"/>
      <c r="AN254" s="605"/>
      <c r="AO254" s="1660"/>
      <c r="AP254" s="1659"/>
      <c r="AQ254" s="1659"/>
      <c r="AR254" s="1659"/>
      <c r="AS254" s="618">
        <v>25</v>
      </c>
      <c r="AT254" s="618">
        <v>25</v>
      </c>
    </row>
    <row r="255" spans="1:118" outlineLevel="1" x14ac:dyDescent="0.25">
      <c r="D255" s="647" t="str">
        <f>C242</f>
        <v>803150_2024_12_</v>
      </c>
      <c r="E255" s="647" t="str">
        <f>E242</f>
        <v>VFD on Hot Water Pump &gt;= 1HP</v>
      </c>
      <c r="F255" s="1692">
        <v>1</v>
      </c>
      <c r="G255" s="1700">
        <v>0.93</v>
      </c>
      <c r="H255" s="1693">
        <v>4411</v>
      </c>
      <c r="I255" s="1699">
        <v>0.249</v>
      </c>
      <c r="J255" s="1693">
        <f t="shared" ref="J255:J257" si="77">$M$287</f>
        <v>25</v>
      </c>
      <c r="L255" s="7"/>
      <c r="V255" s="1285" t="str">
        <f>V254</f>
        <v>ESF</v>
      </c>
      <c r="W255" s="605">
        <v>0.35770000000000002</v>
      </c>
      <c r="X255" s="605">
        <v>0.35770000000000002</v>
      </c>
      <c r="Y255" s="605">
        <v>0.35770000000000002</v>
      </c>
      <c r="Z255" s="605">
        <v>0.35770000000000002</v>
      </c>
      <c r="AA255" s="1660">
        <v>0.35770000000000002</v>
      </c>
      <c r="AB255" s="1660">
        <v>0.35770000000000002</v>
      </c>
      <c r="AC255" s="1659">
        <v>0.35770000000000002</v>
      </c>
      <c r="AD255" s="1659">
        <v>0.35770000000000002</v>
      </c>
      <c r="AE255" s="1659">
        <v>0.35770000000000002</v>
      </c>
      <c r="AF255" s="1659">
        <v>0.249</v>
      </c>
      <c r="AG255" s="1659">
        <v>0.249</v>
      </c>
      <c r="AI255" s="1285" t="str">
        <f>AI254</f>
        <v>Typical size for incremental cost</v>
      </c>
      <c r="AJ255" s="605"/>
      <c r="AK255" s="605"/>
      <c r="AL255" s="605"/>
      <c r="AM255" s="605"/>
      <c r="AN255" s="1660"/>
      <c r="AO255" s="1660"/>
      <c r="AP255" s="1659"/>
      <c r="AQ255" s="1659"/>
      <c r="AR255" s="1659"/>
      <c r="AS255" s="618">
        <v>25</v>
      </c>
      <c r="AT255" s="618">
        <v>25</v>
      </c>
    </row>
    <row r="256" spans="1:118" outlineLevel="1" x14ac:dyDescent="0.25">
      <c r="D256" s="647" t="str">
        <f>C243</f>
        <v>803155_2024_12_</v>
      </c>
      <c r="E256" s="647" t="str">
        <f>E243</f>
        <v>VFD on Condenser Water Pump &gt;= 1HP</v>
      </c>
      <c r="F256" s="1692">
        <v>1</v>
      </c>
      <c r="G256" s="1700">
        <v>0.93</v>
      </c>
      <c r="H256" s="1693">
        <v>3539</v>
      </c>
      <c r="I256" s="1699">
        <v>0.35799999999999998</v>
      </c>
      <c r="J256" s="1693">
        <f t="shared" si="77"/>
        <v>25</v>
      </c>
      <c r="L256" s="7"/>
      <c r="V256" s="1285" t="str">
        <f>V255</f>
        <v>ESF</v>
      </c>
      <c r="W256" s="605">
        <v>0.33889999999999998</v>
      </c>
      <c r="X256" s="605">
        <v>0.33889999999999998</v>
      </c>
      <c r="Y256" s="605">
        <v>0.33889999999999998</v>
      </c>
      <c r="Z256" s="1660">
        <v>0.33889999999999998</v>
      </c>
      <c r="AA256" s="1660">
        <v>0.33889999999999998</v>
      </c>
      <c r="AB256" s="1660">
        <v>0.33889999999999998</v>
      </c>
      <c r="AC256" s="1659">
        <v>0.33889999999999998</v>
      </c>
      <c r="AD256" s="1659">
        <v>0.33889999999999998</v>
      </c>
      <c r="AE256" s="1659">
        <v>0.33889999999999998</v>
      </c>
      <c r="AF256" s="1659">
        <v>0.35799999999999998</v>
      </c>
      <c r="AG256" s="1659">
        <v>0.35799999999999998</v>
      </c>
      <c r="AI256" s="1285" t="str">
        <f>AI255</f>
        <v>Typical size for incremental cost</v>
      </c>
      <c r="AJ256" s="605"/>
      <c r="AK256" s="605"/>
      <c r="AL256" s="605"/>
      <c r="AM256" s="1660"/>
      <c r="AN256" s="1660"/>
      <c r="AO256" s="1660"/>
      <c r="AP256" s="1659"/>
      <c r="AQ256" s="1659"/>
      <c r="AR256" s="1659"/>
      <c r="AS256" s="618">
        <v>25</v>
      </c>
      <c r="AT256" s="618">
        <v>25</v>
      </c>
    </row>
    <row r="257" spans="1:118" outlineLevel="1" x14ac:dyDescent="0.25">
      <c r="D257" s="647" t="str">
        <f>C244</f>
        <v>803160_2024_12_</v>
      </c>
      <c r="E257" s="647" t="str">
        <f>E244</f>
        <v>VFD on Cooling Tower Fan &gt;= 1HP</v>
      </c>
      <c r="F257" s="1692">
        <v>1</v>
      </c>
      <c r="G257" s="1700">
        <v>0.93</v>
      </c>
      <c r="H257" s="1693">
        <v>3539</v>
      </c>
      <c r="I257" s="1699">
        <v>0.502</v>
      </c>
      <c r="J257" s="1693">
        <f t="shared" si="77"/>
        <v>25</v>
      </c>
      <c r="L257" s="7"/>
      <c r="V257" s="1285" t="str">
        <f>V256</f>
        <v>ESF</v>
      </c>
      <c r="W257" s="605">
        <v>0.126</v>
      </c>
      <c r="X257" s="605">
        <v>0.126</v>
      </c>
      <c r="Y257" s="605">
        <v>0.126</v>
      </c>
      <c r="Z257" s="1660">
        <v>0.126</v>
      </c>
      <c r="AA257" s="1660">
        <v>0.126</v>
      </c>
      <c r="AB257" s="1660">
        <v>0.126</v>
      </c>
      <c r="AC257" s="1659">
        <v>0.126</v>
      </c>
      <c r="AD257" s="1659">
        <v>0.126</v>
      </c>
      <c r="AE257" s="1659">
        <v>0.126</v>
      </c>
      <c r="AF257" s="1659">
        <v>0.502</v>
      </c>
      <c r="AG257" s="1659">
        <v>0.502</v>
      </c>
      <c r="AI257" s="1285" t="str">
        <f>AI256</f>
        <v>Typical size for incremental cost</v>
      </c>
      <c r="AJ257" s="605"/>
      <c r="AK257" s="605"/>
      <c r="AL257" s="605"/>
      <c r="AM257" s="1660"/>
      <c r="AN257" s="1660"/>
      <c r="AO257" s="1660"/>
      <c r="AP257" s="1659"/>
      <c r="AQ257" s="1659"/>
      <c r="AR257" s="1659"/>
      <c r="AS257" s="618">
        <v>25</v>
      </c>
      <c r="AT257" s="618">
        <v>25</v>
      </c>
    </row>
    <row r="258" spans="1:118" x14ac:dyDescent="0.25">
      <c r="G258" s="1624"/>
      <c r="H258" s="1620" t="s">
        <v>371</v>
      </c>
      <c r="I258" s="1624" t="s">
        <v>372</v>
      </c>
      <c r="J258" s="1624" t="s">
        <v>373</v>
      </c>
    </row>
    <row r="260" spans="1:118" s="8" customFormat="1" ht="30" x14ac:dyDescent="0.25">
      <c r="A260" s="247"/>
      <c r="B260" s="64"/>
      <c r="C260" s="9" t="s">
        <v>43</v>
      </c>
      <c r="D260" s="9" t="s">
        <v>44</v>
      </c>
      <c r="E260" s="1301" t="s">
        <v>45</v>
      </c>
      <c r="F260" s="1301" t="s">
        <v>261</v>
      </c>
      <c r="G260" s="1301" t="s">
        <v>47</v>
      </c>
      <c r="H260" s="1301" t="s">
        <v>48</v>
      </c>
      <c r="I260" s="1301" t="s">
        <v>49</v>
      </c>
      <c r="J260" s="1301" t="s">
        <v>50</v>
      </c>
      <c r="K260" s="1301" t="s">
        <v>355</v>
      </c>
      <c r="L260" s="9" t="s">
        <v>52</v>
      </c>
      <c r="M260" s="247"/>
      <c r="N260" s="247"/>
      <c r="O260" s="247"/>
      <c r="P260" s="115"/>
      <c r="Q260" s="115"/>
      <c r="R260" s="115"/>
      <c r="S260" s="115"/>
      <c r="T260" s="115"/>
      <c r="U260" s="115"/>
      <c r="V260" s="636" t="s">
        <v>53</v>
      </c>
      <c r="W260" s="637">
        <f>$W$8</f>
        <v>43252</v>
      </c>
      <c r="X260" s="637">
        <f>$X$8</f>
        <v>43465</v>
      </c>
      <c r="Y260" s="637">
        <f>$Y$8</f>
        <v>43800</v>
      </c>
      <c r="Z260" s="637">
        <f>$Z$8</f>
        <v>43862</v>
      </c>
      <c r="AA260" s="637">
        <f>$AA$8</f>
        <v>44013</v>
      </c>
      <c r="AB260" s="637">
        <v>44166</v>
      </c>
      <c r="AC260" s="637">
        <f>$AC$8</f>
        <v>44531</v>
      </c>
      <c r="AD260" s="637">
        <f>$AD$8</f>
        <v>44774</v>
      </c>
      <c r="AE260" s="637">
        <f>$AE$8</f>
        <v>45142</v>
      </c>
      <c r="AF260" s="637">
        <f>$AF$8</f>
        <v>45672</v>
      </c>
      <c r="AG260" s="637">
        <f>$AG$8</f>
        <v>45971</v>
      </c>
      <c r="AH260"/>
      <c r="AI260" s="636" t="s">
        <v>53</v>
      </c>
      <c r="AJ260" s="637">
        <v>43252</v>
      </c>
      <c r="AK260" s="637">
        <f>$X$8</f>
        <v>43465</v>
      </c>
      <c r="AL260" s="637">
        <f>$Y$8</f>
        <v>43800</v>
      </c>
      <c r="AM260" s="637">
        <f>$Z$8</f>
        <v>43862</v>
      </c>
      <c r="AN260" s="637">
        <f>$AA$8</f>
        <v>44013</v>
      </c>
      <c r="AO260" s="637">
        <f>$AB$8</f>
        <v>44166</v>
      </c>
      <c r="AP260" s="637">
        <f>$AC$8</f>
        <v>44531</v>
      </c>
      <c r="AQ260" s="637">
        <f>$AD$8</f>
        <v>44774</v>
      </c>
      <c r="AR260" s="637">
        <f>$AE$8</f>
        <v>45142</v>
      </c>
      <c r="AS260" s="637">
        <f>$AF$8</f>
        <v>45672</v>
      </c>
      <c r="AT260" s="637">
        <f>$AT$8</f>
        <v>45971</v>
      </c>
      <c r="AU260" s="2"/>
      <c r="AV260" s="636" t="s">
        <v>53</v>
      </c>
      <c r="AW260" s="637">
        <v>43252</v>
      </c>
      <c r="AX260" s="637">
        <f>$X$8</f>
        <v>43465</v>
      </c>
      <c r="AY260" s="637">
        <f>$Y$8</f>
        <v>43800</v>
      </c>
      <c r="AZ260" s="637">
        <f>$Z$8</f>
        <v>43862</v>
      </c>
      <c r="BA260" s="637">
        <f>$AA$8</f>
        <v>44013</v>
      </c>
      <c r="BB260" s="637">
        <v>44166</v>
      </c>
      <c r="BC260" s="637">
        <f>$AC$8</f>
        <v>44531</v>
      </c>
      <c r="BD260" s="637">
        <f>$AD$8</f>
        <v>44774</v>
      </c>
      <c r="BE260" s="637">
        <f>$AE$8</f>
        <v>45142</v>
      </c>
      <c r="BF260" s="637">
        <f>$AF$8</f>
        <v>45672</v>
      </c>
      <c r="BG260" s="637">
        <f>$AT$8</f>
        <v>45971</v>
      </c>
      <c r="DI260" s="2"/>
      <c r="DJ260" s="2"/>
      <c r="DK260" s="991" t="str">
        <f>$DK$8</f>
        <v>TRC (2025)</v>
      </c>
      <c r="DL260" s="761" t="str">
        <f>$DL$8</f>
        <v>Benefit Lookup</v>
      </c>
      <c r="DM260" s="761" t="str">
        <f>$DM$8</f>
        <v>Benefits (2025 $)</v>
      </c>
      <c r="DN260" s="2034" t="str">
        <f>$DN$8</f>
        <v>Incremental Cost (2025 $)</v>
      </c>
    </row>
    <row r="261" spans="1:118" x14ac:dyDescent="0.25">
      <c r="A261" s="2006" t="s">
        <v>329</v>
      </c>
      <c r="B261" s="247">
        <f t="shared" ref="B261" si="78">VALUE(LEFT(C261,6))</f>
        <v>803200</v>
      </c>
      <c r="C261" s="656" t="s">
        <v>374</v>
      </c>
      <c r="D261" s="1972" t="s">
        <v>60</v>
      </c>
      <c r="E261" s="485" t="s">
        <v>375</v>
      </c>
      <c r="F261" s="399">
        <f>ROUND((((0.746*F287*(G287/H287))*I287*J287)-((0.746*F287*(G287/H287))*I287*K287))*(1+L287),2)</f>
        <v>939.75</v>
      </c>
      <c r="G261" s="441" t="s">
        <v>361</v>
      </c>
      <c r="H261" s="442">
        <f>VLOOKUP(G261,'CP FACTORS'!$A$26:$B$38,2,FALSE)</f>
        <v>4.4398300000000001E-4</v>
      </c>
      <c r="I261" s="459">
        <f>ROUND(H261*F261,6)</f>
        <v>0.41723300000000002</v>
      </c>
      <c r="J261" s="477">
        <v>15</v>
      </c>
      <c r="K261" s="1689">
        <f>300*1+(1500/M287)</f>
        <v>360</v>
      </c>
      <c r="L261" s="487" t="s">
        <v>358</v>
      </c>
      <c r="V261" s="1285" t="str">
        <f>F260</f>
        <v>kWh Annual Savings (per HP)</v>
      </c>
      <c r="W261" s="29">
        <v>939.74820779247341</v>
      </c>
      <c r="X261" s="29">
        <v>939.74820779247341</v>
      </c>
      <c r="Y261" s="29">
        <v>939.74820779247341</v>
      </c>
      <c r="Z261" s="29">
        <v>939.74820779247341</v>
      </c>
      <c r="AA261" s="29">
        <v>939.74820779247341</v>
      </c>
      <c r="AB261" s="52">
        <v>939.75</v>
      </c>
      <c r="AC261" s="692">
        <v>939.75</v>
      </c>
      <c r="AD261" s="692">
        <v>939.75</v>
      </c>
      <c r="AE261" s="692">
        <v>939.75</v>
      </c>
      <c r="AF261" s="692">
        <v>939.75</v>
      </c>
      <c r="AG261" s="692">
        <f>F261</f>
        <v>939.75</v>
      </c>
      <c r="AH261"/>
      <c r="AI261" s="1285" t="s">
        <v>50</v>
      </c>
      <c r="AJ261" s="639">
        <v>15</v>
      </c>
      <c r="AK261" s="639">
        <v>15</v>
      </c>
      <c r="AL261" s="639">
        <v>15</v>
      </c>
      <c r="AM261" s="639">
        <v>15</v>
      </c>
      <c r="AN261" s="639">
        <v>15</v>
      </c>
      <c r="AO261" s="618">
        <v>15</v>
      </c>
      <c r="AP261" s="52">
        <v>15</v>
      </c>
      <c r="AQ261" s="52">
        <v>15</v>
      </c>
      <c r="AR261" s="616">
        <v>15</v>
      </c>
      <c r="AS261" s="616">
        <v>15</v>
      </c>
      <c r="AT261" s="616">
        <v>15</v>
      </c>
      <c r="AV261" s="1285" t="str">
        <f>K260</f>
        <v>Inc. Cost (per HP)</v>
      </c>
      <c r="AW261" s="640">
        <v>168</v>
      </c>
      <c r="AX261" s="640">
        <v>168</v>
      </c>
      <c r="AY261" s="640">
        <v>168</v>
      </c>
      <c r="AZ261" s="640">
        <v>168</v>
      </c>
      <c r="BA261" s="640">
        <v>168</v>
      </c>
      <c r="BB261" s="657">
        <v>168</v>
      </c>
      <c r="BC261" s="657">
        <v>168</v>
      </c>
      <c r="BD261" s="657">
        <v>168</v>
      </c>
      <c r="BE261" s="657">
        <v>168</v>
      </c>
      <c r="BF261" s="726">
        <v>360</v>
      </c>
      <c r="BG261" s="545">
        <v>360</v>
      </c>
      <c r="DK261" s="998">
        <f>(DM261)/(DN261)</f>
        <v>3.1830017365060037</v>
      </c>
      <c r="DL261" s="1272" t="str">
        <f>CONCATENATE(G261," ",J261," Year EUL")</f>
        <v>HVAC BUS 15 Year EUL</v>
      </c>
      <c r="DM261" s="999">
        <f>(INDEX('Avoided Cost Benefits'!$B$4:$B$865,MATCH(DL261,'Avoided Cost Benefits'!$A$4:$A$865,0)))*F261</f>
        <v>1145.8806251421613</v>
      </c>
      <c r="DN261" s="2037">
        <f>IFERROR(K261/((1+DiscountRate)^(CurrentYear-DiscountYear)),0)</f>
        <v>360</v>
      </c>
    </row>
    <row r="262" spans="1:118" outlineLevel="1" x14ac:dyDescent="0.25">
      <c r="D262" s="74" t="s">
        <v>95</v>
      </c>
      <c r="E262" s="108" t="s">
        <v>376</v>
      </c>
      <c r="F262" s="7"/>
      <c r="G262" s="7"/>
      <c r="H262" s="449"/>
      <c r="I262" s="7"/>
      <c r="J262" s="7"/>
      <c r="K262" s="1624" t="s">
        <v>377</v>
      </c>
      <c r="M262" s="801"/>
      <c r="N262" s="801"/>
      <c r="O262" s="801"/>
      <c r="P262" s="801"/>
    </row>
    <row r="263" spans="1:118" outlineLevel="1" x14ac:dyDescent="0.25">
      <c r="D263" s="7" t="s">
        <v>97</v>
      </c>
      <c r="E263" s="7"/>
      <c r="F263" s="7"/>
      <c r="G263" s="7"/>
      <c r="H263" s="449"/>
      <c r="I263" s="7"/>
      <c r="J263" s="7"/>
      <c r="K263" s="7"/>
      <c r="M263" s="801"/>
      <c r="N263" s="801"/>
      <c r="O263" s="801"/>
      <c r="P263" s="801"/>
    </row>
    <row r="264" spans="1:118" outlineLevel="1" x14ac:dyDescent="0.25">
      <c r="D264" s="450"/>
      <c r="G264" s="247"/>
      <c r="H264" s="451"/>
      <c r="M264" s="801"/>
      <c r="N264" s="801"/>
      <c r="O264" s="801"/>
      <c r="P264" s="801"/>
    </row>
    <row r="265" spans="1:118" outlineLevel="1" x14ac:dyDescent="0.25">
      <c r="D265" s="450"/>
      <c r="G265" s="247"/>
      <c r="H265" s="451"/>
      <c r="M265" s="801"/>
      <c r="N265" s="801"/>
      <c r="O265" s="801"/>
      <c r="P265" s="801"/>
    </row>
    <row r="266" spans="1:118" outlineLevel="1" x14ac:dyDescent="0.25">
      <c r="D266" s="450"/>
      <c r="G266" s="247"/>
      <c r="H266" s="451"/>
      <c r="M266" s="801"/>
      <c r="N266" s="801"/>
      <c r="O266" s="801"/>
      <c r="P266" s="801"/>
    </row>
    <row r="267" spans="1:118" outlineLevel="1" x14ac:dyDescent="0.25">
      <c r="D267" s="450"/>
      <c r="G267" s="247"/>
      <c r="H267" s="451"/>
      <c r="M267" s="7"/>
    </row>
    <row r="268" spans="1:118" outlineLevel="1" x14ac:dyDescent="0.25">
      <c r="D268" s="450"/>
      <c r="G268" s="247"/>
      <c r="H268" s="451"/>
      <c r="M268" s="7"/>
    </row>
    <row r="269" spans="1:118" ht="15.75" outlineLevel="1" thickBot="1" x14ac:dyDescent="0.3">
      <c r="D269" s="450"/>
      <c r="G269" s="247"/>
      <c r="H269" s="451"/>
      <c r="M269" s="7"/>
    </row>
    <row r="270" spans="1:118" outlineLevel="1" x14ac:dyDescent="0.25">
      <c r="D270" s="450"/>
      <c r="E270" s="489" t="s">
        <v>378</v>
      </c>
      <c r="F270" s="490"/>
      <c r="G270" s="247"/>
      <c r="H270" s="451"/>
      <c r="M270" s="7"/>
    </row>
    <row r="271" spans="1:118" outlineLevel="1" x14ac:dyDescent="0.25">
      <c r="D271" s="450"/>
      <c r="E271" s="491"/>
      <c r="F271" s="492"/>
      <c r="G271" s="247"/>
      <c r="H271" s="451"/>
      <c r="M271" s="7"/>
    </row>
    <row r="272" spans="1:118" outlineLevel="1" x14ac:dyDescent="0.25">
      <c r="D272" s="450"/>
      <c r="E272" s="493" t="s">
        <v>379</v>
      </c>
      <c r="F272" s="492">
        <v>1</v>
      </c>
      <c r="G272" s="247"/>
      <c r="H272" s="451"/>
      <c r="M272" s="7"/>
    </row>
    <row r="273" spans="1:118" outlineLevel="1" x14ac:dyDescent="0.25">
      <c r="D273" s="450"/>
      <c r="E273" s="493" t="s">
        <v>380</v>
      </c>
      <c r="F273" s="492">
        <v>0.8</v>
      </c>
      <c r="G273" s="247"/>
      <c r="H273" s="451"/>
      <c r="M273" s="7"/>
    </row>
    <row r="274" spans="1:118" outlineLevel="1" x14ac:dyDescent="0.25">
      <c r="D274" s="450"/>
      <c r="E274" s="493" t="s">
        <v>381</v>
      </c>
      <c r="F274" s="492">
        <v>0.78</v>
      </c>
      <c r="G274" s="247"/>
      <c r="H274" s="451"/>
      <c r="M274" s="7"/>
    </row>
    <row r="275" spans="1:118" outlineLevel="1" x14ac:dyDescent="0.25">
      <c r="D275" s="450"/>
      <c r="E275" s="493" t="s">
        <v>382</v>
      </c>
      <c r="F275" s="492">
        <v>0.69</v>
      </c>
      <c r="G275" s="247"/>
      <c r="H275" s="451"/>
      <c r="M275" s="7"/>
    </row>
    <row r="276" spans="1:118" outlineLevel="1" x14ac:dyDescent="0.25">
      <c r="D276" s="450"/>
      <c r="E276" s="493" t="s">
        <v>383</v>
      </c>
      <c r="F276" s="492">
        <v>0.63</v>
      </c>
      <c r="G276" s="247"/>
      <c r="H276" s="451"/>
      <c r="M276" s="7"/>
    </row>
    <row r="277" spans="1:118" outlineLevel="1" x14ac:dyDescent="0.25">
      <c r="D277" s="450"/>
      <c r="E277" s="493" t="s">
        <v>384</v>
      </c>
      <c r="F277" s="492">
        <v>0.53</v>
      </c>
      <c r="G277" s="247"/>
      <c r="H277" s="451"/>
      <c r="M277" s="7"/>
    </row>
    <row r="278" spans="1:118" outlineLevel="1" x14ac:dyDescent="0.25">
      <c r="D278" s="450"/>
      <c r="E278" s="493" t="s">
        <v>385</v>
      </c>
      <c r="F278" s="492">
        <v>0.53</v>
      </c>
      <c r="G278" s="247"/>
      <c r="H278" s="451"/>
      <c r="M278" s="7"/>
    </row>
    <row r="279" spans="1:118" outlineLevel="1" x14ac:dyDescent="0.25">
      <c r="D279" s="450"/>
      <c r="E279" s="493" t="s">
        <v>386</v>
      </c>
      <c r="F279" s="492">
        <v>0.49</v>
      </c>
      <c r="G279" s="247"/>
      <c r="H279" s="451"/>
      <c r="M279" s="7"/>
    </row>
    <row r="280" spans="1:118" outlineLevel="1" x14ac:dyDescent="0.25">
      <c r="D280" s="450"/>
      <c r="E280" s="493" t="s">
        <v>387</v>
      </c>
      <c r="F280" s="492">
        <v>0.39</v>
      </c>
      <c r="G280" s="247"/>
      <c r="H280" s="451"/>
      <c r="M280" s="7"/>
    </row>
    <row r="281" spans="1:118" outlineLevel="1" x14ac:dyDescent="0.25">
      <c r="D281" s="450"/>
      <c r="E281" s="493" t="s">
        <v>388</v>
      </c>
      <c r="F281" s="492">
        <v>0.3</v>
      </c>
      <c r="G281" s="247"/>
      <c r="H281" s="451"/>
      <c r="M281" s="7"/>
    </row>
    <row r="282" spans="1:118" ht="15.75" outlineLevel="1" thickBot="1" x14ac:dyDescent="0.3">
      <c r="D282" s="450"/>
      <c r="E282" s="494" t="s">
        <v>389</v>
      </c>
      <c r="F282" s="495">
        <v>0.27</v>
      </c>
      <c r="G282" s="247"/>
      <c r="H282" s="451"/>
      <c r="M282" s="7"/>
    </row>
    <row r="283" spans="1:118" outlineLevel="1" x14ac:dyDescent="0.25">
      <c r="D283" s="450"/>
      <c r="G283" s="247"/>
      <c r="H283" s="451"/>
      <c r="M283" s="7"/>
    </row>
    <row r="284" spans="1:118" outlineLevel="1" x14ac:dyDescent="0.25">
      <c r="D284" s="450"/>
      <c r="G284" s="247"/>
      <c r="H284" s="451"/>
      <c r="M284" s="7"/>
    </row>
    <row r="285" spans="1:118" outlineLevel="1" x14ac:dyDescent="0.25">
      <c r="D285" s="450"/>
      <c r="G285" s="247"/>
      <c r="H285" s="451"/>
    </row>
    <row r="286" spans="1:118" s="8" customFormat="1" ht="30" outlineLevel="1" x14ac:dyDescent="0.25">
      <c r="A286" s="247"/>
      <c r="B286" s="115"/>
      <c r="C286" s="64"/>
      <c r="D286" s="1236" t="s">
        <v>43</v>
      </c>
      <c r="E286" s="1236" t="s">
        <v>173</v>
      </c>
      <c r="F286" s="1236" t="s">
        <v>390</v>
      </c>
      <c r="G286" s="1236" t="s">
        <v>391</v>
      </c>
      <c r="H286" s="1236" t="s">
        <v>392</v>
      </c>
      <c r="I286" s="1236" t="s">
        <v>393</v>
      </c>
      <c r="J286" s="1236" t="s">
        <v>394</v>
      </c>
      <c r="K286" s="1236" t="s">
        <v>395</v>
      </c>
      <c r="L286" s="1236" t="s">
        <v>396</v>
      </c>
      <c r="M286" s="1236" t="s">
        <v>370</v>
      </c>
      <c r="N286" s="115"/>
      <c r="O286" s="115"/>
      <c r="P286" s="115"/>
      <c r="Q286" s="115"/>
      <c r="R286" s="115"/>
      <c r="S286" s="115"/>
      <c r="T286" s="115"/>
      <c r="U286" s="115"/>
      <c r="DI286" s="2"/>
      <c r="DJ286" s="2"/>
      <c r="DK286" s="996"/>
      <c r="DL286" s="115"/>
      <c r="DM286" s="115"/>
      <c r="DN286" s="499"/>
    </row>
    <row r="287" spans="1:118" outlineLevel="1" x14ac:dyDescent="0.25">
      <c r="D287" s="647" t="str">
        <f>C261</f>
        <v>803200_2024_12_</v>
      </c>
      <c r="E287" s="647" t="str">
        <f>E261</f>
        <v xml:space="preserve"> VFD on HVAC Fans &gt;= 1HP </v>
      </c>
      <c r="F287" s="1692">
        <v>1</v>
      </c>
      <c r="G287" s="36">
        <v>0.65</v>
      </c>
      <c r="H287" s="1692">
        <v>0.93</v>
      </c>
      <c r="I287" s="1692">
        <v>6773</v>
      </c>
      <c r="J287" s="1692">
        <v>0.53</v>
      </c>
      <c r="K287" s="1692">
        <v>0.3</v>
      </c>
      <c r="L287" s="496">
        <v>0.157</v>
      </c>
      <c r="M287" s="1693">
        <v>25</v>
      </c>
    </row>
    <row r="288" spans="1:118" x14ac:dyDescent="0.25">
      <c r="M288" s="1624" t="s">
        <v>373</v>
      </c>
    </row>
    <row r="290" spans="1:118" s="8" customFormat="1" ht="30" x14ac:dyDescent="0.25">
      <c r="A290" s="247"/>
      <c r="B290" s="64"/>
      <c r="C290" s="9" t="s">
        <v>43</v>
      </c>
      <c r="D290" s="9" t="s">
        <v>44</v>
      </c>
      <c r="E290" s="1301" t="s">
        <v>45</v>
      </c>
      <c r="F290" s="1301" t="s">
        <v>397</v>
      </c>
      <c r="G290" s="1301" t="s">
        <v>47</v>
      </c>
      <c r="H290" s="1301" t="s">
        <v>48</v>
      </c>
      <c r="I290" s="1301" t="s">
        <v>49</v>
      </c>
      <c r="J290" s="1301" t="s">
        <v>50</v>
      </c>
      <c r="K290" s="1301" t="s">
        <v>51</v>
      </c>
      <c r="L290" s="9" t="s">
        <v>52</v>
      </c>
      <c r="M290" s="247"/>
      <c r="N290" s="247"/>
      <c r="O290" s="247"/>
      <c r="P290" s="115"/>
      <c r="Q290" s="115"/>
      <c r="R290" s="115"/>
      <c r="S290" s="115"/>
      <c r="T290" s="115"/>
      <c r="U290" s="115"/>
      <c r="V290" s="636" t="s">
        <v>53</v>
      </c>
      <c r="W290" s="637">
        <f>$W$8</f>
        <v>43252</v>
      </c>
      <c r="X290" s="637">
        <f>$X$8</f>
        <v>43465</v>
      </c>
      <c r="Y290" s="637">
        <f>$Y$8</f>
        <v>43800</v>
      </c>
      <c r="Z290" s="637">
        <f>$Z$8</f>
        <v>43862</v>
      </c>
      <c r="AA290" s="637">
        <f>$AA$8</f>
        <v>44013</v>
      </c>
      <c r="AB290" s="637">
        <v>44166</v>
      </c>
      <c r="AC290" s="637">
        <f>$AC$8</f>
        <v>44531</v>
      </c>
      <c r="AD290" s="637">
        <f>$AD$8</f>
        <v>44774</v>
      </c>
      <c r="AE290" s="637">
        <f>$AE$8</f>
        <v>45142</v>
      </c>
      <c r="AF290" s="637">
        <f>$AF$8</f>
        <v>45672</v>
      </c>
      <c r="AG290" s="637">
        <f>$AG$8</f>
        <v>45971</v>
      </c>
      <c r="AH290"/>
      <c r="AI290" s="636" t="s">
        <v>53</v>
      </c>
      <c r="AJ290" s="637">
        <v>43252</v>
      </c>
      <c r="AK290" s="637">
        <f>$X$8</f>
        <v>43465</v>
      </c>
      <c r="AL290" s="637">
        <f>$Y$8</f>
        <v>43800</v>
      </c>
      <c r="AM290" s="637">
        <f>$Z$8</f>
        <v>43862</v>
      </c>
      <c r="AN290" s="637">
        <f>$AA$8</f>
        <v>44013</v>
      </c>
      <c r="AO290" s="637">
        <v>44166</v>
      </c>
      <c r="AP290" s="637">
        <f>$AC$8</f>
        <v>44531</v>
      </c>
      <c r="AQ290" s="637">
        <f>$AD$8</f>
        <v>44774</v>
      </c>
      <c r="AR290" s="637">
        <f>$AE$8</f>
        <v>45142</v>
      </c>
      <c r="AS290" s="637">
        <f>$AF$8</f>
        <v>45672</v>
      </c>
      <c r="AT290" s="637">
        <f>$AT$8</f>
        <v>45971</v>
      </c>
      <c r="AU290" s="2"/>
      <c r="AV290" s="636" t="s">
        <v>53</v>
      </c>
      <c r="AW290" s="637">
        <v>43252</v>
      </c>
      <c r="AX290" s="637">
        <f>$X$8</f>
        <v>43465</v>
      </c>
      <c r="AY290" s="637">
        <f>$Y$8</f>
        <v>43800</v>
      </c>
      <c r="AZ290" s="637">
        <f>$Z$8</f>
        <v>43862</v>
      </c>
      <c r="BA290" s="637">
        <f>$AA$8</f>
        <v>44013</v>
      </c>
      <c r="BB290" s="637">
        <v>44166</v>
      </c>
      <c r="BC290" s="637">
        <f>$AC$8</f>
        <v>44531</v>
      </c>
      <c r="BD290" s="637">
        <f>$AD$8</f>
        <v>44774</v>
      </c>
      <c r="BE290" s="637">
        <f>$AE$8</f>
        <v>45142</v>
      </c>
      <c r="BF290" s="637">
        <f>$AF$8</f>
        <v>45672</v>
      </c>
      <c r="BG290" s="637">
        <f>$AT$8</f>
        <v>45971</v>
      </c>
      <c r="DI290" s="2"/>
      <c r="DJ290" s="2"/>
      <c r="DK290" s="991" t="str">
        <f>$DK$8</f>
        <v>TRC (2025)</v>
      </c>
      <c r="DL290" s="761" t="str">
        <f>$DL$8</f>
        <v>Benefit Lookup</v>
      </c>
      <c r="DM290" s="761" t="str">
        <f>$DM$8</f>
        <v>Benefits (2025 $)</v>
      </c>
      <c r="DN290" s="2034" t="str">
        <f>$DN$8</f>
        <v>Incremental Cost (2025 $)</v>
      </c>
    </row>
    <row r="291" spans="1:118" x14ac:dyDescent="0.25">
      <c r="A291" s="2006" t="s">
        <v>329</v>
      </c>
      <c r="B291" s="247">
        <f t="shared" ref="B291:B295" si="79">VALUE(LEFT(C291,6))</f>
        <v>803250</v>
      </c>
      <c r="C291" s="656" t="s">
        <v>398</v>
      </c>
      <c r="D291" s="1972" t="s">
        <v>60</v>
      </c>
      <c r="E291" s="458" t="s">
        <v>399</v>
      </c>
      <c r="F291" s="399">
        <f>ROUND(F305*((1/G305)-(1/H305))*I305,2)</f>
        <v>117.73</v>
      </c>
      <c r="G291" s="441" t="s">
        <v>332</v>
      </c>
      <c r="H291" s="442">
        <f>VLOOKUP(G291,'CP FACTORS'!$A$26:$B$38,2,FALSE)</f>
        <v>9.1068400000000004E-4</v>
      </c>
      <c r="I291" s="459">
        <f>ROUND(H291*F291,6)</f>
        <v>0.107215</v>
      </c>
      <c r="J291" s="478">
        <v>15</v>
      </c>
      <c r="K291" s="1689">
        <f>104*J305</f>
        <v>218.40000000000015</v>
      </c>
      <c r="L291" s="487" t="s">
        <v>334</v>
      </c>
      <c r="V291" s="1285" t="str">
        <f>F290</f>
        <v>kWh Annual Savings per ton</v>
      </c>
      <c r="W291" s="53">
        <v>153.95313964386136</v>
      </c>
      <c r="X291" s="53">
        <v>153.95313964386136</v>
      </c>
      <c r="Y291" s="53">
        <v>153.95313964386136</v>
      </c>
      <c r="Z291" s="53">
        <v>153.95313964386136</v>
      </c>
      <c r="AA291" s="68">
        <v>153.77000000000001</v>
      </c>
      <c r="AB291" s="616">
        <v>153.77000000000001</v>
      </c>
      <c r="AC291" s="692">
        <v>153.77000000000001</v>
      </c>
      <c r="AD291" s="692">
        <v>153.77000000000001</v>
      </c>
      <c r="AE291" s="1628">
        <v>133.16999999999999</v>
      </c>
      <c r="AF291" s="253">
        <f>IF(F291&lt;&gt;"",F291,"")</f>
        <v>117.73</v>
      </c>
      <c r="AG291" s="52">
        <v>117.73</v>
      </c>
      <c r="AH291"/>
      <c r="AI291" s="1285" t="s">
        <v>50</v>
      </c>
      <c r="AJ291" s="639">
        <v>15</v>
      </c>
      <c r="AK291" s="639">
        <v>15</v>
      </c>
      <c r="AL291" s="639">
        <v>15</v>
      </c>
      <c r="AM291" s="639">
        <v>15</v>
      </c>
      <c r="AN291" s="639">
        <v>15</v>
      </c>
      <c r="AO291" s="616">
        <v>15</v>
      </c>
      <c r="AP291" s="616">
        <v>15</v>
      </c>
      <c r="AQ291" s="616">
        <v>15</v>
      </c>
      <c r="AR291" s="616">
        <v>15</v>
      </c>
      <c r="AS291" s="616">
        <v>15</v>
      </c>
      <c r="AT291" s="1939"/>
      <c r="AV291" s="1285" t="s">
        <v>51</v>
      </c>
      <c r="AW291" s="640">
        <v>100</v>
      </c>
      <c r="AX291" s="640">
        <v>100</v>
      </c>
      <c r="AY291" s="640">
        <v>100</v>
      </c>
      <c r="AZ291" s="640">
        <v>100</v>
      </c>
      <c r="BA291" s="640">
        <v>100</v>
      </c>
      <c r="BB291" s="657">
        <v>100</v>
      </c>
      <c r="BC291" s="657">
        <v>100</v>
      </c>
      <c r="BD291" s="657">
        <v>100</v>
      </c>
      <c r="BE291" s="657">
        <v>100</v>
      </c>
      <c r="BF291" s="657">
        <f>K291</f>
        <v>218.40000000000015</v>
      </c>
      <c r="BG291" s="1939"/>
      <c r="DK291" s="993">
        <f>(DM291)/(DN291)</f>
        <v>1.0424807373623386</v>
      </c>
      <c r="DL291" s="1272" t="str">
        <f>CONCATENATE(G291," ",J291," Year EUL")</f>
        <v>Cooling BUS 15 Year EUL</v>
      </c>
      <c r="DM291" s="181">
        <f>(INDEX('Avoided Cost Benefits'!$B$4:$B$865,MATCH(DL291,'Avoided Cost Benefits'!$A$4:$A$865,0)))*F291</f>
        <v>227.6777930399349</v>
      </c>
      <c r="DN291" s="2033">
        <f>IFERROR(K291/((1+DiscountRate)^(CurrentYear-DiscountYear)),0)</f>
        <v>218.40000000000015</v>
      </c>
    </row>
    <row r="292" spans="1:118" x14ac:dyDescent="0.25">
      <c r="A292" s="2006" t="s">
        <v>329</v>
      </c>
      <c r="B292" s="247">
        <f t="shared" si="79"/>
        <v>803300</v>
      </c>
      <c r="C292" s="656" t="s">
        <v>400</v>
      </c>
      <c r="D292" s="1972" t="s">
        <v>60</v>
      </c>
      <c r="E292" s="458" t="s">
        <v>401</v>
      </c>
      <c r="F292" s="399">
        <f t="shared" ref="F292:F295" si="80">ROUND(F306*((1/G306)-(1/H306))*I306,2)</f>
        <v>179.28</v>
      </c>
      <c r="G292" s="441" t="s">
        <v>332</v>
      </c>
      <c r="H292" s="442">
        <f>VLOOKUP(G292,'CP FACTORS'!$A$26:$B$38,2,FALSE)</f>
        <v>9.1068400000000004E-4</v>
      </c>
      <c r="I292" s="459">
        <f>ROUND(H292*F292,6)</f>
        <v>0.163267</v>
      </c>
      <c r="J292" s="465">
        <v>15</v>
      </c>
      <c r="K292" s="1689">
        <f t="shared" ref="K292:K295" si="81">104*J306</f>
        <v>305.75999999999993</v>
      </c>
      <c r="L292" s="487" t="s">
        <v>334</v>
      </c>
      <c r="V292" s="1285" t="str">
        <f>V291</f>
        <v>kWh Annual Savings per ton</v>
      </c>
      <c r="W292" s="53">
        <v>66.505263157894589</v>
      </c>
      <c r="X292" s="53">
        <v>66.505263157894589</v>
      </c>
      <c r="Y292" s="53">
        <v>66.505263157894589</v>
      </c>
      <c r="Z292" s="53">
        <v>66.505263157894589</v>
      </c>
      <c r="AA292" s="68">
        <v>167.94</v>
      </c>
      <c r="AB292" s="616">
        <v>167.94</v>
      </c>
      <c r="AC292" s="692">
        <v>167.94</v>
      </c>
      <c r="AD292" s="692">
        <v>167.94</v>
      </c>
      <c r="AE292" s="1628">
        <v>143.84</v>
      </c>
      <c r="AF292" s="253">
        <f>IF(F292&lt;&gt;"",F292,"")</f>
        <v>179.28</v>
      </c>
      <c r="AG292" s="52">
        <v>179.28</v>
      </c>
      <c r="AH292"/>
      <c r="AI292" s="1285" t="s">
        <v>50</v>
      </c>
      <c r="AJ292" s="639">
        <v>15</v>
      </c>
      <c r="AK292" s="639">
        <v>15</v>
      </c>
      <c r="AL292" s="639">
        <v>15</v>
      </c>
      <c r="AM292" s="639">
        <v>15</v>
      </c>
      <c r="AN292" s="639">
        <v>15</v>
      </c>
      <c r="AO292" s="616">
        <v>15</v>
      </c>
      <c r="AP292" s="616">
        <v>15</v>
      </c>
      <c r="AQ292" s="616">
        <v>15</v>
      </c>
      <c r="AR292" s="616">
        <v>15</v>
      </c>
      <c r="AS292" s="616">
        <v>15</v>
      </c>
      <c r="AT292" s="1939"/>
      <c r="AV292" s="1285" t="s">
        <v>51</v>
      </c>
      <c r="AW292" s="640">
        <v>100</v>
      </c>
      <c r="AX292" s="640">
        <v>100</v>
      </c>
      <c r="AY292" s="640">
        <v>100</v>
      </c>
      <c r="AZ292" s="640">
        <v>100</v>
      </c>
      <c r="BA292" s="640">
        <v>100</v>
      </c>
      <c r="BB292" s="657">
        <v>100</v>
      </c>
      <c r="BC292" s="657">
        <v>100</v>
      </c>
      <c r="BD292" s="657">
        <v>100</v>
      </c>
      <c r="BE292" s="657">
        <v>100</v>
      </c>
      <c r="BF292" s="657">
        <f t="shared" ref="BF292:BF295" si="82">K292</f>
        <v>305.75999999999993</v>
      </c>
      <c r="BG292" s="1939"/>
      <c r="DK292" s="994">
        <f>(DM292)/(DN292)</f>
        <v>1.1339259722265245</v>
      </c>
      <c r="DL292" s="641" t="str">
        <f>CONCATENATE(G292," ",J292," Year EUL")</f>
        <v>Cooling BUS 15 Year EUL</v>
      </c>
      <c r="DM292" s="623">
        <f>(INDEX('Avoided Cost Benefits'!$B$4:$B$865,MATCH(DL292,'Avoided Cost Benefits'!$A$4:$A$865,0)))*F292</f>
        <v>346.70920526798204</v>
      </c>
      <c r="DN292" s="1928">
        <f>IFERROR(K292/((1+DiscountRate)^(CurrentYear-DiscountYear)),0)</f>
        <v>305.75999999999993</v>
      </c>
    </row>
    <row r="293" spans="1:118" x14ac:dyDescent="0.25">
      <c r="A293" s="2006" t="s">
        <v>329</v>
      </c>
      <c r="B293" s="247">
        <f t="shared" si="79"/>
        <v>803350</v>
      </c>
      <c r="C293" s="656" t="s">
        <v>402</v>
      </c>
      <c r="D293" s="1972" t="s">
        <v>60</v>
      </c>
      <c r="E293" s="458" t="s">
        <v>403</v>
      </c>
      <c r="F293" s="399">
        <f>ROUND(F307*((1/G307)-(1/H307))*I307,2)</f>
        <v>102.44</v>
      </c>
      <c r="G293" s="441" t="s">
        <v>332</v>
      </c>
      <c r="H293" s="442">
        <f>VLOOKUP(G293,'CP FACTORS'!$A$26:$B$38,2,FALSE)</f>
        <v>9.1068400000000004E-4</v>
      </c>
      <c r="I293" s="486">
        <f>ROUND(H293*F293,6)</f>
        <v>9.3289999999999998E-2</v>
      </c>
      <c r="J293" s="465">
        <v>15</v>
      </c>
      <c r="K293" s="1689">
        <f t="shared" si="81"/>
        <v>203.83999999999992</v>
      </c>
      <c r="L293" s="487" t="s">
        <v>334</v>
      </c>
      <c r="M293" s="1582"/>
      <c r="N293" s="1582"/>
      <c r="O293" s="1582"/>
      <c r="P293" s="1582"/>
      <c r="V293" s="1285" t="str">
        <f>V292</f>
        <v>kWh Annual Savings per ton</v>
      </c>
      <c r="W293" s="53">
        <v>98.581830790568617</v>
      </c>
      <c r="X293" s="53">
        <v>98.581830790568617</v>
      </c>
      <c r="Y293" s="53">
        <v>98.581830790568617</v>
      </c>
      <c r="Z293" s="53">
        <v>98.581830790568617</v>
      </c>
      <c r="AA293" s="68">
        <v>148.68</v>
      </c>
      <c r="AB293" s="616">
        <v>148.68</v>
      </c>
      <c r="AC293" s="692">
        <v>148.68</v>
      </c>
      <c r="AD293" s="692">
        <v>148.68</v>
      </c>
      <c r="AE293" s="1628">
        <v>131.41</v>
      </c>
      <c r="AF293" s="253">
        <f>IF(F293&lt;&gt;"",F293,"")</f>
        <v>102.44</v>
      </c>
      <c r="AG293" s="52">
        <v>102.44</v>
      </c>
      <c r="AH293"/>
      <c r="AI293" s="1285" t="s">
        <v>50</v>
      </c>
      <c r="AJ293" s="639">
        <v>15</v>
      </c>
      <c r="AK293" s="639">
        <v>15</v>
      </c>
      <c r="AL293" s="639">
        <v>15</v>
      </c>
      <c r="AM293" s="639">
        <v>15</v>
      </c>
      <c r="AN293" s="639">
        <v>15</v>
      </c>
      <c r="AO293" s="616">
        <v>15</v>
      </c>
      <c r="AP293" s="616">
        <v>15</v>
      </c>
      <c r="AQ293" s="616">
        <v>15</v>
      </c>
      <c r="AR293" s="616">
        <v>15</v>
      </c>
      <c r="AS293" s="616">
        <v>15</v>
      </c>
      <c r="AT293" s="1939"/>
      <c r="AV293" s="1285" t="s">
        <v>51</v>
      </c>
      <c r="AW293" s="640">
        <v>100</v>
      </c>
      <c r="AX293" s="640">
        <v>100</v>
      </c>
      <c r="AY293" s="640">
        <v>100</v>
      </c>
      <c r="AZ293" s="640">
        <v>100</v>
      </c>
      <c r="BA293" s="640">
        <v>100</v>
      </c>
      <c r="BB293" s="657">
        <v>100</v>
      </c>
      <c r="BC293" s="657">
        <v>100</v>
      </c>
      <c r="BD293" s="657">
        <v>100</v>
      </c>
      <c r="BE293" s="657">
        <v>100</v>
      </c>
      <c r="BF293" s="657">
        <f t="shared" si="82"/>
        <v>203.83999999999992</v>
      </c>
      <c r="BG293" s="1939"/>
      <c r="DK293" s="994">
        <f>(DM293)/(DN293)</f>
        <v>0.97188233429455484</v>
      </c>
      <c r="DL293" s="641" t="str">
        <f>CONCATENATE(G293," ",J293," Year EUL")</f>
        <v>Cooling BUS 15 Year EUL</v>
      </c>
      <c r="DM293" s="623">
        <f>(INDEX('Avoided Cost Benefits'!$B$4:$B$865,MATCH(DL293,'Avoided Cost Benefits'!$A$4:$A$865,0)))*F293</f>
        <v>198.10849502260197</v>
      </c>
      <c r="DN293" s="1928">
        <f>IFERROR(K293/((1+DiscountRate)^(CurrentYear-DiscountYear)),0)</f>
        <v>203.83999999999992</v>
      </c>
    </row>
    <row r="294" spans="1:118" ht="37.5" customHeight="1" x14ac:dyDescent="0.25">
      <c r="A294" s="2006" t="s">
        <v>329</v>
      </c>
      <c r="B294" s="247">
        <f t="shared" si="79"/>
        <v>803400</v>
      </c>
      <c r="C294" s="2140" t="s">
        <v>404</v>
      </c>
      <c r="D294" s="1972" t="s">
        <v>60</v>
      </c>
      <c r="E294" s="458" t="s">
        <v>405</v>
      </c>
      <c r="F294" s="56">
        <f t="shared" si="80"/>
        <v>177.7</v>
      </c>
      <c r="G294" s="441" t="s">
        <v>332</v>
      </c>
      <c r="H294" s="442">
        <f>VLOOKUP(G294,'CP FACTORS'!$A$26:$B$38,2,FALSE)</f>
        <v>9.1068400000000004E-4</v>
      </c>
      <c r="I294" s="459">
        <f>ROUND(H294*F294,6)</f>
        <v>0.161829</v>
      </c>
      <c r="J294" s="465">
        <v>15</v>
      </c>
      <c r="K294" s="1689">
        <f t="shared" si="81"/>
        <v>318.2399999999999</v>
      </c>
      <c r="L294" s="487" t="s">
        <v>334</v>
      </c>
      <c r="M294" s="1582"/>
      <c r="N294" s="1582"/>
      <c r="O294" s="1582"/>
      <c r="P294" s="1582"/>
      <c r="V294" s="1285" t="str">
        <f>V293</f>
        <v>kWh Annual Savings per ton</v>
      </c>
      <c r="W294" s="53">
        <v>70.797848498431222</v>
      </c>
      <c r="X294" s="53">
        <v>70.797848498431222</v>
      </c>
      <c r="Y294" s="53">
        <v>70.797848498431222</v>
      </c>
      <c r="Z294" s="53">
        <v>70.797848498431222</v>
      </c>
      <c r="AA294" s="68">
        <v>167.52</v>
      </c>
      <c r="AB294" s="616">
        <v>167.52</v>
      </c>
      <c r="AC294" s="692">
        <v>167.52</v>
      </c>
      <c r="AD294" s="692">
        <v>167.52</v>
      </c>
      <c r="AE294" s="1628">
        <v>153.77000000000001</v>
      </c>
      <c r="AF294" s="253">
        <f>IF(F294&lt;&gt;"",F294,"")</f>
        <v>177.7</v>
      </c>
      <c r="AG294" s="52">
        <v>177.7</v>
      </c>
      <c r="AH294"/>
      <c r="AI294" s="1285" t="s">
        <v>50</v>
      </c>
      <c r="AJ294" s="639">
        <v>15</v>
      </c>
      <c r="AK294" s="639">
        <v>15</v>
      </c>
      <c r="AL294" s="639">
        <v>15</v>
      </c>
      <c r="AM294" s="639">
        <v>15</v>
      </c>
      <c r="AN294" s="639">
        <v>15</v>
      </c>
      <c r="AO294" s="616">
        <v>15</v>
      </c>
      <c r="AP294" s="616">
        <v>15</v>
      </c>
      <c r="AQ294" s="616">
        <v>15</v>
      </c>
      <c r="AR294" s="616">
        <v>15</v>
      </c>
      <c r="AS294" s="616">
        <v>15</v>
      </c>
      <c r="AT294" s="1939"/>
      <c r="AV294" s="1285" t="s">
        <v>51</v>
      </c>
      <c r="AW294" s="640">
        <v>100</v>
      </c>
      <c r="AX294" s="640">
        <v>100</v>
      </c>
      <c r="AY294" s="640">
        <v>100</v>
      </c>
      <c r="AZ294" s="640">
        <v>100</v>
      </c>
      <c r="BA294" s="640">
        <v>100</v>
      </c>
      <c r="BB294" s="657">
        <v>100</v>
      </c>
      <c r="BC294" s="657">
        <v>100</v>
      </c>
      <c r="BD294" s="657">
        <v>100</v>
      </c>
      <c r="BE294" s="657">
        <v>100</v>
      </c>
      <c r="BF294" s="657">
        <f t="shared" si="82"/>
        <v>318.2399999999999</v>
      </c>
      <c r="BG294" s="1939"/>
      <c r="DK294" s="994">
        <f>(DM294)/(DN294)</f>
        <v>1.0798568585855421</v>
      </c>
      <c r="DL294" s="641" t="str">
        <f>CONCATENATE(G294," ",J294," Year EUL")</f>
        <v>Cooling BUS 15 Year EUL</v>
      </c>
      <c r="DM294" s="623">
        <f>(INDEX('Avoided Cost Benefits'!$B$4:$B$865,MATCH(DL294,'Avoided Cost Benefits'!$A$4:$A$865,0)))*F294</f>
        <v>343.65364667626284</v>
      </c>
      <c r="DN294" s="1928">
        <f>IFERROR(K294/((1+DiscountRate)^(CurrentYear-DiscountYear)),0)</f>
        <v>318.2399999999999</v>
      </c>
    </row>
    <row r="295" spans="1:118" x14ac:dyDescent="0.25">
      <c r="B295" s="247">
        <f t="shared" si="79"/>
        <v>803450</v>
      </c>
      <c r="C295" s="656" t="s">
        <v>406</v>
      </c>
      <c r="D295" s="1972" t="s">
        <v>60</v>
      </c>
      <c r="E295" s="458" t="s">
        <v>407</v>
      </c>
      <c r="F295" s="399">
        <f t="shared" si="80"/>
        <v>149.76</v>
      </c>
      <c r="G295" s="441" t="s">
        <v>332</v>
      </c>
      <c r="H295" s="442">
        <f>VLOOKUP(G295,'CP FACTORS'!$A$26:$B$38,2,FALSE)</f>
        <v>9.1068400000000004E-4</v>
      </c>
      <c r="I295" s="459">
        <f>ROUND(H295*F295,6)</f>
        <v>0.13638400000000001</v>
      </c>
      <c r="J295" s="465">
        <v>15</v>
      </c>
      <c r="K295" s="1689">
        <f t="shared" si="81"/>
        <v>263.11999999999995</v>
      </c>
      <c r="L295" s="487" t="s">
        <v>334</v>
      </c>
      <c r="M295" s="1582"/>
      <c r="N295" s="1582"/>
      <c r="O295" s="1582"/>
      <c r="P295" s="1582"/>
      <c r="V295" s="1285" t="str">
        <f>V294</f>
        <v>kWh Annual Savings per ton</v>
      </c>
      <c r="W295" s="53">
        <v>69.42857142857153</v>
      </c>
      <c r="X295" s="53">
        <v>69.42857142857153</v>
      </c>
      <c r="Y295" s="53">
        <v>69.42857142857153</v>
      </c>
      <c r="Z295" s="53">
        <v>69.42857142857153</v>
      </c>
      <c r="AA295" s="68">
        <v>129.6</v>
      </c>
      <c r="AB295" s="616">
        <v>129.6</v>
      </c>
      <c r="AC295" s="692">
        <v>129.6</v>
      </c>
      <c r="AD295" s="692">
        <v>129.6</v>
      </c>
      <c r="AE295" s="1628">
        <v>129.6</v>
      </c>
      <c r="AF295" s="253">
        <f>IF(F295&lt;&gt;"",F295,"")</f>
        <v>149.76</v>
      </c>
      <c r="AG295" s="52">
        <v>149.76</v>
      </c>
      <c r="AH295"/>
      <c r="AI295" s="1285" t="s">
        <v>50</v>
      </c>
      <c r="AJ295" s="639">
        <v>15</v>
      </c>
      <c r="AK295" s="639">
        <v>15</v>
      </c>
      <c r="AL295" s="639">
        <v>15</v>
      </c>
      <c r="AM295" s="639">
        <v>15</v>
      </c>
      <c r="AN295" s="639">
        <v>15</v>
      </c>
      <c r="AO295" s="616">
        <v>15</v>
      </c>
      <c r="AP295" s="616">
        <v>15</v>
      </c>
      <c r="AQ295" s="616">
        <v>15</v>
      </c>
      <c r="AR295" s="616">
        <v>15</v>
      </c>
      <c r="AS295" s="616">
        <v>15</v>
      </c>
      <c r="AT295" s="1939"/>
      <c r="AV295" s="1285" t="s">
        <v>51</v>
      </c>
      <c r="AW295" s="640">
        <v>100</v>
      </c>
      <c r="AX295" s="640">
        <v>100</v>
      </c>
      <c r="AY295" s="640">
        <v>100</v>
      </c>
      <c r="AZ295" s="640">
        <v>100</v>
      </c>
      <c r="BA295" s="640">
        <v>100</v>
      </c>
      <c r="BB295" s="657">
        <v>100</v>
      </c>
      <c r="BC295" s="657">
        <v>100</v>
      </c>
      <c r="BD295" s="657">
        <v>100</v>
      </c>
      <c r="BE295" s="657">
        <v>100</v>
      </c>
      <c r="BF295" s="657">
        <f t="shared" si="82"/>
        <v>263.11999999999995</v>
      </c>
      <c r="BG295" s="1939"/>
      <c r="DK295" s="995">
        <f>(DM295)/(DN295)</f>
        <v>1.1007165587821073</v>
      </c>
      <c r="DL295" s="641" t="str">
        <f>CONCATENATE(G295," ",J295," Year EUL")</f>
        <v>Cooling BUS 15 Year EUL</v>
      </c>
      <c r="DM295" s="997">
        <f>(INDEX('Avoided Cost Benefits'!$B$4:$B$865,MATCH(DL295,'Avoided Cost Benefits'!$A$4:$A$865,0)))*F295</f>
        <v>289.62054094674801</v>
      </c>
      <c r="DN295" s="2035">
        <f>IFERROR(K295/((1+DiscountRate)^(CurrentYear-DiscountYear)),0)</f>
        <v>263.11999999999995</v>
      </c>
    </row>
    <row r="296" spans="1:118" outlineLevel="1" x14ac:dyDescent="0.25">
      <c r="D296" s="74" t="s">
        <v>95</v>
      </c>
      <c r="E296" s="108" t="s">
        <v>408</v>
      </c>
      <c r="F296" s="7"/>
      <c r="G296" s="7"/>
      <c r="H296" s="449"/>
      <c r="I296" s="7"/>
      <c r="J296" s="7"/>
      <c r="K296" s="247" t="s">
        <v>409</v>
      </c>
      <c r="M296" s="1582"/>
      <c r="N296" s="1582"/>
      <c r="O296" s="1582"/>
      <c r="P296" s="1582"/>
      <c r="AF296" s="1605" t="s">
        <v>307</v>
      </c>
      <c r="BE296" s="1605"/>
      <c r="BF296" s="1605" t="s">
        <v>307</v>
      </c>
      <c r="BH296" s="1605"/>
    </row>
    <row r="297" spans="1:118" outlineLevel="1" x14ac:dyDescent="0.25">
      <c r="D297" s="7" t="s">
        <v>97</v>
      </c>
      <c r="E297" s="64"/>
      <c r="F297" s="7"/>
      <c r="G297" s="7"/>
      <c r="H297" s="449"/>
      <c r="I297" s="7"/>
      <c r="J297" s="7"/>
      <c r="K297" s="64"/>
      <c r="M297" s="1582"/>
      <c r="N297" s="1582"/>
      <c r="O297" s="1582"/>
      <c r="P297" s="1582"/>
      <c r="BE297" s="1605"/>
      <c r="BF297" s="1605"/>
      <c r="BH297" s="1605"/>
    </row>
    <row r="298" spans="1:118" outlineLevel="1" x14ac:dyDescent="0.25">
      <c r="D298" s="450" t="s">
        <v>410</v>
      </c>
      <c r="E298" s="64"/>
      <c r="F298" s="450" t="s">
        <v>411</v>
      </c>
      <c r="G298" s="247"/>
      <c r="H298" s="451"/>
    </row>
    <row r="299" spans="1:118" outlineLevel="1" x14ac:dyDescent="0.25">
      <c r="D299" s="450"/>
      <c r="G299" s="247"/>
      <c r="H299" s="451"/>
    </row>
    <row r="300" spans="1:118" outlineLevel="1" x14ac:dyDescent="0.25">
      <c r="D300" s="450"/>
      <c r="G300" s="247"/>
      <c r="H300" s="451"/>
      <c r="M300" s="7"/>
    </row>
    <row r="301" spans="1:118" outlineLevel="1" x14ac:dyDescent="0.25">
      <c r="D301" s="450"/>
      <c r="G301" s="247"/>
      <c r="H301" s="451"/>
      <c r="M301" s="7"/>
    </row>
    <row r="302" spans="1:118" outlineLevel="1" x14ac:dyDescent="0.25">
      <c r="D302" s="450"/>
      <c r="G302" s="247"/>
      <c r="H302" s="451"/>
      <c r="M302" s="7"/>
    </row>
    <row r="303" spans="1:118" outlineLevel="1" x14ac:dyDescent="0.25">
      <c r="D303" s="450"/>
      <c r="G303" s="1063" t="s">
        <v>412</v>
      </c>
      <c r="H303" s="451"/>
    </row>
    <row r="304" spans="1:118" s="8" customFormat="1" ht="30" outlineLevel="1" x14ac:dyDescent="0.25">
      <c r="A304" s="247"/>
      <c r="B304" s="115"/>
      <c r="C304" s="64"/>
      <c r="D304" s="1236" t="s">
        <v>43</v>
      </c>
      <c r="E304" s="1236" t="s">
        <v>173</v>
      </c>
      <c r="F304" s="31" t="s">
        <v>413</v>
      </c>
      <c r="G304" s="1236" t="s">
        <v>414</v>
      </c>
      <c r="H304" s="1236" t="s">
        <v>415</v>
      </c>
      <c r="I304" s="1301" t="s">
        <v>416</v>
      </c>
      <c r="J304" s="1783" t="s">
        <v>417</v>
      </c>
      <c r="K304" s="115"/>
      <c r="L304" s="115"/>
      <c r="M304" s="115"/>
      <c r="N304" s="115"/>
      <c r="O304" s="115"/>
      <c r="P304" s="115"/>
      <c r="Q304" s="115"/>
      <c r="R304" s="115"/>
      <c r="S304" s="115"/>
      <c r="T304" s="115"/>
      <c r="U304" s="115"/>
      <c r="V304" s="636" t="s">
        <v>53</v>
      </c>
      <c r="W304" s="637">
        <v>43252</v>
      </c>
      <c r="X304" s="637">
        <v>43465</v>
      </c>
      <c r="Y304" s="637">
        <v>43800</v>
      </c>
      <c r="Z304" s="637">
        <v>43862</v>
      </c>
      <c r="AA304" s="637">
        <v>44013</v>
      </c>
      <c r="AB304" s="637">
        <v>44166</v>
      </c>
      <c r="AC304" s="637">
        <v>44531</v>
      </c>
      <c r="AD304" s="637">
        <v>44774</v>
      </c>
      <c r="AE304" s="637">
        <v>45142</v>
      </c>
      <c r="AF304" s="637">
        <f>$AF$8</f>
        <v>45672</v>
      </c>
      <c r="AG304" s="637">
        <f>$AG$8</f>
        <v>45971</v>
      </c>
      <c r="AH304"/>
      <c r="AI304" s="636" t="s">
        <v>53</v>
      </c>
      <c r="AJ304" s="637">
        <v>43252</v>
      </c>
      <c r="AK304" s="637">
        <v>43465</v>
      </c>
      <c r="AL304" s="637">
        <v>43800</v>
      </c>
      <c r="AM304" s="637">
        <v>43862</v>
      </c>
      <c r="AN304" s="637">
        <v>44013</v>
      </c>
      <c r="AO304" s="637">
        <v>44166</v>
      </c>
      <c r="AP304" s="637">
        <v>44531</v>
      </c>
      <c r="AQ304" s="637">
        <v>44774</v>
      </c>
      <c r="AR304" s="637">
        <v>45142</v>
      </c>
      <c r="AS304" s="637">
        <v>45536</v>
      </c>
      <c r="AT304" s="637">
        <f>$AT$8</f>
        <v>45971</v>
      </c>
      <c r="AU304" s="2"/>
      <c r="AV304" s="636" t="s">
        <v>53</v>
      </c>
      <c r="AW304" s="637">
        <v>43252</v>
      </c>
      <c r="AX304" s="637">
        <v>43465</v>
      </c>
      <c r="AY304" s="637">
        <v>43800</v>
      </c>
      <c r="AZ304" s="637">
        <v>43862</v>
      </c>
      <c r="BA304" s="637">
        <v>44013</v>
      </c>
      <c r="BB304" s="637">
        <v>44166</v>
      </c>
      <c r="BC304" s="637">
        <v>44531</v>
      </c>
      <c r="BD304" s="637">
        <v>44774</v>
      </c>
      <c r="BE304" s="637">
        <v>45142</v>
      </c>
      <c r="BF304" s="637">
        <v>45536</v>
      </c>
      <c r="BG304" s="637">
        <f>$AT$8</f>
        <v>45971</v>
      </c>
      <c r="BI304" s="636" t="s">
        <v>53</v>
      </c>
      <c r="BJ304" s="637">
        <v>43252</v>
      </c>
      <c r="BK304" s="637">
        <v>43465</v>
      </c>
      <c r="BL304" s="637">
        <v>43800</v>
      </c>
      <c r="BM304" s="637">
        <v>43862</v>
      </c>
      <c r="BN304" s="637">
        <v>44013</v>
      </c>
      <c r="BO304" s="637">
        <v>44166</v>
      </c>
      <c r="BP304" s="637">
        <v>44531</v>
      </c>
      <c r="BQ304" s="637">
        <v>44774</v>
      </c>
      <c r="BR304" s="637">
        <v>45142</v>
      </c>
      <c r="BS304" s="637">
        <f>$AF$8</f>
        <v>45672</v>
      </c>
      <c r="BT304" s="637">
        <f>$AG$8</f>
        <v>45971</v>
      </c>
      <c r="DI304" s="2"/>
      <c r="DJ304" s="2"/>
      <c r="DK304" s="996"/>
      <c r="DL304" s="115"/>
      <c r="DM304" s="115"/>
      <c r="DN304" s="499"/>
    </row>
    <row r="305" spans="1:120" outlineLevel="1" x14ac:dyDescent="0.25">
      <c r="D305" s="647" t="str">
        <f>C291</f>
        <v>803250_2024_12_</v>
      </c>
      <c r="E305" s="452" t="str">
        <f>E291</f>
        <v>Single Package or Split Sytem Unitary AC_DX 135 - 240kbtu</v>
      </c>
      <c r="F305" s="1953">
        <v>12</v>
      </c>
      <c r="G305" s="1694">
        <v>14</v>
      </c>
      <c r="H305" s="1694">
        <v>16.100000000000001</v>
      </c>
      <c r="I305" s="1687">
        <v>1053</v>
      </c>
      <c r="J305" s="1702">
        <f>ABS(H305-G305)</f>
        <v>2.1000000000000014</v>
      </c>
      <c r="V305" s="1285" t="s">
        <v>418</v>
      </c>
      <c r="W305" s="53">
        <v>12.2</v>
      </c>
      <c r="X305" s="53">
        <v>12.2</v>
      </c>
      <c r="Y305" s="53">
        <v>12.2</v>
      </c>
      <c r="Z305" s="53">
        <v>12.2</v>
      </c>
      <c r="AA305" s="68">
        <v>12.2</v>
      </c>
      <c r="AB305" s="616">
        <v>12.2</v>
      </c>
      <c r="AC305" s="692">
        <v>12.2</v>
      </c>
      <c r="AD305" s="692">
        <v>12.2</v>
      </c>
      <c r="AE305" s="1628">
        <v>12.2</v>
      </c>
      <c r="AF305" s="627">
        <v>14</v>
      </c>
      <c r="AG305" s="68">
        <v>14</v>
      </c>
      <c r="AH305"/>
      <c r="AI305" s="1285" t="s">
        <v>419</v>
      </c>
      <c r="AJ305" s="639">
        <v>14</v>
      </c>
      <c r="AK305" s="639">
        <v>14</v>
      </c>
      <c r="AL305" s="639">
        <v>14</v>
      </c>
      <c r="AM305" s="639">
        <v>14</v>
      </c>
      <c r="AN305" s="639">
        <v>14</v>
      </c>
      <c r="AO305" s="616">
        <v>14</v>
      </c>
      <c r="AP305" s="616">
        <v>14</v>
      </c>
      <c r="AQ305" s="616">
        <v>14</v>
      </c>
      <c r="AR305" s="616">
        <v>14</v>
      </c>
      <c r="AS305" s="616">
        <v>16.100000000000001</v>
      </c>
      <c r="AT305" s="616">
        <v>16.100000000000001</v>
      </c>
      <c r="AV305" s="1285" t="str">
        <f>I304</f>
        <v>EFLH</v>
      </c>
      <c r="AW305" s="1943">
        <v>1053</v>
      </c>
      <c r="AX305" s="1942">
        <v>1053</v>
      </c>
      <c r="AY305" s="1942">
        <v>1053</v>
      </c>
      <c r="AZ305" s="1942">
        <v>1053</v>
      </c>
      <c r="BA305" s="1942">
        <v>1053</v>
      </c>
      <c r="BB305" s="1642">
        <v>1053</v>
      </c>
      <c r="BC305" s="1642">
        <v>1053</v>
      </c>
      <c r="BD305" s="1642">
        <v>1053</v>
      </c>
      <c r="BE305" s="1642">
        <v>1053</v>
      </c>
      <c r="BF305" s="1642">
        <v>1053</v>
      </c>
      <c r="BG305" s="1642">
        <v>1053</v>
      </c>
      <c r="BI305" s="1285" t="str">
        <f>J304</f>
        <v>∆IEER/SEER</v>
      </c>
      <c r="BJ305" s="1944">
        <v>2.1000000000000014</v>
      </c>
      <c r="BK305" s="1944">
        <v>2.1000000000000014</v>
      </c>
      <c r="BL305" s="1944">
        <v>2.1000000000000014</v>
      </c>
      <c r="BM305" s="1944">
        <v>2.1000000000000014</v>
      </c>
      <c r="BN305" s="1944">
        <v>2.1000000000000014</v>
      </c>
      <c r="BO305" s="741">
        <v>2.1000000000000014</v>
      </c>
      <c r="BP305" s="741">
        <v>2.1000000000000014</v>
      </c>
      <c r="BQ305" s="741">
        <v>2.1000000000000014</v>
      </c>
      <c r="BR305" s="741">
        <v>2.1000000000000014</v>
      </c>
      <c r="BS305" s="741">
        <v>2.1000000000000014</v>
      </c>
      <c r="BT305" s="741">
        <v>2.1000000000000014</v>
      </c>
    </row>
    <row r="306" spans="1:120" outlineLevel="1" x14ac:dyDescent="0.25">
      <c r="D306" s="647" t="str">
        <f>C292</f>
        <v>803300_2024_12_</v>
      </c>
      <c r="E306" s="452" t="str">
        <f>E292</f>
        <v>Single Package or Split Sytem Unitary AC_DX 240 - 760kBTUh</v>
      </c>
      <c r="F306" s="1953">
        <v>12</v>
      </c>
      <c r="G306" s="1694">
        <v>13</v>
      </c>
      <c r="H306" s="1694">
        <v>15.94</v>
      </c>
      <c r="I306" s="1687">
        <v>1053</v>
      </c>
      <c r="J306" s="1702">
        <f t="shared" ref="J306:J309" si="83">ABS(H306-G306)</f>
        <v>2.9399999999999995</v>
      </c>
      <c r="V306" s="1285" t="s">
        <v>418</v>
      </c>
      <c r="W306" s="53">
        <v>11.4</v>
      </c>
      <c r="X306" s="53">
        <v>11.4</v>
      </c>
      <c r="Y306" s="53">
        <v>11.4</v>
      </c>
      <c r="Z306" s="53">
        <v>11.4</v>
      </c>
      <c r="AA306" s="68">
        <v>11.4</v>
      </c>
      <c r="AB306" s="616">
        <v>11.4</v>
      </c>
      <c r="AC306" s="692">
        <v>11.4</v>
      </c>
      <c r="AD306" s="692">
        <v>11.4</v>
      </c>
      <c r="AE306" s="1628">
        <v>11.4</v>
      </c>
      <c r="AF306" s="627">
        <v>13</v>
      </c>
      <c r="AG306" s="68">
        <v>13</v>
      </c>
      <c r="AH306"/>
      <c r="AI306" s="1285" t="s">
        <v>419</v>
      </c>
      <c r="AJ306" s="639">
        <v>13.1</v>
      </c>
      <c r="AK306" s="639">
        <v>13.1</v>
      </c>
      <c r="AL306" s="639">
        <v>13.1</v>
      </c>
      <c r="AM306" s="639">
        <v>13.1</v>
      </c>
      <c r="AN306" s="639">
        <v>13.1</v>
      </c>
      <c r="AO306" s="616">
        <v>13.1</v>
      </c>
      <c r="AP306" s="616">
        <v>13.1</v>
      </c>
      <c r="AQ306" s="616">
        <v>13.1</v>
      </c>
      <c r="AR306" s="616">
        <v>13.1</v>
      </c>
      <c r="AS306" s="616">
        <v>15.94</v>
      </c>
      <c r="AT306" s="616">
        <v>15.94</v>
      </c>
      <c r="AV306" s="1285" t="str">
        <f>AV305</f>
        <v>EFLH</v>
      </c>
      <c r="AW306" s="1943">
        <v>1053</v>
      </c>
      <c r="AX306" s="1942">
        <v>1053</v>
      </c>
      <c r="AY306" s="1942">
        <v>1053</v>
      </c>
      <c r="AZ306" s="1942">
        <v>1053</v>
      </c>
      <c r="BA306" s="1942">
        <v>1053</v>
      </c>
      <c r="BB306" s="1642">
        <v>1053</v>
      </c>
      <c r="BC306" s="1642">
        <v>1053</v>
      </c>
      <c r="BD306" s="1642">
        <v>1053</v>
      </c>
      <c r="BE306" s="1642">
        <v>1053</v>
      </c>
      <c r="BF306" s="1642">
        <v>1053</v>
      </c>
      <c r="BG306" s="1642">
        <v>1053</v>
      </c>
      <c r="BI306" s="1285" t="str">
        <f>BI305</f>
        <v>∆IEER/SEER</v>
      </c>
      <c r="BJ306" s="1944">
        <v>2.9399999999999995</v>
      </c>
      <c r="BK306" s="1944">
        <v>2.9399999999999995</v>
      </c>
      <c r="BL306" s="1944">
        <v>2.9399999999999995</v>
      </c>
      <c r="BM306" s="1944">
        <v>2.9399999999999995</v>
      </c>
      <c r="BN306" s="1944">
        <v>2.9399999999999995</v>
      </c>
      <c r="BO306" s="741">
        <v>2.9399999999999995</v>
      </c>
      <c r="BP306" s="741">
        <v>2.9399999999999995</v>
      </c>
      <c r="BQ306" s="741">
        <v>2.9399999999999995</v>
      </c>
      <c r="BR306" s="741">
        <v>2.9399999999999995</v>
      </c>
      <c r="BS306" s="741">
        <v>2.9399999999999995</v>
      </c>
      <c r="BT306" s="741">
        <v>2.9399999999999995</v>
      </c>
    </row>
    <row r="307" spans="1:120" outlineLevel="1" x14ac:dyDescent="0.25">
      <c r="D307" s="647" t="str">
        <f>C293</f>
        <v>803350_2024_12_</v>
      </c>
      <c r="E307" s="452" t="str">
        <f>E293</f>
        <v>Single Package or Split Sytem Unitary AC_DX 65 -135kBTUh</v>
      </c>
      <c r="F307" s="1953">
        <v>12</v>
      </c>
      <c r="G307" s="1694">
        <v>14.6</v>
      </c>
      <c r="H307" s="1694">
        <v>16.559999999999999</v>
      </c>
      <c r="I307" s="1687">
        <v>1053</v>
      </c>
      <c r="J307" s="1702">
        <f t="shared" si="83"/>
        <v>1.9599999999999991</v>
      </c>
      <c r="V307" s="1285" t="s">
        <v>418</v>
      </c>
      <c r="W307" s="53">
        <v>12.6</v>
      </c>
      <c r="X307" s="53">
        <v>12.6</v>
      </c>
      <c r="Y307" s="53">
        <v>12.6</v>
      </c>
      <c r="Z307" s="53">
        <v>12.6</v>
      </c>
      <c r="AA307" s="68">
        <v>12.6</v>
      </c>
      <c r="AB307" s="616">
        <v>12.6</v>
      </c>
      <c r="AC307" s="692">
        <v>12.6</v>
      </c>
      <c r="AD307" s="692">
        <v>12.6</v>
      </c>
      <c r="AE307" s="1628">
        <v>12.6</v>
      </c>
      <c r="AF307" s="627">
        <v>14.6</v>
      </c>
      <c r="AG307" s="68">
        <v>14.6</v>
      </c>
      <c r="AH307"/>
      <c r="AI307" s="1285" t="s">
        <v>419</v>
      </c>
      <c r="AJ307" s="639">
        <v>14.5</v>
      </c>
      <c r="AK307" s="639">
        <v>14.5</v>
      </c>
      <c r="AL307" s="639">
        <v>14.5</v>
      </c>
      <c r="AM307" s="639">
        <v>14.5</v>
      </c>
      <c r="AN307" s="639">
        <v>14.5</v>
      </c>
      <c r="AO307" s="616">
        <v>14.5</v>
      </c>
      <c r="AP307" s="616">
        <v>14.5</v>
      </c>
      <c r="AQ307" s="616">
        <v>14.5</v>
      </c>
      <c r="AR307" s="616">
        <v>14.5</v>
      </c>
      <c r="AS307" s="616">
        <v>16.559999999999999</v>
      </c>
      <c r="AT307" s="616">
        <v>16.559999999999999</v>
      </c>
      <c r="AV307" s="1285" t="str">
        <f t="shared" ref="AV307:AV309" si="84">AV306</f>
        <v>EFLH</v>
      </c>
      <c r="AW307" s="1943">
        <v>1053</v>
      </c>
      <c r="AX307" s="1942">
        <v>1053</v>
      </c>
      <c r="AY307" s="1942">
        <v>1053</v>
      </c>
      <c r="AZ307" s="1942">
        <v>1053</v>
      </c>
      <c r="BA307" s="1942">
        <v>1053</v>
      </c>
      <c r="BB307" s="1642">
        <v>1053</v>
      </c>
      <c r="BC307" s="1642">
        <v>1053</v>
      </c>
      <c r="BD307" s="1642">
        <v>1053</v>
      </c>
      <c r="BE307" s="1642">
        <v>1053</v>
      </c>
      <c r="BF307" s="1642">
        <v>1053</v>
      </c>
      <c r="BG307" s="1642">
        <v>1053</v>
      </c>
      <c r="BI307" s="1285" t="str">
        <f t="shared" ref="BI307:BI309" si="85">BI306</f>
        <v>∆IEER/SEER</v>
      </c>
      <c r="BJ307" s="1944">
        <v>1.9599999999999991</v>
      </c>
      <c r="BK307" s="1944">
        <v>1.9599999999999991</v>
      </c>
      <c r="BL307" s="1944">
        <v>1.9599999999999991</v>
      </c>
      <c r="BM307" s="1944">
        <v>1.9599999999999991</v>
      </c>
      <c r="BN307" s="1944">
        <v>1.9599999999999991</v>
      </c>
      <c r="BO307" s="741">
        <v>1.9599999999999991</v>
      </c>
      <c r="BP307" s="741">
        <v>1.9599999999999991</v>
      </c>
      <c r="BQ307" s="741">
        <v>1.9599999999999991</v>
      </c>
      <c r="BR307" s="741">
        <v>1.9599999999999991</v>
      </c>
      <c r="BS307" s="741">
        <v>1.9599999999999991</v>
      </c>
      <c r="BT307" s="741">
        <v>1.9599999999999991</v>
      </c>
    </row>
    <row r="308" spans="1:120" outlineLevel="1" x14ac:dyDescent="0.25">
      <c r="D308" s="647" t="str">
        <f>C294</f>
        <v>803400_2025_12_</v>
      </c>
      <c r="E308" s="452" t="str">
        <f>E294</f>
        <v>Single Package or Split Sytem Unitary AC_DX &gt;760kBTUh</v>
      </c>
      <c r="F308" s="1953">
        <v>12</v>
      </c>
      <c r="G308" s="1888">
        <v>13.3</v>
      </c>
      <c r="H308" s="1888">
        <v>16.36</v>
      </c>
      <c r="I308" s="1687">
        <v>1053</v>
      </c>
      <c r="J308" s="1702">
        <f t="shared" si="83"/>
        <v>3.0599999999999987</v>
      </c>
      <c r="K308" s="1941"/>
      <c r="V308" s="1285" t="s">
        <v>418</v>
      </c>
      <c r="W308" s="53">
        <v>11</v>
      </c>
      <c r="X308" s="53">
        <v>11</v>
      </c>
      <c r="Y308" s="53">
        <v>11</v>
      </c>
      <c r="Z308" s="53">
        <v>11</v>
      </c>
      <c r="AA308" s="68">
        <v>11</v>
      </c>
      <c r="AB308" s="616">
        <v>11</v>
      </c>
      <c r="AC308" s="692">
        <v>11</v>
      </c>
      <c r="AD308" s="692">
        <v>11</v>
      </c>
      <c r="AE308" s="1628">
        <v>11</v>
      </c>
      <c r="AF308" s="833">
        <v>11</v>
      </c>
      <c r="AG308" s="644">
        <v>13.3</v>
      </c>
      <c r="AH308"/>
      <c r="AI308" s="1285" t="s">
        <v>419</v>
      </c>
      <c r="AJ308" s="639">
        <v>12.7</v>
      </c>
      <c r="AK308" s="639">
        <v>12.7</v>
      </c>
      <c r="AL308" s="639">
        <v>12.7</v>
      </c>
      <c r="AM308" s="639">
        <v>12.7</v>
      </c>
      <c r="AN308" s="639">
        <v>12.7</v>
      </c>
      <c r="AO308" s="616">
        <v>12.7</v>
      </c>
      <c r="AP308" s="616">
        <v>12.7</v>
      </c>
      <c r="AQ308" s="616">
        <v>12.7</v>
      </c>
      <c r="AR308" s="616">
        <v>12.7</v>
      </c>
      <c r="AS308" s="616">
        <v>11.1</v>
      </c>
      <c r="AT308" s="627">
        <v>16.36</v>
      </c>
      <c r="AV308" s="1285" t="str">
        <f t="shared" si="84"/>
        <v>EFLH</v>
      </c>
      <c r="AW308" s="1943">
        <v>1053</v>
      </c>
      <c r="AX308" s="1942">
        <v>1053</v>
      </c>
      <c r="AY308" s="1942">
        <v>1053</v>
      </c>
      <c r="AZ308" s="1942">
        <v>1053</v>
      </c>
      <c r="BA308" s="1942">
        <v>1053</v>
      </c>
      <c r="BB308" s="1642">
        <v>1053</v>
      </c>
      <c r="BC308" s="1642">
        <v>1053</v>
      </c>
      <c r="BD308" s="1642">
        <v>1053</v>
      </c>
      <c r="BE308" s="1642">
        <v>1053</v>
      </c>
      <c r="BF308" s="1642">
        <v>1053</v>
      </c>
      <c r="BG308" s="1642">
        <v>1053</v>
      </c>
      <c r="BI308" s="1285" t="str">
        <f t="shared" si="85"/>
        <v>∆IEER/SEER</v>
      </c>
      <c r="BJ308" s="1944">
        <v>3.0599999999999987</v>
      </c>
      <c r="BK308" s="1944">
        <v>3.0599999999999987</v>
      </c>
      <c r="BL308" s="1944">
        <v>3.0599999999999987</v>
      </c>
      <c r="BM308" s="1944">
        <v>3.0599999999999987</v>
      </c>
      <c r="BN308" s="1944">
        <v>3.0599999999999987</v>
      </c>
      <c r="BO308" s="741">
        <v>3.0599999999999987</v>
      </c>
      <c r="BP308" s="741">
        <v>3.0599999999999987</v>
      </c>
      <c r="BQ308" s="741">
        <v>3.0599999999999987</v>
      </c>
      <c r="BR308" s="741">
        <v>3.0599999999999987</v>
      </c>
      <c r="BS308" s="741">
        <v>3.0599999999999987</v>
      </c>
      <c r="BT308" s="741">
        <v>3.0599999999999987</v>
      </c>
    </row>
    <row r="309" spans="1:120" outlineLevel="1" x14ac:dyDescent="0.25">
      <c r="D309" s="647" t="str">
        <f>C295</f>
        <v>803450_2024_12_</v>
      </c>
      <c r="E309" s="452" t="str">
        <f>E295</f>
        <v>Single Package or Split Sytem Unitary AC_DX &lt;65kBTUh</v>
      </c>
      <c r="F309" s="1953">
        <v>12</v>
      </c>
      <c r="G309" s="1694">
        <v>13.4</v>
      </c>
      <c r="H309" s="1694">
        <v>15.93</v>
      </c>
      <c r="I309" s="1687">
        <v>1053</v>
      </c>
      <c r="J309" s="1702">
        <f t="shared" si="83"/>
        <v>2.5299999999999994</v>
      </c>
      <c r="V309" s="1285" t="s">
        <v>418</v>
      </c>
      <c r="W309" s="53">
        <v>13</v>
      </c>
      <c r="X309" s="53">
        <v>13</v>
      </c>
      <c r="Y309" s="53">
        <v>13</v>
      </c>
      <c r="Z309" s="53">
        <v>13</v>
      </c>
      <c r="AA309" s="68">
        <v>13</v>
      </c>
      <c r="AB309" s="616">
        <v>13</v>
      </c>
      <c r="AC309" s="692">
        <v>13</v>
      </c>
      <c r="AD309" s="692">
        <v>13</v>
      </c>
      <c r="AE309" s="1628">
        <v>13</v>
      </c>
      <c r="AF309" s="627">
        <v>13.4</v>
      </c>
      <c r="AG309" s="68">
        <v>13.4</v>
      </c>
      <c r="AH309"/>
      <c r="AI309" s="1285" t="s">
        <v>419</v>
      </c>
      <c r="AJ309" s="639">
        <v>15</v>
      </c>
      <c r="AK309" s="639">
        <v>15</v>
      </c>
      <c r="AL309" s="639">
        <v>15</v>
      </c>
      <c r="AM309" s="639">
        <v>15</v>
      </c>
      <c r="AN309" s="639">
        <v>15</v>
      </c>
      <c r="AO309" s="616">
        <v>15</v>
      </c>
      <c r="AP309" s="616">
        <v>15</v>
      </c>
      <c r="AQ309" s="616">
        <v>15</v>
      </c>
      <c r="AR309" s="616">
        <v>15</v>
      </c>
      <c r="AS309" s="616">
        <v>15.93</v>
      </c>
      <c r="AT309" s="616">
        <v>15.93</v>
      </c>
      <c r="AV309" s="1285" t="str">
        <f t="shared" si="84"/>
        <v>EFLH</v>
      </c>
      <c r="AW309" s="1943">
        <v>1053</v>
      </c>
      <c r="AX309" s="1942">
        <v>1053</v>
      </c>
      <c r="AY309" s="1942">
        <v>1053</v>
      </c>
      <c r="AZ309" s="1942">
        <v>1053</v>
      </c>
      <c r="BA309" s="1942">
        <v>1053</v>
      </c>
      <c r="BB309" s="1642">
        <v>1053</v>
      </c>
      <c r="BC309" s="1642">
        <v>1053</v>
      </c>
      <c r="BD309" s="1642">
        <v>1053</v>
      </c>
      <c r="BE309" s="1642">
        <v>1053</v>
      </c>
      <c r="BF309" s="1642">
        <v>1053</v>
      </c>
      <c r="BG309" s="1642">
        <v>1053</v>
      </c>
      <c r="BI309" s="1285" t="str">
        <f t="shared" si="85"/>
        <v>∆IEER/SEER</v>
      </c>
      <c r="BJ309" s="1944">
        <v>2.5299999999999994</v>
      </c>
      <c r="BK309" s="1944">
        <v>2.5299999999999994</v>
      </c>
      <c r="BL309" s="1944">
        <v>2.5299999999999994</v>
      </c>
      <c r="BM309" s="1944">
        <v>2.5299999999999994</v>
      </c>
      <c r="BN309" s="1944">
        <v>2.5299999999999994</v>
      </c>
      <c r="BO309" s="741">
        <v>2.5299999999999994</v>
      </c>
      <c r="BP309" s="741">
        <v>2.5299999999999994</v>
      </c>
      <c r="BQ309" s="741">
        <v>2.5299999999999994</v>
      </c>
      <c r="BR309" s="741">
        <v>2.5299999999999994</v>
      </c>
      <c r="BS309" s="741">
        <v>2.5299999999999994</v>
      </c>
      <c r="BT309" s="741">
        <v>2.5299999999999994</v>
      </c>
    </row>
    <row r="310" spans="1:120" ht="15.75" thickBot="1" x14ac:dyDescent="0.3">
      <c r="G310" s="1701" t="s">
        <v>420</v>
      </c>
      <c r="H310" s="1701" t="s">
        <v>421</v>
      </c>
      <c r="I310" s="1701"/>
    </row>
    <row r="311" spans="1:120" ht="15.75" thickBot="1" x14ac:dyDescent="0.3">
      <c r="DM311" s="2331" t="s">
        <v>422</v>
      </c>
      <c r="DN311" s="2332"/>
      <c r="DO311" s="2331" t="s">
        <v>423</v>
      </c>
      <c r="DP311" s="2333" t="s">
        <v>423</v>
      </c>
    </row>
    <row r="312" spans="1:120" s="8" customFormat="1" ht="30" x14ac:dyDescent="0.25">
      <c r="A312" s="247"/>
      <c r="B312" s="247"/>
      <c r="C312" s="9" t="s">
        <v>43</v>
      </c>
      <c r="D312" s="9" t="s">
        <v>44</v>
      </c>
      <c r="E312" s="1301" t="s">
        <v>424</v>
      </c>
      <c r="F312" s="1301" t="s">
        <v>425</v>
      </c>
      <c r="G312" s="1301" t="s">
        <v>426</v>
      </c>
      <c r="H312" s="1301" t="s">
        <v>328</v>
      </c>
      <c r="I312" s="1301" t="s">
        <v>47</v>
      </c>
      <c r="J312" s="1301" t="s">
        <v>47</v>
      </c>
      <c r="K312" s="10" t="s">
        <v>48</v>
      </c>
      <c r="L312" s="1301" t="s">
        <v>49</v>
      </c>
      <c r="M312" s="1301" t="s">
        <v>50</v>
      </c>
      <c r="N312" s="9" t="s">
        <v>427</v>
      </c>
      <c r="O312" s="9" t="s">
        <v>52</v>
      </c>
      <c r="P312" s="247"/>
      <c r="Q312" s="115"/>
      <c r="R312" s="115"/>
      <c r="S312" s="115"/>
      <c r="T312" s="115"/>
      <c r="U312" s="115"/>
      <c r="V312" s="636" t="s">
        <v>53</v>
      </c>
      <c r="W312" s="637">
        <f>$W$8</f>
        <v>43252</v>
      </c>
      <c r="X312" s="637">
        <f>$X$8</f>
        <v>43465</v>
      </c>
      <c r="Y312" s="637">
        <f>$Y$8</f>
        <v>43800</v>
      </c>
      <c r="Z312" s="637">
        <f>$Z$8</f>
        <v>43862</v>
      </c>
      <c r="AA312" s="637">
        <f>$AA$8</f>
        <v>44013</v>
      </c>
      <c r="AB312" s="637">
        <v>44166</v>
      </c>
      <c r="AC312" s="637">
        <f>$AC$8</f>
        <v>44531</v>
      </c>
      <c r="AD312" s="637">
        <f>$AD$8</f>
        <v>44774</v>
      </c>
      <c r="AE312" s="637">
        <f>$AE$8</f>
        <v>45142</v>
      </c>
      <c r="AF312" s="637">
        <f>$AF$8</f>
        <v>45672</v>
      </c>
      <c r="AG312" s="637">
        <f>$AG$8</f>
        <v>45971</v>
      </c>
      <c r="AH312"/>
      <c r="AI312" s="636" t="s">
        <v>53</v>
      </c>
      <c r="AJ312" s="637">
        <v>43252</v>
      </c>
      <c r="AK312" s="637">
        <f>$X$8</f>
        <v>43465</v>
      </c>
      <c r="AL312" s="637">
        <f>$Y$8</f>
        <v>43800</v>
      </c>
      <c r="AM312" s="637">
        <f>$Z$8</f>
        <v>43862</v>
      </c>
      <c r="AN312" s="637">
        <f>$AA$8</f>
        <v>44013</v>
      </c>
      <c r="AO312" s="637">
        <v>44166</v>
      </c>
      <c r="AP312" s="637">
        <f>$AC$8</f>
        <v>44531</v>
      </c>
      <c r="AQ312" s="637">
        <f>$AD$8</f>
        <v>44774</v>
      </c>
      <c r="AR312" s="637">
        <f>$AE$8</f>
        <v>45142</v>
      </c>
      <c r="AS312" s="637">
        <f>$AF$8</f>
        <v>45672</v>
      </c>
      <c r="AT312" s="637">
        <f>$AT$8</f>
        <v>45971</v>
      </c>
      <c r="AU312"/>
      <c r="AV312" s="636" t="s">
        <v>53</v>
      </c>
      <c r="AW312" s="637">
        <v>43252</v>
      </c>
      <c r="AX312" s="637">
        <f>$X$8</f>
        <v>43465</v>
      </c>
      <c r="AY312" s="637">
        <f>$Y$8</f>
        <v>43800</v>
      </c>
      <c r="AZ312" s="637">
        <f>$Z$8</f>
        <v>43862</v>
      </c>
      <c r="BA312" s="637">
        <f>$AA$8</f>
        <v>44013</v>
      </c>
      <c r="BB312" s="637">
        <v>44166</v>
      </c>
      <c r="BC312" s="637">
        <f>$AC$8</f>
        <v>44531</v>
      </c>
      <c r="BD312" s="637">
        <f>$AD$8</f>
        <v>44774</v>
      </c>
      <c r="BE312" s="637">
        <f>$AE$8</f>
        <v>45142</v>
      </c>
      <c r="BF312" s="637">
        <f>$AF$8</f>
        <v>45672</v>
      </c>
      <c r="BG312" s="637">
        <f>$AT$8</f>
        <v>45971</v>
      </c>
      <c r="BH312"/>
      <c r="BI312" s="636" t="s">
        <v>53</v>
      </c>
      <c r="BJ312" s="637">
        <v>43252</v>
      </c>
      <c r="BK312" s="637">
        <f>$X$8</f>
        <v>43465</v>
      </c>
      <c r="BL312" s="637">
        <f>$Y$8</f>
        <v>43800</v>
      </c>
      <c r="BM312" s="637">
        <f>$Z$8</f>
        <v>43862</v>
      </c>
      <c r="BN312" s="637">
        <f>$AA$8</f>
        <v>44013</v>
      </c>
      <c r="BO312" s="637">
        <v>44166</v>
      </c>
      <c r="BP312" s="637">
        <f>$AC$8</f>
        <v>44531</v>
      </c>
      <c r="BQ312" s="637">
        <f>$AD$8</f>
        <v>44774</v>
      </c>
      <c r="BR312" s="637">
        <f>$AE$8</f>
        <v>45142</v>
      </c>
      <c r="BS312" s="637">
        <f>$AF$8</f>
        <v>45672</v>
      </c>
      <c r="BT312" s="637">
        <f>$AG$8</f>
        <v>45971</v>
      </c>
      <c r="BU312" s="2"/>
      <c r="BV312" s="2"/>
      <c r="BW312" s="636" t="s">
        <v>53</v>
      </c>
      <c r="BX312" s="637">
        <v>43252</v>
      </c>
      <c r="BY312" s="637">
        <f>$X$8</f>
        <v>43465</v>
      </c>
      <c r="BZ312" s="637">
        <f>$Y$8</f>
        <v>43800</v>
      </c>
      <c r="CA312" s="637">
        <f>$Z$8</f>
        <v>43862</v>
      </c>
      <c r="CB312" s="637">
        <f>$AA$8</f>
        <v>44013</v>
      </c>
      <c r="CC312" s="637">
        <v>44166</v>
      </c>
      <c r="CD312" s="637">
        <f>$AC$8</f>
        <v>44531</v>
      </c>
      <c r="CE312" s="637">
        <f>$AD$8</f>
        <v>44774</v>
      </c>
      <c r="CF312" s="637">
        <f>$AE$8</f>
        <v>45142</v>
      </c>
      <c r="CG312" s="637">
        <f>$AF$8</f>
        <v>45672</v>
      </c>
      <c r="CH312" s="637">
        <f>$AG$8</f>
        <v>45971</v>
      </c>
      <c r="DI312" s="2"/>
      <c r="DJ312" s="2"/>
      <c r="DK312" s="760" t="str">
        <f>$DK$8</f>
        <v>TRC (2025)</v>
      </c>
      <c r="DL312" s="761" t="str">
        <f>$DL$8</f>
        <v>Benefit Lookup</v>
      </c>
      <c r="DM312" s="762" t="str">
        <f>$DM$8</f>
        <v>Benefits (2025 $)</v>
      </c>
      <c r="DN312" s="2038" t="str">
        <f>$DN$8</f>
        <v>Incremental Cost (2025 $)</v>
      </c>
      <c r="DO312" s="762" t="str">
        <f>$DL$8</f>
        <v>Benefit Lookup</v>
      </c>
      <c r="DP312" s="762" t="str">
        <f>$DM$8</f>
        <v>Benefits (2025 $)</v>
      </c>
    </row>
    <row r="313" spans="1:120" s="8" customFormat="1" x14ac:dyDescent="0.25">
      <c r="A313" s="2006" t="s">
        <v>112</v>
      </c>
      <c r="B313" s="247">
        <f>VALUE(LEFT(C313,6))</f>
        <v>803500</v>
      </c>
      <c r="C313" s="656" t="s">
        <v>428</v>
      </c>
      <c r="D313" s="1972" t="s">
        <v>60</v>
      </c>
      <c r="E313" s="458" t="s">
        <v>429</v>
      </c>
      <c r="F313" s="399">
        <f>SUM(G313:H313)</f>
        <v>526.24</v>
      </c>
      <c r="G313" s="399">
        <f>ROUND(F331*((1/G331)-(1/H331))*K331,2)</f>
        <v>430.9</v>
      </c>
      <c r="H313" s="399">
        <f>ROUND((P331/3.412*((1/L331)-(1/M331))*Q331),2)</f>
        <v>95.34</v>
      </c>
      <c r="I313" s="441" t="s">
        <v>332</v>
      </c>
      <c r="J313" s="441" t="s">
        <v>333</v>
      </c>
      <c r="K313" s="442">
        <v>9.1068395835808389E-4</v>
      </c>
      <c r="L313" s="486">
        <f>ROUND(K313*G313,6)</f>
        <v>0.39241399999999999</v>
      </c>
      <c r="M313" s="99">
        <v>15</v>
      </c>
      <c r="N313" s="1689">
        <f>104*R331</f>
        <v>416</v>
      </c>
      <c r="O313" s="487" t="s">
        <v>430</v>
      </c>
      <c r="P313" s="247"/>
      <c r="Q313" s="115"/>
      <c r="R313" s="115"/>
      <c r="S313" s="115"/>
      <c r="T313" s="115"/>
      <c r="U313" s="115"/>
      <c r="V313" s="1285" t="str">
        <f t="shared" ref="V313:V320" si="86">F312</f>
        <v>Total kWh Annual Savings</v>
      </c>
      <c r="W313" s="1632">
        <v>64.694011161703301</v>
      </c>
      <c r="X313" s="1632">
        <v>64.694011161703301</v>
      </c>
      <c r="Y313" s="1632">
        <v>64.694011161703301</v>
      </c>
      <c r="Z313" s="793"/>
      <c r="AA313" s="793">
        <v>64.7</v>
      </c>
      <c r="AB313" s="793">
        <v>64.7</v>
      </c>
      <c r="AC313" s="793">
        <v>64.7</v>
      </c>
      <c r="AD313" s="793">
        <v>64.7</v>
      </c>
      <c r="AE313" s="1633">
        <v>226.93</v>
      </c>
      <c r="AF313" s="253">
        <v>526.24</v>
      </c>
      <c r="AG313" s="253">
        <f>IF(F313&lt;&gt;"",F313,"")</f>
        <v>526.24</v>
      </c>
      <c r="AH313"/>
      <c r="AI313" s="1285" t="str">
        <f t="shared" ref="AI313:AI320" si="87">G312</f>
        <v>Cooling kWh Annual Savings (per ton)</v>
      </c>
      <c r="AJ313" s="1632">
        <v>36.705882352941231</v>
      </c>
      <c r="AK313" s="1632">
        <v>36.705882352941231</v>
      </c>
      <c r="AL313" s="793">
        <v>36.705882352941231</v>
      </c>
      <c r="AM313" s="793">
        <v>36.705882352941231</v>
      </c>
      <c r="AN313" s="793">
        <v>36.71</v>
      </c>
      <c r="AO313" s="793">
        <v>36.71</v>
      </c>
      <c r="AP313" s="1634">
        <v>36.71</v>
      </c>
      <c r="AQ313" s="1634">
        <v>36.71</v>
      </c>
      <c r="AR313" s="1633">
        <v>31.92</v>
      </c>
      <c r="AS313" s="1615">
        <v>430.9</v>
      </c>
      <c r="AT313" s="655">
        <f>G313</f>
        <v>430.9</v>
      </c>
      <c r="AU313"/>
      <c r="AV313" s="1285" t="str">
        <f>H312</f>
        <v>Heating kWh Annual Savings (per ton)</v>
      </c>
      <c r="AW313" s="52">
        <v>27.988128808762067</v>
      </c>
      <c r="AX313" s="52">
        <v>27.988128808762067</v>
      </c>
      <c r="AY313" s="52">
        <v>27.988128808762067</v>
      </c>
      <c r="AZ313" s="52">
        <v>27.988128808762067</v>
      </c>
      <c r="BA313" s="52">
        <v>27.99</v>
      </c>
      <c r="BB313" s="52">
        <v>27.99</v>
      </c>
      <c r="BC313" s="52">
        <v>27.99</v>
      </c>
      <c r="BD313" s="52">
        <v>27.99</v>
      </c>
      <c r="BE313" s="2001">
        <v>195.01</v>
      </c>
      <c r="BF313" s="1661">
        <v>95.34</v>
      </c>
      <c r="BG313" s="2002">
        <f>H313</f>
        <v>95.34</v>
      </c>
      <c r="BH313"/>
      <c r="BI313" s="1285" t="s">
        <v>50</v>
      </c>
      <c r="BJ313" s="639">
        <v>15</v>
      </c>
      <c r="BK313" s="639">
        <v>15</v>
      </c>
      <c r="BL313" s="618">
        <v>15</v>
      </c>
      <c r="BM313" s="618">
        <v>15</v>
      </c>
      <c r="BN313" s="618">
        <v>15</v>
      </c>
      <c r="BO313" s="616">
        <v>15</v>
      </c>
      <c r="BP313" s="616">
        <v>15</v>
      </c>
      <c r="BQ313" s="616">
        <v>15</v>
      </c>
      <c r="BR313" s="616">
        <v>15</v>
      </c>
      <c r="BS313" s="616">
        <v>15</v>
      </c>
      <c r="BT313" s="616">
        <v>15</v>
      </c>
      <c r="BU313" s="2"/>
      <c r="BV313" s="2"/>
      <c r="BW313" s="1285" t="str">
        <f>N312</f>
        <v>Inc. Cost     (per ton)</v>
      </c>
      <c r="BX313" s="1892">
        <v>180</v>
      </c>
      <c r="BY313" s="1892">
        <v>180</v>
      </c>
      <c r="BZ313" s="1892">
        <v>180</v>
      </c>
      <c r="CA313" s="1892">
        <v>180</v>
      </c>
      <c r="CB313" s="1892">
        <v>180</v>
      </c>
      <c r="CC313" s="657">
        <v>180</v>
      </c>
      <c r="CD313" s="657">
        <v>180</v>
      </c>
      <c r="CE313" s="657">
        <v>180</v>
      </c>
      <c r="CF313" s="657">
        <v>180</v>
      </c>
      <c r="CG313" s="657">
        <v>416</v>
      </c>
      <c r="CH313" s="657">
        <f>N313</f>
        <v>416</v>
      </c>
      <c r="DI313" s="2"/>
      <c r="DJ313" s="2"/>
      <c r="DK313" s="578">
        <f>(DM313+DP313)/(DN313)</f>
        <v>2.1226929220263142</v>
      </c>
      <c r="DL313" s="1272" t="str">
        <f>CONCATENATE(I313," ",M313," Year EUL")</f>
        <v>Cooling BUS 15 Year EUL</v>
      </c>
      <c r="DM313" s="423">
        <f>(INDEX('Avoided Cost Benefits'!$B$4:$B$865,MATCH(DL313,'Avoided Cost Benefits'!$A$4:$A$865,0)))*G313</f>
        <v>833.31658048847305</v>
      </c>
      <c r="DN313" s="2039">
        <f>N313/(1.0686^(2025-2025))</f>
        <v>416</v>
      </c>
      <c r="DO313" s="1272" t="str">
        <f>CONCATENATE(J313," ",M313," Year EUL")</f>
        <v>Heating BUS 15 Year EUL</v>
      </c>
      <c r="DP313" s="2054">
        <f>(INDEX('Avoided Cost Benefits'!$B$4:$B$865,MATCH(DO313,'Avoided Cost Benefits'!$A$4:$A$865,0)))*H313</f>
        <v>49.723675074473576</v>
      </c>
    </row>
    <row r="314" spans="1:120" x14ac:dyDescent="0.25">
      <c r="A314" s="2006" t="s">
        <v>112</v>
      </c>
      <c r="B314" s="247">
        <f t="shared" ref="B314:B319" si="88">VALUE(LEFT(C314,6))</f>
        <v>803570</v>
      </c>
      <c r="C314" s="656" t="s">
        <v>431</v>
      </c>
      <c r="D314" s="1972" t="s">
        <v>60</v>
      </c>
      <c r="E314" s="458" t="s">
        <v>432</v>
      </c>
      <c r="F314" s="399">
        <f t="shared" ref="F314:F320" si="89">SUM(G314:H314)</f>
        <v>291.85000000000002</v>
      </c>
      <c r="G314" s="399">
        <f>ROUND(F332*((1/G332)-(1/H332))*K332,2)</f>
        <v>253.32</v>
      </c>
      <c r="H314" s="399">
        <f t="shared" ref="H314:H319" si="90">ROUND((P332/3.412*((1/L332)-(1/M332))*Q332),2)</f>
        <v>38.53</v>
      </c>
      <c r="I314" s="441" t="s">
        <v>332</v>
      </c>
      <c r="J314" s="441" t="s">
        <v>333</v>
      </c>
      <c r="K314" s="442">
        <v>9.1068395835808389E-4</v>
      </c>
      <c r="L314" s="486">
        <f t="shared" ref="L314:L320" si="91">ROUND(K314*G314,6)</f>
        <v>0.23069400000000001</v>
      </c>
      <c r="M314" s="99">
        <v>15</v>
      </c>
      <c r="N314" s="1689">
        <f t="shared" ref="N314:N320" si="92">104*R332</f>
        <v>208</v>
      </c>
      <c r="O314" s="487" t="s">
        <v>430</v>
      </c>
      <c r="V314" s="1285">
        <f t="shared" si="86"/>
        <v>526.24</v>
      </c>
      <c r="W314" s="1632">
        <v>142.93549722981479</v>
      </c>
      <c r="X314" s="1632">
        <v>142.93549722981479</v>
      </c>
      <c r="Y314" s="1632">
        <v>142.93549722981479</v>
      </c>
      <c r="Z314" s="793"/>
      <c r="AA314" s="793">
        <v>142.94</v>
      </c>
      <c r="AB314" s="793">
        <v>142.94</v>
      </c>
      <c r="AC314" s="793">
        <v>142.94</v>
      </c>
      <c r="AD314" s="793">
        <v>142.94</v>
      </c>
      <c r="AE314" s="1633">
        <v>305.16999999999996</v>
      </c>
      <c r="AF314" s="253">
        <v>291.85000000000002</v>
      </c>
      <c r="AG314" s="253">
        <f t="shared" ref="AG314:AG320" si="93">IF(F314&lt;&gt;"",F314,"")</f>
        <v>291.85000000000002</v>
      </c>
      <c r="AH314"/>
      <c r="AI314" s="1285">
        <f t="shared" si="87"/>
        <v>430.9</v>
      </c>
      <c r="AJ314" s="1632">
        <v>114.94736842105272</v>
      </c>
      <c r="AK314" s="1632">
        <v>114.94736842105272</v>
      </c>
      <c r="AL314" s="793">
        <v>114.94736842105272</v>
      </c>
      <c r="AM314" s="793">
        <v>114.94736842105272</v>
      </c>
      <c r="AN314" s="793">
        <v>114.95</v>
      </c>
      <c r="AO314" s="793">
        <v>114.95</v>
      </c>
      <c r="AP314" s="1634">
        <v>114.95</v>
      </c>
      <c r="AQ314" s="1634">
        <v>114.95</v>
      </c>
      <c r="AR314" s="1633">
        <v>110.16</v>
      </c>
      <c r="AS314" s="1615">
        <v>253.32</v>
      </c>
      <c r="AT314" s="655">
        <f t="shared" ref="AT314:AT320" si="94">G314</f>
        <v>253.32</v>
      </c>
      <c r="AU314"/>
      <c r="AV314" s="1285" t="str">
        <f>AV313</f>
        <v>Heating kWh Annual Savings (per ton)</v>
      </c>
      <c r="AW314" s="52">
        <v>27.988128808762067</v>
      </c>
      <c r="AX314" s="52">
        <v>27.988128808762067</v>
      </c>
      <c r="AY314" s="52">
        <v>27.988128808762067</v>
      </c>
      <c r="AZ314" s="52">
        <v>27.988128808762067</v>
      </c>
      <c r="BA314" s="52">
        <v>27.99</v>
      </c>
      <c r="BB314" s="52">
        <v>27.99</v>
      </c>
      <c r="BC314" s="52">
        <v>27.99</v>
      </c>
      <c r="BD314" s="52">
        <v>27.99</v>
      </c>
      <c r="BE314" s="2001">
        <v>195.01</v>
      </c>
      <c r="BF314" s="1661">
        <v>38.53</v>
      </c>
      <c r="BG314" s="2002">
        <f t="shared" ref="BG314:BG320" si="95">H314</f>
        <v>38.53</v>
      </c>
      <c r="BH314"/>
      <c r="BI314" s="1285" t="s">
        <v>50</v>
      </c>
      <c r="BJ314" s="639">
        <v>15</v>
      </c>
      <c r="BK314" s="639">
        <v>15</v>
      </c>
      <c r="BL314" s="618">
        <v>15</v>
      </c>
      <c r="BM314" s="618">
        <v>15</v>
      </c>
      <c r="BN314" s="618">
        <v>15</v>
      </c>
      <c r="BO314" s="616">
        <v>15</v>
      </c>
      <c r="BP314" s="616">
        <v>15</v>
      </c>
      <c r="BQ314" s="616">
        <v>15</v>
      </c>
      <c r="BR314" s="616">
        <v>15</v>
      </c>
      <c r="BS314" s="616">
        <v>15</v>
      </c>
      <c r="BT314" s="616">
        <v>15</v>
      </c>
      <c r="BW314" s="1285" t="str">
        <f>BW313</f>
        <v>Inc. Cost     (per ton)</v>
      </c>
      <c r="BX314" s="640">
        <v>180</v>
      </c>
      <c r="BY314" s="640">
        <v>180</v>
      </c>
      <c r="BZ314" s="640">
        <v>180</v>
      </c>
      <c r="CA314" s="640">
        <v>180</v>
      </c>
      <c r="CB314" s="640">
        <v>180</v>
      </c>
      <c r="CC314" s="657">
        <v>180</v>
      </c>
      <c r="CD314" s="657">
        <v>180</v>
      </c>
      <c r="CE314" s="657">
        <v>180</v>
      </c>
      <c r="CF314" s="657">
        <v>180</v>
      </c>
      <c r="CG314" s="657">
        <v>208</v>
      </c>
      <c r="CH314" s="657">
        <f t="shared" ref="CH314:CH320" si="96">N314</f>
        <v>208</v>
      </c>
      <c r="DK314" s="578">
        <f t="shared" ref="DK314:DK320" si="97">(DM314+DP314)/(DN314)</f>
        <v>2.4518748007493518</v>
      </c>
      <c r="DL314" s="1272" t="str">
        <f t="shared" ref="DL314:DL320" si="98">CONCATENATE(I314," ",M314," Year EUL")</f>
        <v>Cooling BUS 15 Year EUL</v>
      </c>
      <c r="DM314" s="423">
        <f>(INDEX('Avoided Cost Benefits'!$B$4:$B$865,MATCH(DL314,'Avoided Cost Benefits'!$A$4:$A$865,0)))*G314</f>
        <v>489.89500155335344</v>
      </c>
      <c r="DN314" s="1928">
        <f t="shared" ref="DN314:DN320" si="99">IFERROR(N314/((1+DiscountRate)^(CurrentYear-DiscountYear)),0)</f>
        <v>208</v>
      </c>
      <c r="DO314" s="1272" t="str">
        <f t="shared" ref="DO314:DO320" si="100">CONCATENATE(J314," ",M314," Year EUL")</f>
        <v>Heating BUS 15 Year EUL</v>
      </c>
      <c r="DP314" s="2054">
        <f>(INDEX('Avoided Cost Benefits'!$B$4:$B$865,MATCH(DO314,'Avoided Cost Benefits'!$A$4:$A$865,0)))*H314</f>
        <v>20.094957002511716</v>
      </c>
    </row>
    <row r="315" spans="1:120" x14ac:dyDescent="0.25">
      <c r="A315" s="2006" t="s">
        <v>112</v>
      </c>
      <c r="B315" s="247">
        <f t="shared" si="88"/>
        <v>803575</v>
      </c>
      <c r="C315" s="656" t="s">
        <v>433</v>
      </c>
      <c r="D315" s="1972" t="s">
        <v>60</v>
      </c>
      <c r="E315" s="458" t="s">
        <v>434</v>
      </c>
      <c r="F315" s="399">
        <f>SUM(G315:H315)</f>
        <v>228.12</v>
      </c>
      <c r="G315" s="399">
        <f>ROUND(F333*((1/G333)-(1/H333))*K333,2)</f>
        <v>189.59</v>
      </c>
      <c r="H315" s="399">
        <f t="shared" si="90"/>
        <v>38.53</v>
      </c>
      <c r="I315" s="441" t="s">
        <v>332</v>
      </c>
      <c r="J315" s="441" t="s">
        <v>333</v>
      </c>
      <c r="K315" s="442">
        <v>9.1068395835808389E-4</v>
      </c>
      <c r="L315" s="486">
        <f>ROUND(K315*G315,6)</f>
        <v>0.172657</v>
      </c>
      <c r="M315" s="99">
        <v>15</v>
      </c>
      <c r="N315" s="1689">
        <f t="shared" si="92"/>
        <v>208</v>
      </c>
      <c r="O315" s="487" t="s">
        <v>430</v>
      </c>
      <c r="V315" s="1285">
        <f t="shared" si="86"/>
        <v>291.85000000000002</v>
      </c>
      <c r="W315" s="1632"/>
      <c r="X315" s="1632"/>
      <c r="Y315" s="1632"/>
      <c r="Z315" s="793"/>
      <c r="AA315" s="793"/>
      <c r="AB315" s="793"/>
      <c r="AC315" s="793"/>
      <c r="AD315" s="793"/>
      <c r="AE315" s="1633"/>
      <c r="AF315" s="253">
        <v>228.12</v>
      </c>
      <c r="AG315" s="253">
        <f t="shared" si="93"/>
        <v>228.12</v>
      </c>
      <c r="AH315"/>
      <c r="AI315" s="1285">
        <f t="shared" si="87"/>
        <v>253.32</v>
      </c>
      <c r="AJ315" s="1632"/>
      <c r="AK315" s="1632"/>
      <c r="AL315" s="793"/>
      <c r="AM315" s="793"/>
      <c r="AN315" s="793"/>
      <c r="AO315" s="793"/>
      <c r="AP315" s="1634"/>
      <c r="AQ315" s="1634"/>
      <c r="AR315" s="1633"/>
      <c r="AS315" s="1615">
        <v>189.59</v>
      </c>
      <c r="AT315" s="655">
        <f t="shared" si="94"/>
        <v>189.59</v>
      </c>
      <c r="AU315"/>
      <c r="AV315" s="1285" t="str">
        <f>AV314</f>
        <v>Heating kWh Annual Savings (per ton)</v>
      </c>
      <c r="AW315" s="52"/>
      <c r="AX315" s="52"/>
      <c r="AY315" s="52"/>
      <c r="AZ315" s="52"/>
      <c r="BA315" s="52"/>
      <c r="BB315" s="52"/>
      <c r="BC315" s="52"/>
      <c r="BD315" s="52"/>
      <c r="BE315" s="2001"/>
      <c r="BF315" s="1661">
        <v>38.53</v>
      </c>
      <c r="BG315" s="2002">
        <f t="shared" si="95"/>
        <v>38.53</v>
      </c>
      <c r="BH315"/>
      <c r="BI315" s="1285" t="s">
        <v>50</v>
      </c>
      <c r="BJ315" s="639"/>
      <c r="BK315" s="639"/>
      <c r="BL315" s="618"/>
      <c r="BM315" s="618"/>
      <c r="BN315" s="618"/>
      <c r="BO315" s="616"/>
      <c r="BP315" s="616"/>
      <c r="BQ315" s="616"/>
      <c r="BR315" s="616"/>
      <c r="BS315" s="616"/>
      <c r="BT315" s="616"/>
      <c r="BW315" s="1285" t="str">
        <f>BW314</f>
        <v>Inc. Cost     (per ton)</v>
      </c>
      <c r="BX315" s="640"/>
      <c r="BY315" s="640"/>
      <c r="BZ315" s="640"/>
      <c r="CA315" s="640"/>
      <c r="CB315" s="640"/>
      <c r="CC315" s="657"/>
      <c r="CD315" s="657"/>
      <c r="CE315" s="657"/>
      <c r="CF315" s="657"/>
      <c r="CG315" s="657">
        <v>208</v>
      </c>
      <c r="CH315" s="657">
        <f t="shared" si="96"/>
        <v>208</v>
      </c>
      <c r="DK315" s="578">
        <f t="shared" ref="DK315:DK316" si="101">(DM315+DP315)/(DN315)</f>
        <v>1.8593396587999169</v>
      </c>
      <c r="DL315" s="1272" t="str">
        <f t="shared" ref="DL315:DL316" si="102">CONCATENATE(I315," ",M315," Year EUL")</f>
        <v>Cooling BUS 15 Year EUL</v>
      </c>
      <c r="DM315" s="423">
        <f>(INDEX('Avoided Cost Benefits'!$B$4:$B$865,MATCH(DL315,'Avoided Cost Benefits'!$A$4:$A$865,0)))*G315</f>
        <v>366.64769202787102</v>
      </c>
      <c r="DN315" s="1928">
        <f t="shared" si="99"/>
        <v>208</v>
      </c>
      <c r="DO315" s="1272" t="str">
        <f t="shared" ref="DO315:DO316" si="103">CONCATENATE(J315," ",M315," Year EUL")</f>
        <v>Heating BUS 15 Year EUL</v>
      </c>
      <c r="DP315" s="2054">
        <f>(INDEX('Avoided Cost Benefits'!$B$4:$B$865,MATCH(DO315,'Avoided Cost Benefits'!$A$4:$A$865,0)))*H315</f>
        <v>20.094957002511716</v>
      </c>
    </row>
    <row r="316" spans="1:120" x14ac:dyDescent="0.25">
      <c r="A316" s="2006" t="s">
        <v>112</v>
      </c>
      <c r="B316" s="247">
        <f t="shared" si="88"/>
        <v>803580</v>
      </c>
      <c r="C316" s="656" t="s">
        <v>435</v>
      </c>
      <c r="D316" s="1972" t="s">
        <v>60</v>
      </c>
      <c r="E316" s="458" t="s">
        <v>436</v>
      </c>
      <c r="F316" s="399">
        <f>SUM(G316:H316)</f>
        <v>228.12</v>
      </c>
      <c r="G316" s="399">
        <f>ROUND(F334*((1/G334)-(1/H334))*K334,2)</f>
        <v>189.59</v>
      </c>
      <c r="H316" s="399">
        <f t="shared" si="90"/>
        <v>38.53</v>
      </c>
      <c r="I316" s="441" t="s">
        <v>332</v>
      </c>
      <c r="J316" s="441" t="s">
        <v>333</v>
      </c>
      <c r="K316" s="442">
        <v>9.1068395835808389E-4</v>
      </c>
      <c r="L316" s="486">
        <f>ROUND(K316*G316,6)</f>
        <v>0.172657</v>
      </c>
      <c r="M316" s="99">
        <v>15</v>
      </c>
      <c r="N316" s="1689">
        <f t="shared" si="92"/>
        <v>208</v>
      </c>
      <c r="O316" s="487" t="s">
        <v>430</v>
      </c>
      <c r="V316" s="1285">
        <f t="shared" si="86"/>
        <v>228.12</v>
      </c>
      <c r="W316" s="1632"/>
      <c r="X316" s="1632"/>
      <c r="Y316" s="1632"/>
      <c r="Z316" s="793"/>
      <c r="AA316" s="793"/>
      <c r="AB316" s="793"/>
      <c r="AC316" s="793"/>
      <c r="AD316" s="793"/>
      <c r="AE316" s="1633"/>
      <c r="AF316" s="253">
        <v>228.12</v>
      </c>
      <c r="AG316" s="253">
        <f t="shared" si="93"/>
        <v>228.12</v>
      </c>
      <c r="AH316"/>
      <c r="AI316" s="1285">
        <f t="shared" si="87"/>
        <v>189.59</v>
      </c>
      <c r="AJ316" s="1632"/>
      <c r="AK316" s="1632"/>
      <c r="AL316" s="793"/>
      <c r="AM316" s="793"/>
      <c r="AN316" s="793"/>
      <c r="AO316" s="793"/>
      <c r="AP316" s="1634"/>
      <c r="AQ316" s="1634"/>
      <c r="AR316" s="1633"/>
      <c r="AS316" s="1615">
        <v>189.59</v>
      </c>
      <c r="AT316" s="655">
        <f t="shared" si="94"/>
        <v>189.59</v>
      </c>
      <c r="AU316"/>
      <c r="AV316" s="1285" t="str">
        <f>AV315</f>
        <v>Heating kWh Annual Savings (per ton)</v>
      </c>
      <c r="AW316" s="52"/>
      <c r="AX316" s="52"/>
      <c r="AY316" s="52"/>
      <c r="AZ316" s="52"/>
      <c r="BA316" s="52"/>
      <c r="BB316" s="52"/>
      <c r="BC316" s="52"/>
      <c r="BD316" s="52"/>
      <c r="BE316" s="2001"/>
      <c r="BF316" s="1661">
        <v>38.53</v>
      </c>
      <c r="BG316" s="2002">
        <f t="shared" si="95"/>
        <v>38.53</v>
      </c>
      <c r="BH316"/>
      <c r="BI316" s="1285" t="s">
        <v>50</v>
      </c>
      <c r="BJ316" s="639"/>
      <c r="BK316" s="639"/>
      <c r="BL316" s="618"/>
      <c r="BM316" s="618"/>
      <c r="BN316" s="618"/>
      <c r="BO316" s="616"/>
      <c r="BP316" s="616"/>
      <c r="BQ316" s="616"/>
      <c r="BR316" s="616"/>
      <c r="BS316" s="616"/>
      <c r="BT316" s="616"/>
      <c r="BW316" s="1285" t="str">
        <f>BW315</f>
        <v>Inc. Cost     (per ton)</v>
      </c>
      <c r="BX316" s="640"/>
      <c r="BY316" s="640"/>
      <c r="BZ316" s="640"/>
      <c r="CA316" s="640"/>
      <c r="CB316" s="640"/>
      <c r="CC316" s="657"/>
      <c r="CD316" s="657"/>
      <c r="CE316" s="657"/>
      <c r="CF316" s="657"/>
      <c r="CG316" s="657">
        <v>208</v>
      </c>
      <c r="CH316" s="657">
        <f t="shared" si="96"/>
        <v>208</v>
      </c>
      <c r="DK316" s="578">
        <f t="shared" si="101"/>
        <v>1.8593396587999169</v>
      </c>
      <c r="DL316" s="1272" t="str">
        <f t="shared" si="102"/>
        <v>Cooling BUS 15 Year EUL</v>
      </c>
      <c r="DM316" s="423">
        <f>(INDEX('Avoided Cost Benefits'!$B$4:$B$865,MATCH(DL316,'Avoided Cost Benefits'!$A$4:$A$865,0)))*G316</f>
        <v>366.64769202787102</v>
      </c>
      <c r="DN316" s="1928">
        <f t="shared" si="99"/>
        <v>208</v>
      </c>
      <c r="DO316" s="1272" t="str">
        <f t="shared" si="103"/>
        <v>Heating BUS 15 Year EUL</v>
      </c>
      <c r="DP316" s="2054">
        <f>(INDEX('Avoided Cost Benefits'!$B$4:$B$865,MATCH(DO316,'Avoided Cost Benefits'!$A$4:$A$865,0)))*H316</f>
        <v>20.094957002511716</v>
      </c>
    </row>
    <row r="317" spans="1:120" x14ac:dyDescent="0.25">
      <c r="A317" s="2006" t="s">
        <v>329</v>
      </c>
      <c r="B317" s="247">
        <f t="shared" si="88"/>
        <v>803600</v>
      </c>
      <c r="C317" s="656" t="s">
        <v>437</v>
      </c>
      <c r="D317" s="1972" t="s">
        <v>60</v>
      </c>
      <c r="E317" s="458" t="s">
        <v>438</v>
      </c>
      <c r="F317" s="399">
        <f t="shared" si="89"/>
        <v>169.55</v>
      </c>
      <c r="G317" s="399">
        <f>ROUND((F335*((1/I335)-(1/J335))*K335),2)</f>
        <v>117.34</v>
      </c>
      <c r="H317" s="399">
        <f t="shared" si="90"/>
        <v>52.21</v>
      </c>
      <c r="I317" s="441" t="s">
        <v>332</v>
      </c>
      <c r="J317" s="441" t="s">
        <v>333</v>
      </c>
      <c r="K317" s="442">
        <v>9.1068395835808389E-4</v>
      </c>
      <c r="L317" s="486">
        <f t="shared" si="91"/>
        <v>0.10686</v>
      </c>
      <c r="M317" s="99">
        <v>15</v>
      </c>
      <c r="N317" s="1689">
        <f t="shared" si="92"/>
        <v>214.24000000000007</v>
      </c>
      <c r="O317" s="487" t="s">
        <v>430</v>
      </c>
      <c r="V317" s="1285">
        <f t="shared" si="86"/>
        <v>228.12</v>
      </c>
      <c r="W317" s="1632">
        <v>160.28171008358601</v>
      </c>
      <c r="X317" s="1632">
        <v>160.28171008358601</v>
      </c>
      <c r="Y317" s="1632">
        <v>160.28171008358601</v>
      </c>
      <c r="Z317" s="793"/>
      <c r="AA317" s="793">
        <v>340.37</v>
      </c>
      <c r="AB317" s="793">
        <v>340.37</v>
      </c>
      <c r="AC317" s="793">
        <v>340.37</v>
      </c>
      <c r="AD317" s="793">
        <v>340.37</v>
      </c>
      <c r="AE317" s="1633">
        <v>333.05</v>
      </c>
      <c r="AF317" s="253">
        <v>169.55</v>
      </c>
      <c r="AG317" s="253">
        <f t="shared" si="93"/>
        <v>169.55</v>
      </c>
      <c r="AH317"/>
      <c r="AI317" s="1285">
        <f t="shared" si="87"/>
        <v>189.59</v>
      </c>
      <c r="AJ317" s="1632">
        <v>95.727272727272819</v>
      </c>
      <c r="AK317" s="1632">
        <v>95.727272727272819</v>
      </c>
      <c r="AL317" s="793">
        <v>95.727272727272819</v>
      </c>
      <c r="AM317" s="793">
        <v>95.727272727272819</v>
      </c>
      <c r="AN317" s="793">
        <v>117.33</v>
      </c>
      <c r="AO317" s="793">
        <v>117.33</v>
      </c>
      <c r="AP317" s="1634">
        <v>117.33</v>
      </c>
      <c r="AQ317" s="1634">
        <v>117.33</v>
      </c>
      <c r="AR317" s="1633">
        <v>110.01</v>
      </c>
      <c r="AS317" s="1615">
        <v>117.34</v>
      </c>
      <c r="AT317" s="655">
        <f t="shared" si="94"/>
        <v>117.34</v>
      </c>
      <c r="AU317"/>
      <c r="AV317" s="1285" t="str">
        <f>AV314</f>
        <v>Heating kWh Annual Savings (per ton)</v>
      </c>
      <c r="AW317" s="52">
        <v>64.554437356313187</v>
      </c>
      <c r="AX317" s="52">
        <v>64.554437356313187</v>
      </c>
      <c r="AY317" s="52">
        <v>64.554437356313187</v>
      </c>
      <c r="AZ317" s="52">
        <v>64.554437356313187</v>
      </c>
      <c r="BA317" s="52">
        <v>223.04</v>
      </c>
      <c r="BB317" s="52">
        <v>223.04</v>
      </c>
      <c r="BC317" s="52">
        <v>223.04</v>
      </c>
      <c r="BD317" s="52">
        <v>223.04</v>
      </c>
      <c r="BE317" s="2001">
        <v>223.04</v>
      </c>
      <c r="BF317" s="1661">
        <v>52.21</v>
      </c>
      <c r="BG317" s="2002">
        <f t="shared" si="95"/>
        <v>52.21</v>
      </c>
      <c r="BH317"/>
      <c r="BI317" s="1285" t="s">
        <v>50</v>
      </c>
      <c r="BJ317" s="639">
        <v>15</v>
      </c>
      <c r="BK317" s="639">
        <v>15</v>
      </c>
      <c r="BL317" s="618">
        <v>15</v>
      </c>
      <c r="BM317" s="618">
        <v>15</v>
      </c>
      <c r="BN317" s="618">
        <v>15</v>
      </c>
      <c r="BO317" s="616">
        <v>15</v>
      </c>
      <c r="BP317" s="616">
        <v>15</v>
      </c>
      <c r="BQ317" s="616">
        <v>15</v>
      </c>
      <c r="BR317" s="616">
        <v>15</v>
      </c>
      <c r="BS317" s="616">
        <v>15</v>
      </c>
      <c r="BT317" s="616">
        <v>15</v>
      </c>
      <c r="BW317" s="1285" t="str">
        <f>BW314</f>
        <v>Inc. Cost     (per ton)</v>
      </c>
      <c r="BX317" s="640">
        <v>100</v>
      </c>
      <c r="BY317" s="640">
        <v>100</v>
      </c>
      <c r="BZ317" s="640">
        <v>100</v>
      </c>
      <c r="CA317" s="640">
        <v>100</v>
      </c>
      <c r="CB317" s="640">
        <v>100</v>
      </c>
      <c r="CC317" s="657">
        <v>100</v>
      </c>
      <c r="CD317" s="657">
        <v>100</v>
      </c>
      <c r="CE317" s="657">
        <v>100</v>
      </c>
      <c r="CF317" s="657">
        <v>100</v>
      </c>
      <c r="CG317" s="657">
        <v>214.24000000000007</v>
      </c>
      <c r="CH317" s="657">
        <f t="shared" si="96"/>
        <v>214.24000000000007</v>
      </c>
      <c r="DK317" s="578">
        <f t="shared" si="97"/>
        <v>1.1863013651494656</v>
      </c>
      <c r="DL317" s="1272" t="str">
        <f t="shared" si="98"/>
        <v>Cooling BUS 15 Year EUL</v>
      </c>
      <c r="DM317" s="423">
        <f>(INDEX('Avoided Cost Benefits'!$B$4:$B$865,MATCH(DL317,'Avoided Cost Benefits'!$A$4:$A$865,0)))*G317</f>
        <v>226.9235728812194</v>
      </c>
      <c r="DN317" s="1928">
        <f t="shared" si="99"/>
        <v>214.24000000000007</v>
      </c>
      <c r="DO317" s="1272" t="str">
        <f t="shared" si="100"/>
        <v>Heating BUS 15 Year EUL</v>
      </c>
      <c r="DP317" s="2054">
        <f>(INDEX('Avoided Cost Benefits'!$B$4:$B$865,MATCH(DO317,'Avoided Cost Benefits'!$A$4:$A$865,0)))*H317</f>
        <v>27.229631588402196</v>
      </c>
    </row>
    <row r="318" spans="1:120" x14ac:dyDescent="0.25">
      <c r="A318" s="2006" t="s">
        <v>112</v>
      </c>
      <c r="B318" s="247">
        <f t="shared" si="88"/>
        <v>803650</v>
      </c>
      <c r="C318" s="656" t="s">
        <v>439</v>
      </c>
      <c r="D318" s="1972" t="s">
        <v>60</v>
      </c>
      <c r="E318" s="458" t="s">
        <v>440</v>
      </c>
      <c r="F318" s="399">
        <f t="shared" si="89"/>
        <v>204.57999999999998</v>
      </c>
      <c r="G318" s="399">
        <f>ROUND((F336*((1/I336)-(1/J336))*K336),2)</f>
        <v>168.14</v>
      </c>
      <c r="H318" s="399">
        <f t="shared" si="90"/>
        <v>36.44</v>
      </c>
      <c r="I318" s="441" t="s">
        <v>332</v>
      </c>
      <c r="J318" s="441" t="s">
        <v>333</v>
      </c>
      <c r="K318" s="442">
        <v>9.1068395835808389E-4</v>
      </c>
      <c r="L318" s="486">
        <f t="shared" si="91"/>
        <v>0.15312200000000001</v>
      </c>
      <c r="M318" s="99">
        <v>15</v>
      </c>
      <c r="N318" s="1689">
        <f t="shared" si="92"/>
        <v>297.43999999999994</v>
      </c>
      <c r="O318" s="487" t="s">
        <v>430</v>
      </c>
      <c r="P318" s="497"/>
      <c r="Q318" s="497"/>
      <c r="V318" s="1285">
        <f t="shared" si="86"/>
        <v>169.55</v>
      </c>
      <c r="W318" s="1632">
        <v>227.29649291790051</v>
      </c>
      <c r="X318" s="1632">
        <v>227.29649291790051</v>
      </c>
      <c r="Y318" s="1632">
        <v>227.29649291790051</v>
      </c>
      <c r="Z318" s="793"/>
      <c r="AA318" s="793">
        <v>393.13</v>
      </c>
      <c r="AB318" s="793">
        <v>393.13</v>
      </c>
      <c r="AC318" s="793">
        <v>393.13</v>
      </c>
      <c r="AD318" s="793">
        <v>393.13</v>
      </c>
      <c r="AE318" s="1633">
        <v>382.51</v>
      </c>
      <c r="AF318" s="253">
        <v>204.57999999999998</v>
      </c>
      <c r="AG318" s="253">
        <f t="shared" si="93"/>
        <v>204.57999999999998</v>
      </c>
      <c r="AH318"/>
      <c r="AI318" s="1285">
        <f t="shared" si="87"/>
        <v>117.34</v>
      </c>
      <c r="AJ318" s="1632">
        <v>43.348198970840535</v>
      </c>
      <c r="AK318" s="1632">
        <v>43.348198970840535</v>
      </c>
      <c r="AL318" s="793">
        <v>43.348198970840535</v>
      </c>
      <c r="AM318" s="793">
        <v>43.348198970840535</v>
      </c>
      <c r="AN318" s="793">
        <v>127.93</v>
      </c>
      <c r="AO318" s="793">
        <v>127.93</v>
      </c>
      <c r="AP318" s="1634">
        <v>127.93</v>
      </c>
      <c r="AQ318" s="1634">
        <v>127.93</v>
      </c>
      <c r="AR318" s="1633">
        <v>117.31</v>
      </c>
      <c r="AS318" s="1615">
        <v>168.14</v>
      </c>
      <c r="AT318" s="655">
        <f t="shared" si="94"/>
        <v>168.14</v>
      </c>
      <c r="AU318"/>
      <c r="AV318" s="1285" t="str">
        <f>AV317</f>
        <v>Heating kWh Annual Savings (per ton)</v>
      </c>
      <c r="AW318" s="52">
        <v>183.94829394705997</v>
      </c>
      <c r="AX318" s="52">
        <v>183.94829394705997</v>
      </c>
      <c r="AY318" s="52">
        <v>183.94829394705997</v>
      </c>
      <c r="AZ318" s="52">
        <v>183.94829394705997</v>
      </c>
      <c r="BA318" s="52">
        <v>265.2</v>
      </c>
      <c r="BB318" s="52">
        <v>265.2</v>
      </c>
      <c r="BC318" s="52">
        <v>265.2</v>
      </c>
      <c r="BD318" s="52">
        <v>265.2</v>
      </c>
      <c r="BE318" s="2001">
        <v>265.2</v>
      </c>
      <c r="BF318" s="1661">
        <v>36.44</v>
      </c>
      <c r="BG318" s="2002">
        <f t="shared" si="95"/>
        <v>36.44</v>
      </c>
      <c r="BH318"/>
      <c r="BI318" s="1285" t="s">
        <v>50</v>
      </c>
      <c r="BJ318" s="639">
        <v>15</v>
      </c>
      <c r="BK318" s="639">
        <v>15</v>
      </c>
      <c r="BL318" s="618">
        <v>15</v>
      </c>
      <c r="BM318" s="618">
        <v>15</v>
      </c>
      <c r="BN318" s="618">
        <v>15</v>
      </c>
      <c r="BO318" s="616">
        <v>15</v>
      </c>
      <c r="BP318" s="616">
        <v>15</v>
      </c>
      <c r="BQ318" s="616">
        <v>15</v>
      </c>
      <c r="BR318" s="616">
        <v>15</v>
      </c>
      <c r="BS318" s="616">
        <v>15</v>
      </c>
      <c r="BT318" s="616">
        <v>15</v>
      </c>
      <c r="BW318" s="1285" t="str">
        <f>BW317</f>
        <v>Inc. Cost     (per ton)</v>
      </c>
      <c r="BX318" s="640">
        <v>100</v>
      </c>
      <c r="BY318" s="640">
        <v>100</v>
      </c>
      <c r="BZ318" s="640">
        <v>100</v>
      </c>
      <c r="CA318" s="640">
        <v>100</v>
      </c>
      <c r="CB318" s="640">
        <v>100</v>
      </c>
      <c r="CC318" s="657">
        <v>100</v>
      </c>
      <c r="CD318" s="657">
        <v>100</v>
      </c>
      <c r="CE318" s="657">
        <v>100</v>
      </c>
      <c r="CF318" s="657">
        <v>100</v>
      </c>
      <c r="CG318" s="657">
        <v>297.43999999999994</v>
      </c>
      <c r="CH318" s="657">
        <f t="shared" si="96"/>
        <v>297.43999999999994</v>
      </c>
      <c r="DK318" s="578">
        <f t="shared" si="97"/>
        <v>1.1571090659381082</v>
      </c>
      <c r="DL318" s="1272" t="str">
        <f t="shared" si="98"/>
        <v>Cooling BUS 15 Year EUL</v>
      </c>
      <c r="DM318" s="423">
        <f>(INDEX('Avoided Cost Benefits'!$B$4:$B$865,MATCH(DL318,'Avoided Cost Benefits'!$A$4:$A$865,0)))*G318</f>
        <v>325.16558329851904</v>
      </c>
      <c r="DN318" s="1928">
        <f t="shared" si="99"/>
        <v>297.43999999999994</v>
      </c>
      <c r="DO318" s="1272" t="str">
        <f t="shared" si="100"/>
        <v>Heating BUS 15 Year EUL</v>
      </c>
      <c r="DP318" s="2054">
        <f>(INDEX('Avoided Cost Benefits'!$B$4:$B$865,MATCH(DO318,'Avoided Cost Benefits'!$A$4:$A$865,0)))*H318</f>
        <v>19.004937274111779</v>
      </c>
    </row>
    <row r="319" spans="1:120" x14ac:dyDescent="0.25">
      <c r="A319" s="2006" t="s">
        <v>329</v>
      </c>
      <c r="B319" s="247">
        <f t="shared" si="88"/>
        <v>803700</v>
      </c>
      <c r="C319" s="656" t="s">
        <v>441</v>
      </c>
      <c r="D319" s="1972" t="s">
        <v>60</v>
      </c>
      <c r="E319" s="458" t="s">
        <v>442</v>
      </c>
      <c r="F319" s="399">
        <f t="shared" si="89"/>
        <v>386.41999999999996</v>
      </c>
      <c r="G319" s="399">
        <f>ROUND((F337*((1/I337)-(1/J337))*K337),2)</f>
        <v>327.64999999999998</v>
      </c>
      <c r="H319" s="399">
        <f t="shared" si="90"/>
        <v>58.77</v>
      </c>
      <c r="I319" s="441" t="s">
        <v>332</v>
      </c>
      <c r="J319" s="441" t="s">
        <v>333</v>
      </c>
      <c r="K319" s="442">
        <v>9.1068395835808389E-4</v>
      </c>
      <c r="L319" s="486">
        <f t="shared" si="91"/>
        <v>0.29838599999999998</v>
      </c>
      <c r="M319" s="99">
        <v>15</v>
      </c>
      <c r="N319" s="1689">
        <f t="shared" si="92"/>
        <v>416</v>
      </c>
      <c r="O319" s="487" t="s">
        <v>430</v>
      </c>
      <c r="P319" s="497"/>
      <c r="Q319" s="497"/>
      <c r="V319" s="1285">
        <f t="shared" si="86"/>
        <v>204.57999999999998</v>
      </c>
      <c r="W319" s="1632">
        <v>267.47488720030498</v>
      </c>
      <c r="X319" s="1632">
        <v>267.47488720030498</v>
      </c>
      <c r="Y319" s="1632">
        <v>267.47488720030498</v>
      </c>
      <c r="Z319" s="793"/>
      <c r="AA319" s="793">
        <v>411.45</v>
      </c>
      <c r="AB319" s="793">
        <v>411.45</v>
      </c>
      <c r="AC319" s="793">
        <v>411.45</v>
      </c>
      <c r="AD319" s="793">
        <v>411.45</v>
      </c>
      <c r="AE319" s="1633">
        <v>395.42999999999995</v>
      </c>
      <c r="AF319" s="253">
        <v>386.41999999999996</v>
      </c>
      <c r="AG319" s="253">
        <f t="shared" si="93"/>
        <v>386.41999999999996</v>
      </c>
      <c r="AH319"/>
      <c r="AI319" s="1285">
        <f t="shared" si="87"/>
        <v>168.14</v>
      </c>
      <c r="AJ319" s="1632">
        <v>138.02979145978136</v>
      </c>
      <c r="AK319" s="1632">
        <v>138.02979145978136</v>
      </c>
      <c r="AL319" s="793">
        <v>138.02979145978136</v>
      </c>
      <c r="AM319" s="793">
        <v>138.02979145978136</v>
      </c>
      <c r="AN319" s="793">
        <v>146.25</v>
      </c>
      <c r="AO319" s="793">
        <v>146.25</v>
      </c>
      <c r="AP319" s="1634">
        <v>146.25</v>
      </c>
      <c r="AQ319" s="1634">
        <v>146.25</v>
      </c>
      <c r="AR319" s="1633">
        <v>130.22999999999999</v>
      </c>
      <c r="AS319" s="1615">
        <v>327.64999999999998</v>
      </c>
      <c r="AT319" s="655">
        <f t="shared" si="94"/>
        <v>327.64999999999998</v>
      </c>
      <c r="AU319"/>
      <c r="AV319" s="1285" t="str">
        <f>AV318</f>
        <v>Heating kWh Annual Savings (per ton)</v>
      </c>
      <c r="AW319" s="52">
        <v>129.44509574052361</v>
      </c>
      <c r="AX319" s="52">
        <v>129.44509574052361</v>
      </c>
      <c r="AY319" s="52">
        <v>129.44509574052361</v>
      </c>
      <c r="AZ319" s="52">
        <v>129.44509574052361</v>
      </c>
      <c r="BA319" s="52">
        <v>265.2</v>
      </c>
      <c r="BB319" s="52">
        <v>265.2</v>
      </c>
      <c r="BC319" s="52">
        <v>265.2</v>
      </c>
      <c r="BD319" s="52">
        <v>265.2</v>
      </c>
      <c r="BE319" s="2001">
        <v>265.2</v>
      </c>
      <c r="BF319" s="1661">
        <v>58.77</v>
      </c>
      <c r="BG319" s="2002">
        <f t="shared" si="95"/>
        <v>58.77</v>
      </c>
      <c r="BH319"/>
      <c r="BI319" s="1285" t="s">
        <v>50</v>
      </c>
      <c r="BJ319" s="639">
        <v>15</v>
      </c>
      <c r="BK319" s="639">
        <v>15</v>
      </c>
      <c r="BL319" s="618">
        <v>15</v>
      </c>
      <c r="BM319" s="618">
        <v>15</v>
      </c>
      <c r="BN319" s="618">
        <v>15</v>
      </c>
      <c r="BO319" s="616">
        <v>15</v>
      </c>
      <c r="BP319" s="616">
        <v>15</v>
      </c>
      <c r="BQ319" s="616">
        <v>15</v>
      </c>
      <c r="BR319" s="616">
        <v>15</v>
      </c>
      <c r="BS319" s="616">
        <v>15</v>
      </c>
      <c r="BT319" s="616">
        <v>15</v>
      </c>
      <c r="BW319" s="1285" t="str">
        <f>BW318</f>
        <v>Inc. Cost     (per ton)</v>
      </c>
      <c r="BX319" s="640">
        <v>100</v>
      </c>
      <c r="BY319" s="640">
        <v>100</v>
      </c>
      <c r="BZ319" s="640">
        <v>100</v>
      </c>
      <c r="CA319" s="640">
        <v>100</v>
      </c>
      <c r="CB319" s="640">
        <v>100</v>
      </c>
      <c r="CC319" s="657">
        <v>100</v>
      </c>
      <c r="CD319" s="657">
        <v>100</v>
      </c>
      <c r="CE319" s="657">
        <v>100</v>
      </c>
      <c r="CF319" s="657">
        <v>100</v>
      </c>
      <c r="CG319" s="657">
        <v>416</v>
      </c>
      <c r="CH319" s="657">
        <f t="shared" si="96"/>
        <v>416</v>
      </c>
      <c r="DK319" s="578">
        <f t="shared" si="97"/>
        <v>1.5968571291906939</v>
      </c>
      <c r="DL319" s="1272" t="str">
        <f t="shared" si="98"/>
        <v>Cooling BUS 15 Year EUL</v>
      </c>
      <c r="DM319" s="423">
        <f>(INDEX('Avoided Cost Benefits'!$B$4:$B$865,MATCH(DL319,'Avoided Cost Benefits'!$A$4:$A$865,0)))*G319</f>
        <v>633.64162821315438</v>
      </c>
      <c r="DN319" s="1928">
        <f t="shared" si="99"/>
        <v>416</v>
      </c>
      <c r="DO319" s="1272" t="str">
        <f t="shared" si="100"/>
        <v>Heating BUS 15 Year EUL</v>
      </c>
      <c r="DP319" s="2054">
        <f>(INDEX('Avoided Cost Benefits'!$B$4:$B$865,MATCH(DO319,'Avoided Cost Benefits'!$A$4:$A$865,0)))*H319</f>
        <v>30.650937530174239</v>
      </c>
    </row>
    <row r="320" spans="1:120" x14ac:dyDescent="0.25">
      <c r="A320" s="2006" t="s">
        <v>329</v>
      </c>
      <c r="B320" s="247">
        <f>VALUE(LEFT(C320,6))</f>
        <v>803750</v>
      </c>
      <c r="C320" s="656" t="s">
        <v>443</v>
      </c>
      <c r="D320" s="1972" t="s">
        <v>60</v>
      </c>
      <c r="E320" s="458" t="s">
        <v>444</v>
      </c>
      <c r="F320" s="399">
        <f t="shared" si="89"/>
        <v>223.37</v>
      </c>
      <c r="G320" s="399">
        <f>ROUND((F338*((1/I338)-(1/J338))*K338),2)</f>
        <v>158.13999999999999</v>
      </c>
      <c r="H320" s="399">
        <f>ROUND((P338*((1/N338)-(1/O338))*Q338),2)</f>
        <v>65.23</v>
      </c>
      <c r="I320" s="441" t="s">
        <v>332</v>
      </c>
      <c r="J320" s="441" t="s">
        <v>333</v>
      </c>
      <c r="K320" s="442">
        <v>9.1068395835808389E-4</v>
      </c>
      <c r="L320" s="486">
        <f t="shared" si="91"/>
        <v>0.14401600000000001</v>
      </c>
      <c r="M320" s="99">
        <v>15</v>
      </c>
      <c r="N320" s="1689">
        <f t="shared" si="92"/>
        <v>280.80000000000013</v>
      </c>
      <c r="O320" s="487" t="s">
        <v>430</v>
      </c>
      <c r="P320" s="497"/>
      <c r="Q320" s="497"/>
      <c r="V320" s="1285">
        <f t="shared" si="86"/>
        <v>386.41999999999996</v>
      </c>
      <c r="W320" s="1632">
        <v>131.37662337662331</v>
      </c>
      <c r="X320" s="1632">
        <v>131.37662337662331</v>
      </c>
      <c r="Y320" s="1632">
        <v>131.37662337662331</v>
      </c>
      <c r="Z320" s="793"/>
      <c r="AA320" s="793">
        <v>329.25</v>
      </c>
      <c r="AB320" s="793">
        <v>329.25</v>
      </c>
      <c r="AC320" s="793">
        <v>329.25</v>
      </c>
      <c r="AD320" s="793">
        <v>329.25</v>
      </c>
      <c r="AE320" s="1633">
        <v>219.74</v>
      </c>
      <c r="AF320" s="253">
        <v>223.37</v>
      </c>
      <c r="AG320" s="253">
        <f t="shared" si="93"/>
        <v>223.37</v>
      </c>
      <c r="AH320"/>
      <c r="AI320" s="1285">
        <f t="shared" si="87"/>
        <v>327.64999999999998</v>
      </c>
      <c r="AJ320" s="1632">
        <v>69.42857142857153</v>
      </c>
      <c r="AK320" s="1632">
        <v>69.42857142857153</v>
      </c>
      <c r="AL320" s="793">
        <v>69.42857142857153</v>
      </c>
      <c r="AM320" s="793">
        <v>69.42857142857153</v>
      </c>
      <c r="AN320" s="793">
        <v>106.52</v>
      </c>
      <c r="AO320" s="793">
        <v>106.52</v>
      </c>
      <c r="AP320" s="1634">
        <v>106.52</v>
      </c>
      <c r="AQ320" s="1634">
        <v>106.52</v>
      </c>
      <c r="AR320" s="1633">
        <v>97.73</v>
      </c>
      <c r="AS320" s="1615">
        <v>158.13999999999999</v>
      </c>
      <c r="AT320" s="655">
        <f t="shared" si="94"/>
        <v>158.13999999999999</v>
      </c>
      <c r="AU320"/>
      <c r="AV320" s="1285" t="str">
        <f>AV319</f>
        <v>Heating kWh Annual Savings (per ton)</v>
      </c>
      <c r="AW320" s="52">
        <v>61.948051948051791</v>
      </c>
      <c r="AX320" s="52">
        <v>61.948051948051791</v>
      </c>
      <c r="AY320" s="52">
        <v>61.948051948051791</v>
      </c>
      <c r="AZ320" s="52">
        <v>61.948051948051791</v>
      </c>
      <c r="BA320" s="52">
        <v>222.73</v>
      </c>
      <c r="BB320" s="52">
        <v>222.73</v>
      </c>
      <c r="BC320" s="52">
        <v>222.73</v>
      </c>
      <c r="BD320" s="52">
        <v>222.73</v>
      </c>
      <c r="BE320" s="2001">
        <v>122.01</v>
      </c>
      <c r="BF320" s="1661">
        <v>65.23</v>
      </c>
      <c r="BG320" s="2002">
        <f t="shared" si="95"/>
        <v>65.23</v>
      </c>
      <c r="BH320"/>
      <c r="BI320" s="1285" t="s">
        <v>50</v>
      </c>
      <c r="BJ320" s="639">
        <v>15</v>
      </c>
      <c r="BK320" s="639">
        <v>15</v>
      </c>
      <c r="BL320" s="618">
        <v>15</v>
      </c>
      <c r="BM320" s="618">
        <v>15</v>
      </c>
      <c r="BN320" s="618">
        <v>15</v>
      </c>
      <c r="BO320" s="616">
        <v>15</v>
      </c>
      <c r="BP320" s="616">
        <v>15</v>
      </c>
      <c r="BQ320" s="616">
        <v>15</v>
      </c>
      <c r="BR320" s="616">
        <v>15</v>
      </c>
      <c r="BS320" s="616">
        <v>15</v>
      </c>
      <c r="BT320" s="616">
        <v>15</v>
      </c>
      <c r="BW320" s="1285" t="str">
        <f>BW319</f>
        <v>Inc. Cost     (per ton)</v>
      </c>
      <c r="BX320" s="640">
        <v>100</v>
      </c>
      <c r="BY320" s="640">
        <v>100</v>
      </c>
      <c r="BZ320" s="640">
        <v>100</v>
      </c>
      <c r="CA320" s="640">
        <v>100</v>
      </c>
      <c r="CB320" s="640">
        <v>100</v>
      </c>
      <c r="CC320" s="657">
        <v>100</v>
      </c>
      <c r="CD320" s="657">
        <v>100</v>
      </c>
      <c r="CE320" s="657">
        <v>100</v>
      </c>
      <c r="CF320" s="657">
        <v>100</v>
      </c>
      <c r="CG320" s="657">
        <v>280.80000000000013</v>
      </c>
      <c r="CH320" s="657">
        <f t="shared" si="96"/>
        <v>280.80000000000013</v>
      </c>
      <c r="DK320" s="578">
        <f t="shared" si="97"/>
        <v>1.2102802503129362</v>
      </c>
      <c r="DL320" s="1272" t="str">
        <f t="shared" si="98"/>
        <v>Cooling BUS 15 Year EUL</v>
      </c>
      <c r="DM320" s="423">
        <f>(INDEX('Avoided Cost Benefits'!$B$4:$B$865,MATCH(DL320,'Avoided Cost Benefits'!$A$4:$A$865,0)))*G320</f>
        <v>305.82660486991676</v>
      </c>
      <c r="DN320" s="2035">
        <f t="shared" si="99"/>
        <v>280.80000000000013</v>
      </c>
      <c r="DO320" s="1272" t="str">
        <f t="shared" si="100"/>
        <v>Heating BUS 15 Year EUL</v>
      </c>
      <c r="DP320" s="2054">
        <f>(INDEX('Avoided Cost Benefits'!$B$4:$B$865,MATCH(DO320,'Avoided Cost Benefits'!$A$4:$A$865,0)))*H320</f>
        <v>34.020089417955859</v>
      </c>
    </row>
    <row r="321" spans="1:125" outlineLevel="1" x14ac:dyDescent="0.25">
      <c r="D321" s="74" t="s">
        <v>95</v>
      </c>
      <c r="E321" s="108" t="s">
        <v>445</v>
      </c>
      <c r="F321" s="7"/>
      <c r="G321" s="7"/>
      <c r="H321" s="449"/>
      <c r="I321" s="7"/>
      <c r="J321" s="7"/>
      <c r="K321" s="7"/>
      <c r="M321" s="497"/>
      <c r="N321" s="497"/>
      <c r="O321" s="497"/>
      <c r="P321" s="497"/>
      <c r="AU321"/>
      <c r="AW321" s="1625"/>
      <c r="AX321" s="1625"/>
      <c r="AY321" s="1625"/>
      <c r="AZ321" s="1625"/>
      <c r="BA321" s="1625"/>
      <c r="BB321" s="1625"/>
      <c r="BC321" s="1625"/>
      <c r="BD321" s="1625"/>
      <c r="BE321" s="1625"/>
      <c r="BF321" s="1625"/>
      <c r="BH321"/>
    </row>
    <row r="322" spans="1:125" outlineLevel="1" x14ac:dyDescent="0.25">
      <c r="D322" s="7" t="s">
        <v>97</v>
      </c>
      <c r="E322" s="64"/>
      <c r="F322" s="7"/>
      <c r="G322" s="7"/>
      <c r="H322" s="449"/>
      <c r="I322" s="7"/>
      <c r="J322" s="7"/>
      <c r="K322" s="64"/>
      <c r="M322" s="497"/>
      <c r="N322" s="497"/>
      <c r="O322" s="497"/>
      <c r="P322" s="497"/>
      <c r="AU322"/>
      <c r="AW322" s="1625"/>
      <c r="AX322" s="1625"/>
      <c r="AY322" s="1625"/>
      <c r="AZ322" s="1625"/>
      <c r="BA322" s="1625"/>
      <c r="BB322" s="1625"/>
      <c r="BC322" s="1625"/>
      <c r="BD322" s="1625"/>
      <c r="BE322" s="1625"/>
      <c r="BF322" s="1625"/>
      <c r="BH322"/>
    </row>
    <row r="323" spans="1:125" outlineLevel="1" x14ac:dyDescent="0.25">
      <c r="E323" s="64"/>
      <c r="F323" s="476" t="s">
        <v>410</v>
      </c>
      <c r="G323" s="247"/>
      <c r="H323" s="451"/>
      <c r="J323" s="476" t="s">
        <v>446</v>
      </c>
      <c r="AU323"/>
      <c r="AW323" s="1625"/>
      <c r="AX323" s="1625"/>
      <c r="AY323" s="1625"/>
      <c r="AZ323" s="1625"/>
      <c r="BA323" s="1625"/>
      <c r="BB323" s="1625"/>
      <c r="BC323" s="1625"/>
      <c r="BD323" s="1625"/>
      <c r="BE323" s="1625"/>
      <c r="BF323" s="1625"/>
      <c r="BH323"/>
    </row>
    <row r="324" spans="1:125" outlineLevel="1" x14ac:dyDescent="0.25">
      <c r="D324" s="450"/>
      <c r="G324" s="247"/>
      <c r="H324" s="451"/>
    </row>
    <row r="325" spans="1:125" outlineLevel="1" x14ac:dyDescent="0.25">
      <c r="D325" s="450"/>
      <c r="G325" s="247"/>
      <c r="H325" s="451"/>
      <c r="M325" s="7"/>
    </row>
    <row r="326" spans="1:125" outlineLevel="1" x14ac:dyDescent="0.25">
      <c r="D326" s="450"/>
      <c r="G326" s="247"/>
      <c r="H326" s="451"/>
      <c r="M326" s="7"/>
    </row>
    <row r="327" spans="1:125" outlineLevel="1" x14ac:dyDescent="0.25">
      <c r="D327" s="450"/>
      <c r="G327" s="247"/>
      <c r="H327" s="451"/>
      <c r="M327" s="7"/>
    </row>
    <row r="328" spans="1:125" outlineLevel="1" x14ac:dyDescent="0.25">
      <c r="D328" s="450"/>
      <c r="G328" s="247"/>
      <c r="H328" s="451"/>
    </row>
    <row r="329" spans="1:125" outlineLevel="1" x14ac:dyDescent="0.25">
      <c r="D329" s="450"/>
      <c r="G329" s="1063" t="s">
        <v>412</v>
      </c>
      <c r="H329" s="451"/>
      <c r="I329" s="1063" t="s">
        <v>412</v>
      </c>
    </row>
    <row r="330" spans="1:125" s="8" customFormat="1" ht="30" outlineLevel="1" x14ac:dyDescent="0.25">
      <c r="A330" s="247"/>
      <c r="B330" s="115"/>
      <c r="C330" s="64"/>
      <c r="D330" s="1236" t="s">
        <v>43</v>
      </c>
      <c r="E330" s="1236" t="s">
        <v>173</v>
      </c>
      <c r="F330" s="31" t="s">
        <v>413</v>
      </c>
      <c r="G330" s="1236" t="s">
        <v>447</v>
      </c>
      <c r="H330" s="1236" t="s">
        <v>448</v>
      </c>
      <c r="I330" s="1236" t="s">
        <v>449</v>
      </c>
      <c r="J330" s="1231" t="s">
        <v>415</v>
      </c>
      <c r="K330" s="1231" t="s">
        <v>342</v>
      </c>
      <c r="L330" s="1231" t="s">
        <v>450</v>
      </c>
      <c r="M330" s="1231" t="s">
        <v>451</v>
      </c>
      <c r="N330" s="1231" t="s">
        <v>452</v>
      </c>
      <c r="O330" s="1231" t="s">
        <v>453</v>
      </c>
      <c r="P330" s="31" t="s">
        <v>454</v>
      </c>
      <c r="Q330" s="1231" t="s">
        <v>455</v>
      </c>
      <c r="R330" s="1783" t="s">
        <v>417</v>
      </c>
      <c r="S330" s="247" t="s">
        <v>307</v>
      </c>
      <c r="T330" s="115"/>
      <c r="U330" s="115"/>
      <c r="V330" s="636" t="s">
        <v>53</v>
      </c>
      <c r="W330" s="637">
        <f>$W$8</f>
        <v>43252</v>
      </c>
      <c r="X330" s="637">
        <f>$X$8</f>
        <v>43465</v>
      </c>
      <c r="Y330" s="637">
        <f>$Y$8</f>
        <v>43800</v>
      </c>
      <c r="Z330" s="637">
        <f>$Z$8</f>
        <v>43862</v>
      </c>
      <c r="AA330" s="637">
        <f>$AA$8</f>
        <v>44013</v>
      </c>
      <c r="AB330" s="637">
        <v>44166</v>
      </c>
      <c r="AC330" s="637">
        <f>$AC$8</f>
        <v>44531</v>
      </c>
      <c r="AD330" s="637">
        <f>$AD$8</f>
        <v>44774</v>
      </c>
      <c r="AE330" s="637">
        <f>$AE$8</f>
        <v>45142</v>
      </c>
      <c r="AF330" s="637">
        <f>$AF$8</f>
        <v>45672</v>
      </c>
      <c r="AG330" s="637">
        <f>$AG$8</f>
        <v>45971</v>
      </c>
      <c r="AH330"/>
      <c r="AI330" s="636" t="s">
        <v>53</v>
      </c>
      <c r="AJ330" s="637">
        <v>43252</v>
      </c>
      <c r="AK330" s="637">
        <f>$X$8</f>
        <v>43465</v>
      </c>
      <c r="AL330" s="637">
        <f>$Y$8</f>
        <v>43800</v>
      </c>
      <c r="AM330" s="637">
        <f>$Z$8</f>
        <v>43862</v>
      </c>
      <c r="AN330" s="637">
        <f>$AA$8</f>
        <v>44013</v>
      </c>
      <c r="AO330" s="637">
        <v>44166</v>
      </c>
      <c r="AP330" s="637">
        <f>$AC$8</f>
        <v>44531</v>
      </c>
      <c r="AQ330" s="637">
        <f>$AD$8</f>
        <v>44774</v>
      </c>
      <c r="AR330" s="637">
        <f>$AE$8</f>
        <v>45142</v>
      </c>
      <c r="AS330" s="637">
        <f>$AF$8</f>
        <v>45672</v>
      </c>
      <c r="AT330" s="637">
        <f>$AT$8</f>
        <v>45971</v>
      </c>
      <c r="AU330"/>
      <c r="AV330" s="636" t="s">
        <v>53</v>
      </c>
      <c r="AW330" s="637">
        <v>43252</v>
      </c>
      <c r="AX330" s="637">
        <f>$X$8</f>
        <v>43465</v>
      </c>
      <c r="AY330" s="637">
        <f>$Y$8</f>
        <v>43800</v>
      </c>
      <c r="AZ330" s="637">
        <f>$Z$8</f>
        <v>43862</v>
      </c>
      <c r="BA330" s="637">
        <f>$AA$8</f>
        <v>44013</v>
      </c>
      <c r="BB330" s="637">
        <v>44166</v>
      </c>
      <c r="BC330" s="637">
        <f>$AC$8</f>
        <v>44531</v>
      </c>
      <c r="BD330" s="637">
        <f>$AD$8</f>
        <v>44774</v>
      </c>
      <c r="BE330" s="637">
        <f>$AE$8</f>
        <v>45142</v>
      </c>
      <c r="BF330" s="637">
        <f>$AF$8</f>
        <v>45672</v>
      </c>
      <c r="BG330" s="637">
        <f>$AT$8</f>
        <v>45971</v>
      </c>
      <c r="BH330"/>
      <c r="BI330" s="636" t="s">
        <v>53</v>
      </c>
      <c r="BJ330" s="637">
        <v>43252</v>
      </c>
      <c r="BK330" s="637">
        <f>$X$8</f>
        <v>43465</v>
      </c>
      <c r="BL330" s="637">
        <f>$Y$8</f>
        <v>43800</v>
      </c>
      <c r="BM330" s="637">
        <f>$Z$8</f>
        <v>43862</v>
      </c>
      <c r="BN330" s="637">
        <f>$AA$8</f>
        <v>44013</v>
      </c>
      <c r="BO330" s="637">
        <v>44166</v>
      </c>
      <c r="BP330" s="637">
        <f>$AC$8</f>
        <v>44531</v>
      </c>
      <c r="BQ330" s="637">
        <f>$AD$8</f>
        <v>44774</v>
      </c>
      <c r="BR330" s="637">
        <f>$AE$8</f>
        <v>45142</v>
      </c>
      <c r="BS330" s="637">
        <f>$AF$8</f>
        <v>45672</v>
      </c>
      <c r="BT330" s="637">
        <f>$AG$8</f>
        <v>45971</v>
      </c>
      <c r="BU330" s="2"/>
      <c r="BV330" s="2"/>
      <c r="BW330" s="636" t="s">
        <v>53</v>
      </c>
      <c r="BX330" s="637">
        <v>43252</v>
      </c>
      <c r="BY330" s="637">
        <f>$X$8</f>
        <v>43465</v>
      </c>
      <c r="BZ330" s="637">
        <f>$Y$8</f>
        <v>43800</v>
      </c>
      <c r="CA330" s="637">
        <f>$Z$8</f>
        <v>43862</v>
      </c>
      <c r="CB330" s="637">
        <f>$AA$8</f>
        <v>44013</v>
      </c>
      <c r="CC330" s="637">
        <v>44166</v>
      </c>
      <c r="CD330" s="637">
        <f>$AC$8</f>
        <v>44531</v>
      </c>
      <c r="CE330" s="637">
        <f>$AD$8</f>
        <v>44774</v>
      </c>
      <c r="CF330" s="637">
        <f>$AE$8</f>
        <v>45142</v>
      </c>
      <c r="CG330" s="637">
        <f>$AF$8</f>
        <v>45672</v>
      </c>
      <c r="CH330" s="637">
        <f>$AG$8</f>
        <v>45971</v>
      </c>
      <c r="CJ330" s="636" t="s">
        <v>53</v>
      </c>
      <c r="CK330" s="637">
        <v>43252</v>
      </c>
      <c r="CL330" s="637">
        <f>$X$8</f>
        <v>43465</v>
      </c>
      <c r="CM330" s="637">
        <f>$Y$8</f>
        <v>43800</v>
      </c>
      <c r="CN330" s="637">
        <f>$Z$8</f>
        <v>43862</v>
      </c>
      <c r="CO330" s="637">
        <f>$AA$8</f>
        <v>44013</v>
      </c>
      <c r="CP330" s="637">
        <v>44166</v>
      </c>
      <c r="CQ330" s="637">
        <f>$AC$8</f>
        <v>44531</v>
      </c>
      <c r="CR330" s="637">
        <f>$AD$8</f>
        <v>44774</v>
      </c>
      <c r="CS330" s="637">
        <f>$AE$8</f>
        <v>45142</v>
      </c>
      <c r="CT330" s="637">
        <f>$AF$8</f>
        <v>45672</v>
      </c>
      <c r="CU330" s="637">
        <f>$AG$8</f>
        <v>45971</v>
      </c>
      <c r="CW330" s="636" t="s">
        <v>53</v>
      </c>
      <c r="CX330" s="637">
        <v>43252</v>
      </c>
      <c r="CY330" s="637">
        <f>$X$8</f>
        <v>43465</v>
      </c>
      <c r="CZ330" s="637">
        <f>$Y$8</f>
        <v>43800</v>
      </c>
      <c r="DA330" s="637">
        <f>$Z$8</f>
        <v>43862</v>
      </c>
      <c r="DB330" s="637">
        <f>$AA$8</f>
        <v>44013</v>
      </c>
      <c r="DC330" s="637">
        <v>44166</v>
      </c>
      <c r="DD330" s="637">
        <f>$AC$8</f>
        <v>44531</v>
      </c>
      <c r="DE330" s="637">
        <f>$AD$8</f>
        <v>44774</v>
      </c>
      <c r="DF330" s="637">
        <f>$AE$8</f>
        <v>45142</v>
      </c>
      <c r="DG330" s="637">
        <f>$AF$8</f>
        <v>45672</v>
      </c>
      <c r="DH330" s="637">
        <f>$AG$8</f>
        <v>45971</v>
      </c>
      <c r="DJ330" s="636" t="s">
        <v>53</v>
      </c>
      <c r="DK330" s="163">
        <v>43252</v>
      </c>
      <c r="DL330" s="163">
        <f>$X$8</f>
        <v>43465</v>
      </c>
      <c r="DM330" s="163">
        <f>$Y$8</f>
        <v>43800</v>
      </c>
      <c r="DN330" s="163">
        <f>$Z$8</f>
        <v>43862</v>
      </c>
      <c r="DO330" s="637">
        <f>$AA$8</f>
        <v>44013</v>
      </c>
      <c r="DP330" s="637">
        <v>44166</v>
      </c>
      <c r="DQ330" s="637">
        <f>$AC$8</f>
        <v>44531</v>
      </c>
      <c r="DR330" s="637">
        <f>$AD$8</f>
        <v>44774</v>
      </c>
      <c r="DS330" s="637">
        <f>$AE$8</f>
        <v>45142</v>
      </c>
      <c r="DT330" s="637">
        <f>$AF$8</f>
        <v>45672</v>
      </c>
      <c r="DU330" s="637">
        <f>$AG$8</f>
        <v>45971</v>
      </c>
    </row>
    <row r="331" spans="1:125" s="8" customFormat="1" outlineLevel="1" x14ac:dyDescent="0.25">
      <c r="A331" s="247"/>
      <c r="B331" s="115"/>
      <c r="C331" s="64"/>
      <c r="D331" s="647" t="str">
        <f>C313</f>
        <v>803500_2024_12_</v>
      </c>
      <c r="E331" s="647" t="str">
        <f t="shared" ref="E331:E338" si="104">E313</f>
        <v xml:space="preserve">GSHP  </v>
      </c>
      <c r="F331" s="472">
        <v>12</v>
      </c>
      <c r="G331" s="1695">
        <v>12.1</v>
      </c>
      <c r="H331" s="1694">
        <v>20.6</v>
      </c>
      <c r="I331" s="1888"/>
      <c r="J331" s="1888" t="s">
        <v>307</v>
      </c>
      <c r="K331" s="1687">
        <v>1053</v>
      </c>
      <c r="L331" s="1695">
        <f>12.1/3.412</f>
        <v>3.5463071512309496</v>
      </c>
      <c r="M331" s="1702">
        <v>3.9</v>
      </c>
      <c r="N331" s="1695">
        <f>L331*3.412</f>
        <v>12.1</v>
      </c>
      <c r="O331" s="1702">
        <f>M331*3.412</f>
        <v>13.306799999999999</v>
      </c>
      <c r="P331" s="1889">
        <v>12</v>
      </c>
      <c r="Q331" s="1687">
        <v>1060</v>
      </c>
      <c r="R331" s="1702">
        <v>4</v>
      </c>
      <c r="S331" s="247" t="s">
        <v>456</v>
      </c>
      <c r="T331" s="115"/>
      <c r="U331" s="115"/>
      <c r="V331" s="1285" t="s">
        <v>447</v>
      </c>
      <c r="W331" s="833">
        <v>16.3</v>
      </c>
      <c r="X331" s="833">
        <v>16.3</v>
      </c>
      <c r="Y331" s="833">
        <v>16.3</v>
      </c>
      <c r="Z331" s="833">
        <v>16.3</v>
      </c>
      <c r="AA331" s="833">
        <v>16.3</v>
      </c>
      <c r="AB331" s="833">
        <v>16.3</v>
      </c>
      <c r="AC331" s="833">
        <v>16.3</v>
      </c>
      <c r="AD331" s="833">
        <v>16.3</v>
      </c>
      <c r="AE331" s="833">
        <v>16.3</v>
      </c>
      <c r="AF331" s="56">
        <v>12.1</v>
      </c>
      <c r="AG331" s="399">
        <v>12.1</v>
      </c>
      <c r="AH331"/>
      <c r="AI331" s="1285" t="s">
        <v>448</v>
      </c>
      <c r="AJ331" s="1632">
        <v>17</v>
      </c>
      <c r="AK331" s="1632">
        <v>17</v>
      </c>
      <c r="AL331" s="793">
        <v>17</v>
      </c>
      <c r="AM331" s="793">
        <v>17</v>
      </c>
      <c r="AN331" s="793">
        <v>17</v>
      </c>
      <c r="AO331" s="793">
        <v>17</v>
      </c>
      <c r="AP331" s="1634">
        <v>17</v>
      </c>
      <c r="AQ331" s="1634">
        <v>17</v>
      </c>
      <c r="AR331" s="1633">
        <v>17</v>
      </c>
      <c r="AS331" s="56">
        <v>20.6</v>
      </c>
      <c r="AT331" s="399">
        <v>20.6</v>
      </c>
      <c r="AU331"/>
      <c r="AV331" s="1285" t="s">
        <v>457</v>
      </c>
      <c r="AW331" s="1609"/>
      <c r="AX331" s="1609"/>
      <c r="AY331" s="1609"/>
      <c r="AZ331" s="1609"/>
      <c r="BA331" s="1609"/>
      <c r="BB331" s="1609"/>
      <c r="BC331" s="1609"/>
      <c r="BD331" s="1609"/>
      <c r="BE331" s="1636"/>
      <c r="BF331" s="1635"/>
      <c r="BG331" s="2000"/>
      <c r="BH331"/>
      <c r="BI331" s="1285" t="s">
        <v>419</v>
      </c>
      <c r="BJ331" s="1334"/>
      <c r="BK331" s="1334"/>
      <c r="BL331" s="16"/>
      <c r="BM331" s="16"/>
      <c r="BN331" s="16"/>
      <c r="BO331" s="16"/>
      <c r="BP331" s="16"/>
      <c r="BQ331" s="16"/>
      <c r="BR331" s="16"/>
      <c r="BS331" s="16"/>
      <c r="BT331" s="16"/>
      <c r="BU331" s="2"/>
      <c r="BV331" s="2"/>
      <c r="BW331" s="1285" t="s">
        <v>450</v>
      </c>
      <c r="BX331" s="1890">
        <v>3.1</v>
      </c>
      <c r="BY331" s="1890">
        <v>3.1</v>
      </c>
      <c r="BZ331" s="1890">
        <v>3.1</v>
      </c>
      <c r="CA331" s="1890">
        <v>3.1</v>
      </c>
      <c r="CB331" s="1890">
        <v>3.1</v>
      </c>
      <c r="CC331" s="1890">
        <v>3.1</v>
      </c>
      <c r="CD331" s="1890">
        <v>3.1</v>
      </c>
      <c r="CE331" s="1890">
        <v>3.1</v>
      </c>
      <c r="CF331" s="1890">
        <v>3.1</v>
      </c>
      <c r="CG331" s="1663">
        <v>3.5463071512309496</v>
      </c>
      <c r="CH331" s="1663">
        <v>3.5463071512309496</v>
      </c>
      <c r="CJ331" s="1285" t="s">
        <v>451</v>
      </c>
      <c r="CK331" s="1891">
        <v>3.7</v>
      </c>
      <c r="CL331" s="1891">
        <v>3.7</v>
      </c>
      <c r="CM331" s="1891">
        <v>3.7</v>
      </c>
      <c r="CN331" s="1891">
        <v>3.7</v>
      </c>
      <c r="CO331" s="1891">
        <v>3.7</v>
      </c>
      <c r="CP331" s="1891">
        <v>3.7</v>
      </c>
      <c r="CQ331" s="1891">
        <v>3.7</v>
      </c>
      <c r="CR331" s="1891">
        <v>3.7</v>
      </c>
      <c r="CS331" s="1891">
        <v>3.7</v>
      </c>
      <c r="CT331" s="1666">
        <v>3.9</v>
      </c>
      <c r="CU331" s="2003">
        <v>3.9</v>
      </c>
      <c r="CW331" s="1285" t="s">
        <v>452</v>
      </c>
      <c r="CX331" s="1891"/>
      <c r="CY331" s="1891"/>
      <c r="CZ331" s="1891"/>
      <c r="DA331" s="1891"/>
      <c r="DB331" s="1891"/>
      <c r="DC331" s="1891"/>
      <c r="DD331" s="1891"/>
      <c r="DE331" s="1891"/>
      <c r="DF331" s="1891"/>
      <c r="DG331" s="1666">
        <v>12.1</v>
      </c>
      <c r="DH331" s="2003">
        <v>12.1</v>
      </c>
      <c r="DI331" s="2"/>
      <c r="DJ331" s="1285" t="s">
        <v>453</v>
      </c>
      <c r="DK331" s="2040"/>
      <c r="DL331" s="2040"/>
      <c r="DM331" s="2040"/>
      <c r="DN331" s="2040"/>
      <c r="DO331" s="1891"/>
      <c r="DP331" s="1891"/>
      <c r="DQ331" s="1891"/>
      <c r="DR331" s="1891"/>
      <c r="DS331" s="1891"/>
      <c r="DT331" s="1666">
        <v>13.306799999999999</v>
      </c>
      <c r="DU331" s="2003">
        <v>13.306799999999999</v>
      </c>
    </row>
    <row r="332" spans="1:125" outlineLevel="1" x14ac:dyDescent="0.25">
      <c r="C332" s="64"/>
      <c r="D332" s="647" t="str">
        <f>C314</f>
        <v>803570_2024_12_</v>
      </c>
      <c r="E332" s="647" t="str">
        <f t="shared" si="104"/>
        <v>WSHP &lt;17 kBTUh per ton</v>
      </c>
      <c r="F332" s="472">
        <v>12</v>
      </c>
      <c r="G332" s="1695">
        <v>12.2</v>
      </c>
      <c r="H332" s="1694">
        <v>16.149999999999999</v>
      </c>
      <c r="I332" s="1694"/>
      <c r="J332" s="1694"/>
      <c r="K332" s="1687">
        <v>1053</v>
      </c>
      <c r="L332" s="1695">
        <v>4.3</v>
      </c>
      <c r="M332" s="1702">
        <v>4.5</v>
      </c>
      <c r="N332" s="1695"/>
      <c r="O332" s="1702"/>
      <c r="P332" s="470">
        <v>12</v>
      </c>
      <c r="Q332" s="1687">
        <v>1060</v>
      </c>
      <c r="R332" s="1702">
        <v>2</v>
      </c>
      <c r="V332" s="1285" t="s">
        <v>447</v>
      </c>
      <c r="W332" s="833"/>
      <c r="X332" s="833"/>
      <c r="Y332" s="833"/>
      <c r="Z332" s="616"/>
      <c r="AA332" s="616"/>
      <c r="AB332" s="616"/>
      <c r="AC332" s="616"/>
      <c r="AD332" s="616"/>
      <c r="AE332" s="1628"/>
      <c r="AF332" s="56">
        <v>12.2</v>
      </c>
      <c r="AG332" s="399">
        <v>12.2</v>
      </c>
      <c r="AH332"/>
      <c r="AI332" s="1285" t="s">
        <v>448</v>
      </c>
      <c r="AJ332" s="1632">
        <v>19</v>
      </c>
      <c r="AK332" s="1632">
        <v>19</v>
      </c>
      <c r="AL332" s="793">
        <v>19</v>
      </c>
      <c r="AM332" s="793">
        <v>19</v>
      </c>
      <c r="AN332" s="793">
        <v>19</v>
      </c>
      <c r="AO332" s="793">
        <v>19</v>
      </c>
      <c r="AP332" s="1634">
        <v>19</v>
      </c>
      <c r="AQ332" s="1634">
        <v>19</v>
      </c>
      <c r="AR332" s="1633">
        <v>19</v>
      </c>
      <c r="AS332" s="56">
        <v>16.149999999999999</v>
      </c>
      <c r="AT332" s="399">
        <v>16.149999999999999</v>
      </c>
      <c r="AU332"/>
      <c r="AV332" s="1285" t="s">
        <v>457</v>
      </c>
      <c r="AW332" s="1609"/>
      <c r="AX332" s="1609"/>
      <c r="AY332" s="1609"/>
      <c r="AZ332" s="1609"/>
      <c r="BA332" s="1609"/>
      <c r="BB332" s="1609"/>
      <c r="BC332" s="1609"/>
      <c r="BD332" s="1609"/>
      <c r="BE332" s="1636"/>
      <c r="BF332" s="1635"/>
      <c r="BG332" s="2000"/>
      <c r="BH332"/>
      <c r="BI332" s="1285" t="s">
        <v>419</v>
      </c>
      <c r="BJ332" s="1334"/>
      <c r="BK332" s="1334"/>
      <c r="BL332" s="16"/>
      <c r="BM332" s="16"/>
      <c r="BN332" s="16"/>
      <c r="BO332" s="16"/>
      <c r="BP332" s="16"/>
      <c r="BQ332" s="16"/>
      <c r="BR332" s="16"/>
      <c r="BS332" s="16"/>
      <c r="BT332" s="16"/>
      <c r="BW332" s="1285" t="s">
        <v>450</v>
      </c>
      <c r="BX332" s="1662"/>
      <c r="BY332" s="1662"/>
      <c r="BZ332" s="1662"/>
      <c r="CA332" s="1662"/>
      <c r="CB332" s="1662"/>
      <c r="CC332" s="1662"/>
      <c r="CD332" s="1662"/>
      <c r="CE332" s="1662"/>
      <c r="CF332" s="1662"/>
      <c r="CG332" s="1663">
        <v>4.3</v>
      </c>
      <c r="CH332" s="1663">
        <v>4.3</v>
      </c>
      <c r="CJ332" s="1285" t="s">
        <v>451</v>
      </c>
      <c r="CK332" s="1664"/>
      <c r="CL332" s="1664"/>
      <c r="CM332" s="1664"/>
      <c r="CN332" s="1664"/>
      <c r="CO332" s="1664"/>
      <c r="CP332" s="1665"/>
      <c r="CQ332" s="1665"/>
      <c r="CR332" s="1665"/>
      <c r="CS332" s="1665"/>
      <c r="CT332" s="1666">
        <v>4.5</v>
      </c>
      <c r="CU332" s="2003">
        <v>4.5</v>
      </c>
      <c r="CW332" s="1285" t="s">
        <v>452</v>
      </c>
      <c r="CX332" s="1664"/>
      <c r="CY332" s="1664"/>
      <c r="CZ332" s="1664"/>
      <c r="DA332" s="1664"/>
      <c r="DB332" s="1664"/>
      <c r="DC332" s="1665"/>
      <c r="DD332" s="1665"/>
      <c r="DE332" s="1665"/>
      <c r="DF332" s="1665"/>
      <c r="DG332" s="1666"/>
      <c r="DH332" s="2003"/>
      <c r="DJ332" s="1285" t="s">
        <v>453</v>
      </c>
      <c r="DK332" s="2040"/>
      <c r="DL332" s="2040"/>
      <c r="DM332" s="2040"/>
      <c r="DN332" s="2040"/>
      <c r="DO332" s="1664"/>
      <c r="DP332" s="1665"/>
      <c r="DQ332" s="1665"/>
      <c r="DR332" s="1665"/>
      <c r="DS332" s="1665"/>
      <c r="DT332" s="1666"/>
      <c r="DU332" s="2003"/>
    </row>
    <row r="333" spans="1:125" outlineLevel="1" x14ac:dyDescent="0.25">
      <c r="C333" s="64"/>
      <c r="D333" s="647" t="str">
        <f>C315</f>
        <v>803575_2024_12_</v>
      </c>
      <c r="E333" s="647" t="str">
        <f t="shared" si="104"/>
        <v>WSHP ≥17 kBTUh and &lt;65 kBTUh per ton</v>
      </c>
      <c r="F333" s="472">
        <v>12</v>
      </c>
      <c r="G333" s="1695">
        <v>13</v>
      </c>
      <c r="H333" s="1694">
        <v>16.149999999999999</v>
      </c>
      <c r="I333" s="1694"/>
      <c r="J333" s="1694"/>
      <c r="K333" s="1687">
        <v>1053</v>
      </c>
      <c r="L333" s="1695">
        <v>4.3</v>
      </c>
      <c r="M333" s="1702">
        <v>4.5</v>
      </c>
      <c r="N333" s="1695"/>
      <c r="O333" s="1702"/>
      <c r="P333" s="470">
        <v>12</v>
      </c>
      <c r="Q333" s="1687">
        <v>1060</v>
      </c>
      <c r="R333" s="1702">
        <v>2</v>
      </c>
      <c r="V333" s="1285" t="s">
        <v>447</v>
      </c>
      <c r="W333" s="833"/>
      <c r="X333" s="833"/>
      <c r="Y333" s="833"/>
      <c r="Z333" s="616"/>
      <c r="AA333" s="616"/>
      <c r="AB333" s="616"/>
      <c r="AC333" s="616"/>
      <c r="AD333" s="616"/>
      <c r="AE333" s="1628"/>
      <c r="AF333" s="56">
        <v>13</v>
      </c>
      <c r="AG333" s="399">
        <v>13</v>
      </c>
      <c r="AH333"/>
      <c r="AI333" s="1285" t="s">
        <v>448</v>
      </c>
      <c r="AJ333" s="1632"/>
      <c r="AK333" s="1632"/>
      <c r="AL333" s="793"/>
      <c r="AM333" s="793"/>
      <c r="AN333" s="793"/>
      <c r="AO333" s="793"/>
      <c r="AP333" s="1634"/>
      <c r="AQ333" s="1634"/>
      <c r="AR333" s="1633"/>
      <c r="AS333" s="56">
        <v>16.149999999999999</v>
      </c>
      <c r="AT333" s="399">
        <v>16.149999999999999</v>
      </c>
      <c r="AU333"/>
      <c r="AV333" s="1285" t="s">
        <v>457</v>
      </c>
      <c r="AW333" s="1609"/>
      <c r="AX333" s="1609"/>
      <c r="AY333" s="1609"/>
      <c r="AZ333" s="1609"/>
      <c r="BA333" s="1609"/>
      <c r="BB333" s="1609"/>
      <c r="BC333" s="1609"/>
      <c r="BD333" s="1609"/>
      <c r="BE333" s="1636"/>
      <c r="BF333" s="1635"/>
      <c r="BG333" s="2000"/>
      <c r="BH333"/>
      <c r="BI333" s="1285" t="s">
        <v>419</v>
      </c>
      <c r="BJ333" s="1334"/>
      <c r="BK333" s="1334"/>
      <c r="BL333" s="16"/>
      <c r="BM333" s="16"/>
      <c r="BN333" s="16"/>
      <c r="BO333" s="16"/>
      <c r="BP333" s="16"/>
      <c r="BQ333" s="16"/>
      <c r="BR333" s="16"/>
      <c r="BS333" s="16"/>
      <c r="BT333" s="16"/>
      <c r="BW333" s="1285" t="s">
        <v>450</v>
      </c>
      <c r="BX333" s="1662"/>
      <c r="BY333" s="1662"/>
      <c r="BZ333" s="1662"/>
      <c r="CA333" s="1662"/>
      <c r="CB333" s="1662"/>
      <c r="CC333" s="1662"/>
      <c r="CD333" s="1662"/>
      <c r="CE333" s="1662"/>
      <c r="CF333" s="1662"/>
      <c r="CG333" s="1663">
        <v>4.3</v>
      </c>
      <c r="CH333" s="1663">
        <v>4.3</v>
      </c>
      <c r="CJ333" s="1285" t="s">
        <v>451</v>
      </c>
      <c r="CK333" s="1664"/>
      <c r="CL333" s="1664"/>
      <c r="CM333" s="1664"/>
      <c r="CN333" s="1664"/>
      <c r="CO333" s="1664"/>
      <c r="CP333" s="1665"/>
      <c r="CQ333" s="1665"/>
      <c r="CR333" s="1665"/>
      <c r="CS333" s="1665"/>
      <c r="CT333" s="1666">
        <v>4.5</v>
      </c>
      <c r="CU333" s="2003">
        <v>4.5</v>
      </c>
      <c r="CW333" s="1285" t="s">
        <v>452</v>
      </c>
      <c r="CX333" s="1664"/>
      <c r="CY333" s="1664"/>
      <c r="CZ333" s="1664"/>
      <c r="DA333" s="1664"/>
      <c r="DB333" s="1664"/>
      <c r="DC333" s="1665"/>
      <c r="DD333" s="1665"/>
      <c r="DE333" s="1665"/>
      <c r="DF333" s="1665"/>
      <c r="DG333" s="1666"/>
      <c r="DH333" s="2003"/>
      <c r="DJ333" s="1285" t="s">
        <v>453</v>
      </c>
      <c r="DK333" s="2040"/>
      <c r="DL333" s="2040"/>
      <c r="DM333" s="2040"/>
      <c r="DN333" s="2040"/>
      <c r="DO333" s="1664"/>
      <c r="DP333" s="1665"/>
      <c r="DQ333" s="1665"/>
      <c r="DR333" s="1665"/>
      <c r="DS333" s="1665"/>
      <c r="DT333" s="1666"/>
      <c r="DU333" s="2003"/>
    </row>
    <row r="334" spans="1:125" outlineLevel="1" x14ac:dyDescent="0.25">
      <c r="C334" s="64"/>
      <c r="D334" s="647" t="str">
        <f>C314</f>
        <v>803570_2024_12_</v>
      </c>
      <c r="E334" s="647" t="str">
        <f t="shared" si="104"/>
        <v xml:space="preserve">WSHP ≥65kBTUh and &lt;135 kBTUh per ton </v>
      </c>
      <c r="F334" s="472">
        <v>12</v>
      </c>
      <c r="G334" s="1695">
        <v>13</v>
      </c>
      <c r="H334" s="1694">
        <v>16.149999999999999</v>
      </c>
      <c r="I334" s="1694"/>
      <c r="J334" s="1694"/>
      <c r="K334" s="1687">
        <v>1053</v>
      </c>
      <c r="L334" s="1695">
        <v>4.3</v>
      </c>
      <c r="M334" s="1702">
        <v>4.5</v>
      </c>
      <c r="N334" s="1695"/>
      <c r="O334" s="1702"/>
      <c r="P334" s="470">
        <v>12</v>
      </c>
      <c r="Q334" s="1687">
        <v>1060</v>
      </c>
      <c r="R334" s="1702">
        <v>2</v>
      </c>
      <c r="V334" s="1285" t="s">
        <v>447</v>
      </c>
      <c r="W334" s="833"/>
      <c r="X334" s="833"/>
      <c r="Y334" s="833"/>
      <c r="Z334" s="616"/>
      <c r="AA334" s="616"/>
      <c r="AB334" s="616"/>
      <c r="AC334" s="616"/>
      <c r="AD334" s="616"/>
      <c r="AE334" s="1628"/>
      <c r="AF334" s="56">
        <v>13</v>
      </c>
      <c r="AG334" s="399">
        <v>13</v>
      </c>
      <c r="AH334"/>
      <c r="AI334" s="1285" t="s">
        <v>448</v>
      </c>
      <c r="AJ334" s="1632"/>
      <c r="AK334" s="1632"/>
      <c r="AL334" s="793"/>
      <c r="AM334" s="793"/>
      <c r="AN334" s="793"/>
      <c r="AO334" s="793"/>
      <c r="AP334" s="1634"/>
      <c r="AQ334" s="1634"/>
      <c r="AR334" s="1633"/>
      <c r="AS334" s="56">
        <v>16.149999999999999</v>
      </c>
      <c r="AT334" s="399">
        <v>16.149999999999999</v>
      </c>
      <c r="AU334"/>
      <c r="AV334" s="1285" t="s">
        <v>457</v>
      </c>
      <c r="AW334" s="1609"/>
      <c r="AX334" s="1609"/>
      <c r="AY334" s="1609"/>
      <c r="AZ334" s="1609"/>
      <c r="BA334" s="1609"/>
      <c r="BB334" s="1609"/>
      <c r="BC334" s="1609"/>
      <c r="BD334" s="1609"/>
      <c r="BE334" s="1636"/>
      <c r="BF334" s="1635"/>
      <c r="BG334" s="2000"/>
      <c r="BH334"/>
      <c r="BI334" s="1285" t="s">
        <v>419</v>
      </c>
      <c r="BJ334" s="1334"/>
      <c r="BK334" s="1334"/>
      <c r="BL334" s="16"/>
      <c r="BM334" s="16"/>
      <c r="BN334" s="16"/>
      <c r="BO334" s="16"/>
      <c r="BP334" s="16"/>
      <c r="BQ334" s="16"/>
      <c r="BR334" s="16"/>
      <c r="BS334" s="16"/>
      <c r="BT334" s="16"/>
      <c r="BW334" s="1285" t="s">
        <v>450</v>
      </c>
      <c r="BX334" s="1662"/>
      <c r="BY334" s="1662"/>
      <c r="BZ334" s="1662"/>
      <c r="CA334" s="1662"/>
      <c r="CB334" s="1662"/>
      <c r="CC334" s="1662"/>
      <c r="CD334" s="1662"/>
      <c r="CE334" s="1662"/>
      <c r="CF334" s="1662"/>
      <c r="CG334" s="1663">
        <v>4.3</v>
      </c>
      <c r="CH334" s="1663">
        <v>4.3</v>
      </c>
      <c r="CJ334" s="1285" t="s">
        <v>451</v>
      </c>
      <c r="CK334" s="1664"/>
      <c r="CL334" s="1664"/>
      <c r="CM334" s="1664"/>
      <c r="CN334" s="1664"/>
      <c r="CO334" s="1664"/>
      <c r="CP334" s="1665"/>
      <c r="CQ334" s="1665"/>
      <c r="CR334" s="1665"/>
      <c r="CS334" s="1665"/>
      <c r="CT334" s="1666">
        <v>4.5</v>
      </c>
      <c r="CU334" s="2003">
        <v>4.5</v>
      </c>
      <c r="CW334" s="1285" t="s">
        <v>452</v>
      </c>
      <c r="CX334" s="1664"/>
      <c r="CY334" s="1664"/>
      <c r="CZ334" s="1664"/>
      <c r="DA334" s="1664"/>
      <c r="DB334" s="1664"/>
      <c r="DC334" s="1665"/>
      <c r="DD334" s="1665"/>
      <c r="DE334" s="1665"/>
      <c r="DF334" s="1665"/>
      <c r="DG334" s="1666"/>
      <c r="DH334" s="2003"/>
      <c r="DJ334" s="1285" t="s">
        <v>453</v>
      </c>
      <c r="DK334" s="2040"/>
      <c r="DL334" s="2040"/>
      <c r="DM334" s="2040"/>
      <c r="DN334" s="2040"/>
      <c r="DO334" s="1664"/>
      <c r="DP334" s="1665"/>
      <c r="DQ334" s="1665"/>
      <c r="DR334" s="1665"/>
      <c r="DS334" s="1665"/>
      <c r="DT334" s="1666"/>
      <c r="DU334" s="2003"/>
    </row>
    <row r="335" spans="1:125" outlineLevel="1" x14ac:dyDescent="0.25">
      <c r="C335" s="64"/>
      <c r="D335" s="647" t="str">
        <f>C317</f>
        <v>803600_2024_12_</v>
      </c>
      <c r="E335" s="647" t="str">
        <f t="shared" si="104"/>
        <v xml:space="preserve">ASHP ≥65kBTUh and &lt;135 kBTUh per ton </v>
      </c>
      <c r="F335" s="472">
        <v>12</v>
      </c>
      <c r="G335" s="1786"/>
      <c r="H335" s="1786"/>
      <c r="I335" s="1694">
        <v>13.9</v>
      </c>
      <c r="J335" s="1694">
        <v>15.96</v>
      </c>
      <c r="K335" s="1687">
        <v>1053</v>
      </c>
      <c r="L335" s="1702">
        <v>3.4</v>
      </c>
      <c r="M335" s="1702">
        <v>3.57</v>
      </c>
      <c r="N335" s="1695"/>
      <c r="O335" s="1702"/>
      <c r="P335" s="470">
        <v>12</v>
      </c>
      <c r="Q335" s="1687">
        <v>1060</v>
      </c>
      <c r="R335" s="1702">
        <f>J335-I335</f>
        <v>2.0600000000000005</v>
      </c>
      <c r="V335" s="1285" t="s">
        <v>447</v>
      </c>
      <c r="W335" s="1632"/>
      <c r="X335" s="1632"/>
      <c r="Y335" s="1632"/>
      <c r="Z335" s="793"/>
      <c r="AA335" s="793"/>
      <c r="AB335" s="793"/>
      <c r="AC335" s="793"/>
      <c r="AD335" s="793"/>
      <c r="AE335" s="1633"/>
      <c r="AF335" s="1615"/>
      <c r="AG335" s="68"/>
      <c r="AH335"/>
      <c r="AI335" s="1285" t="s">
        <v>448</v>
      </c>
      <c r="AJ335" s="833"/>
      <c r="AK335" s="833"/>
      <c r="AL335" s="616"/>
      <c r="AM335" s="616"/>
      <c r="AN335" s="616"/>
      <c r="AO335" s="616"/>
      <c r="AP335" s="692"/>
      <c r="AQ335" s="692"/>
      <c r="AR335" s="1628"/>
      <c r="AS335" s="1615"/>
      <c r="AT335" s="655"/>
      <c r="AU335"/>
      <c r="AV335" s="1285" t="s">
        <v>457</v>
      </c>
      <c r="AW335" s="1609">
        <v>12</v>
      </c>
      <c r="AX335" s="1609">
        <v>12</v>
      </c>
      <c r="AY335" s="1609">
        <v>12</v>
      </c>
      <c r="AZ335" s="1609">
        <v>12</v>
      </c>
      <c r="BA335" s="1609">
        <v>12</v>
      </c>
      <c r="BB335" s="1609">
        <v>12</v>
      </c>
      <c r="BC335" s="1609">
        <v>12</v>
      </c>
      <c r="BD335" s="1609">
        <v>12</v>
      </c>
      <c r="BE335" s="1636">
        <v>12</v>
      </c>
      <c r="BF335" s="1661">
        <v>13.9</v>
      </c>
      <c r="BG335" s="2002">
        <v>13.9</v>
      </c>
      <c r="BH335"/>
      <c r="BI335" s="1285" t="s">
        <v>419</v>
      </c>
      <c r="BJ335" s="1334">
        <v>13.4</v>
      </c>
      <c r="BK335" s="1334">
        <v>13.4</v>
      </c>
      <c r="BL335" s="16">
        <v>13.4</v>
      </c>
      <c r="BM335" s="16">
        <v>13.4</v>
      </c>
      <c r="BN335" s="16">
        <v>13.4</v>
      </c>
      <c r="BO335" s="16">
        <v>13.4</v>
      </c>
      <c r="BP335" s="16">
        <v>13.4</v>
      </c>
      <c r="BQ335" s="16">
        <v>13.4</v>
      </c>
      <c r="BR335" s="16">
        <v>13.4</v>
      </c>
      <c r="BS335" s="16">
        <v>15.96</v>
      </c>
      <c r="BT335" s="16">
        <v>15.96</v>
      </c>
      <c r="BW335" s="1285" t="s">
        <v>450</v>
      </c>
      <c r="BX335" s="1662">
        <v>2.25</v>
      </c>
      <c r="BY335" s="1662">
        <v>2.25</v>
      </c>
      <c r="BZ335" s="1662">
        <v>2.25</v>
      </c>
      <c r="CA335" s="1662">
        <v>2.25</v>
      </c>
      <c r="CB335" s="1662">
        <v>2.25</v>
      </c>
      <c r="CC335" s="1662">
        <v>2.25</v>
      </c>
      <c r="CD335" s="1662">
        <v>2.25</v>
      </c>
      <c r="CE335" s="1662">
        <v>2.25</v>
      </c>
      <c r="CF335" s="1662">
        <v>2.25</v>
      </c>
      <c r="CG335" s="1663">
        <v>3.4</v>
      </c>
      <c r="CH335" s="1663">
        <v>3.4</v>
      </c>
      <c r="CJ335" s="1285" t="s">
        <v>451</v>
      </c>
      <c r="CK335" s="1664">
        <v>2.6</v>
      </c>
      <c r="CL335" s="1664">
        <v>2.6</v>
      </c>
      <c r="CM335" s="1664">
        <v>2.6</v>
      </c>
      <c r="CN335" s="1664">
        <v>2.6</v>
      </c>
      <c r="CO335" s="1664">
        <v>2.6</v>
      </c>
      <c r="CP335" s="1665">
        <v>2.6</v>
      </c>
      <c r="CQ335" s="1665">
        <v>2.6</v>
      </c>
      <c r="CR335" s="1665">
        <v>2.6</v>
      </c>
      <c r="CS335" s="1665">
        <v>2.6</v>
      </c>
      <c r="CT335" s="1666">
        <v>3.57</v>
      </c>
      <c r="CU335" s="2003">
        <v>3.57</v>
      </c>
      <c r="CW335" s="1285" t="s">
        <v>452</v>
      </c>
      <c r="CX335" s="1664"/>
      <c r="CY335" s="1664"/>
      <c r="CZ335" s="1664"/>
      <c r="DA335" s="1664"/>
      <c r="DB335" s="1664"/>
      <c r="DC335" s="1665"/>
      <c r="DD335" s="1665"/>
      <c r="DE335" s="1665"/>
      <c r="DF335" s="1665"/>
      <c r="DG335" s="1666"/>
      <c r="DH335" s="2003"/>
      <c r="DJ335" s="1285" t="s">
        <v>453</v>
      </c>
      <c r="DK335" s="2040"/>
      <c r="DL335" s="2040"/>
      <c r="DM335" s="2040"/>
      <c r="DN335" s="2040"/>
      <c r="DO335" s="1664"/>
      <c r="DP335" s="1665"/>
      <c r="DQ335" s="1665"/>
      <c r="DR335" s="1665"/>
      <c r="DS335" s="1665"/>
      <c r="DT335" s="1666"/>
      <c r="DU335" s="2003"/>
    </row>
    <row r="336" spans="1:125" outlineLevel="1" x14ac:dyDescent="0.25">
      <c r="D336" s="647" t="str">
        <f>C318</f>
        <v>803650_2024_12_</v>
      </c>
      <c r="E336" s="647" t="str">
        <f t="shared" si="104"/>
        <v xml:space="preserve">ASHP ≥135kBTUh and &lt;240 kBTUh per ton </v>
      </c>
      <c r="F336" s="472">
        <v>12</v>
      </c>
      <c r="G336" s="1786"/>
      <c r="H336" s="1786"/>
      <c r="I336" s="1694">
        <v>13.3</v>
      </c>
      <c r="J336" s="1694">
        <v>16.16</v>
      </c>
      <c r="K336" s="1687">
        <v>1053</v>
      </c>
      <c r="L336" s="1702">
        <v>3.3</v>
      </c>
      <c r="M336" s="1702">
        <v>3.41</v>
      </c>
      <c r="N336" s="1695"/>
      <c r="O336" s="1702"/>
      <c r="P336" s="470">
        <v>12</v>
      </c>
      <c r="Q336" s="1687">
        <v>1060</v>
      </c>
      <c r="R336" s="1702">
        <f>J336-I336</f>
        <v>2.8599999999999994</v>
      </c>
      <c r="V336" s="1285" t="s">
        <v>447</v>
      </c>
      <c r="W336" s="1632"/>
      <c r="X336" s="1632"/>
      <c r="Y336" s="1632"/>
      <c r="Z336" s="793"/>
      <c r="AA336" s="793"/>
      <c r="AB336" s="793"/>
      <c r="AC336" s="793"/>
      <c r="AD336" s="793"/>
      <c r="AE336" s="1633"/>
      <c r="AF336" s="1615"/>
      <c r="AG336" s="68"/>
      <c r="AH336"/>
      <c r="AI336" s="1285" t="s">
        <v>448</v>
      </c>
      <c r="AJ336" s="833"/>
      <c r="AK336" s="833"/>
      <c r="AL336" s="616"/>
      <c r="AM336" s="616"/>
      <c r="AN336" s="616"/>
      <c r="AO336" s="616"/>
      <c r="AP336" s="692"/>
      <c r="AQ336" s="692"/>
      <c r="AR336" s="1628"/>
      <c r="AS336" s="1615"/>
      <c r="AT336" s="655"/>
      <c r="AU336"/>
      <c r="AV336" s="1285" t="s">
        <v>457</v>
      </c>
      <c r="AW336" s="1609">
        <v>11.6</v>
      </c>
      <c r="AX336" s="1609">
        <v>11.6</v>
      </c>
      <c r="AY336" s="1609">
        <v>11.6</v>
      </c>
      <c r="AZ336" s="1609">
        <v>11.6</v>
      </c>
      <c r="BA336" s="1609">
        <v>11.6</v>
      </c>
      <c r="BB336" s="1609">
        <v>11.6</v>
      </c>
      <c r="BC336" s="1609">
        <v>11.6</v>
      </c>
      <c r="BD336" s="1609">
        <v>11.6</v>
      </c>
      <c r="BE336" s="1636">
        <v>11.6</v>
      </c>
      <c r="BF336" s="1661">
        <v>13.3</v>
      </c>
      <c r="BG336" s="2002">
        <v>13.3</v>
      </c>
      <c r="BH336"/>
      <c r="BI336" s="1285" t="s">
        <v>419</v>
      </c>
      <c r="BJ336" s="1334">
        <v>13</v>
      </c>
      <c r="BK336" s="1334">
        <v>13</v>
      </c>
      <c r="BL336" s="16">
        <v>13</v>
      </c>
      <c r="BM336" s="16">
        <v>13</v>
      </c>
      <c r="BN336" s="16">
        <v>13</v>
      </c>
      <c r="BO336" s="16">
        <v>13</v>
      </c>
      <c r="BP336" s="16">
        <v>13</v>
      </c>
      <c r="BQ336" s="16">
        <v>13</v>
      </c>
      <c r="BR336" s="16">
        <v>13</v>
      </c>
      <c r="BS336" s="16">
        <v>16.16</v>
      </c>
      <c r="BT336" s="16">
        <v>16.16</v>
      </c>
      <c r="BW336" s="1285" t="s">
        <v>450</v>
      </c>
      <c r="BX336" s="1662">
        <v>2.0499999999999998</v>
      </c>
      <c r="BY336" s="1662">
        <v>2.0499999999999998</v>
      </c>
      <c r="BZ336" s="1662">
        <v>2.0499999999999998</v>
      </c>
      <c r="CA336" s="1662">
        <v>2.0499999999999998</v>
      </c>
      <c r="CB336" s="1662">
        <v>2.0499999999999998</v>
      </c>
      <c r="CC336" s="1662">
        <v>2.0499999999999998</v>
      </c>
      <c r="CD336" s="1662">
        <v>2.0499999999999998</v>
      </c>
      <c r="CE336" s="1662">
        <v>2.0499999999999998</v>
      </c>
      <c r="CF336" s="1662">
        <v>2.0499999999999998</v>
      </c>
      <c r="CG336" s="1663">
        <v>3.3</v>
      </c>
      <c r="CH336" s="1663">
        <v>3.3</v>
      </c>
      <c r="CJ336" s="1285" t="s">
        <v>451</v>
      </c>
      <c r="CK336" s="1664">
        <v>2.4</v>
      </c>
      <c r="CL336" s="1664">
        <v>2.4</v>
      </c>
      <c r="CM336" s="1664">
        <v>2.4</v>
      </c>
      <c r="CN336" s="1664">
        <v>2.4</v>
      </c>
      <c r="CO336" s="1664">
        <v>2.4</v>
      </c>
      <c r="CP336" s="1665">
        <v>2.4</v>
      </c>
      <c r="CQ336" s="1665">
        <v>2.4</v>
      </c>
      <c r="CR336" s="1665">
        <v>2.4</v>
      </c>
      <c r="CS336" s="1665">
        <v>2.4</v>
      </c>
      <c r="CT336" s="1666">
        <v>3.41</v>
      </c>
      <c r="CU336" s="2003">
        <v>3.41</v>
      </c>
      <c r="CW336" s="1285" t="s">
        <v>452</v>
      </c>
      <c r="CX336" s="1664"/>
      <c r="CY336" s="1664"/>
      <c r="CZ336" s="1664"/>
      <c r="DA336" s="1664"/>
      <c r="DB336" s="1664"/>
      <c r="DC336" s="1665"/>
      <c r="DD336" s="1665"/>
      <c r="DE336" s="1665"/>
      <c r="DF336" s="1665"/>
      <c r="DG336" s="1666"/>
      <c r="DH336" s="2003"/>
      <c r="DJ336" s="1285" t="s">
        <v>453</v>
      </c>
      <c r="DK336" s="2040"/>
      <c r="DL336" s="2040"/>
      <c r="DM336" s="2040"/>
      <c r="DN336" s="2040"/>
      <c r="DO336" s="1664"/>
      <c r="DP336" s="1665"/>
      <c r="DQ336" s="1665"/>
      <c r="DR336" s="1665"/>
      <c r="DS336" s="1665"/>
      <c r="DT336" s="1666"/>
      <c r="DU336" s="2003"/>
    </row>
    <row r="337" spans="1:125" outlineLevel="1" x14ac:dyDescent="0.25">
      <c r="D337" s="647" t="str">
        <f>C319</f>
        <v>803700_2024_12_</v>
      </c>
      <c r="E337" s="647" t="str">
        <f t="shared" si="104"/>
        <v>ASHP &gt;240kBTUh per ton</v>
      </c>
      <c r="F337" s="472">
        <v>12</v>
      </c>
      <c r="G337" s="1786"/>
      <c r="H337" s="1786"/>
      <c r="I337" s="1694">
        <v>12.3</v>
      </c>
      <c r="J337" s="1694">
        <v>18.059999999999999</v>
      </c>
      <c r="K337" s="1687">
        <v>1053</v>
      </c>
      <c r="L337" s="1702">
        <v>3.2</v>
      </c>
      <c r="M337" s="1702">
        <v>3.37</v>
      </c>
      <c r="N337" s="1695"/>
      <c r="O337" s="1702"/>
      <c r="P337" s="470">
        <v>12</v>
      </c>
      <c r="Q337" s="1687">
        <v>1060</v>
      </c>
      <c r="R337" s="1702">
        <v>4</v>
      </c>
      <c r="V337" s="1285" t="s">
        <v>447</v>
      </c>
      <c r="W337" s="1632"/>
      <c r="X337" s="1632"/>
      <c r="Y337" s="1632"/>
      <c r="Z337" s="793"/>
      <c r="AA337" s="793"/>
      <c r="AB337" s="793"/>
      <c r="AC337" s="793"/>
      <c r="AD337" s="793"/>
      <c r="AE337" s="1633"/>
      <c r="AF337" s="1615"/>
      <c r="AG337" s="68"/>
      <c r="AH337"/>
      <c r="AI337" s="1285" t="s">
        <v>448</v>
      </c>
      <c r="AJ337" s="833"/>
      <c r="AK337" s="833"/>
      <c r="AL337" s="616"/>
      <c r="AM337" s="616"/>
      <c r="AN337" s="616"/>
      <c r="AO337" s="616"/>
      <c r="AP337" s="692"/>
      <c r="AQ337" s="692"/>
      <c r="AR337" s="1628"/>
      <c r="AS337" s="1615"/>
      <c r="AT337" s="655"/>
      <c r="AU337"/>
      <c r="AV337" s="1285" t="s">
        <v>457</v>
      </c>
      <c r="AW337" s="1609">
        <v>10.6</v>
      </c>
      <c r="AX337" s="1609">
        <v>10.6</v>
      </c>
      <c r="AY337" s="1609">
        <v>10.6</v>
      </c>
      <c r="AZ337" s="1609">
        <v>10.6</v>
      </c>
      <c r="BA337" s="1609">
        <v>10.6</v>
      </c>
      <c r="BB337" s="1609">
        <v>10.6</v>
      </c>
      <c r="BC337" s="1609">
        <v>10.6</v>
      </c>
      <c r="BD337" s="1609">
        <v>10.6</v>
      </c>
      <c r="BE337" s="1636">
        <v>10.6</v>
      </c>
      <c r="BF337" s="1661">
        <v>12.3</v>
      </c>
      <c r="BG337" s="2002">
        <v>12.3</v>
      </c>
      <c r="BH337"/>
      <c r="BI337" s="1285" t="s">
        <v>419</v>
      </c>
      <c r="BJ337" s="1334">
        <v>11.9</v>
      </c>
      <c r="BK337" s="1334">
        <v>11.9</v>
      </c>
      <c r="BL337" s="16">
        <v>11.9</v>
      </c>
      <c r="BM337" s="16">
        <v>11.9</v>
      </c>
      <c r="BN337" s="16">
        <v>11.9</v>
      </c>
      <c r="BO337" s="16">
        <v>11.9</v>
      </c>
      <c r="BP337" s="16">
        <v>11.9</v>
      </c>
      <c r="BQ337" s="16">
        <v>11.9</v>
      </c>
      <c r="BR337" s="16">
        <v>11.9</v>
      </c>
      <c r="BS337" s="16">
        <v>18.059999999999999</v>
      </c>
      <c r="BT337" s="16">
        <v>18.059999999999999</v>
      </c>
      <c r="BW337" s="1285" t="s">
        <v>450</v>
      </c>
      <c r="BX337" s="1662">
        <v>2.0499999999999998</v>
      </c>
      <c r="BY337" s="1662">
        <v>2.0499999999999998</v>
      </c>
      <c r="BZ337" s="1662">
        <v>2.0499999999999998</v>
      </c>
      <c r="CA337" s="1662">
        <v>2.0499999999999998</v>
      </c>
      <c r="CB337" s="1662">
        <v>2.0499999999999998</v>
      </c>
      <c r="CC337" s="1662">
        <v>2.0499999999999998</v>
      </c>
      <c r="CD337" s="1662">
        <v>2.0499999999999998</v>
      </c>
      <c r="CE337" s="1662">
        <v>2.0499999999999998</v>
      </c>
      <c r="CF337" s="1662">
        <v>2.0499999999999998</v>
      </c>
      <c r="CG337" s="1663">
        <v>3.2</v>
      </c>
      <c r="CH337" s="1663">
        <v>3.2</v>
      </c>
      <c r="CJ337" s="1285" t="s">
        <v>451</v>
      </c>
      <c r="CK337" s="1664">
        <v>2.4</v>
      </c>
      <c r="CL337" s="1664">
        <v>2.4</v>
      </c>
      <c r="CM337" s="1664">
        <v>2.4</v>
      </c>
      <c r="CN337" s="1664">
        <v>2.4</v>
      </c>
      <c r="CO337" s="1664">
        <v>2.4</v>
      </c>
      <c r="CP337" s="1665">
        <v>2.4</v>
      </c>
      <c r="CQ337" s="1665">
        <v>2.4</v>
      </c>
      <c r="CR337" s="1665">
        <v>2.4</v>
      </c>
      <c r="CS337" s="1665">
        <v>2.4</v>
      </c>
      <c r="CT337" s="1666">
        <v>3.37</v>
      </c>
      <c r="CU337" s="2003">
        <v>3.37</v>
      </c>
      <c r="CW337" s="1285" t="s">
        <v>452</v>
      </c>
      <c r="CX337" s="1664"/>
      <c r="CY337" s="1664"/>
      <c r="CZ337" s="1664"/>
      <c r="DA337" s="1664"/>
      <c r="DB337" s="1664"/>
      <c r="DC337" s="1665"/>
      <c r="DD337" s="1665"/>
      <c r="DE337" s="1665"/>
      <c r="DF337" s="1665"/>
      <c r="DG337" s="1666"/>
      <c r="DH337" s="2003"/>
      <c r="DJ337" s="1285" t="s">
        <v>453</v>
      </c>
      <c r="DK337" s="2040"/>
      <c r="DL337" s="2040"/>
      <c r="DM337" s="2040"/>
      <c r="DN337" s="2040"/>
      <c r="DO337" s="1664"/>
      <c r="DP337" s="1665"/>
      <c r="DQ337" s="1665"/>
      <c r="DR337" s="1665"/>
      <c r="DS337" s="1665"/>
      <c r="DT337" s="1666"/>
      <c r="DU337" s="2003"/>
    </row>
    <row r="338" spans="1:125" outlineLevel="1" x14ac:dyDescent="0.25">
      <c r="D338" s="647" t="str">
        <f>C320</f>
        <v>803750_2024_12_</v>
      </c>
      <c r="E338" s="647" t="str">
        <f t="shared" si="104"/>
        <v xml:space="preserve">ASHP &lt;65kBTUh per ton </v>
      </c>
      <c r="F338" s="472">
        <v>12</v>
      </c>
      <c r="G338" s="1694"/>
      <c r="H338" s="1694"/>
      <c r="I338" s="1694">
        <v>13.4</v>
      </c>
      <c r="J338" s="1694">
        <v>16.100000000000001</v>
      </c>
      <c r="K338" s="1687">
        <v>1053</v>
      </c>
      <c r="L338" s="1702">
        <f>7.5/3.412</f>
        <v>2.1981242672919108</v>
      </c>
      <c r="M338" s="1702">
        <f>7.8/3.412</f>
        <v>2.2860492379835873</v>
      </c>
      <c r="N338" s="1695">
        <f t="shared" ref="N338" si="105">L338*3.412</f>
        <v>7.4999999999999991</v>
      </c>
      <c r="O338" s="1702">
        <f t="shared" ref="O338" si="106">M338*3.412</f>
        <v>7.8</v>
      </c>
      <c r="P338" s="470">
        <v>12</v>
      </c>
      <c r="Q338" s="1687">
        <v>1060</v>
      </c>
      <c r="R338" s="1702">
        <f>J338-I338</f>
        <v>2.7000000000000011</v>
      </c>
      <c r="V338" s="1311" t="s">
        <v>447</v>
      </c>
      <c r="W338" s="1632"/>
      <c r="X338" s="1632"/>
      <c r="Y338" s="1632"/>
      <c r="Z338" s="793"/>
      <c r="AA338" s="793"/>
      <c r="AB338" s="793"/>
      <c r="AC338" s="793"/>
      <c r="AD338" s="793"/>
      <c r="AE338" s="1633"/>
      <c r="AF338" s="1615"/>
      <c r="AG338" s="68"/>
      <c r="AH338"/>
      <c r="AI338" s="1285" t="s">
        <v>448</v>
      </c>
      <c r="AJ338" s="833"/>
      <c r="AK338" s="833"/>
      <c r="AL338" s="616"/>
      <c r="AM338" s="616"/>
      <c r="AN338" s="616"/>
      <c r="AO338" s="616"/>
      <c r="AP338" s="692"/>
      <c r="AQ338" s="692"/>
      <c r="AR338" s="1628"/>
      <c r="AS338" s="1615"/>
      <c r="AT338" s="655"/>
      <c r="AU338"/>
      <c r="AV338" s="1285" t="s">
        <v>457</v>
      </c>
      <c r="AW338" s="1609">
        <v>14</v>
      </c>
      <c r="AX338" s="1609">
        <v>14</v>
      </c>
      <c r="AY338" s="1609">
        <v>14</v>
      </c>
      <c r="AZ338" s="1609">
        <v>14</v>
      </c>
      <c r="BA338" s="1609">
        <v>14</v>
      </c>
      <c r="BB338" s="1609">
        <v>14</v>
      </c>
      <c r="BC338" s="1609">
        <v>14</v>
      </c>
      <c r="BD338" s="1609">
        <v>14</v>
      </c>
      <c r="BE338" s="1636">
        <v>14</v>
      </c>
      <c r="BF338" s="1661">
        <v>13.4</v>
      </c>
      <c r="BG338" s="2002">
        <v>13.4</v>
      </c>
      <c r="BH338"/>
      <c r="BI338" s="1285" t="s">
        <v>419</v>
      </c>
      <c r="BJ338" s="1334">
        <v>15.7</v>
      </c>
      <c r="BK338" s="1334">
        <v>15.7</v>
      </c>
      <c r="BL338" s="16">
        <v>15.7</v>
      </c>
      <c r="BM338" s="16">
        <v>15.7</v>
      </c>
      <c r="BN338" s="16">
        <v>15.7</v>
      </c>
      <c r="BO338" s="16">
        <v>15.7</v>
      </c>
      <c r="BP338" s="16">
        <v>15.7</v>
      </c>
      <c r="BQ338" s="16">
        <v>15.7</v>
      </c>
      <c r="BR338" s="16">
        <v>15.7</v>
      </c>
      <c r="BS338" s="16">
        <v>16.100000000000001</v>
      </c>
      <c r="BT338" s="16">
        <v>16.100000000000001</v>
      </c>
      <c r="BW338" s="1285" t="s">
        <v>450</v>
      </c>
      <c r="BX338" s="1662"/>
      <c r="BY338" s="1662"/>
      <c r="BZ338" s="1662"/>
      <c r="CA338" s="1662"/>
      <c r="CB338" s="1662"/>
      <c r="CC338" s="1663"/>
      <c r="CD338" s="1663"/>
      <c r="CE338" s="1663"/>
      <c r="CF338" s="1663"/>
      <c r="CG338" s="1663">
        <v>2.1981242672919108</v>
      </c>
      <c r="CH338" s="1663">
        <v>2.1981242672919108</v>
      </c>
      <c r="CJ338" s="1285" t="s">
        <v>451</v>
      </c>
      <c r="CK338" s="1664"/>
      <c r="CL338" s="1664"/>
      <c r="CM338" s="1664"/>
      <c r="CN338" s="1664"/>
      <c r="CO338" s="1664"/>
      <c r="CP338" s="1665"/>
      <c r="CQ338" s="1665"/>
      <c r="CR338" s="1665"/>
      <c r="CS338" s="1665"/>
      <c r="CT338" s="1666">
        <v>2.2860492379835873</v>
      </c>
      <c r="CU338" s="2003">
        <v>2.2860492379835873</v>
      </c>
      <c r="CW338" s="1285" t="s">
        <v>452</v>
      </c>
      <c r="CX338" s="1664">
        <v>8.1999999999999993</v>
      </c>
      <c r="CY338" s="1664">
        <v>8.1999999999999993</v>
      </c>
      <c r="CZ338" s="1664">
        <v>8.1999999999999993</v>
      </c>
      <c r="DA338" s="1664">
        <v>8.1999999999999993</v>
      </c>
      <c r="DB338" s="1664">
        <v>8.1999999999999993</v>
      </c>
      <c r="DC338" s="1665">
        <v>8.1999999999999993</v>
      </c>
      <c r="DD338" s="1665">
        <v>8.1999999999999993</v>
      </c>
      <c r="DE338" s="1665">
        <v>8.1999999999999993</v>
      </c>
      <c r="DF338" s="1665">
        <v>8.1999999999999993</v>
      </c>
      <c r="DG338" s="1666">
        <v>7.4999999999999991</v>
      </c>
      <c r="DH338" s="2003">
        <v>7.4999999999999991</v>
      </c>
      <c r="DJ338" s="1285" t="s">
        <v>453</v>
      </c>
      <c r="DK338" s="2040">
        <v>8.9</v>
      </c>
      <c r="DL338" s="2040">
        <v>8.9</v>
      </c>
      <c r="DM338" s="2040">
        <v>8.9</v>
      </c>
      <c r="DN338" s="2040">
        <v>8.9</v>
      </c>
      <c r="DO338" s="1664">
        <v>8.9</v>
      </c>
      <c r="DP338" s="1665">
        <v>8.9</v>
      </c>
      <c r="DQ338" s="1665">
        <v>8.9</v>
      </c>
      <c r="DR338" s="1665">
        <v>8.9</v>
      </c>
      <c r="DS338" s="1665">
        <v>8.9</v>
      </c>
      <c r="DT338" s="1666">
        <v>7.8</v>
      </c>
      <c r="DU338" s="2003">
        <v>7.8</v>
      </c>
    </row>
    <row r="339" spans="1:125" ht="26.25" x14ac:dyDescent="0.25">
      <c r="G339" s="467" t="s">
        <v>458</v>
      </c>
      <c r="I339" s="247" t="s">
        <v>458</v>
      </c>
      <c r="J339" s="247" t="s">
        <v>459</v>
      </c>
      <c r="L339" s="247" t="s">
        <v>458</v>
      </c>
      <c r="M339" s="247" t="s">
        <v>459</v>
      </c>
      <c r="N339" s="247" t="s">
        <v>458</v>
      </c>
      <c r="O339" s="247" t="s">
        <v>459</v>
      </c>
      <c r="Q339" s="1629"/>
    </row>
    <row r="341" spans="1:125" s="8" customFormat="1" ht="30" x14ac:dyDescent="0.25">
      <c r="A341" s="247"/>
      <c r="B341" s="64"/>
      <c r="C341" s="9" t="s">
        <v>43</v>
      </c>
      <c r="D341" s="9" t="s">
        <v>44</v>
      </c>
      <c r="E341" s="1301" t="s">
        <v>45</v>
      </c>
      <c r="F341" s="1301" t="s">
        <v>460</v>
      </c>
      <c r="G341" s="1301" t="s">
        <v>47</v>
      </c>
      <c r="H341" s="10" t="s">
        <v>48</v>
      </c>
      <c r="I341" s="1301" t="s">
        <v>49</v>
      </c>
      <c r="J341" s="1301" t="s">
        <v>50</v>
      </c>
      <c r="K341" s="9" t="s">
        <v>461</v>
      </c>
      <c r="L341" s="9" t="s">
        <v>52</v>
      </c>
      <c r="M341" s="247"/>
      <c r="N341" s="247"/>
      <c r="O341" s="247"/>
      <c r="P341" s="115"/>
      <c r="Q341" s="115"/>
      <c r="R341" s="115"/>
      <c r="S341" s="115"/>
      <c r="T341" s="115"/>
      <c r="U341" s="115"/>
      <c r="V341" s="636" t="s">
        <v>53</v>
      </c>
      <c r="W341" s="637">
        <f>$W$8</f>
        <v>43252</v>
      </c>
      <c r="X341" s="637">
        <f>$X$8</f>
        <v>43465</v>
      </c>
      <c r="Y341" s="637">
        <f>$Y$8</f>
        <v>43800</v>
      </c>
      <c r="Z341" s="637">
        <f>$Z$8</f>
        <v>43862</v>
      </c>
      <c r="AA341" s="637">
        <f>$AA$8</f>
        <v>44013</v>
      </c>
      <c r="AB341" s="637">
        <v>44166</v>
      </c>
      <c r="AC341" s="637">
        <f>$AC$8</f>
        <v>44531</v>
      </c>
      <c r="AD341" s="637">
        <f>$AD$8</f>
        <v>44774</v>
      </c>
      <c r="AE341" s="637">
        <f>$AE$8</f>
        <v>45142</v>
      </c>
      <c r="AF341" s="637">
        <f>$AF$8</f>
        <v>45672</v>
      </c>
      <c r="AG341" s="637">
        <f>$AG$8</f>
        <v>45971</v>
      </c>
      <c r="AH341"/>
      <c r="AI341" s="636" t="s">
        <v>53</v>
      </c>
      <c r="AJ341" s="637">
        <v>43252</v>
      </c>
      <c r="AK341" s="637">
        <f>$X$8</f>
        <v>43465</v>
      </c>
      <c r="AL341" s="637">
        <f>$Y$8</f>
        <v>43800</v>
      </c>
      <c r="AM341" s="637">
        <f>$Z$8</f>
        <v>43862</v>
      </c>
      <c r="AN341" s="637">
        <f>$AA$8</f>
        <v>44013</v>
      </c>
      <c r="AO341" s="637">
        <f>$AB$8</f>
        <v>44166</v>
      </c>
      <c r="AP341" s="637">
        <f>$AC$8</f>
        <v>44531</v>
      </c>
      <c r="AQ341" s="637">
        <f>$AD$8</f>
        <v>44774</v>
      </c>
      <c r="AR341" s="637">
        <f>$AE$8</f>
        <v>45142</v>
      </c>
      <c r="AS341" s="637">
        <f>$AF$8</f>
        <v>45672</v>
      </c>
      <c r="AT341" s="637">
        <f>$AT$8</f>
        <v>45971</v>
      </c>
      <c r="AU341" s="2"/>
      <c r="AV341" s="636" t="s">
        <v>53</v>
      </c>
      <c r="AW341" s="637">
        <v>43252</v>
      </c>
      <c r="AX341" s="637">
        <f>$X$8</f>
        <v>43465</v>
      </c>
      <c r="AY341" s="637">
        <f>$Y$8</f>
        <v>43800</v>
      </c>
      <c r="AZ341" s="637">
        <f>$Z$8</f>
        <v>43862</v>
      </c>
      <c r="BA341" s="637">
        <f>$AA$8</f>
        <v>44013</v>
      </c>
      <c r="BB341" s="637">
        <v>44166</v>
      </c>
      <c r="BC341" s="637">
        <f>$AC$8</f>
        <v>44531</v>
      </c>
      <c r="BD341" s="637">
        <f>$AD$8</f>
        <v>44774</v>
      </c>
      <c r="BE341" s="637">
        <f>$AE$8</f>
        <v>45142</v>
      </c>
      <c r="BF341" s="637">
        <f>$AF$8</f>
        <v>45672</v>
      </c>
      <c r="BG341" s="637">
        <f>$AT$8</f>
        <v>45971</v>
      </c>
      <c r="DI341" s="2"/>
      <c r="DJ341" s="2"/>
      <c r="DK341" s="991" t="str">
        <f>$DK$8</f>
        <v>TRC (2025)</v>
      </c>
      <c r="DL341" s="761" t="str">
        <f>$DL$8</f>
        <v>Benefit Lookup</v>
      </c>
      <c r="DM341" s="761" t="str">
        <f>$DM$8</f>
        <v>Benefits (2025 $)</v>
      </c>
      <c r="DN341" s="2034" t="str">
        <f>$DN$8</f>
        <v>Incremental Cost (2025 $)</v>
      </c>
    </row>
    <row r="342" spans="1:125" x14ac:dyDescent="0.25">
      <c r="A342" s="2006" t="s">
        <v>329</v>
      </c>
      <c r="B342" s="247">
        <f>VALUE(LEFT(C342,6))</f>
        <v>803800</v>
      </c>
      <c r="C342" s="656" t="s">
        <v>462</v>
      </c>
      <c r="D342" s="1972" t="s">
        <v>60</v>
      </c>
      <c r="E342" s="458" t="s">
        <v>463</v>
      </c>
      <c r="F342" s="399">
        <f>ROUND(F353*(G353-H353)*I353,2)</f>
        <v>321.48</v>
      </c>
      <c r="G342" s="441" t="s">
        <v>332</v>
      </c>
      <c r="H342" s="442">
        <f>VLOOKUP(G342,'CP FACTORS'!$A$26:$B$38,2,FALSE)</f>
        <v>9.1068400000000004E-4</v>
      </c>
      <c r="I342" s="459">
        <f>ROUND(H342*F342,6)</f>
        <v>0.292767</v>
      </c>
      <c r="J342" s="99">
        <v>23</v>
      </c>
      <c r="K342" s="1689">
        <f>K353*(J353/0.01)</f>
        <v>854.83204137359746</v>
      </c>
      <c r="L342" s="487" t="s">
        <v>334</v>
      </c>
      <c r="M342" s="2317"/>
      <c r="N342" s="2317"/>
      <c r="O342" s="2317"/>
      <c r="V342" s="1285" t="str">
        <f>F341</f>
        <v>kWh Annual Savings (per ton)</v>
      </c>
      <c r="W342" s="53">
        <v>411</v>
      </c>
      <c r="X342" s="53">
        <v>411</v>
      </c>
      <c r="Y342" s="53">
        <v>411</v>
      </c>
      <c r="Z342" s="53">
        <v>411</v>
      </c>
      <c r="AA342" s="53">
        <v>411</v>
      </c>
      <c r="AB342" s="616">
        <v>411</v>
      </c>
      <c r="AC342" s="692">
        <v>411</v>
      </c>
      <c r="AD342" s="692">
        <v>411</v>
      </c>
      <c r="AE342" s="1628">
        <v>321.48</v>
      </c>
      <c r="AF342" s="1628">
        <v>321.48</v>
      </c>
      <c r="AG342" s="253">
        <f>IF(F342&lt;&gt;"",F342,"")</f>
        <v>321.48</v>
      </c>
      <c r="AH342"/>
      <c r="AI342" s="1311" t="s">
        <v>50</v>
      </c>
      <c r="AJ342" s="19">
        <v>20</v>
      </c>
      <c r="AK342" s="19">
        <v>20</v>
      </c>
      <c r="AL342" s="19">
        <v>20</v>
      </c>
      <c r="AM342" s="19">
        <v>20</v>
      </c>
      <c r="AN342" s="19">
        <v>20</v>
      </c>
      <c r="AO342" s="618">
        <v>20</v>
      </c>
      <c r="AP342" s="671">
        <v>20</v>
      </c>
      <c r="AQ342" s="675">
        <v>20</v>
      </c>
      <c r="AR342" s="675">
        <v>20</v>
      </c>
      <c r="AS342" s="675">
        <v>20</v>
      </c>
      <c r="AT342" s="675">
        <v>20</v>
      </c>
      <c r="AV342" s="1311" t="str">
        <f>K341</f>
        <v>Inc. Cost (per ton)</v>
      </c>
      <c r="AW342" s="672">
        <v>106.23</v>
      </c>
      <c r="AX342" s="672">
        <v>106.23</v>
      </c>
      <c r="AY342" s="672">
        <v>106.23</v>
      </c>
      <c r="AZ342" s="672">
        <v>106.23</v>
      </c>
      <c r="BA342" s="672">
        <v>106.23</v>
      </c>
      <c r="BB342" s="657">
        <v>106.23</v>
      </c>
      <c r="BC342" s="657">
        <v>106.23</v>
      </c>
      <c r="BD342" s="657">
        <v>106.23</v>
      </c>
      <c r="BE342" s="657">
        <v>106.23</v>
      </c>
      <c r="BF342" s="726">
        <v>854.83204137359746</v>
      </c>
      <c r="BG342" s="545">
        <f>K342</f>
        <v>854.83204137359746</v>
      </c>
      <c r="DK342" s="998">
        <f>(DM342)/(DN342)</f>
        <v>0.94937896665443189</v>
      </c>
      <c r="DL342" s="1272" t="str">
        <f>CONCATENATE(G342," ",J342," Year EUL")</f>
        <v>Cooling BUS 23 Year EUL</v>
      </c>
      <c r="DM342" s="999">
        <f>(INDEX('Avoided Cost Benefits'!$B$4:$B$865,MATCH(DL342,'Avoided Cost Benefits'!$A$4:$A$865,0)))*F342</f>
        <v>811.55956010236457</v>
      </c>
      <c r="DN342" s="2033">
        <f>IFERROR(K342/((1+DiscountRate)^(CurrentYear-DiscountYear)),0)</f>
        <v>854.83204137359746</v>
      </c>
    </row>
    <row r="343" spans="1:125" x14ac:dyDescent="0.25">
      <c r="A343" s="2006" t="s">
        <v>112</v>
      </c>
      <c r="B343" s="247">
        <f>VALUE(LEFT(C343,6))</f>
        <v>803810</v>
      </c>
      <c r="C343" s="656" t="s">
        <v>464</v>
      </c>
      <c r="D343" s="1972" t="s">
        <v>60</v>
      </c>
      <c r="E343" s="458" t="s">
        <v>465</v>
      </c>
      <c r="F343" s="399">
        <f>ROUND(F354*(G354-H354)*I354,2)</f>
        <v>113.72</v>
      </c>
      <c r="G343" s="441" t="s">
        <v>332</v>
      </c>
      <c r="H343" s="442">
        <f>VLOOKUP(G343,'CP FACTORS'!$A$26:$B$38,2,FALSE)</f>
        <v>9.1068400000000004E-4</v>
      </c>
      <c r="I343" s="459">
        <f>ROUND(H343*F343,6)</f>
        <v>0.103563</v>
      </c>
      <c r="J343" s="99">
        <v>23</v>
      </c>
      <c r="K343" s="1689">
        <f>K354*(J354/0.01)</f>
        <v>377.99999999999994</v>
      </c>
      <c r="L343" s="487" t="s">
        <v>334</v>
      </c>
      <c r="M343" s="2317"/>
      <c r="N343" s="2317"/>
      <c r="O343" s="2317"/>
      <c r="V343" s="1285" t="str">
        <f>V342</f>
        <v>kWh Annual Savings (per ton)</v>
      </c>
      <c r="W343" s="786"/>
      <c r="X343" s="786"/>
      <c r="Y343" s="786"/>
      <c r="Z343" s="786"/>
      <c r="AA343" s="786"/>
      <c r="AB343" s="789"/>
      <c r="AC343" s="692">
        <v>122.15</v>
      </c>
      <c r="AD343" s="692">
        <v>122.15</v>
      </c>
      <c r="AE343" s="1628">
        <v>113.72</v>
      </c>
      <c r="AF343" s="1628">
        <v>113.72</v>
      </c>
      <c r="AG343" s="253">
        <f>IF(F343&lt;&gt;"",F343,"")</f>
        <v>113.72</v>
      </c>
      <c r="AH343"/>
      <c r="AI343" s="1311" t="s">
        <v>50</v>
      </c>
      <c r="AJ343" s="786"/>
      <c r="AK343" s="786"/>
      <c r="AL343" s="786"/>
      <c r="AM343" s="786"/>
      <c r="AN343" s="786"/>
      <c r="AO343" s="789"/>
      <c r="AP343" s="671">
        <v>20</v>
      </c>
      <c r="AQ343" s="675">
        <v>20</v>
      </c>
      <c r="AR343" s="675">
        <v>20</v>
      </c>
      <c r="AS343" s="675">
        <v>20</v>
      </c>
      <c r="AT343" s="675">
        <v>20</v>
      </c>
      <c r="AV343" s="1311" t="str">
        <f>AV342</f>
        <v>Inc. Cost (per ton)</v>
      </c>
      <c r="AW343" s="786"/>
      <c r="AX343" s="786"/>
      <c r="AY343" s="786"/>
      <c r="AZ343" s="786"/>
      <c r="BA343" s="786"/>
      <c r="BB343" s="789"/>
      <c r="BC343" s="657">
        <v>106.23</v>
      </c>
      <c r="BD343" s="657">
        <v>106.23</v>
      </c>
      <c r="BE343" s="657">
        <v>106.23</v>
      </c>
      <c r="BF343" s="726">
        <v>377.99999999999994</v>
      </c>
      <c r="BG343" s="545">
        <f>K343</f>
        <v>377.99999999999994</v>
      </c>
      <c r="DK343" s="998">
        <f>(DM343)/(DN343)</f>
        <v>0.75947151480323571</v>
      </c>
      <c r="DL343" s="1272" t="str">
        <f>CONCATENATE(G343," ",J343," Year EUL")</f>
        <v>Cooling BUS 23 Year EUL</v>
      </c>
      <c r="DM343" s="999">
        <f>(INDEX('Avoided Cost Benefits'!$B$4:$B$865,MATCH(DL343,'Avoided Cost Benefits'!$A$4:$A$865,0)))*F343</f>
        <v>287.08023259562304</v>
      </c>
      <c r="DN343" s="2035">
        <f>IFERROR(K343/((1+DiscountRate)^(CurrentYear-DiscountYear)),0)</f>
        <v>377.99999999999994</v>
      </c>
    </row>
    <row r="344" spans="1:125" outlineLevel="1" x14ac:dyDescent="0.25">
      <c r="D344" s="74" t="s">
        <v>95</v>
      </c>
      <c r="E344" s="108" t="s">
        <v>466</v>
      </c>
      <c r="F344" s="7"/>
      <c r="G344" s="7"/>
      <c r="H344" s="449"/>
      <c r="I344" s="7"/>
      <c r="J344" s="7"/>
      <c r="K344" s="7"/>
      <c r="M344" s="2317"/>
      <c r="N344" s="2317"/>
      <c r="O344" s="2317"/>
    </row>
    <row r="345" spans="1:125" outlineLevel="1" x14ac:dyDescent="0.25">
      <c r="D345" s="7" t="s">
        <v>97</v>
      </c>
      <c r="E345" s="64"/>
      <c r="F345" s="7"/>
      <c r="G345" s="7"/>
      <c r="H345" s="449"/>
      <c r="I345" s="7"/>
      <c r="J345" s="7"/>
      <c r="K345" s="7"/>
      <c r="M345" s="2317"/>
      <c r="N345" s="2317"/>
      <c r="O345" s="2317"/>
    </row>
    <row r="346" spans="1:125" outlineLevel="1" x14ac:dyDescent="0.25">
      <c r="D346" s="450"/>
      <c r="E346" s="64"/>
      <c r="F346" s="476"/>
      <c r="G346" s="247"/>
      <c r="H346" s="451"/>
    </row>
    <row r="347" spans="1:125" outlineLevel="1" x14ac:dyDescent="0.25">
      <c r="D347" s="450"/>
      <c r="G347" s="247"/>
      <c r="H347" s="451"/>
    </row>
    <row r="348" spans="1:125" outlineLevel="1" x14ac:dyDescent="0.25">
      <c r="D348" s="450"/>
      <c r="G348" s="247"/>
      <c r="H348" s="451"/>
    </row>
    <row r="349" spans="1:125" outlineLevel="1" x14ac:dyDescent="0.25">
      <c r="D349" s="450"/>
      <c r="G349" s="247"/>
      <c r="H349" s="451"/>
    </row>
    <row r="350" spans="1:125" outlineLevel="1" x14ac:dyDescent="0.25">
      <c r="D350" s="450"/>
      <c r="G350" s="247"/>
      <c r="H350" s="451"/>
    </row>
    <row r="351" spans="1:125" outlineLevel="1" x14ac:dyDescent="0.25">
      <c r="D351" s="450"/>
      <c r="G351" s="1063" t="s">
        <v>412</v>
      </c>
      <c r="H351" s="451"/>
    </row>
    <row r="352" spans="1:125" s="8" customFormat="1" ht="30" outlineLevel="1" x14ac:dyDescent="0.25">
      <c r="A352" s="247"/>
      <c r="B352" s="115"/>
      <c r="C352" s="64"/>
      <c r="D352" s="1236" t="s">
        <v>43</v>
      </c>
      <c r="E352" s="1236" t="s">
        <v>173</v>
      </c>
      <c r="F352" s="31" t="s">
        <v>467</v>
      </c>
      <c r="G352" s="1236" t="s">
        <v>468</v>
      </c>
      <c r="H352" s="1236" t="s">
        <v>469</v>
      </c>
      <c r="I352" s="1236" t="s">
        <v>416</v>
      </c>
      <c r="J352" s="1783" t="s">
        <v>470</v>
      </c>
      <c r="K352" s="1236" t="s">
        <v>471</v>
      </c>
      <c r="L352" s="247"/>
      <c r="M352" s="115"/>
      <c r="N352" s="115"/>
      <c r="O352" s="115"/>
      <c r="P352" s="115"/>
      <c r="Q352" s="115"/>
      <c r="R352" s="115"/>
      <c r="S352" s="115"/>
      <c r="T352" s="115"/>
      <c r="U352" s="115"/>
      <c r="DI352" s="2"/>
      <c r="DJ352" s="2"/>
      <c r="DK352" s="996"/>
      <c r="DL352" s="115"/>
      <c r="DM352" s="115"/>
      <c r="DN352" s="499"/>
    </row>
    <row r="353" spans="1:118" outlineLevel="1" x14ac:dyDescent="0.25">
      <c r="D353" s="647" t="str">
        <f>C342</f>
        <v>803800_2024_12_</v>
      </c>
      <c r="E353" s="452" t="str">
        <f>E342</f>
        <v>Air Cooled Chiller</v>
      </c>
      <c r="F353" s="1703">
        <v>1</v>
      </c>
      <c r="G353" s="498">
        <f>12/((13.7/3.412)*3.412)</f>
        <v>0.87591240875912402</v>
      </c>
      <c r="H353" s="1694">
        <v>0.57061525112569633</v>
      </c>
      <c r="I353" s="1694">
        <v>1053</v>
      </c>
      <c r="J353" s="1694">
        <f>G353-H353</f>
        <v>0.30529715763342768</v>
      </c>
      <c r="K353" s="1694">
        <v>28</v>
      </c>
    </row>
    <row r="354" spans="1:118" outlineLevel="1" x14ac:dyDescent="0.25">
      <c r="D354" s="647" t="str">
        <f>C343</f>
        <v>803810_2024_12_</v>
      </c>
      <c r="E354" s="452" t="str">
        <f>E343</f>
        <v>Water Cooled Chiller</v>
      </c>
      <c r="F354" s="1703">
        <v>1</v>
      </c>
      <c r="G354" s="498">
        <v>0.54</v>
      </c>
      <c r="H354" s="1694">
        <f>G354*0.8</f>
        <v>0.43200000000000005</v>
      </c>
      <c r="I354" s="1694">
        <v>1053</v>
      </c>
      <c r="J354" s="1694">
        <f>G354-H354</f>
        <v>0.10799999999999998</v>
      </c>
      <c r="K354" s="1694">
        <v>35</v>
      </c>
    </row>
    <row r="355" spans="1:118" outlineLevel="1" x14ac:dyDescent="0.25">
      <c r="D355" s="7" t="s">
        <v>472</v>
      </c>
    </row>
    <row r="356" spans="1:118" outlineLevel="1" x14ac:dyDescent="0.25">
      <c r="D356" s="7" t="s">
        <v>473</v>
      </c>
    </row>
    <row r="357" spans="1:118" outlineLevel="1" x14ac:dyDescent="0.25"/>
    <row r="359" spans="1:118" x14ac:dyDescent="0.25">
      <c r="BF359" s="247"/>
    </row>
    <row r="360" spans="1:118" s="7" customFormat="1" x14ac:dyDescent="0.25">
      <c r="A360" s="247"/>
      <c r="B360" s="2308" t="s">
        <v>474</v>
      </c>
      <c r="C360" s="2309"/>
      <c r="D360" s="2309"/>
      <c r="E360" s="2309"/>
      <c r="F360" s="2309"/>
      <c r="G360" s="2309"/>
      <c r="H360" s="2309"/>
      <c r="I360" s="2310"/>
      <c r="J360" s="2310"/>
      <c r="K360" s="2310"/>
      <c r="L360" s="2310"/>
      <c r="M360" s="2311"/>
      <c r="N360" s="2311"/>
      <c r="O360" s="2312"/>
      <c r="V360" s="1234" t="str">
        <f>B360</f>
        <v>Compressed Air</v>
      </c>
      <c r="W360" s="1235"/>
      <c r="X360" s="1235"/>
      <c r="Y360" s="1235"/>
      <c r="Z360" s="1235"/>
      <c r="AA360" s="1235"/>
      <c r="AB360" s="1235"/>
      <c r="AC360" s="1235"/>
      <c r="AD360" s="1235"/>
      <c r="AE360" s="1235"/>
      <c r="AF360" s="1235"/>
      <c r="AG360" s="1235"/>
      <c r="AH360" s="1235"/>
      <c r="AI360" s="1269"/>
      <c r="AJ360" s="2"/>
      <c r="AK360" s="2"/>
      <c r="AL360" s="2"/>
      <c r="AM360" s="2"/>
      <c r="AN360" s="2"/>
      <c r="AO360" s="2"/>
      <c r="AP360" s="2"/>
      <c r="AQ360" s="2"/>
      <c r="AR360" s="2"/>
      <c r="AS360" s="2"/>
      <c r="AT360" s="2"/>
      <c r="AU360" s="2"/>
      <c r="AV360" s="2"/>
      <c r="BG360" s="2"/>
      <c r="DI360" s="2"/>
      <c r="DJ360" s="2"/>
      <c r="DK360" s="23"/>
      <c r="DN360" s="2031"/>
    </row>
    <row r="361" spans="1:118" x14ac:dyDescent="0.25">
      <c r="D361" s="439"/>
      <c r="E361" s="7"/>
      <c r="F361" s="7"/>
      <c r="G361" s="7"/>
      <c r="H361" s="440"/>
      <c r="I361" s="7"/>
      <c r="J361" s="7"/>
      <c r="K361" s="7"/>
      <c r="L361" s="7"/>
      <c r="P361" s="7"/>
      <c r="Q361" s="7"/>
      <c r="R361" s="7"/>
      <c r="S361" s="7"/>
      <c r="T361" s="7"/>
      <c r="U361" s="7"/>
      <c r="V361"/>
      <c r="W361"/>
      <c r="X361"/>
      <c r="Y361"/>
      <c r="Z361"/>
      <c r="AA361"/>
      <c r="AB361"/>
      <c r="AC361"/>
      <c r="AD361"/>
      <c r="AE361"/>
      <c r="AF361"/>
      <c r="AG361"/>
      <c r="AH361"/>
      <c r="AI361"/>
      <c r="AJ361" s="6"/>
      <c r="AK361" s="6"/>
      <c r="AL361" s="6"/>
      <c r="AM361" s="6"/>
      <c r="AN361" s="6"/>
      <c r="AO361" s="6"/>
      <c r="AP361" s="6"/>
      <c r="AQ361" s="6"/>
      <c r="AR361" s="6"/>
      <c r="AS361" s="6"/>
      <c r="AT361" s="6"/>
      <c r="AU361" s="6"/>
      <c r="AV361" s="6"/>
      <c r="BG361" s="6"/>
    </row>
    <row r="362" spans="1:118" s="8" customFormat="1" ht="30" x14ac:dyDescent="0.25">
      <c r="A362" s="247"/>
      <c r="B362" s="64"/>
      <c r="C362" s="9" t="s">
        <v>43</v>
      </c>
      <c r="D362" s="9" t="s">
        <v>44</v>
      </c>
      <c r="E362" s="1301" t="s">
        <v>45</v>
      </c>
      <c r="F362" s="1301" t="s">
        <v>46</v>
      </c>
      <c r="G362" s="1301" t="s">
        <v>47</v>
      </c>
      <c r="H362" s="10" t="s">
        <v>48</v>
      </c>
      <c r="I362" s="1301" t="s">
        <v>49</v>
      </c>
      <c r="J362" s="1301" t="s">
        <v>50</v>
      </c>
      <c r="K362" s="9" t="s">
        <v>51</v>
      </c>
      <c r="L362" s="9" t="s">
        <v>52</v>
      </c>
      <c r="M362" s="247"/>
      <c r="N362" s="499"/>
      <c r="O362" s="483"/>
      <c r="P362" s="484"/>
      <c r="Q362" s="115"/>
      <c r="R362" s="115"/>
      <c r="S362" s="115"/>
      <c r="T362" s="115"/>
      <c r="U362" s="115"/>
      <c r="V362" s="636" t="s">
        <v>53</v>
      </c>
      <c r="W362" s="637">
        <f>$W$8</f>
        <v>43252</v>
      </c>
      <c r="X362" s="637">
        <f>$X$8</f>
        <v>43465</v>
      </c>
      <c r="Y362" s="637">
        <f>$Y$8</f>
        <v>43800</v>
      </c>
      <c r="Z362" s="637">
        <f>$Z$8</f>
        <v>43862</v>
      </c>
      <c r="AA362" s="637">
        <f>$AA$8</f>
        <v>44013</v>
      </c>
      <c r="AB362" s="637">
        <v>44166</v>
      </c>
      <c r="AC362" s="637">
        <f>$AC$8</f>
        <v>44531</v>
      </c>
      <c r="AD362" s="637">
        <f>$AD$8</f>
        <v>44774</v>
      </c>
      <c r="AE362" s="637">
        <f>$AE$8</f>
        <v>45142</v>
      </c>
      <c r="AF362" s="637">
        <f>$AF$8</f>
        <v>45672</v>
      </c>
      <c r="AG362" s="637">
        <f>$AG$8</f>
        <v>45971</v>
      </c>
      <c r="AH362"/>
      <c r="AI362" s="636" t="s">
        <v>53</v>
      </c>
      <c r="AJ362" s="637">
        <v>43252</v>
      </c>
      <c r="AK362" s="637">
        <f>$X$8</f>
        <v>43465</v>
      </c>
      <c r="AL362" s="637">
        <f>$Y$8</f>
        <v>43800</v>
      </c>
      <c r="AM362" s="637">
        <f>$Z$8</f>
        <v>43862</v>
      </c>
      <c r="AN362" s="637">
        <f>$AA$8</f>
        <v>44013</v>
      </c>
      <c r="AO362" s="637">
        <f>$AB$8</f>
        <v>44166</v>
      </c>
      <c r="AP362" s="637">
        <f>$AC$8</f>
        <v>44531</v>
      </c>
      <c r="AQ362" s="637">
        <f>$AD$8</f>
        <v>44774</v>
      </c>
      <c r="AR362" s="637">
        <f>$AE$8</f>
        <v>45142</v>
      </c>
      <c r="AS362" s="637">
        <f>$AF$8</f>
        <v>45672</v>
      </c>
      <c r="AT362" s="637">
        <f>$AT$8</f>
        <v>45971</v>
      </c>
      <c r="AU362" s="2"/>
      <c r="AV362" s="636" t="s">
        <v>53</v>
      </c>
      <c r="AW362" s="637">
        <v>43252</v>
      </c>
      <c r="AX362" s="637">
        <f>$X$8</f>
        <v>43465</v>
      </c>
      <c r="AY362" s="637">
        <f>$Y$8</f>
        <v>43800</v>
      </c>
      <c r="AZ362" s="637">
        <f>$Z$8</f>
        <v>43862</v>
      </c>
      <c r="BA362" s="637">
        <f>$AA$8</f>
        <v>44013</v>
      </c>
      <c r="BB362" s="637">
        <v>44166</v>
      </c>
      <c r="BC362" s="637">
        <f>$AC$8</f>
        <v>44531</v>
      </c>
      <c r="BD362" s="637">
        <f>$AD$8</f>
        <v>44774</v>
      </c>
      <c r="BE362" s="637">
        <f>$AE$8</f>
        <v>45142</v>
      </c>
      <c r="BF362" s="637">
        <f>$AF$8</f>
        <v>45672</v>
      </c>
      <c r="BG362" s="637">
        <f>$AT$8</f>
        <v>45971</v>
      </c>
      <c r="DI362" s="2"/>
      <c r="DJ362" s="2"/>
      <c r="DK362" s="991" t="str">
        <f>$DK$8</f>
        <v>TRC (2025)</v>
      </c>
      <c r="DL362" s="761" t="str">
        <f>$DL$8</f>
        <v>Benefit Lookup</v>
      </c>
      <c r="DM362" s="761" t="str">
        <f>$DM$8</f>
        <v>Benefits (2025 $)</v>
      </c>
      <c r="DN362" s="2034" t="str">
        <f>$DN$8</f>
        <v>Incremental Cost (2025 $)</v>
      </c>
    </row>
    <row r="363" spans="1:118" x14ac:dyDescent="0.25">
      <c r="A363" s="2006" t="s">
        <v>112</v>
      </c>
      <c r="B363" s="247">
        <f t="shared" ref="B363:B417" si="107">VALUE(LEFT(C363,6))</f>
        <v>804300</v>
      </c>
      <c r="C363" s="656" t="s">
        <v>475</v>
      </c>
      <c r="D363" s="1972" t="s">
        <v>60</v>
      </c>
      <c r="E363" s="458" t="s">
        <v>476</v>
      </c>
      <c r="F363" s="399">
        <f>ROUND(F379*G379*H379,2)</f>
        <v>3272.26</v>
      </c>
      <c r="G363" s="441" t="s">
        <v>477</v>
      </c>
      <c r="H363" s="442">
        <f>VLOOKUP(G363,'CP FACTORS'!$A$26:$B$38,2,FALSE)</f>
        <v>1.379439E-4</v>
      </c>
      <c r="I363" s="459">
        <f t="shared" ref="I363:I369" si="108">ROUND(H363*F363,6)</f>
        <v>0.45138800000000001</v>
      </c>
      <c r="J363" s="477">
        <v>13</v>
      </c>
      <c r="K363" s="1689">
        <v>778</v>
      </c>
      <c r="L363" s="487" t="s">
        <v>63</v>
      </c>
      <c r="N363" s="1630"/>
      <c r="O363" s="1630"/>
      <c r="V363" s="1311" t="s">
        <v>46</v>
      </c>
      <c r="W363" s="53">
        <v>3272.2560000000003</v>
      </c>
      <c r="X363" s="53">
        <v>3272.2560000000003</v>
      </c>
      <c r="Y363" s="53">
        <v>3272.2560000000003</v>
      </c>
      <c r="Z363" s="53">
        <v>3272.2560000000003</v>
      </c>
      <c r="AA363" s="53">
        <v>3272.2560000000003</v>
      </c>
      <c r="AB363" s="616">
        <v>3272.26</v>
      </c>
      <c r="AC363" s="692">
        <v>3272.26</v>
      </c>
      <c r="AD363" s="692">
        <v>3272.26</v>
      </c>
      <c r="AE363" s="692">
        <v>3272.26</v>
      </c>
      <c r="AF363" s="692">
        <v>3272.26</v>
      </c>
      <c r="AG363" s="692">
        <f>$F363</f>
        <v>3272.26</v>
      </c>
      <c r="AH363"/>
      <c r="AI363" s="1311" t="s">
        <v>50</v>
      </c>
      <c r="AJ363" s="19">
        <v>13</v>
      </c>
      <c r="AK363" s="19">
        <v>13</v>
      </c>
      <c r="AL363" s="19">
        <v>13</v>
      </c>
      <c r="AM363" s="19">
        <v>13</v>
      </c>
      <c r="AN363" s="19">
        <v>13</v>
      </c>
      <c r="AO363" s="618">
        <v>13</v>
      </c>
      <c r="AP363" s="671">
        <v>13</v>
      </c>
      <c r="AQ363" s="671">
        <v>13</v>
      </c>
      <c r="AR363" s="671">
        <v>13</v>
      </c>
      <c r="AS363" s="671">
        <v>13</v>
      </c>
      <c r="AT363" s="671">
        <v>13</v>
      </c>
      <c r="AV363" s="1311" t="s">
        <v>51</v>
      </c>
      <c r="AW363" s="672">
        <v>700</v>
      </c>
      <c r="AX363" s="672">
        <v>700</v>
      </c>
      <c r="AY363" s="672">
        <v>700</v>
      </c>
      <c r="AZ363" s="672">
        <v>700</v>
      </c>
      <c r="BA363" s="672">
        <v>700</v>
      </c>
      <c r="BB363" s="657">
        <v>700</v>
      </c>
      <c r="BC363" s="657">
        <v>700</v>
      </c>
      <c r="BD363" s="657">
        <v>700</v>
      </c>
      <c r="BE363" s="657">
        <v>700</v>
      </c>
      <c r="BF363" s="726">
        <v>778</v>
      </c>
      <c r="BG363" s="545">
        <v>778</v>
      </c>
      <c r="DK363" s="993">
        <f t="shared" ref="DK363:DK369" si="109">(DM363)/(DN363)</f>
        <v>2.718076455610043</v>
      </c>
      <c r="DL363" s="1272" t="str">
        <f t="shared" ref="DL363:DL369" si="110">CONCATENATE(G363," ",J363," Year EUL")</f>
        <v>Air Comp BUS 13 Year EUL</v>
      </c>
      <c r="DM363" s="181">
        <f>(INDEX('Avoided Cost Benefits'!$B$4:$B$865,MATCH(DL363,'Avoided Cost Benefits'!$A$4:$A$865,0)))*F363</f>
        <v>2114.6634824646135</v>
      </c>
      <c r="DN363" s="2033">
        <f t="shared" ref="DN363:DN369" si="111">IFERROR(K363/((1+DiscountRate)^(CurrentYear-DiscountYear)),0)</f>
        <v>778</v>
      </c>
    </row>
    <row r="364" spans="1:118" x14ac:dyDescent="0.25">
      <c r="A364" s="2006" t="s">
        <v>112</v>
      </c>
      <c r="B364" s="247">
        <f t="shared" si="107"/>
        <v>804350</v>
      </c>
      <c r="C364" s="656" t="s">
        <v>478</v>
      </c>
      <c r="D364" s="1972" t="s">
        <v>60</v>
      </c>
      <c r="E364" s="458" t="s">
        <v>479</v>
      </c>
      <c r="F364" s="399">
        <f t="shared" ref="F364:F369" si="112">ROUND(F380*G380*H380,2)</f>
        <v>2418.62</v>
      </c>
      <c r="G364" s="441" t="s">
        <v>477</v>
      </c>
      <c r="H364" s="442">
        <f>VLOOKUP(G364,'CP FACTORS'!$A$26:$B$38,2,FALSE)</f>
        <v>1.379439E-4</v>
      </c>
      <c r="I364" s="459">
        <f t="shared" si="108"/>
        <v>0.33363399999999999</v>
      </c>
      <c r="J364" s="477">
        <v>13</v>
      </c>
      <c r="K364" s="1689">
        <v>778</v>
      </c>
      <c r="L364" s="487" t="s">
        <v>63</v>
      </c>
      <c r="N364" s="1630"/>
      <c r="O364" s="1630"/>
      <c r="V364" s="1311" t="s">
        <v>46</v>
      </c>
      <c r="W364" s="53">
        <v>2418.6240000000003</v>
      </c>
      <c r="X364" s="53">
        <v>2418.6240000000003</v>
      </c>
      <c r="Y364" s="53">
        <v>2418.6240000000003</v>
      </c>
      <c r="Z364" s="53">
        <v>2418.6240000000003</v>
      </c>
      <c r="AA364" s="53">
        <v>2418.6240000000003</v>
      </c>
      <c r="AB364" s="616">
        <v>2418.62</v>
      </c>
      <c r="AC364" s="692">
        <v>2418.62</v>
      </c>
      <c r="AD364" s="692">
        <v>2418.62</v>
      </c>
      <c r="AE364" s="692">
        <v>2418.62</v>
      </c>
      <c r="AF364" s="692">
        <v>2418.62</v>
      </c>
      <c r="AG364" s="692">
        <f t="shared" ref="AG364:AG369" si="113">$F364</f>
        <v>2418.62</v>
      </c>
      <c r="AH364"/>
      <c r="AI364" s="1311" t="s">
        <v>50</v>
      </c>
      <c r="AJ364" s="19">
        <v>13</v>
      </c>
      <c r="AK364" s="19">
        <v>13</v>
      </c>
      <c r="AL364" s="19">
        <v>13</v>
      </c>
      <c r="AM364" s="19">
        <v>13</v>
      </c>
      <c r="AN364" s="19">
        <v>13</v>
      </c>
      <c r="AO364" s="618">
        <v>13</v>
      </c>
      <c r="AP364" s="671">
        <v>13</v>
      </c>
      <c r="AQ364" s="671">
        <v>13</v>
      </c>
      <c r="AR364" s="671">
        <v>13</v>
      </c>
      <c r="AS364" s="671">
        <v>13</v>
      </c>
      <c r="AT364" s="671">
        <v>13</v>
      </c>
      <c r="AV364" s="1311" t="s">
        <v>51</v>
      </c>
      <c r="AW364" s="672">
        <v>700</v>
      </c>
      <c r="AX364" s="672">
        <v>700</v>
      </c>
      <c r="AY364" s="672">
        <v>700</v>
      </c>
      <c r="AZ364" s="672">
        <v>700</v>
      </c>
      <c r="BA364" s="672">
        <v>700</v>
      </c>
      <c r="BB364" s="657">
        <v>700</v>
      </c>
      <c r="BC364" s="657">
        <v>700</v>
      </c>
      <c r="BD364" s="657">
        <v>700</v>
      </c>
      <c r="BE364" s="657">
        <v>700</v>
      </c>
      <c r="BF364" s="726">
        <v>778</v>
      </c>
      <c r="BG364" s="545">
        <v>778</v>
      </c>
      <c r="DK364" s="994">
        <f t="shared" si="109"/>
        <v>2.0090072540285804</v>
      </c>
      <c r="DL364" s="641" t="str">
        <f t="shared" si="110"/>
        <v>Air Comp BUS 13 Year EUL</v>
      </c>
      <c r="DM364" s="623">
        <f>(INDEX('Avoided Cost Benefits'!$B$4:$B$865,MATCH(DL364,'Avoided Cost Benefits'!$A$4:$A$865,0)))*F364</f>
        <v>1563.0076436342354</v>
      </c>
      <c r="DN364" s="1928">
        <f t="shared" si="111"/>
        <v>778</v>
      </c>
    </row>
    <row r="365" spans="1:118" x14ac:dyDescent="0.25">
      <c r="A365" s="2006" t="s">
        <v>112</v>
      </c>
      <c r="B365" s="247">
        <f t="shared" si="107"/>
        <v>804400</v>
      </c>
      <c r="C365" s="656" t="s">
        <v>480</v>
      </c>
      <c r="D365" s="1972" t="s">
        <v>60</v>
      </c>
      <c r="E365" s="458" t="s">
        <v>481</v>
      </c>
      <c r="F365" s="399">
        <f t="shared" si="112"/>
        <v>2703.17</v>
      </c>
      <c r="G365" s="441" t="s">
        <v>477</v>
      </c>
      <c r="H365" s="442">
        <f>VLOOKUP(G365,'CP FACTORS'!$A$26:$B$38,2,FALSE)</f>
        <v>1.379439E-4</v>
      </c>
      <c r="I365" s="459">
        <f t="shared" si="108"/>
        <v>0.372886</v>
      </c>
      <c r="J365" s="477">
        <v>13</v>
      </c>
      <c r="K365" s="1689">
        <v>778</v>
      </c>
      <c r="L365" s="487" t="s">
        <v>63</v>
      </c>
      <c r="N365" s="1630"/>
      <c r="O365" s="1630"/>
      <c r="V365" s="1311" t="s">
        <v>46</v>
      </c>
      <c r="W365" s="53">
        <v>2703.1679999999997</v>
      </c>
      <c r="X365" s="53">
        <v>2703.1679999999997</v>
      </c>
      <c r="Y365" s="53">
        <v>2703.1679999999997</v>
      </c>
      <c r="Z365" s="53">
        <v>2703.1679999999997</v>
      </c>
      <c r="AA365" s="53">
        <v>2703.1679999999997</v>
      </c>
      <c r="AB365" s="616">
        <v>2703.17</v>
      </c>
      <c r="AC365" s="692">
        <v>2703.17</v>
      </c>
      <c r="AD365" s="692">
        <v>2703.17</v>
      </c>
      <c r="AE365" s="692">
        <v>2703.17</v>
      </c>
      <c r="AF365" s="692">
        <v>2703.17</v>
      </c>
      <c r="AG365" s="692">
        <f t="shared" si="113"/>
        <v>2703.17</v>
      </c>
      <c r="AH365"/>
      <c r="AI365" s="1311" t="s">
        <v>50</v>
      </c>
      <c r="AJ365" s="19">
        <v>13</v>
      </c>
      <c r="AK365" s="19">
        <v>13</v>
      </c>
      <c r="AL365" s="19">
        <v>13</v>
      </c>
      <c r="AM365" s="19">
        <v>13</v>
      </c>
      <c r="AN365" s="19">
        <v>13</v>
      </c>
      <c r="AO365" s="618">
        <v>13</v>
      </c>
      <c r="AP365" s="671">
        <v>13</v>
      </c>
      <c r="AQ365" s="671">
        <v>13</v>
      </c>
      <c r="AR365" s="671">
        <v>13</v>
      </c>
      <c r="AS365" s="671">
        <v>13</v>
      </c>
      <c r="AT365" s="671">
        <v>13</v>
      </c>
      <c r="AV365" s="1311" t="s">
        <v>51</v>
      </c>
      <c r="AW365" s="672">
        <v>700</v>
      </c>
      <c r="AX365" s="672">
        <v>700</v>
      </c>
      <c r="AY365" s="672">
        <v>700</v>
      </c>
      <c r="AZ365" s="672">
        <v>700</v>
      </c>
      <c r="BA365" s="672">
        <v>700</v>
      </c>
      <c r="BB365" s="657">
        <v>700</v>
      </c>
      <c r="BC365" s="657">
        <v>700</v>
      </c>
      <c r="BD365" s="657">
        <v>700</v>
      </c>
      <c r="BE365" s="657">
        <v>700</v>
      </c>
      <c r="BF365" s="726">
        <v>778</v>
      </c>
      <c r="BG365" s="545">
        <v>778</v>
      </c>
      <c r="DK365" s="994">
        <f t="shared" si="109"/>
        <v>2.2453664233622632</v>
      </c>
      <c r="DL365" s="641" t="str">
        <f t="shared" si="110"/>
        <v>Air Comp BUS 13 Year EUL</v>
      </c>
      <c r="DM365" s="623">
        <f>(INDEX('Avoided Cost Benefits'!$B$4:$B$865,MATCH(DL365,'Avoided Cost Benefits'!$A$4:$A$865,0)))*F365</f>
        <v>1746.8950773758409</v>
      </c>
      <c r="DN365" s="1928">
        <f t="shared" si="111"/>
        <v>778</v>
      </c>
    </row>
    <row r="366" spans="1:118" x14ac:dyDescent="0.25">
      <c r="A366" s="2006" t="s">
        <v>112</v>
      </c>
      <c r="B366" s="247">
        <f t="shared" si="107"/>
        <v>804450</v>
      </c>
      <c r="C366" s="656" t="s">
        <v>482</v>
      </c>
      <c r="D366" s="1972" t="s">
        <v>60</v>
      </c>
      <c r="E366" s="458" t="s">
        <v>483</v>
      </c>
      <c r="F366" s="399">
        <f t="shared" si="112"/>
        <v>978.12</v>
      </c>
      <c r="G366" s="441" t="s">
        <v>477</v>
      </c>
      <c r="H366" s="442">
        <f>VLOOKUP(G366,'CP FACTORS'!$A$26:$B$38,2,FALSE)</f>
        <v>1.379439E-4</v>
      </c>
      <c r="I366" s="459">
        <f t="shared" si="108"/>
        <v>0.13492599999999999</v>
      </c>
      <c r="J366" s="477">
        <v>13</v>
      </c>
      <c r="K366" s="1689">
        <v>778</v>
      </c>
      <c r="L366" s="487" t="s">
        <v>63</v>
      </c>
      <c r="N366" s="1630"/>
      <c r="O366" s="1630"/>
      <c r="V366" s="1311" t="s">
        <v>46</v>
      </c>
      <c r="W366" s="53">
        <v>978.12</v>
      </c>
      <c r="X366" s="53">
        <v>978.12</v>
      </c>
      <c r="Y366" s="53">
        <v>978.12</v>
      </c>
      <c r="Z366" s="53">
        <v>978.12</v>
      </c>
      <c r="AA366" s="53">
        <v>978.12</v>
      </c>
      <c r="AB366" s="616">
        <v>978.12</v>
      </c>
      <c r="AC366" s="692">
        <v>978.12</v>
      </c>
      <c r="AD366" s="692">
        <v>978.12</v>
      </c>
      <c r="AE366" s="692">
        <v>978.12</v>
      </c>
      <c r="AF366" s="692">
        <v>978.12</v>
      </c>
      <c r="AG366" s="692">
        <f t="shared" si="113"/>
        <v>978.12</v>
      </c>
      <c r="AH366"/>
      <c r="AI366" s="1311" t="s">
        <v>50</v>
      </c>
      <c r="AJ366" s="19">
        <v>13</v>
      </c>
      <c r="AK366" s="19">
        <v>13</v>
      </c>
      <c r="AL366" s="19">
        <v>13</v>
      </c>
      <c r="AM366" s="19">
        <v>13</v>
      </c>
      <c r="AN366" s="19">
        <v>13</v>
      </c>
      <c r="AO366" s="618">
        <v>13</v>
      </c>
      <c r="AP366" s="671">
        <v>13</v>
      </c>
      <c r="AQ366" s="671">
        <v>13</v>
      </c>
      <c r="AR366" s="671">
        <v>13</v>
      </c>
      <c r="AS366" s="671">
        <v>13</v>
      </c>
      <c r="AT366" s="671">
        <v>13</v>
      </c>
      <c r="AV366" s="1311" t="s">
        <v>51</v>
      </c>
      <c r="AW366" s="672">
        <v>700</v>
      </c>
      <c r="AX366" s="672">
        <v>700</v>
      </c>
      <c r="AY366" s="672">
        <v>700</v>
      </c>
      <c r="AZ366" s="672">
        <v>700</v>
      </c>
      <c r="BA366" s="672">
        <v>700</v>
      </c>
      <c r="BB366" s="657">
        <v>700</v>
      </c>
      <c r="BC366" s="657">
        <v>700</v>
      </c>
      <c r="BD366" s="657">
        <v>700</v>
      </c>
      <c r="BE366" s="657">
        <v>700</v>
      </c>
      <c r="BF366" s="726">
        <v>778</v>
      </c>
      <c r="BG366" s="545">
        <v>778</v>
      </c>
      <c r="DK366" s="994">
        <f t="shared" si="109"/>
        <v>0.81246751259413841</v>
      </c>
      <c r="DL366" s="641" t="str">
        <f t="shared" si="110"/>
        <v>Air Comp BUS 13 Year EUL</v>
      </c>
      <c r="DM366" s="623">
        <f>(INDEX('Avoided Cost Benefits'!$B$4:$B$865,MATCH(DL366,'Avoided Cost Benefits'!$A$4:$A$865,0)))*F366</f>
        <v>632.09972479823966</v>
      </c>
      <c r="DN366" s="1928">
        <f t="shared" si="111"/>
        <v>778</v>
      </c>
    </row>
    <row r="367" spans="1:118" x14ac:dyDescent="0.25">
      <c r="A367" s="2006" t="s">
        <v>112</v>
      </c>
      <c r="B367" s="247">
        <f t="shared" si="107"/>
        <v>804500</v>
      </c>
      <c r="C367" s="656" t="s">
        <v>484</v>
      </c>
      <c r="D367" s="1972" t="s">
        <v>60</v>
      </c>
      <c r="E367" s="458" t="s">
        <v>485</v>
      </c>
      <c r="F367" s="399">
        <f t="shared" si="112"/>
        <v>978.12</v>
      </c>
      <c r="G367" s="441" t="s">
        <v>477</v>
      </c>
      <c r="H367" s="442">
        <f>VLOOKUP(G367,'CP FACTORS'!$A$26:$B$38,2,FALSE)</f>
        <v>1.379439E-4</v>
      </c>
      <c r="I367" s="459">
        <f t="shared" si="108"/>
        <v>0.13492599999999999</v>
      </c>
      <c r="J367" s="477">
        <v>13</v>
      </c>
      <c r="K367" s="1689">
        <v>778</v>
      </c>
      <c r="L367" s="487" t="s">
        <v>63</v>
      </c>
      <c r="N367" s="1630"/>
      <c r="O367" s="1630"/>
      <c r="V367" s="1311" t="s">
        <v>46</v>
      </c>
      <c r="W367" s="53">
        <v>978.12</v>
      </c>
      <c r="X367" s="53">
        <v>978.12</v>
      </c>
      <c r="Y367" s="53">
        <v>978.12</v>
      </c>
      <c r="Z367" s="53">
        <v>978.12</v>
      </c>
      <c r="AA367" s="53">
        <v>978.12</v>
      </c>
      <c r="AB367" s="616">
        <v>978.12</v>
      </c>
      <c r="AC367" s="692">
        <v>978.12</v>
      </c>
      <c r="AD367" s="692">
        <v>978.12</v>
      </c>
      <c r="AE367" s="692">
        <v>978.12</v>
      </c>
      <c r="AF367" s="692">
        <v>978.12</v>
      </c>
      <c r="AG367" s="692">
        <f t="shared" si="113"/>
        <v>978.12</v>
      </c>
      <c r="AH367"/>
      <c r="AI367" s="1311" t="s">
        <v>50</v>
      </c>
      <c r="AJ367" s="19">
        <v>13</v>
      </c>
      <c r="AK367" s="19">
        <v>13</v>
      </c>
      <c r="AL367" s="19">
        <v>13</v>
      </c>
      <c r="AM367" s="19">
        <v>13</v>
      </c>
      <c r="AN367" s="19">
        <v>13</v>
      </c>
      <c r="AO367" s="618">
        <v>13</v>
      </c>
      <c r="AP367" s="671">
        <v>13</v>
      </c>
      <c r="AQ367" s="671">
        <v>13</v>
      </c>
      <c r="AR367" s="671">
        <v>13</v>
      </c>
      <c r="AS367" s="671">
        <v>13</v>
      </c>
      <c r="AT367" s="671">
        <v>13</v>
      </c>
      <c r="AV367" s="1311" t="s">
        <v>51</v>
      </c>
      <c r="AW367" s="672">
        <v>700</v>
      </c>
      <c r="AX367" s="672">
        <v>700</v>
      </c>
      <c r="AY367" s="672">
        <v>700</v>
      </c>
      <c r="AZ367" s="672">
        <v>700</v>
      </c>
      <c r="BA367" s="672">
        <v>700</v>
      </c>
      <c r="BB367" s="657">
        <v>700</v>
      </c>
      <c r="BC367" s="657">
        <v>700</v>
      </c>
      <c r="BD367" s="657">
        <v>700</v>
      </c>
      <c r="BE367" s="657">
        <v>700</v>
      </c>
      <c r="BF367" s="726">
        <v>778</v>
      </c>
      <c r="BG367" s="545">
        <v>778</v>
      </c>
      <c r="DK367" s="994">
        <f t="shared" si="109"/>
        <v>0.81246751259413841</v>
      </c>
      <c r="DL367" s="641" t="str">
        <f t="shared" si="110"/>
        <v>Air Comp BUS 13 Year EUL</v>
      </c>
      <c r="DM367" s="623">
        <f>(INDEX('Avoided Cost Benefits'!$B$4:$B$865,MATCH(DL367,'Avoided Cost Benefits'!$A$4:$A$865,0)))*F367</f>
        <v>632.09972479823966</v>
      </c>
      <c r="DN367" s="1928">
        <f t="shared" si="111"/>
        <v>778</v>
      </c>
    </row>
    <row r="368" spans="1:118" x14ac:dyDescent="0.25">
      <c r="A368" s="2006" t="s">
        <v>112</v>
      </c>
      <c r="B368" s="247">
        <f t="shared" si="107"/>
        <v>804550</v>
      </c>
      <c r="C368" s="656" t="s">
        <v>486</v>
      </c>
      <c r="D368" s="1972" t="s">
        <v>60</v>
      </c>
      <c r="E368" s="458" t="s">
        <v>487</v>
      </c>
      <c r="F368" s="399">
        <f t="shared" si="112"/>
        <v>2720.95</v>
      </c>
      <c r="G368" s="441" t="s">
        <v>477</v>
      </c>
      <c r="H368" s="442">
        <f>VLOOKUP(G368,'CP FACTORS'!$A$26:$B$38,2,FALSE)</f>
        <v>1.379439E-4</v>
      </c>
      <c r="I368" s="459">
        <f t="shared" si="108"/>
        <v>0.375338</v>
      </c>
      <c r="J368" s="477">
        <v>13</v>
      </c>
      <c r="K368" s="1689">
        <v>778</v>
      </c>
      <c r="L368" s="487" t="s">
        <v>63</v>
      </c>
      <c r="N368" s="1630"/>
      <c r="O368" s="1630"/>
      <c r="V368" s="1311" t="s">
        <v>46</v>
      </c>
      <c r="W368" s="53">
        <v>2720.9519999999998</v>
      </c>
      <c r="X368" s="53">
        <v>2720.9519999999998</v>
      </c>
      <c r="Y368" s="53">
        <v>2720.9519999999998</v>
      </c>
      <c r="Z368" s="53">
        <v>2720.9519999999998</v>
      </c>
      <c r="AA368" s="53">
        <v>2720.9519999999998</v>
      </c>
      <c r="AB368" s="616">
        <v>2720.95</v>
      </c>
      <c r="AC368" s="692">
        <v>2720.95</v>
      </c>
      <c r="AD368" s="692">
        <v>2720.95</v>
      </c>
      <c r="AE368" s="692">
        <v>2720.95</v>
      </c>
      <c r="AF368" s="692">
        <v>2720.95</v>
      </c>
      <c r="AG368" s="692">
        <f t="shared" si="113"/>
        <v>2720.95</v>
      </c>
      <c r="AH368"/>
      <c r="AI368" s="1311" t="s">
        <v>50</v>
      </c>
      <c r="AJ368" s="19">
        <v>13</v>
      </c>
      <c r="AK368" s="19">
        <v>13</v>
      </c>
      <c r="AL368" s="19">
        <v>13</v>
      </c>
      <c r="AM368" s="19">
        <v>13</v>
      </c>
      <c r="AN368" s="19">
        <v>13</v>
      </c>
      <c r="AO368" s="618">
        <v>13</v>
      </c>
      <c r="AP368" s="671">
        <v>13</v>
      </c>
      <c r="AQ368" s="671">
        <v>13</v>
      </c>
      <c r="AR368" s="671">
        <v>13</v>
      </c>
      <c r="AS368" s="671">
        <v>13</v>
      </c>
      <c r="AT368" s="671">
        <v>13</v>
      </c>
      <c r="AV368" s="1311" t="s">
        <v>51</v>
      </c>
      <c r="AW368" s="672">
        <v>700</v>
      </c>
      <c r="AX368" s="672">
        <v>700</v>
      </c>
      <c r="AY368" s="672">
        <v>700</v>
      </c>
      <c r="AZ368" s="672">
        <v>700</v>
      </c>
      <c r="BA368" s="672">
        <v>700</v>
      </c>
      <c r="BB368" s="657">
        <v>700</v>
      </c>
      <c r="BC368" s="657">
        <v>700</v>
      </c>
      <c r="BD368" s="657">
        <v>700</v>
      </c>
      <c r="BE368" s="657">
        <v>700</v>
      </c>
      <c r="BF368" s="726">
        <v>778</v>
      </c>
      <c r="BG368" s="545">
        <v>778</v>
      </c>
      <c r="DK368" s="994">
        <f t="shared" si="109"/>
        <v>2.2601352373870491</v>
      </c>
      <c r="DL368" s="641" t="str">
        <f t="shared" si="110"/>
        <v>Air Comp BUS 13 Year EUL</v>
      </c>
      <c r="DM368" s="623">
        <f>(INDEX('Avoided Cost Benefits'!$B$4:$B$865,MATCH(DL368,'Avoided Cost Benefits'!$A$4:$A$865,0)))*F368</f>
        <v>1758.3852146871243</v>
      </c>
      <c r="DN368" s="1928">
        <f t="shared" si="111"/>
        <v>778</v>
      </c>
    </row>
    <row r="369" spans="1:118" x14ac:dyDescent="0.25">
      <c r="A369" s="2006" t="s">
        <v>112</v>
      </c>
      <c r="B369" s="247">
        <f t="shared" si="107"/>
        <v>804600</v>
      </c>
      <c r="C369" s="656" t="s">
        <v>488</v>
      </c>
      <c r="D369" s="1972" t="s">
        <v>60</v>
      </c>
      <c r="E369" s="458" t="s">
        <v>489</v>
      </c>
      <c r="F369" s="399">
        <f t="shared" si="112"/>
        <v>3165.55</v>
      </c>
      <c r="G369" s="441" t="s">
        <v>477</v>
      </c>
      <c r="H369" s="442">
        <f>VLOOKUP(G369,'CP FACTORS'!$A$26:$B$38,2,FALSE)</f>
        <v>1.379439E-4</v>
      </c>
      <c r="I369" s="459">
        <f t="shared" si="108"/>
        <v>0.436668</v>
      </c>
      <c r="J369" s="477">
        <v>13</v>
      </c>
      <c r="K369" s="1689">
        <v>778</v>
      </c>
      <c r="L369" s="487" t="s">
        <v>63</v>
      </c>
      <c r="N369" s="1630"/>
      <c r="O369" s="1630"/>
      <c r="V369" s="1311" t="s">
        <v>46</v>
      </c>
      <c r="W369" s="53">
        <v>3165.5520000000001</v>
      </c>
      <c r="X369" s="53">
        <v>3165.5520000000001</v>
      </c>
      <c r="Y369" s="53">
        <v>3165.5520000000001</v>
      </c>
      <c r="Z369" s="53">
        <v>3165.5520000000001</v>
      </c>
      <c r="AA369" s="53">
        <v>3165.5520000000001</v>
      </c>
      <c r="AB369" s="616">
        <v>3165.55</v>
      </c>
      <c r="AC369" s="692">
        <v>3165.55</v>
      </c>
      <c r="AD369" s="692">
        <v>3165.55</v>
      </c>
      <c r="AE369" s="692">
        <v>3165.55</v>
      </c>
      <c r="AF369" s="692">
        <v>3165.55</v>
      </c>
      <c r="AG369" s="692">
        <f t="shared" si="113"/>
        <v>3165.55</v>
      </c>
      <c r="AH369"/>
      <c r="AI369" s="1311" t="s">
        <v>50</v>
      </c>
      <c r="AJ369" s="19">
        <v>13</v>
      </c>
      <c r="AK369" s="19">
        <v>13</v>
      </c>
      <c r="AL369" s="19">
        <v>13</v>
      </c>
      <c r="AM369" s="19">
        <v>13</v>
      </c>
      <c r="AN369" s="19">
        <v>13</v>
      </c>
      <c r="AO369" s="618">
        <v>13</v>
      </c>
      <c r="AP369" s="671">
        <v>13</v>
      </c>
      <c r="AQ369" s="671">
        <v>13</v>
      </c>
      <c r="AR369" s="671">
        <v>13</v>
      </c>
      <c r="AS369" s="671">
        <v>13</v>
      </c>
      <c r="AT369" s="671">
        <v>13</v>
      </c>
      <c r="AV369" s="1311" t="s">
        <v>51</v>
      </c>
      <c r="AW369" s="672">
        <v>700</v>
      </c>
      <c r="AX369" s="672">
        <v>700</v>
      </c>
      <c r="AY369" s="672">
        <v>700</v>
      </c>
      <c r="AZ369" s="672">
        <v>700</v>
      </c>
      <c r="BA369" s="672">
        <v>700</v>
      </c>
      <c r="BB369" s="657">
        <v>700</v>
      </c>
      <c r="BC369" s="657">
        <v>700</v>
      </c>
      <c r="BD369" s="657">
        <v>700</v>
      </c>
      <c r="BE369" s="657">
        <v>700</v>
      </c>
      <c r="BF369" s="726">
        <v>778</v>
      </c>
      <c r="BG369" s="545">
        <v>778</v>
      </c>
      <c r="DK369" s="995">
        <f t="shared" si="109"/>
        <v>2.629438652202567</v>
      </c>
      <c r="DL369" s="641" t="str">
        <f t="shared" si="110"/>
        <v>Air Comp BUS 13 Year EUL</v>
      </c>
      <c r="DM369" s="997">
        <f>(INDEX('Avoided Cost Benefits'!$B$4:$B$865,MATCH(DL369,'Avoided Cost Benefits'!$A$4:$A$865,0)))*F369</f>
        <v>2045.7032714135971</v>
      </c>
      <c r="DN369" s="2035">
        <f t="shared" si="111"/>
        <v>778</v>
      </c>
    </row>
    <row r="370" spans="1:118" outlineLevel="1" x14ac:dyDescent="0.25">
      <c r="D370" s="74" t="s">
        <v>95</v>
      </c>
      <c r="E370" s="108" t="s">
        <v>490</v>
      </c>
      <c r="F370" s="1616"/>
      <c r="G370" s="7"/>
      <c r="H370" s="449"/>
      <c r="I370" s="7"/>
      <c r="J370" s="7"/>
      <c r="K370" s="7"/>
    </row>
    <row r="371" spans="1:118" outlineLevel="1" x14ac:dyDescent="0.25">
      <c r="D371" s="7" t="s">
        <v>97</v>
      </c>
      <c r="E371" s="7"/>
      <c r="F371" s="7"/>
      <c r="G371" s="7"/>
      <c r="H371" s="449"/>
      <c r="I371" s="7"/>
      <c r="J371" s="7"/>
      <c r="K371" s="7"/>
    </row>
    <row r="372" spans="1:118" outlineLevel="1" x14ac:dyDescent="0.25">
      <c r="D372" s="450"/>
      <c r="G372" s="247"/>
      <c r="H372" s="451"/>
    </row>
    <row r="373" spans="1:118" outlineLevel="1" x14ac:dyDescent="0.25">
      <c r="D373" s="450"/>
      <c r="G373" s="247"/>
      <c r="H373" s="451"/>
    </row>
    <row r="374" spans="1:118" outlineLevel="1" x14ac:dyDescent="0.25">
      <c r="D374" s="450"/>
      <c r="G374" s="247"/>
      <c r="H374" s="451"/>
      <c r="M374" s="7"/>
    </row>
    <row r="375" spans="1:118" outlineLevel="1" x14ac:dyDescent="0.25">
      <c r="D375" s="450"/>
      <c r="G375" s="247"/>
      <c r="H375" s="451"/>
      <c r="M375" s="7"/>
    </row>
    <row r="376" spans="1:118" outlineLevel="1" x14ac:dyDescent="0.25">
      <c r="D376" s="450"/>
      <c r="G376" s="247"/>
      <c r="H376" s="451"/>
      <c r="M376" s="7"/>
    </row>
    <row r="377" spans="1:118" outlineLevel="1" x14ac:dyDescent="0.25">
      <c r="D377" s="450"/>
      <c r="G377" s="247"/>
      <c r="H377" s="451"/>
    </row>
    <row r="378" spans="1:118" s="8" customFormat="1" outlineLevel="1" x14ac:dyDescent="0.25">
      <c r="A378" s="247"/>
      <c r="B378" s="247"/>
      <c r="C378" s="64"/>
      <c r="D378" s="1236" t="s">
        <v>43</v>
      </c>
      <c r="E378" s="1236" t="s">
        <v>173</v>
      </c>
      <c r="F378" s="32" t="s">
        <v>491</v>
      </c>
      <c r="G378" s="1236" t="s">
        <v>492</v>
      </c>
      <c r="H378" s="1236" t="s">
        <v>141</v>
      </c>
      <c r="I378" s="247"/>
      <c r="J378" s="115"/>
      <c r="K378" s="115"/>
      <c r="L378" s="115"/>
      <c r="M378" s="115"/>
      <c r="N378" s="115"/>
      <c r="O378" s="115"/>
      <c r="P378" s="115"/>
      <c r="Q378" s="115"/>
      <c r="R378" s="115"/>
      <c r="S378" s="115"/>
      <c r="T378" s="115"/>
      <c r="U378" s="115"/>
      <c r="DI378" s="2"/>
      <c r="DJ378" s="2"/>
      <c r="DK378" s="996"/>
      <c r="DL378" s="115"/>
      <c r="DM378" s="115"/>
      <c r="DN378" s="499"/>
    </row>
    <row r="379" spans="1:118" outlineLevel="1" x14ac:dyDescent="0.25">
      <c r="D379" s="647" t="str">
        <f>C363</f>
        <v>804300_2024_12_</v>
      </c>
      <c r="E379" s="647" t="str">
        <f t="shared" ref="E379:E385" si="114">E363</f>
        <v>No Loss Condensate Drain (Reciprocating - On/off Control)</v>
      </c>
      <c r="F379" s="34">
        <v>3</v>
      </c>
      <c r="G379" s="35">
        <v>0.184</v>
      </c>
      <c r="H379" s="1705">
        <v>5928</v>
      </c>
    </row>
    <row r="380" spans="1:118" outlineLevel="1" x14ac:dyDescent="0.25">
      <c r="D380" s="647" t="str">
        <f t="shared" ref="D380:D385" si="115">C364</f>
        <v>804350_2024_12_</v>
      </c>
      <c r="E380" s="647" t="str">
        <f t="shared" si="114"/>
        <v>No Loss Condensate Drain (Reciprocating - Load/Unload)</v>
      </c>
      <c r="F380" s="34">
        <v>3</v>
      </c>
      <c r="G380" s="35">
        <v>0.13600000000000001</v>
      </c>
      <c r="H380" s="1705">
        <v>5928</v>
      </c>
    </row>
    <row r="381" spans="1:118" outlineLevel="1" x14ac:dyDescent="0.25">
      <c r="D381" s="647" t="str">
        <f t="shared" si="115"/>
        <v>804400_2024_12_</v>
      </c>
      <c r="E381" s="647" t="str">
        <f t="shared" si="114"/>
        <v>No Loss Condensate Drain (Screw - Load/Unload)</v>
      </c>
      <c r="F381" s="34">
        <v>3</v>
      </c>
      <c r="G381" s="35">
        <v>0.152</v>
      </c>
      <c r="H381" s="1705">
        <v>5928</v>
      </c>
    </row>
    <row r="382" spans="1:118" outlineLevel="1" x14ac:dyDescent="0.25">
      <c r="D382" s="647" t="str">
        <f t="shared" si="115"/>
        <v>804450_2024_12_</v>
      </c>
      <c r="E382" s="647" t="str">
        <f t="shared" si="114"/>
        <v>No Loss Condensate Drain (Screw - Inlet Modulation)</v>
      </c>
      <c r="F382" s="34">
        <v>3</v>
      </c>
      <c r="G382" s="35">
        <v>5.5E-2</v>
      </c>
      <c r="H382" s="1705">
        <v>5928</v>
      </c>
    </row>
    <row r="383" spans="1:118" outlineLevel="1" x14ac:dyDescent="0.25">
      <c r="D383" s="647" t="str">
        <f t="shared" si="115"/>
        <v>804500_2024_12_</v>
      </c>
      <c r="E383" s="647" t="str">
        <f t="shared" si="114"/>
        <v>No Loss Condensate Drain (Screw - Inlet Modulation w/ Unloading)</v>
      </c>
      <c r="F383" s="34">
        <v>3</v>
      </c>
      <c r="G383" s="35">
        <v>5.5E-2</v>
      </c>
      <c r="H383" s="1705">
        <v>5928</v>
      </c>
    </row>
    <row r="384" spans="1:118" outlineLevel="1" x14ac:dyDescent="0.25">
      <c r="D384" s="647" t="str">
        <f t="shared" si="115"/>
        <v>804550_2024_12_</v>
      </c>
      <c r="E384" s="647" t="str">
        <f t="shared" si="114"/>
        <v>No Loss Condensate Drain (Screw - Variable Displacement)</v>
      </c>
      <c r="F384" s="34">
        <v>3</v>
      </c>
      <c r="G384" s="35">
        <v>0.153</v>
      </c>
      <c r="H384" s="1705">
        <v>5928</v>
      </c>
    </row>
    <row r="385" spans="1:118" outlineLevel="1" x14ac:dyDescent="0.25">
      <c r="D385" s="647" t="str">
        <f t="shared" si="115"/>
        <v>804600_2024_12_</v>
      </c>
      <c r="E385" s="647" t="str">
        <f t="shared" si="114"/>
        <v>No Loss Condensate Drain (Screw - VFD)</v>
      </c>
      <c r="F385" s="34">
        <v>3</v>
      </c>
      <c r="G385" s="35">
        <v>0.17799999999999999</v>
      </c>
      <c r="H385" s="1705">
        <v>5928</v>
      </c>
    </row>
    <row r="388" spans="1:118" s="8" customFormat="1" ht="30" x14ac:dyDescent="0.25">
      <c r="A388" s="247"/>
      <c r="B388" s="247"/>
      <c r="C388" s="9" t="s">
        <v>43</v>
      </c>
      <c r="D388" s="9" t="s">
        <v>44</v>
      </c>
      <c r="E388" s="1301" t="s">
        <v>45</v>
      </c>
      <c r="F388" s="1301" t="s">
        <v>46</v>
      </c>
      <c r="G388" s="1301" t="s">
        <v>47</v>
      </c>
      <c r="H388" s="10" t="s">
        <v>48</v>
      </c>
      <c r="I388" s="1301" t="s">
        <v>49</v>
      </c>
      <c r="J388" s="1301" t="s">
        <v>50</v>
      </c>
      <c r="K388" s="9" t="s">
        <v>51</v>
      </c>
      <c r="L388" s="9" t="s">
        <v>52</v>
      </c>
      <c r="M388" s="247"/>
      <c r="N388" s="499"/>
      <c r="O388" s="483"/>
      <c r="P388" s="484"/>
      <c r="Q388" s="115"/>
      <c r="R388" s="115"/>
      <c r="S388" s="115"/>
      <c r="T388" s="115"/>
      <c r="U388" s="115"/>
      <c r="V388" s="636" t="s">
        <v>53</v>
      </c>
      <c r="W388" s="637">
        <f>$W$8</f>
        <v>43252</v>
      </c>
      <c r="X388" s="637">
        <f>$X$8</f>
        <v>43465</v>
      </c>
      <c r="Y388" s="637">
        <f>$Y$8</f>
        <v>43800</v>
      </c>
      <c r="Z388" s="637">
        <f>$Z$8</f>
        <v>43862</v>
      </c>
      <c r="AA388" s="637">
        <f>$AA$8</f>
        <v>44013</v>
      </c>
      <c r="AB388" s="637">
        <v>44166</v>
      </c>
      <c r="AC388" s="637">
        <f>$AC$8</f>
        <v>44531</v>
      </c>
      <c r="AD388" s="637">
        <f>$AD$8</f>
        <v>44774</v>
      </c>
      <c r="AE388" s="637">
        <f>$AE$8</f>
        <v>45142</v>
      </c>
      <c r="AF388" s="637">
        <f>$AF$8</f>
        <v>45672</v>
      </c>
      <c r="AG388" s="637">
        <f>$AG$8</f>
        <v>45971</v>
      </c>
      <c r="AH388"/>
      <c r="AI388" s="636" t="s">
        <v>53</v>
      </c>
      <c r="AJ388" s="637">
        <v>43252</v>
      </c>
      <c r="AK388" s="637">
        <f>$X$8</f>
        <v>43465</v>
      </c>
      <c r="AL388" s="637">
        <f>$Y$8</f>
        <v>43800</v>
      </c>
      <c r="AM388" s="637">
        <f>$Z$8</f>
        <v>43862</v>
      </c>
      <c r="AN388" s="637">
        <f>$AA$8</f>
        <v>44013</v>
      </c>
      <c r="AO388" s="637">
        <f>$AB$8</f>
        <v>44166</v>
      </c>
      <c r="AP388" s="637">
        <f>$AC$8</f>
        <v>44531</v>
      </c>
      <c r="AQ388" s="637">
        <f>$AD$8</f>
        <v>44774</v>
      </c>
      <c r="AR388" s="637">
        <f>$AE$8</f>
        <v>45142</v>
      </c>
      <c r="AS388" s="637">
        <f>$AF$8</f>
        <v>45672</v>
      </c>
      <c r="AT388" s="637">
        <f>$AT$8</f>
        <v>45971</v>
      </c>
      <c r="AU388" s="2"/>
      <c r="AV388" s="636" t="s">
        <v>53</v>
      </c>
      <c r="AW388" s="637">
        <v>43252</v>
      </c>
      <c r="AX388" s="637">
        <f>$X$8</f>
        <v>43465</v>
      </c>
      <c r="AY388" s="637">
        <f>$Y$8</f>
        <v>43800</v>
      </c>
      <c r="AZ388" s="637">
        <f>$Z$8</f>
        <v>43862</v>
      </c>
      <c r="BA388" s="637">
        <f>$AA$8</f>
        <v>44013</v>
      </c>
      <c r="BB388" s="637">
        <v>44166</v>
      </c>
      <c r="BC388" s="637">
        <f>$AC$8</f>
        <v>44531</v>
      </c>
      <c r="BD388" s="637">
        <f>$AD$8</f>
        <v>44774</v>
      </c>
      <c r="BE388" s="637">
        <f>$AE$8</f>
        <v>45142</v>
      </c>
      <c r="BF388" s="637">
        <f>$AF$8</f>
        <v>45672</v>
      </c>
      <c r="BG388" s="637">
        <f>$AT$8</f>
        <v>45971</v>
      </c>
      <c r="DI388" s="2"/>
      <c r="DJ388" s="2"/>
      <c r="DK388" s="991" t="str">
        <f>$DK$8</f>
        <v>TRC (2025)</v>
      </c>
      <c r="DL388" s="761" t="str">
        <f>$DL$8</f>
        <v>Benefit Lookup</v>
      </c>
      <c r="DM388" s="761" t="str">
        <f>$DM$8</f>
        <v>Benefits (2025 $)</v>
      </c>
      <c r="DN388" s="2034" t="str">
        <f>$DN$8</f>
        <v>Incremental Cost (2025 $)</v>
      </c>
    </row>
    <row r="389" spans="1:118" x14ac:dyDescent="0.25">
      <c r="A389" s="2006" t="s">
        <v>112</v>
      </c>
      <c r="B389" s="247">
        <f t="shared" si="107"/>
        <v>804650</v>
      </c>
      <c r="C389" s="656" t="s">
        <v>493</v>
      </c>
      <c r="D389" s="1972" t="s">
        <v>60</v>
      </c>
      <c r="E389" s="458" t="s">
        <v>494</v>
      </c>
      <c r="F389" s="399">
        <f>ROUND((F405*G405)*H405*I405*J405,2)</f>
        <v>1633.16</v>
      </c>
      <c r="G389" s="441" t="s">
        <v>477</v>
      </c>
      <c r="H389" s="442">
        <f>VLOOKUP(G389,'CP FACTORS'!$A$26:$B$38,2,FALSE)</f>
        <v>1.379439E-4</v>
      </c>
      <c r="I389" s="459">
        <f t="shared" ref="I389:I395" si="116">ROUND(H389*F389,6)</f>
        <v>0.22528400000000001</v>
      </c>
      <c r="J389" s="477">
        <v>15</v>
      </c>
      <c r="K389" s="1688">
        <v>59</v>
      </c>
      <c r="L389" s="487" t="s">
        <v>63</v>
      </c>
      <c r="V389" s="1311" t="s">
        <v>46</v>
      </c>
      <c r="W389" s="1641">
        <v>1547.2080000000001</v>
      </c>
      <c r="X389" s="1641">
        <v>1547.2080000000001</v>
      </c>
      <c r="Y389" s="1641">
        <v>1547.2080000000001</v>
      </c>
      <c r="Z389" s="1641">
        <v>1547.2080000000001</v>
      </c>
      <c r="AA389" s="1641">
        <v>1547.2080000000001</v>
      </c>
      <c r="AB389" s="1642">
        <v>1547.21</v>
      </c>
      <c r="AC389" s="1643">
        <v>1547.21</v>
      </c>
      <c r="AD389" s="1643">
        <v>1547.21</v>
      </c>
      <c r="AE389" s="1643">
        <v>1547.21</v>
      </c>
      <c r="AF389" s="1643">
        <v>1633.16</v>
      </c>
      <c r="AG389" s="1643">
        <f>F389</f>
        <v>1633.16</v>
      </c>
      <c r="AH389"/>
      <c r="AI389" s="1311" t="s">
        <v>50</v>
      </c>
      <c r="AJ389" s="19">
        <v>15</v>
      </c>
      <c r="AK389" s="19">
        <v>15</v>
      </c>
      <c r="AL389" s="19">
        <v>15</v>
      </c>
      <c r="AM389" s="19">
        <v>15</v>
      </c>
      <c r="AN389" s="19">
        <v>15</v>
      </c>
      <c r="AO389" s="618">
        <v>15</v>
      </c>
      <c r="AP389" s="671">
        <v>15</v>
      </c>
      <c r="AQ389" s="671">
        <v>15</v>
      </c>
      <c r="AR389" s="671">
        <v>15</v>
      </c>
      <c r="AS389" s="671">
        <v>15</v>
      </c>
      <c r="AT389" s="671">
        <v>15</v>
      </c>
      <c r="AV389" s="1311" t="s">
        <v>51</v>
      </c>
      <c r="AW389" s="672">
        <v>77</v>
      </c>
      <c r="AX389" s="672">
        <v>77</v>
      </c>
      <c r="AY389" s="672">
        <v>77</v>
      </c>
      <c r="AZ389" s="672">
        <v>77</v>
      </c>
      <c r="BA389" s="672">
        <v>77</v>
      </c>
      <c r="BB389" s="657">
        <v>77</v>
      </c>
      <c r="BC389" s="657">
        <v>77</v>
      </c>
      <c r="BD389" s="657">
        <v>77</v>
      </c>
      <c r="BE389" s="657">
        <v>77</v>
      </c>
      <c r="BF389" s="726">
        <v>59</v>
      </c>
      <c r="BG389" s="657">
        <v>59</v>
      </c>
      <c r="DK389" s="993">
        <f t="shared" ref="DK389:DK395" si="117">(DM389)/(DN389)</f>
        <v>19.739175135871012</v>
      </c>
      <c r="DL389" s="1272" t="str">
        <f t="shared" ref="DL389:DL395" si="118">CONCATENATE(G389," ",J389," Year EUL")</f>
        <v>Air Comp BUS 15 Year EUL</v>
      </c>
      <c r="DM389" s="181">
        <f>(INDEX('Avoided Cost Benefits'!$B$4:$B$865,MATCH(DL389,'Avoided Cost Benefits'!$A$4:$A$865,0)))*F389</f>
        <v>1164.6113330163896</v>
      </c>
      <c r="DN389" s="2033">
        <f t="shared" ref="DN389:DN395" si="119">IFERROR(K389/((1+DiscountRate)^(CurrentYear-DiscountYear)),0)</f>
        <v>59</v>
      </c>
    </row>
    <row r="390" spans="1:118" x14ac:dyDescent="0.25">
      <c r="A390" s="2006" t="s">
        <v>112</v>
      </c>
      <c r="B390" s="247">
        <f t="shared" si="107"/>
        <v>804700</v>
      </c>
      <c r="C390" s="656" t="s">
        <v>495</v>
      </c>
      <c r="D390" s="1972" t="s">
        <v>60</v>
      </c>
      <c r="E390" s="458" t="s">
        <v>496</v>
      </c>
      <c r="F390" s="399">
        <f t="shared" ref="F390:F395" si="120">ROUND((F406*G406)*H406*I406*J406,2)</f>
        <v>1208.54</v>
      </c>
      <c r="G390" s="441" t="s">
        <v>477</v>
      </c>
      <c r="H390" s="442">
        <f>VLOOKUP(G390,'CP FACTORS'!$A$26:$B$38,2,FALSE)</f>
        <v>1.379439E-4</v>
      </c>
      <c r="I390" s="459">
        <f t="shared" si="116"/>
        <v>0.166711</v>
      </c>
      <c r="J390" s="477">
        <v>15</v>
      </c>
      <c r="K390" s="1688">
        <v>59</v>
      </c>
      <c r="L390" s="487" t="s">
        <v>63</v>
      </c>
      <c r="V390" s="1311" t="s">
        <v>46</v>
      </c>
      <c r="W390" s="1641">
        <v>1203.3840000000002</v>
      </c>
      <c r="X390" s="1641">
        <v>1203.3840000000002</v>
      </c>
      <c r="Y390" s="1641">
        <v>1203.3840000000002</v>
      </c>
      <c r="Z390" s="1641">
        <v>1203.3840000000002</v>
      </c>
      <c r="AA390" s="1641">
        <v>1203.3840000000002</v>
      </c>
      <c r="AB390" s="1642">
        <v>1203.3800000000001</v>
      </c>
      <c r="AC390" s="1643">
        <v>1203.3800000000001</v>
      </c>
      <c r="AD390" s="1643">
        <v>1203.3800000000001</v>
      </c>
      <c r="AE390" s="1643">
        <v>1203.3800000000001</v>
      </c>
      <c r="AF390" s="1643">
        <v>1208.54</v>
      </c>
      <c r="AG390" s="1643">
        <f t="shared" ref="AG390:AG395" si="121">F390</f>
        <v>1208.54</v>
      </c>
      <c r="AH390"/>
      <c r="AI390" s="1311" t="s">
        <v>50</v>
      </c>
      <c r="AJ390" s="19">
        <v>15</v>
      </c>
      <c r="AK390" s="19">
        <v>15</v>
      </c>
      <c r="AL390" s="19">
        <v>15</v>
      </c>
      <c r="AM390" s="19">
        <v>15</v>
      </c>
      <c r="AN390" s="19">
        <v>15</v>
      </c>
      <c r="AO390" s="618">
        <v>15</v>
      </c>
      <c r="AP390" s="671">
        <v>15</v>
      </c>
      <c r="AQ390" s="671">
        <v>15</v>
      </c>
      <c r="AR390" s="671">
        <v>15</v>
      </c>
      <c r="AS390" s="671">
        <v>15</v>
      </c>
      <c r="AT390" s="671">
        <v>15</v>
      </c>
      <c r="AV390" s="1311" t="s">
        <v>51</v>
      </c>
      <c r="AW390" s="672">
        <v>77</v>
      </c>
      <c r="AX390" s="672">
        <v>77</v>
      </c>
      <c r="AY390" s="672">
        <v>77</v>
      </c>
      <c r="AZ390" s="672">
        <v>77</v>
      </c>
      <c r="BA390" s="672">
        <v>77</v>
      </c>
      <c r="BB390" s="657">
        <v>77</v>
      </c>
      <c r="BC390" s="657">
        <v>77</v>
      </c>
      <c r="BD390" s="657">
        <v>77</v>
      </c>
      <c r="BE390" s="657">
        <v>77</v>
      </c>
      <c r="BF390" s="726">
        <v>59</v>
      </c>
      <c r="BG390" s="657">
        <v>59</v>
      </c>
      <c r="DK390" s="994">
        <f t="shared" si="117"/>
        <v>14.607008938931608</v>
      </c>
      <c r="DL390" s="641" t="str">
        <f t="shared" si="118"/>
        <v>Air Comp BUS 15 Year EUL</v>
      </c>
      <c r="DM390" s="623">
        <f>(INDEX('Avoided Cost Benefits'!$B$4:$B$865,MATCH(DL390,'Avoided Cost Benefits'!$A$4:$A$865,0)))*F390</f>
        <v>861.8135273969649</v>
      </c>
      <c r="DN390" s="1928">
        <f t="shared" si="119"/>
        <v>59</v>
      </c>
    </row>
    <row r="391" spans="1:118" x14ac:dyDescent="0.25">
      <c r="A391" s="2006" t="s">
        <v>112</v>
      </c>
      <c r="B391" s="247">
        <f t="shared" si="107"/>
        <v>804750</v>
      </c>
      <c r="C391" s="656" t="s">
        <v>497</v>
      </c>
      <c r="D391" s="1972" t="s">
        <v>60</v>
      </c>
      <c r="E391" s="458" t="s">
        <v>498</v>
      </c>
      <c r="F391" s="399">
        <f t="shared" si="120"/>
        <v>1192.21</v>
      </c>
      <c r="G391" s="441" t="s">
        <v>477</v>
      </c>
      <c r="H391" s="442">
        <f>VLOOKUP(G391,'CP FACTORS'!$A$26:$B$38,2,FALSE)</f>
        <v>1.379439E-4</v>
      </c>
      <c r="I391" s="459">
        <f t="shared" si="116"/>
        <v>0.16445799999999999</v>
      </c>
      <c r="J391" s="477">
        <v>15</v>
      </c>
      <c r="K391" s="1688">
        <v>59</v>
      </c>
      <c r="L391" s="487" t="s">
        <v>63</v>
      </c>
      <c r="V391" s="1311" t="s">
        <v>46</v>
      </c>
      <c r="W391" s="1641">
        <v>1289.3399999999999</v>
      </c>
      <c r="X391" s="1641">
        <v>1289.3399999999999</v>
      </c>
      <c r="Y391" s="1641">
        <v>1289.3399999999999</v>
      </c>
      <c r="Z391" s="1641">
        <v>1289.3399999999999</v>
      </c>
      <c r="AA391" s="1641">
        <v>1289.3399999999999</v>
      </c>
      <c r="AB391" s="1642">
        <v>1289.3399999999999</v>
      </c>
      <c r="AC391" s="1643">
        <v>1289.3399999999999</v>
      </c>
      <c r="AD391" s="1643">
        <v>1289.3399999999999</v>
      </c>
      <c r="AE391" s="1643">
        <v>1289.3399999999999</v>
      </c>
      <c r="AF391" s="1643">
        <v>1192.21</v>
      </c>
      <c r="AG391" s="1643">
        <f t="shared" si="121"/>
        <v>1192.21</v>
      </c>
      <c r="AH391"/>
      <c r="AI391" s="1311" t="s">
        <v>50</v>
      </c>
      <c r="AJ391" s="19">
        <v>15</v>
      </c>
      <c r="AK391" s="19">
        <v>15</v>
      </c>
      <c r="AL391" s="19">
        <v>15</v>
      </c>
      <c r="AM391" s="19">
        <v>15</v>
      </c>
      <c r="AN391" s="19">
        <v>15</v>
      </c>
      <c r="AO391" s="618">
        <v>15</v>
      </c>
      <c r="AP391" s="671">
        <v>15</v>
      </c>
      <c r="AQ391" s="671">
        <v>15</v>
      </c>
      <c r="AR391" s="671">
        <v>15</v>
      </c>
      <c r="AS391" s="671">
        <v>15</v>
      </c>
      <c r="AT391" s="671">
        <v>15</v>
      </c>
      <c r="AV391" s="1311" t="s">
        <v>51</v>
      </c>
      <c r="AW391" s="672">
        <v>77</v>
      </c>
      <c r="AX391" s="672">
        <v>77</v>
      </c>
      <c r="AY391" s="672">
        <v>77</v>
      </c>
      <c r="AZ391" s="672">
        <v>77</v>
      </c>
      <c r="BA391" s="672">
        <v>77</v>
      </c>
      <c r="BB391" s="657">
        <v>77</v>
      </c>
      <c r="BC391" s="657">
        <v>77</v>
      </c>
      <c r="BD391" s="657">
        <v>77</v>
      </c>
      <c r="BE391" s="657">
        <v>77</v>
      </c>
      <c r="BF391" s="726">
        <v>59</v>
      </c>
      <c r="BG391" s="657">
        <v>59</v>
      </c>
      <c r="DK391" s="994">
        <f t="shared" si="117"/>
        <v>14.409636525959964</v>
      </c>
      <c r="DL391" s="641" t="str">
        <f t="shared" si="118"/>
        <v>Air Comp BUS 15 Year EUL</v>
      </c>
      <c r="DM391" s="623">
        <f>(INDEX('Avoided Cost Benefits'!$B$4:$B$865,MATCH(DL391,'Avoided Cost Benefits'!$A$4:$A$865,0)))*F391</f>
        <v>850.16855503163788</v>
      </c>
      <c r="DN391" s="1928">
        <f t="shared" si="119"/>
        <v>59</v>
      </c>
    </row>
    <row r="392" spans="1:118" x14ac:dyDescent="0.25">
      <c r="A392" s="2006" t="s">
        <v>112</v>
      </c>
      <c r="B392" s="247">
        <f t="shared" si="107"/>
        <v>804800</v>
      </c>
      <c r="C392" s="656" t="s">
        <v>499</v>
      </c>
      <c r="D392" s="1972" t="s">
        <v>60</v>
      </c>
      <c r="E392" s="458" t="s">
        <v>500</v>
      </c>
      <c r="F392" s="399">
        <f t="shared" si="120"/>
        <v>473.62</v>
      </c>
      <c r="G392" s="441" t="s">
        <v>477</v>
      </c>
      <c r="H392" s="442">
        <f>VLOOKUP(G392,'CP FACTORS'!$A$26:$B$38,2,FALSE)</f>
        <v>1.379439E-4</v>
      </c>
      <c r="I392" s="459">
        <f t="shared" si="116"/>
        <v>6.5333000000000002E-2</v>
      </c>
      <c r="J392" s="477">
        <v>15</v>
      </c>
      <c r="K392" s="1688">
        <v>59</v>
      </c>
      <c r="L392" s="487" t="s">
        <v>63</v>
      </c>
      <c r="V392" s="1311" t="s">
        <v>46</v>
      </c>
      <c r="W392" s="1641">
        <v>515.73599999999999</v>
      </c>
      <c r="X392" s="1641">
        <v>515.73599999999999</v>
      </c>
      <c r="Y392" s="1641">
        <v>515.73599999999999</v>
      </c>
      <c r="Z392" s="1641">
        <v>515.73599999999999</v>
      </c>
      <c r="AA392" s="1641">
        <v>515.73599999999999</v>
      </c>
      <c r="AB392" s="1642">
        <v>515.74</v>
      </c>
      <c r="AC392" s="1643">
        <v>515.74</v>
      </c>
      <c r="AD392" s="1643">
        <v>515.74</v>
      </c>
      <c r="AE392" s="1643">
        <v>515.74</v>
      </c>
      <c r="AF392" s="1643">
        <v>473.62</v>
      </c>
      <c r="AG392" s="1643">
        <f t="shared" si="121"/>
        <v>473.62</v>
      </c>
      <c r="AH392"/>
      <c r="AI392" s="1311" t="s">
        <v>50</v>
      </c>
      <c r="AJ392" s="19">
        <v>15</v>
      </c>
      <c r="AK392" s="19">
        <v>15</v>
      </c>
      <c r="AL392" s="19">
        <v>15</v>
      </c>
      <c r="AM392" s="19">
        <v>15</v>
      </c>
      <c r="AN392" s="19">
        <v>15</v>
      </c>
      <c r="AO392" s="618">
        <v>15</v>
      </c>
      <c r="AP392" s="671">
        <v>15</v>
      </c>
      <c r="AQ392" s="671">
        <v>15</v>
      </c>
      <c r="AR392" s="671">
        <v>15</v>
      </c>
      <c r="AS392" s="671">
        <v>15</v>
      </c>
      <c r="AT392" s="671">
        <v>15</v>
      </c>
      <c r="AV392" s="1311" t="s">
        <v>51</v>
      </c>
      <c r="AW392" s="672">
        <v>77</v>
      </c>
      <c r="AX392" s="672">
        <v>77</v>
      </c>
      <c r="AY392" s="672">
        <v>77</v>
      </c>
      <c r="AZ392" s="672">
        <v>77</v>
      </c>
      <c r="BA392" s="672">
        <v>77</v>
      </c>
      <c r="BB392" s="657">
        <v>77</v>
      </c>
      <c r="BC392" s="657">
        <v>77</v>
      </c>
      <c r="BD392" s="657">
        <v>77</v>
      </c>
      <c r="BE392" s="657">
        <v>77</v>
      </c>
      <c r="BF392" s="726">
        <v>59</v>
      </c>
      <c r="BG392" s="657">
        <v>59</v>
      </c>
      <c r="DK392" s="994">
        <f t="shared" si="117"/>
        <v>5.7244043007734859</v>
      </c>
      <c r="DL392" s="641" t="str">
        <f t="shared" si="118"/>
        <v>Air Comp BUS 15 Year EUL</v>
      </c>
      <c r="DM392" s="623">
        <f>(INDEX('Avoided Cost Benefits'!$B$4:$B$865,MATCH(DL392,'Avoided Cost Benefits'!$A$4:$A$865,0)))*F392</f>
        <v>337.73985374563568</v>
      </c>
      <c r="DN392" s="1928">
        <f t="shared" si="119"/>
        <v>59</v>
      </c>
    </row>
    <row r="393" spans="1:118" x14ac:dyDescent="0.25">
      <c r="A393" s="2006" t="s">
        <v>112</v>
      </c>
      <c r="B393" s="247">
        <f t="shared" si="107"/>
        <v>804850</v>
      </c>
      <c r="C393" s="656" t="s">
        <v>501</v>
      </c>
      <c r="D393" s="1972" t="s">
        <v>60</v>
      </c>
      <c r="E393" s="458" t="s">
        <v>502</v>
      </c>
      <c r="F393" s="399">
        <f t="shared" si="120"/>
        <v>1208.54</v>
      </c>
      <c r="G393" s="441" t="s">
        <v>477</v>
      </c>
      <c r="H393" s="442">
        <f>VLOOKUP(G393,'CP FACTORS'!$A$26:$B$38,2,FALSE)</f>
        <v>1.379439E-4</v>
      </c>
      <c r="I393" s="459">
        <f t="shared" si="116"/>
        <v>0.166711</v>
      </c>
      <c r="J393" s="477">
        <v>15</v>
      </c>
      <c r="K393" s="1688">
        <v>59</v>
      </c>
      <c r="L393" s="487" t="s">
        <v>63</v>
      </c>
      <c r="V393" s="1311" t="s">
        <v>46</v>
      </c>
      <c r="W393" s="1641">
        <v>515.73599999999999</v>
      </c>
      <c r="X393" s="1641">
        <v>515.73599999999999</v>
      </c>
      <c r="Y393" s="1641">
        <v>515.73599999999999</v>
      </c>
      <c r="Z393" s="1641">
        <v>515.73599999999999</v>
      </c>
      <c r="AA393" s="1641">
        <v>515.73599999999999</v>
      </c>
      <c r="AB393" s="1642">
        <v>515.74</v>
      </c>
      <c r="AC393" s="1643">
        <v>515.74</v>
      </c>
      <c r="AD393" s="1643">
        <v>515.74</v>
      </c>
      <c r="AE393" s="1643">
        <v>515.74</v>
      </c>
      <c r="AF393" s="1643">
        <v>1208.54</v>
      </c>
      <c r="AG393" s="1643">
        <f t="shared" si="121"/>
        <v>1208.54</v>
      </c>
      <c r="AH393"/>
      <c r="AI393" s="1311" t="s">
        <v>50</v>
      </c>
      <c r="AJ393" s="19">
        <v>15</v>
      </c>
      <c r="AK393" s="19">
        <v>15</v>
      </c>
      <c r="AL393" s="19">
        <v>15</v>
      </c>
      <c r="AM393" s="19">
        <v>15</v>
      </c>
      <c r="AN393" s="19">
        <v>15</v>
      </c>
      <c r="AO393" s="618">
        <v>15</v>
      </c>
      <c r="AP393" s="671">
        <v>15</v>
      </c>
      <c r="AQ393" s="671">
        <v>15</v>
      </c>
      <c r="AR393" s="671">
        <v>15</v>
      </c>
      <c r="AS393" s="671">
        <v>15</v>
      </c>
      <c r="AT393" s="671">
        <v>15</v>
      </c>
      <c r="AV393" s="1311" t="s">
        <v>51</v>
      </c>
      <c r="AW393" s="672">
        <v>77</v>
      </c>
      <c r="AX393" s="672">
        <v>77</v>
      </c>
      <c r="AY393" s="672">
        <v>77</v>
      </c>
      <c r="AZ393" s="672">
        <v>77</v>
      </c>
      <c r="BA393" s="672">
        <v>77</v>
      </c>
      <c r="BB393" s="657">
        <v>77</v>
      </c>
      <c r="BC393" s="657">
        <v>77</v>
      </c>
      <c r="BD393" s="657">
        <v>77</v>
      </c>
      <c r="BE393" s="657">
        <v>77</v>
      </c>
      <c r="BF393" s="726">
        <v>59</v>
      </c>
      <c r="BG393" s="657">
        <v>59</v>
      </c>
      <c r="DK393" s="994">
        <f t="shared" si="117"/>
        <v>14.607008938931608</v>
      </c>
      <c r="DL393" s="641" t="str">
        <f t="shared" si="118"/>
        <v>Air Comp BUS 15 Year EUL</v>
      </c>
      <c r="DM393" s="623">
        <f>(INDEX('Avoided Cost Benefits'!$B$4:$B$865,MATCH(DL393,'Avoided Cost Benefits'!$A$4:$A$865,0)))*F393</f>
        <v>861.8135273969649</v>
      </c>
      <c r="DN393" s="1928">
        <f t="shared" si="119"/>
        <v>59</v>
      </c>
    </row>
    <row r="394" spans="1:118" x14ac:dyDescent="0.25">
      <c r="A394" s="2006" t="s">
        <v>112</v>
      </c>
      <c r="B394" s="247">
        <f t="shared" si="107"/>
        <v>804900</v>
      </c>
      <c r="C394" s="656" t="s">
        <v>503</v>
      </c>
      <c r="D394" s="1972" t="s">
        <v>60</v>
      </c>
      <c r="E394" s="458" t="s">
        <v>504</v>
      </c>
      <c r="F394" s="399">
        <f t="shared" si="120"/>
        <v>979.9</v>
      </c>
      <c r="G394" s="441" t="s">
        <v>477</v>
      </c>
      <c r="H394" s="442">
        <f>VLOOKUP(G394,'CP FACTORS'!$A$26:$B$38,2,FALSE)</f>
        <v>1.379439E-4</v>
      </c>
      <c r="I394" s="459">
        <f t="shared" si="116"/>
        <v>0.13517100000000001</v>
      </c>
      <c r="J394" s="477">
        <v>15</v>
      </c>
      <c r="K394" s="1688">
        <v>59</v>
      </c>
      <c r="L394" s="487" t="s">
        <v>63</v>
      </c>
      <c r="V394" s="1311" t="s">
        <v>46</v>
      </c>
      <c r="W394" s="1641">
        <v>1289.3399999999999</v>
      </c>
      <c r="X394" s="1641">
        <v>1289.3399999999999</v>
      </c>
      <c r="Y394" s="1641">
        <v>1289.3399999999999</v>
      </c>
      <c r="Z394" s="1641">
        <v>1289.3399999999999</v>
      </c>
      <c r="AA394" s="1641">
        <v>1289.3399999999999</v>
      </c>
      <c r="AB394" s="1642">
        <v>1289.3399999999999</v>
      </c>
      <c r="AC394" s="1643">
        <v>1289.3399999999999</v>
      </c>
      <c r="AD394" s="1643">
        <v>1289.3399999999999</v>
      </c>
      <c r="AE394" s="1643">
        <v>1289.3399999999999</v>
      </c>
      <c r="AF394" s="1643">
        <v>979.9</v>
      </c>
      <c r="AG394" s="1643">
        <f t="shared" si="121"/>
        <v>979.9</v>
      </c>
      <c r="AH394"/>
      <c r="AI394" s="1311" t="s">
        <v>50</v>
      </c>
      <c r="AJ394" s="19">
        <v>15</v>
      </c>
      <c r="AK394" s="19">
        <v>15</v>
      </c>
      <c r="AL394" s="19">
        <v>15</v>
      </c>
      <c r="AM394" s="19">
        <v>15</v>
      </c>
      <c r="AN394" s="19">
        <v>15</v>
      </c>
      <c r="AO394" s="618">
        <v>15</v>
      </c>
      <c r="AP394" s="671">
        <v>15</v>
      </c>
      <c r="AQ394" s="671">
        <v>15</v>
      </c>
      <c r="AR394" s="671">
        <v>15</v>
      </c>
      <c r="AS394" s="671">
        <v>15</v>
      </c>
      <c r="AT394" s="671">
        <v>15</v>
      </c>
      <c r="AV394" s="1311" t="s">
        <v>51</v>
      </c>
      <c r="AW394" s="672">
        <v>77</v>
      </c>
      <c r="AX394" s="672">
        <v>77</v>
      </c>
      <c r="AY394" s="672">
        <v>77</v>
      </c>
      <c r="AZ394" s="672">
        <v>77</v>
      </c>
      <c r="BA394" s="672">
        <v>77</v>
      </c>
      <c r="BB394" s="657">
        <v>77</v>
      </c>
      <c r="BC394" s="657">
        <v>77</v>
      </c>
      <c r="BD394" s="657">
        <v>77</v>
      </c>
      <c r="BE394" s="657">
        <v>77</v>
      </c>
      <c r="BF394" s="726">
        <v>59</v>
      </c>
      <c r="BG394" s="657">
        <v>59</v>
      </c>
      <c r="DK394" s="994">
        <f t="shared" si="117"/>
        <v>11.843553427490265</v>
      </c>
      <c r="DL394" s="641" t="str">
        <f t="shared" si="118"/>
        <v>Air Comp BUS 15 Year EUL</v>
      </c>
      <c r="DM394" s="623">
        <f>(INDEX('Avoided Cost Benefits'!$B$4:$B$865,MATCH(DL394,'Avoided Cost Benefits'!$A$4:$A$865,0)))*F394</f>
        <v>698.76965222192564</v>
      </c>
      <c r="DN394" s="1928">
        <f t="shared" si="119"/>
        <v>59</v>
      </c>
    </row>
    <row r="395" spans="1:118" x14ac:dyDescent="0.25">
      <c r="A395" s="2006" t="s">
        <v>112</v>
      </c>
      <c r="B395" s="247">
        <f t="shared" si="107"/>
        <v>804950</v>
      </c>
      <c r="C395" s="656" t="s">
        <v>505</v>
      </c>
      <c r="D395" s="1972" t="s">
        <v>60</v>
      </c>
      <c r="E395" s="458" t="s">
        <v>506</v>
      </c>
      <c r="F395" s="399">
        <f t="shared" si="120"/>
        <v>1584.17</v>
      </c>
      <c r="G395" s="441" t="s">
        <v>477</v>
      </c>
      <c r="H395" s="442">
        <f>VLOOKUP(G395,'CP FACTORS'!$A$26:$B$38,2,FALSE)</f>
        <v>1.379439E-4</v>
      </c>
      <c r="I395" s="459">
        <f t="shared" si="116"/>
        <v>0.218527</v>
      </c>
      <c r="J395" s="477">
        <v>15</v>
      </c>
      <c r="K395" s="1688">
        <v>59</v>
      </c>
      <c r="L395" s="487" t="s">
        <v>63</v>
      </c>
      <c r="V395" s="1311" t="s">
        <v>46</v>
      </c>
      <c r="W395" s="1641">
        <v>1547.2080000000001</v>
      </c>
      <c r="X395" s="1641">
        <v>1547.2080000000001</v>
      </c>
      <c r="Y395" s="1641">
        <v>1547.2080000000001</v>
      </c>
      <c r="Z395" s="1641">
        <v>1547.2080000000001</v>
      </c>
      <c r="AA395" s="1641">
        <v>1547.2080000000001</v>
      </c>
      <c r="AB395" s="1642">
        <v>1547.21</v>
      </c>
      <c r="AC395" s="1643">
        <v>1547.21</v>
      </c>
      <c r="AD395" s="1643">
        <v>1547.21</v>
      </c>
      <c r="AE395" s="1643">
        <v>1547.21</v>
      </c>
      <c r="AF395" s="1643">
        <v>1584.17</v>
      </c>
      <c r="AG395" s="1643">
        <f t="shared" si="121"/>
        <v>1584.17</v>
      </c>
      <c r="AH395"/>
      <c r="AI395" s="1311" t="s">
        <v>50</v>
      </c>
      <c r="AJ395" s="19">
        <v>15</v>
      </c>
      <c r="AK395" s="19">
        <v>15</v>
      </c>
      <c r="AL395" s="19">
        <v>15</v>
      </c>
      <c r="AM395" s="19">
        <v>15</v>
      </c>
      <c r="AN395" s="19">
        <v>15</v>
      </c>
      <c r="AO395" s="618">
        <v>15</v>
      </c>
      <c r="AP395" s="671">
        <v>15</v>
      </c>
      <c r="AQ395" s="671">
        <v>15</v>
      </c>
      <c r="AR395" s="671">
        <v>15</v>
      </c>
      <c r="AS395" s="671">
        <v>15</v>
      </c>
      <c r="AT395" s="671">
        <v>15</v>
      </c>
      <c r="AV395" s="1311" t="s">
        <v>51</v>
      </c>
      <c r="AW395" s="672">
        <v>77</v>
      </c>
      <c r="AX395" s="672">
        <v>77</v>
      </c>
      <c r="AY395" s="672">
        <v>77</v>
      </c>
      <c r="AZ395" s="672">
        <v>77</v>
      </c>
      <c r="BA395" s="672">
        <v>77</v>
      </c>
      <c r="BB395" s="657">
        <v>77</v>
      </c>
      <c r="BC395" s="657">
        <v>77</v>
      </c>
      <c r="BD395" s="657">
        <v>77</v>
      </c>
      <c r="BE395" s="657">
        <v>77</v>
      </c>
      <c r="BF395" s="726">
        <v>59</v>
      </c>
      <c r="BG395" s="657">
        <v>59</v>
      </c>
      <c r="DK395" s="995">
        <f t="shared" si="117"/>
        <v>19.147057896956071</v>
      </c>
      <c r="DL395" s="641" t="str">
        <f t="shared" si="118"/>
        <v>Air Comp BUS 15 Year EUL</v>
      </c>
      <c r="DM395" s="997">
        <f>(INDEX('Avoided Cost Benefits'!$B$4:$B$865,MATCH(DL395,'Avoided Cost Benefits'!$A$4:$A$865,0)))*F395</f>
        <v>1129.6764159204081</v>
      </c>
      <c r="DN395" s="2035">
        <f t="shared" si="119"/>
        <v>59</v>
      </c>
    </row>
    <row r="396" spans="1:118" outlineLevel="1" x14ac:dyDescent="0.25">
      <c r="D396" s="74" t="s">
        <v>95</v>
      </c>
      <c r="E396" s="108" t="s">
        <v>507</v>
      </c>
      <c r="F396" s="1616"/>
      <c r="G396" s="7"/>
      <c r="H396" s="449"/>
      <c r="I396" s="7"/>
      <c r="J396" s="7"/>
      <c r="K396" s="1622" t="s">
        <v>508</v>
      </c>
    </row>
    <row r="397" spans="1:118" outlineLevel="1" x14ac:dyDescent="0.25">
      <c r="D397" s="7" t="s">
        <v>97</v>
      </c>
      <c r="E397" s="7"/>
      <c r="F397" s="7"/>
      <c r="G397" s="7"/>
      <c r="H397" s="449"/>
      <c r="I397" s="7"/>
      <c r="J397" s="7"/>
      <c r="K397" s="7"/>
    </row>
    <row r="398" spans="1:118" outlineLevel="1" x14ac:dyDescent="0.25">
      <c r="D398" s="450"/>
      <c r="G398" s="247"/>
      <c r="H398" s="451"/>
    </row>
    <row r="399" spans="1:118" outlineLevel="1" x14ac:dyDescent="0.25">
      <c r="D399" s="450"/>
      <c r="G399" s="247"/>
      <c r="H399" s="451"/>
    </row>
    <row r="400" spans="1:118" outlineLevel="1" x14ac:dyDescent="0.25">
      <c r="D400" s="450"/>
      <c r="G400" s="247"/>
      <c r="H400" s="451"/>
      <c r="M400" s="7"/>
    </row>
    <row r="401" spans="1:118" outlineLevel="1" x14ac:dyDescent="0.25">
      <c r="D401" s="450"/>
      <c r="G401" s="247"/>
      <c r="H401" s="451"/>
      <c r="M401" s="7"/>
    </row>
    <row r="402" spans="1:118" outlineLevel="1" x14ac:dyDescent="0.25">
      <c r="D402" s="450"/>
      <c r="G402" s="247"/>
      <c r="H402" s="451"/>
    </row>
    <row r="403" spans="1:118" outlineLevel="1" x14ac:dyDescent="0.25">
      <c r="D403" s="450"/>
      <c r="G403" s="247"/>
      <c r="H403" s="451"/>
    </row>
    <row r="404" spans="1:118" s="8" customFormat="1" outlineLevel="1" x14ac:dyDescent="0.25">
      <c r="A404" s="247"/>
      <c r="B404" s="247"/>
      <c r="C404" s="64"/>
      <c r="D404" s="1236" t="s">
        <v>43</v>
      </c>
      <c r="E404" s="1236" t="s">
        <v>173</v>
      </c>
      <c r="F404" s="32" t="s">
        <v>509</v>
      </c>
      <c r="G404" s="1236" t="s">
        <v>510</v>
      </c>
      <c r="H404" s="1236" t="s">
        <v>511</v>
      </c>
      <c r="I404" s="1236" t="s">
        <v>512</v>
      </c>
      <c r="J404" s="1236" t="s">
        <v>141</v>
      </c>
      <c r="K404" s="1236" t="s">
        <v>513</v>
      </c>
      <c r="L404" s="247"/>
      <c r="M404" s="247"/>
      <c r="N404" s="115"/>
      <c r="O404" s="115"/>
      <c r="P404" s="115"/>
      <c r="Q404" s="115"/>
      <c r="R404" s="115"/>
      <c r="S404" s="115"/>
      <c r="T404" s="115"/>
      <c r="U404" s="115"/>
      <c r="V404" s="636" t="s">
        <v>53</v>
      </c>
      <c r="W404" s="637">
        <f>$W$8</f>
        <v>43252</v>
      </c>
      <c r="X404" s="637">
        <f>$X$8</f>
        <v>43465</v>
      </c>
      <c r="Y404" s="637">
        <f>$Y$8</f>
        <v>43800</v>
      </c>
      <c r="Z404" s="637">
        <f>$Z$8</f>
        <v>43862</v>
      </c>
      <c r="AA404" s="637">
        <f>$AA$8</f>
        <v>44013</v>
      </c>
      <c r="AB404" s="637">
        <v>44166</v>
      </c>
      <c r="AC404" s="637">
        <f>$AC$8</f>
        <v>44531</v>
      </c>
      <c r="AD404" s="637">
        <f>$AD$8</f>
        <v>44774</v>
      </c>
      <c r="AE404" s="637">
        <f>$AE$8</f>
        <v>45142</v>
      </c>
      <c r="AF404" s="637">
        <f>$AF$8</f>
        <v>45672</v>
      </c>
      <c r="AG404" s="637">
        <f>$AG$8</f>
        <v>45971</v>
      </c>
      <c r="AH404"/>
      <c r="AI404" s="636" t="s">
        <v>53</v>
      </c>
      <c r="AJ404" s="637">
        <v>43252</v>
      </c>
      <c r="AK404" s="637">
        <f>$X$8</f>
        <v>43465</v>
      </c>
      <c r="AL404" s="637">
        <f>$Y$8</f>
        <v>43800</v>
      </c>
      <c r="AM404" s="637">
        <f>$Z$8</f>
        <v>43862</v>
      </c>
      <c r="AN404" s="637">
        <f>$AA$8</f>
        <v>44013</v>
      </c>
      <c r="AO404" s="637">
        <f>$AB$8</f>
        <v>44166</v>
      </c>
      <c r="AP404" s="637">
        <f>$AC$8</f>
        <v>44531</v>
      </c>
      <c r="AQ404" s="637">
        <f>$AD$8</f>
        <v>44774</v>
      </c>
      <c r="AR404" s="637">
        <f>$AE$8</f>
        <v>45142</v>
      </c>
      <c r="AS404" s="637">
        <f>$AF$8</f>
        <v>45672</v>
      </c>
      <c r="AT404" s="637">
        <f>$AT$8</f>
        <v>45971</v>
      </c>
      <c r="AU404" s="2"/>
      <c r="AV404" s="636" t="s">
        <v>53</v>
      </c>
      <c r="AW404" s="637">
        <v>43252</v>
      </c>
      <c r="AX404" s="637">
        <f>$X$8</f>
        <v>43465</v>
      </c>
      <c r="AY404" s="637">
        <f>$Y$8</f>
        <v>43800</v>
      </c>
      <c r="AZ404" s="637">
        <f>$Z$8</f>
        <v>43862</v>
      </c>
      <c r="BA404" s="637">
        <f>$AA$8</f>
        <v>44013</v>
      </c>
      <c r="BB404" s="637">
        <v>44166</v>
      </c>
      <c r="BC404" s="637">
        <f>$AC$8</f>
        <v>44531</v>
      </c>
      <c r="BD404" s="637">
        <f>$AD$8</f>
        <v>44774</v>
      </c>
      <c r="BE404" s="637">
        <f>$AE$8</f>
        <v>45142</v>
      </c>
      <c r="BF404" s="637">
        <f>$AF$8</f>
        <v>45672</v>
      </c>
      <c r="BG404" s="637">
        <f>$AT$8</f>
        <v>45971</v>
      </c>
      <c r="DK404" s="996"/>
      <c r="DL404" s="115"/>
      <c r="DM404" s="115"/>
      <c r="DN404" s="499"/>
    </row>
    <row r="405" spans="1:118" outlineLevel="1" x14ac:dyDescent="0.25">
      <c r="D405" s="647" t="str">
        <f>C389</f>
        <v>804650_2024_12_</v>
      </c>
      <c r="E405" s="647" t="str">
        <f t="shared" ref="E405:E411" si="122">E389</f>
        <v>Compressed Air Nozzle (Reciprocating - On/off Control)</v>
      </c>
      <c r="F405" s="1693">
        <v>58</v>
      </c>
      <c r="G405" s="36">
        <v>0.5</v>
      </c>
      <c r="H405" s="1787">
        <f t="shared" ref="H405:H411" si="123">0.19*K405</f>
        <v>0.19</v>
      </c>
      <c r="I405" s="1700">
        <v>0.05</v>
      </c>
      <c r="J405" s="1705">
        <v>5928</v>
      </c>
      <c r="K405" s="1788">
        <v>1</v>
      </c>
      <c r="V405" s="1311" t="s">
        <v>513</v>
      </c>
      <c r="W405" s="1641"/>
      <c r="X405" s="1641"/>
      <c r="Y405" s="1641"/>
      <c r="Z405" s="1641"/>
      <c r="AA405" s="1641"/>
      <c r="AB405" s="1642"/>
      <c r="AC405" s="1643"/>
      <c r="AD405" s="1643"/>
      <c r="AE405" s="1643"/>
      <c r="AF405" s="1667">
        <v>1</v>
      </c>
      <c r="AG405" s="1667">
        <v>1</v>
      </c>
      <c r="AH405"/>
      <c r="AI405" s="1311"/>
      <c r="AJ405" s="19"/>
      <c r="AK405" s="19"/>
      <c r="AL405" s="19"/>
      <c r="AM405" s="19"/>
      <c r="AN405" s="19"/>
      <c r="AO405" s="618"/>
      <c r="AP405" s="671"/>
      <c r="AQ405" s="671"/>
      <c r="AR405" s="671"/>
      <c r="AS405" s="671"/>
      <c r="AT405" s="671"/>
      <c r="AV405" s="1311"/>
      <c r="AW405" s="672"/>
      <c r="AX405" s="672"/>
      <c r="AY405" s="672"/>
      <c r="AZ405" s="672"/>
      <c r="BA405" s="672"/>
      <c r="BB405" s="657"/>
      <c r="BC405" s="657"/>
      <c r="BD405" s="657"/>
      <c r="BE405" s="657"/>
      <c r="BF405" s="657"/>
      <c r="BG405" s="657"/>
    </row>
    <row r="406" spans="1:118" outlineLevel="1" x14ac:dyDescent="0.25">
      <c r="D406" s="647" t="str">
        <f t="shared" ref="D406:D411" si="124">C390</f>
        <v>804700_2024_12_</v>
      </c>
      <c r="E406" s="647" t="str">
        <f t="shared" si="122"/>
        <v>Compressed Air Nozzle (Reciprocating - Load/Unload)</v>
      </c>
      <c r="F406" s="1693">
        <v>58</v>
      </c>
      <c r="G406" s="36">
        <v>0.5</v>
      </c>
      <c r="H406" s="1787">
        <f t="shared" si="123"/>
        <v>0.1406</v>
      </c>
      <c r="I406" s="1700">
        <v>0.05</v>
      </c>
      <c r="J406" s="1705">
        <v>5928</v>
      </c>
      <c r="K406" s="1788">
        <v>0.74</v>
      </c>
      <c r="V406" s="1311" t="s">
        <v>513</v>
      </c>
      <c r="W406" s="1641"/>
      <c r="X406" s="1641"/>
      <c r="Y406" s="1641"/>
      <c r="Z406" s="1641"/>
      <c r="AA406" s="1641"/>
      <c r="AB406" s="1642"/>
      <c r="AC406" s="1643"/>
      <c r="AD406" s="1643"/>
      <c r="AE406" s="1643"/>
      <c r="AF406" s="1667">
        <v>0.74</v>
      </c>
      <c r="AG406" s="1667">
        <v>0.74</v>
      </c>
      <c r="AH406"/>
      <c r="AI406" s="1311"/>
      <c r="AJ406" s="19"/>
      <c r="AK406" s="19"/>
      <c r="AL406" s="19"/>
      <c r="AM406" s="19"/>
      <c r="AN406" s="19"/>
      <c r="AO406" s="618"/>
      <c r="AP406" s="671"/>
      <c r="AQ406" s="671"/>
      <c r="AR406" s="671"/>
      <c r="AS406" s="671"/>
      <c r="AT406" s="671"/>
      <c r="AV406" s="1311"/>
      <c r="AW406" s="672"/>
      <c r="AX406" s="672"/>
      <c r="AY406" s="672"/>
      <c r="AZ406" s="672"/>
      <c r="BA406" s="672"/>
      <c r="BB406" s="657"/>
      <c r="BC406" s="657"/>
      <c r="BD406" s="657"/>
      <c r="BE406" s="657"/>
      <c r="BF406" s="657"/>
      <c r="BG406" s="657"/>
    </row>
    <row r="407" spans="1:118" outlineLevel="1" x14ac:dyDescent="0.25">
      <c r="D407" s="647" t="str">
        <f t="shared" si="124"/>
        <v>804750_2024_12_</v>
      </c>
      <c r="E407" s="647" t="str">
        <f t="shared" si="122"/>
        <v>Compressed Air Nozzle (Screw - Load/Unload)</v>
      </c>
      <c r="F407" s="1693">
        <v>58</v>
      </c>
      <c r="G407" s="36">
        <v>0.5</v>
      </c>
      <c r="H407" s="1787">
        <f t="shared" si="123"/>
        <v>0.13869999999999999</v>
      </c>
      <c r="I407" s="1700">
        <v>0.05</v>
      </c>
      <c r="J407" s="1705">
        <v>5928</v>
      </c>
      <c r="K407" s="1788">
        <v>0.73</v>
      </c>
      <c r="V407" s="1311" t="s">
        <v>513</v>
      </c>
      <c r="W407" s="1641"/>
      <c r="X407" s="1641"/>
      <c r="Y407" s="1641"/>
      <c r="Z407" s="1641"/>
      <c r="AA407" s="1641"/>
      <c r="AB407" s="1642"/>
      <c r="AC407" s="1643"/>
      <c r="AD407" s="1643"/>
      <c r="AE407" s="1643"/>
      <c r="AF407" s="1667">
        <v>0.73</v>
      </c>
      <c r="AG407" s="1667">
        <v>0.73</v>
      </c>
      <c r="AH407"/>
      <c r="AI407" s="1311"/>
      <c r="AJ407" s="19"/>
      <c r="AK407" s="19"/>
      <c r="AL407" s="19"/>
      <c r="AM407" s="19"/>
      <c r="AN407" s="19"/>
      <c r="AO407" s="618"/>
      <c r="AP407" s="671"/>
      <c r="AQ407" s="671"/>
      <c r="AR407" s="671"/>
      <c r="AS407" s="671"/>
      <c r="AT407" s="671"/>
      <c r="AV407" s="1311"/>
      <c r="AW407" s="672"/>
      <c r="AX407" s="672"/>
      <c r="AY407" s="672"/>
      <c r="AZ407" s="672"/>
      <c r="BA407" s="672"/>
      <c r="BB407" s="657"/>
      <c r="BC407" s="657"/>
      <c r="BD407" s="657"/>
      <c r="BE407" s="657"/>
      <c r="BF407" s="657"/>
      <c r="BG407" s="657"/>
    </row>
    <row r="408" spans="1:118" outlineLevel="1" x14ac:dyDescent="0.25">
      <c r="D408" s="647" t="str">
        <f t="shared" si="124"/>
        <v>804800_2024_12_</v>
      </c>
      <c r="E408" s="647" t="str">
        <f t="shared" si="122"/>
        <v>Compressed Air Nozzle (Screw - Inlet Modulation)</v>
      </c>
      <c r="F408" s="1693">
        <v>58</v>
      </c>
      <c r="G408" s="36">
        <v>0.5</v>
      </c>
      <c r="H408" s="1787">
        <f t="shared" si="123"/>
        <v>5.5099999999999996E-2</v>
      </c>
      <c r="I408" s="1700">
        <v>0.05</v>
      </c>
      <c r="J408" s="1705">
        <v>5928</v>
      </c>
      <c r="K408" s="1788">
        <v>0.28999999999999998</v>
      </c>
      <c r="V408" s="1311" t="s">
        <v>513</v>
      </c>
      <c r="W408" s="1641"/>
      <c r="X408" s="1641"/>
      <c r="Y408" s="1641"/>
      <c r="Z408" s="1641"/>
      <c r="AA408" s="1641"/>
      <c r="AB408" s="1642"/>
      <c r="AC408" s="1643"/>
      <c r="AD408" s="1643"/>
      <c r="AE408" s="1643"/>
      <c r="AF408" s="1667">
        <v>0.28999999999999998</v>
      </c>
      <c r="AG408" s="1667">
        <v>0.28999999999999998</v>
      </c>
      <c r="AH408"/>
      <c r="AI408" s="1311"/>
      <c r="AJ408" s="19"/>
      <c r="AK408" s="19"/>
      <c r="AL408" s="19"/>
      <c r="AM408" s="19"/>
      <c r="AN408" s="19"/>
      <c r="AO408" s="618"/>
      <c r="AP408" s="671"/>
      <c r="AQ408" s="671"/>
      <c r="AR408" s="671"/>
      <c r="AS408" s="671"/>
      <c r="AT408" s="671"/>
      <c r="AV408" s="1311"/>
      <c r="AW408" s="672"/>
      <c r="AX408" s="672"/>
      <c r="AY408" s="672"/>
      <c r="AZ408" s="672"/>
      <c r="BA408" s="672"/>
      <c r="BB408" s="657"/>
      <c r="BC408" s="657"/>
      <c r="BD408" s="657"/>
      <c r="BE408" s="657"/>
      <c r="BF408" s="657"/>
      <c r="BG408" s="657"/>
    </row>
    <row r="409" spans="1:118" outlineLevel="1" x14ac:dyDescent="0.25">
      <c r="D409" s="647" t="str">
        <f t="shared" si="124"/>
        <v>804850_2024_12_</v>
      </c>
      <c r="E409" s="647" t="str">
        <f t="shared" si="122"/>
        <v>Compressed Air Nozzle (Screw - Inlet Modulation w/ blowdown)</v>
      </c>
      <c r="F409" s="1693">
        <v>58</v>
      </c>
      <c r="G409" s="36">
        <v>0.5</v>
      </c>
      <c r="H409" s="1787">
        <f t="shared" si="123"/>
        <v>0.1406</v>
      </c>
      <c r="I409" s="1700">
        <v>0.05</v>
      </c>
      <c r="J409" s="1705">
        <v>5928</v>
      </c>
      <c r="K409" s="1788">
        <v>0.74</v>
      </c>
      <c r="V409" s="1311" t="s">
        <v>513</v>
      </c>
      <c r="W409" s="1641"/>
      <c r="X409" s="1641"/>
      <c r="Y409" s="1641"/>
      <c r="Z409" s="1641"/>
      <c r="AA409" s="1641"/>
      <c r="AB409" s="1642"/>
      <c r="AC409" s="1643"/>
      <c r="AD409" s="1643"/>
      <c r="AE409" s="1643"/>
      <c r="AF409" s="1667">
        <v>0.74</v>
      </c>
      <c r="AG409" s="1667">
        <v>0.74</v>
      </c>
      <c r="AH409"/>
      <c r="AI409" s="1311"/>
      <c r="AJ409" s="19"/>
      <c r="AK409" s="19"/>
      <c r="AL409" s="19"/>
      <c r="AM409" s="19"/>
      <c r="AN409" s="19"/>
      <c r="AO409" s="618"/>
      <c r="AP409" s="671"/>
      <c r="AQ409" s="671"/>
      <c r="AR409" s="671"/>
      <c r="AS409" s="671"/>
      <c r="AT409" s="671"/>
      <c r="AV409" s="1311"/>
      <c r="AW409" s="672"/>
      <c r="AX409" s="672"/>
      <c r="AY409" s="672"/>
      <c r="AZ409" s="672"/>
      <c r="BA409" s="672"/>
      <c r="BB409" s="657"/>
      <c r="BC409" s="657"/>
      <c r="BD409" s="657"/>
      <c r="BE409" s="657"/>
      <c r="BF409" s="657"/>
      <c r="BG409" s="657"/>
    </row>
    <row r="410" spans="1:118" outlineLevel="1" x14ac:dyDescent="0.25">
      <c r="D410" s="647" t="str">
        <f t="shared" si="124"/>
        <v>804900_2024_12_</v>
      </c>
      <c r="E410" s="647" t="str">
        <f t="shared" si="122"/>
        <v>Compressed Air Nozzle (Screw - Variable Displacement)</v>
      </c>
      <c r="F410" s="1693">
        <v>58</v>
      </c>
      <c r="G410" s="36">
        <v>0.5</v>
      </c>
      <c r="H410" s="1787">
        <f t="shared" si="123"/>
        <v>0.11399999999999999</v>
      </c>
      <c r="I410" s="1700">
        <v>0.05</v>
      </c>
      <c r="J410" s="1705">
        <v>5928</v>
      </c>
      <c r="K410" s="1788">
        <v>0.6</v>
      </c>
      <c r="V410" s="1311" t="s">
        <v>513</v>
      </c>
      <c r="W410" s="1641"/>
      <c r="X410" s="1641"/>
      <c r="Y410" s="1641"/>
      <c r="Z410" s="1641"/>
      <c r="AA410" s="1641"/>
      <c r="AB410" s="1642"/>
      <c r="AC410" s="1643"/>
      <c r="AD410" s="1643"/>
      <c r="AE410" s="1643"/>
      <c r="AF410" s="1667">
        <v>0.6</v>
      </c>
      <c r="AG410" s="1667">
        <v>0.6</v>
      </c>
      <c r="AH410"/>
      <c r="AI410" s="1311"/>
      <c r="AJ410" s="19"/>
      <c r="AK410" s="19"/>
      <c r="AL410" s="19"/>
      <c r="AM410" s="19"/>
      <c r="AN410" s="19"/>
      <c r="AO410" s="618"/>
      <c r="AP410" s="671"/>
      <c r="AQ410" s="671"/>
      <c r="AR410" s="671"/>
      <c r="AS410" s="671"/>
      <c r="AT410" s="671"/>
      <c r="AV410" s="1311"/>
      <c r="AW410" s="672"/>
      <c r="AX410" s="672"/>
      <c r="AY410" s="672"/>
      <c r="AZ410" s="672"/>
      <c r="BA410" s="672"/>
      <c r="BB410" s="657"/>
      <c r="BC410" s="657"/>
      <c r="BD410" s="657"/>
      <c r="BE410" s="657"/>
      <c r="BF410" s="657"/>
      <c r="BG410" s="657"/>
    </row>
    <row r="411" spans="1:118" outlineLevel="1" x14ac:dyDescent="0.25">
      <c r="D411" s="647" t="str">
        <f t="shared" si="124"/>
        <v>804950_2024_12_</v>
      </c>
      <c r="E411" s="647" t="str">
        <f t="shared" si="122"/>
        <v>Compressed Air Nozzle (Screw - VFD)</v>
      </c>
      <c r="F411" s="1693">
        <v>58</v>
      </c>
      <c r="G411" s="36">
        <v>0.5</v>
      </c>
      <c r="H411" s="1787">
        <f t="shared" si="123"/>
        <v>0.18429999999999999</v>
      </c>
      <c r="I411" s="1700">
        <v>0.05</v>
      </c>
      <c r="J411" s="1705">
        <v>5928</v>
      </c>
      <c r="K411" s="1788">
        <v>0.97</v>
      </c>
      <c r="V411" s="1311" t="s">
        <v>513</v>
      </c>
      <c r="W411" s="1641"/>
      <c r="X411" s="1641"/>
      <c r="Y411" s="1641"/>
      <c r="Z411" s="1641"/>
      <c r="AA411" s="1641"/>
      <c r="AB411" s="1642"/>
      <c r="AC411" s="1643"/>
      <c r="AD411" s="1643"/>
      <c r="AE411" s="1643"/>
      <c r="AF411" s="1667">
        <v>0.97</v>
      </c>
      <c r="AG411" s="1667">
        <v>0.97</v>
      </c>
      <c r="AH411"/>
      <c r="AI411" s="1311"/>
      <c r="AJ411" s="19"/>
      <c r="AK411" s="19"/>
      <c r="AL411" s="19"/>
      <c r="AM411" s="19"/>
      <c r="AN411" s="19"/>
      <c r="AO411" s="618"/>
      <c r="AP411" s="671"/>
      <c r="AQ411" s="671"/>
      <c r="AR411" s="671"/>
      <c r="AS411" s="671"/>
      <c r="AT411" s="671"/>
      <c r="AV411" s="1311"/>
      <c r="AW411" s="672"/>
      <c r="AX411" s="672"/>
      <c r="AY411" s="672"/>
      <c r="AZ411" s="672"/>
      <c r="BA411" s="672"/>
      <c r="BB411" s="657"/>
      <c r="BC411" s="657"/>
      <c r="BD411" s="657"/>
      <c r="BE411" s="657"/>
      <c r="BF411" s="657"/>
      <c r="BG411" s="657"/>
    </row>
    <row r="414" spans="1:118" s="8" customFormat="1" ht="30" x14ac:dyDescent="0.25">
      <c r="A414" s="247"/>
      <c r="B414" s="247"/>
      <c r="C414" s="9" t="s">
        <v>43</v>
      </c>
      <c r="D414" s="9" t="s">
        <v>44</v>
      </c>
      <c r="E414" s="1301" t="s">
        <v>45</v>
      </c>
      <c r="F414" s="1301" t="s">
        <v>261</v>
      </c>
      <c r="G414" s="1301" t="s">
        <v>47</v>
      </c>
      <c r="H414" s="10" t="s">
        <v>48</v>
      </c>
      <c r="I414" s="1301" t="s">
        <v>49</v>
      </c>
      <c r="J414" s="1301" t="s">
        <v>50</v>
      </c>
      <c r="K414" s="9" t="s">
        <v>514</v>
      </c>
      <c r="L414" s="9" t="s">
        <v>52</v>
      </c>
      <c r="M414" s="247"/>
      <c r="N414" s="499"/>
      <c r="O414" s="483"/>
      <c r="P414" s="484"/>
      <c r="Q414" s="115"/>
      <c r="R414" s="115"/>
      <c r="S414" s="115"/>
      <c r="T414" s="115"/>
      <c r="U414" s="115"/>
      <c r="V414" s="636" t="s">
        <v>53</v>
      </c>
      <c r="W414" s="637">
        <f>$W$8</f>
        <v>43252</v>
      </c>
      <c r="X414" s="637">
        <f>$X$8</f>
        <v>43465</v>
      </c>
      <c r="Y414" s="637">
        <f>$Y$8</f>
        <v>43800</v>
      </c>
      <c r="Z414" s="637">
        <f>$Z$8</f>
        <v>43862</v>
      </c>
      <c r="AA414" s="637">
        <f>$AA$8</f>
        <v>44013</v>
      </c>
      <c r="AB414" s="637">
        <v>44166</v>
      </c>
      <c r="AC414" s="637">
        <f>$AC$8</f>
        <v>44531</v>
      </c>
      <c r="AD414" s="637">
        <f>$AD$8</f>
        <v>44774</v>
      </c>
      <c r="AE414" s="637">
        <f>$AE$8</f>
        <v>45142</v>
      </c>
      <c r="AF414" s="637">
        <f>$AF$8</f>
        <v>45672</v>
      </c>
      <c r="AG414" s="637">
        <f>$AG$8</f>
        <v>45971</v>
      </c>
      <c r="AH414"/>
      <c r="AI414" s="636" t="s">
        <v>53</v>
      </c>
      <c r="AJ414" s="637">
        <v>43252</v>
      </c>
      <c r="AK414" s="637">
        <f>$X$8</f>
        <v>43465</v>
      </c>
      <c r="AL414" s="637">
        <f>$Y$8</f>
        <v>43800</v>
      </c>
      <c r="AM414" s="637">
        <f>$Z$8</f>
        <v>43862</v>
      </c>
      <c r="AN414" s="637">
        <f>$AA$8</f>
        <v>44013</v>
      </c>
      <c r="AO414" s="637">
        <f>$AB$8</f>
        <v>44166</v>
      </c>
      <c r="AP414" s="637">
        <f>$AC$8</f>
        <v>44531</v>
      </c>
      <c r="AQ414" s="637">
        <f>$AD$8</f>
        <v>44774</v>
      </c>
      <c r="AR414" s="637">
        <f>$AE$8</f>
        <v>45142</v>
      </c>
      <c r="AS414" s="637">
        <f>$AF$8</f>
        <v>45672</v>
      </c>
      <c r="AT414" s="637">
        <f>$AT$8</f>
        <v>45971</v>
      </c>
      <c r="AU414" s="2"/>
      <c r="AV414" s="636" t="s">
        <v>53</v>
      </c>
      <c r="AW414" s="637">
        <v>43252</v>
      </c>
      <c r="AX414" s="637">
        <f>$X$8</f>
        <v>43465</v>
      </c>
      <c r="AY414" s="637">
        <f>$Y$8</f>
        <v>43800</v>
      </c>
      <c r="AZ414" s="637">
        <f>$Z$8</f>
        <v>43862</v>
      </c>
      <c r="BA414" s="637">
        <f>$AA$8</f>
        <v>44013</v>
      </c>
      <c r="BB414" s="637">
        <v>44166</v>
      </c>
      <c r="BC414" s="637">
        <f>$AC$8</f>
        <v>44531</v>
      </c>
      <c r="BD414" s="637">
        <f>$AD$8</f>
        <v>44774</v>
      </c>
      <c r="BE414" s="637">
        <f>$AE$8</f>
        <v>45142</v>
      </c>
      <c r="BF414" s="637">
        <f>$AF$8</f>
        <v>45672</v>
      </c>
      <c r="BG414" s="637">
        <f>$AT$8</f>
        <v>45971</v>
      </c>
      <c r="DK414" s="991" t="str">
        <f>$DK$8</f>
        <v>TRC (2025)</v>
      </c>
      <c r="DL414" s="761" t="str">
        <f>$DL$8</f>
        <v>Benefit Lookup</v>
      </c>
      <c r="DM414" s="761" t="str">
        <f>$DM$8</f>
        <v>Benefits (2025 $)</v>
      </c>
      <c r="DN414" s="2034" t="str">
        <f>$DN$8</f>
        <v>Incremental Cost (2025 $)</v>
      </c>
    </row>
    <row r="415" spans="1:118" x14ac:dyDescent="0.25">
      <c r="A415" s="2006" t="s">
        <v>112</v>
      </c>
      <c r="B415" s="247">
        <f t="shared" si="107"/>
        <v>805000</v>
      </c>
      <c r="C415" s="656" t="s">
        <v>515</v>
      </c>
      <c r="D415" s="1972" t="s">
        <v>60</v>
      </c>
      <c r="E415" s="458" t="s">
        <v>516</v>
      </c>
      <c r="F415" s="399">
        <f>ROUND(0.9*F427*G427*(H427-I427),2)</f>
        <v>949.38</v>
      </c>
      <c r="G415" s="441" t="s">
        <v>477</v>
      </c>
      <c r="H415" s="442">
        <f>VLOOKUP(G415,'CP FACTORS'!$A$26:$B$38,2,FALSE)</f>
        <v>1.379439E-4</v>
      </c>
      <c r="I415" s="486">
        <f>ROUND(H415*F415,6)</f>
        <v>0.13096099999999999</v>
      </c>
      <c r="J415" s="477">
        <v>10</v>
      </c>
      <c r="K415" s="1789">
        <f>L427/K427</f>
        <v>202.28779999999998</v>
      </c>
      <c r="L415" s="487" t="s">
        <v>265</v>
      </c>
      <c r="V415" s="1285" t="s">
        <v>261</v>
      </c>
      <c r="W415" s="53">
        <v>987.01200000000028</v>
      </c>
      <c r="X415" s="53">
        <v>3272.2560000000003</v>
      </c>
      <c r="Y415" s="53">
        <v>3272.2560000000003</v>
      </c>
      <c r="Z415" s="53">
        <v>3272.2560000000003</v>
      </c>
      <c r="AA415" s="53">
        <v>3272.2560000000003</v>
      </c>
      <c r="AB415" s="616">
        <v>987.01</v>
      </c>
      <c r="AC415" s="692">
        <v>987.01</v>
      </c>
      <c r="AD415" s="692">
        <v>987.01</v>
      </c>
      <c r="AE415" s="1631">
        <v>949.38</v>
      </c>
      <c r="AF415" s="1631">
        <v>949.38</v>
      </c>
      <c r="AG415" s="692">
        <f>$F415</f>
        <v>949.38</v>
      </c>
      <c r="AH415"/>
      <c r="AI415" s="1285" t="s">
        <v>50</v>
      </c>
      <c r="AJ415" s="639">
        <v>10</v>
      </c>
      <c r="AK415" s="639">
        <v>10</v>
      </c>
      <c r="AL415" s="639">
        <v>10</v>
      </c>
      <c r="AM415" s="639">
        <v>10</v>
      </c>
      <c r="AN415" s="639">
        <v>10</v>
      </c>
      <c r="AO415" s="52">
        <v>10</v>
      </c>
      <c r="AP415" s="671">
        <v>10</v>
      </c>
      <c r="AQ415" s="671">
        <v>10</v>
      </c>
      <c r="AR415" s="671">
        <v>10</v>
      </c>
      <c r="AS415" s="671">
        <v>10</v>
      </c>
      <c r="AT415" s="671">
        <v>10</v>
      </c>
      <c r="AV415" s="1285" t="str">
        <f>K414</f>
        <v>Inc. Cost per HP</v>
      </c>
      <c r="AW415" s="640">
        <v>1573</v>
      </c>
      <c r="AX415" s="640">
        <v>1573</v>
      </c>
      <c r="AY415" s="640">
        <v>1573</v>
      </c>
      <c r="AZ415" s="640">
        <v>1573</v>
      </c>
      <c r="BA415" s="657" t="s">
        <v>517</v>
      </c>
      <c r="BB415" s="657" t="s">
        <v>517</v>
      </c>
      <c r="BC415" s="657" t="s">
        <v>517</v>
      </c>
      <c r="BD415" s="657" t="s">
        <v>517</v>
      </c>
      <c r="BE415" s="1640" t="s">
        <v>518</v>
      </c>
      <c r="BF415" s="1639">
        <v>202.28779999999998</v>
      </c>
      <c r="BG415" s="2004">
        <f>K415</f>
        <v>202.28779999999998</v>
      </c>
      <c r="DK415" s="998">
        <f>(DM415)/(DN415)</f>
        <v>1.3755919890352668</v>
      </c>
      <c r="DL415" s="1272" t="str">
        <f>CONCATENATE(G415," ",J415," Year EUL")</f>
        <v>Air Comp BUS 10 Year EUL</v>
      </c>
      <c r="DM415" s="763">
        <f>(INDEX('Avoided Cost Benefits'!$B$4:$B$865,MATCH(DL415,'Avoided Cost Benefits'!$A$4:$A$865,0)))*F415*DN418</f>
        <v>3037.3071117898689</v>
      </c>
      <c r="DN415" s="2041">
        <f>IFERROR((127*$DN$418+1446)/((1+DiscountRate)^(CurrentYear-DiscountYear)),0)</f>
        <v>2208</v>
      </c>
    </row>
    <row r="416" spans="1:118" x14ac:dyDescent="0.25">
      <c r="A416" s="2006" t="s">
        <v>112</v>
      </c>
      <c r="B416" s="247">
        <f t="shared" si="107"/>
        <v>805001</v>
      </c>
      <c r="C416" s="656" t="s">
        <v>519</v>
      </c>
      <c r="D416" s="1972" t="s">
        <v>60</v>
      </c>
      <c r="E416" s="458" t="s">
        <v>520</v>
      </c>
      <c r="F416" s="399">
        <f>ROUND(0.9*F428*G428*(H428-I428),2)</f>
        <v>949.38</v>
      </c>
      <c r="G416" s="441" t="s">
        <v>477</v>
      </c>
      <c r="H416" s="442">
        <f>VLOOKUP(G416,'CP FACTORS'!$A$26:$B$38,2,FALSE)</f>
        <v>1.379439E-4</v>
      </c>
      <c r="I416" s="486">
        <f>ROUND(H416*F416,6)</f>
        <v>0.13096099999999999</v>
      </c>
      <c r="J416" s="477">
        <v>10</v>
      </c>
      <c r="K416" s="1789">
        <f>L428/K428</f>
        <v>202.28779999999998</v>
      </c>
      <c r="L416" s="487" t="s">
        <v>265</v>
      </c>
      <c r="V416" s="1285" t="s">
        <v>261</v>
      </c>
      <c r="W416" s="53"/>
      <c r="X416" s="53"/>
      <c r="Y416" s="53"/>
      <c r="Z416" s="53"/>
      <c r="AA416" s="53"/>
      <c r="AB416" s="53"/>
      <c r="AC416" s="53"/>
      <c r="AD416" s="53"/>
      <c r="AE416" s="1631">
        <v>949.38</v>
      </c>
      <c r="AF416" s="1631">
        <v>949.38</v>
      </c>
      <c r="AG416" s="692">
        <f t="shared" ref="AG416:AG417" si="125">$F416</f>
        <v>949.38</v>
      </c>
      <c r="AH416"/>
      <c r="AI416" s="1285" t="s">
        <v>50</v>
      </c>
      <c r="AJ416" s="639"/>
      <c r="AK416" s="639"/>
      <c r="AL416" s="639"/>
      <c r="AM416" s="639"/>
      <c r="AN416" s="639"/>
      <c r="AO416" s="52"/>
      <c r="AP416" s="671"/>
      <c r="AQ416" s="671"/>
      <c r="AR416" s="671">
        <v>10</v>
      </c>
      <c r="AS416" s="671">
        <v>10</v>
      </c>
      <c r="AT416" s="671">
        <v>10</v>
      </c>
      <c r="AV416" s="1285">
        <f>K415</f>
        <v>202.28779999999998</v>
      </c>
      <c r="AW416" s="640"/>
      <c r="AX416" s="640"/>
      <c r="AY416" s="640"/>
      <c r="AZ416" s="640"/>
      <c r="BA416" s="657"/>
      <c r="BB416" s="657"/>
      <c r="BC416" s="657"/>
      <c r="BD416" s="657"/>
      <c r="BE416" s="1640" t="s">
        <v>518</v>
      </c>
      <c r="BF416" s="1639">
        <v>202.28779999999998</v>
      </c>
      <c r="BG416" s="2004">
        <f t="shared" ref="BG416:BG417" si="126">K416</f>
        <v>202.28779999999998</v>
      </c>
      <c r="DK416" s="998">
        <f>(DM416)/(DN416)</f>
        <v>1.3755919890352668</v>
      </c>
      <c r="DL416" s="1272" t="str">
        <f>CONCATENATE(G416," ",J416," Year EUL")</f>
        <v>Air Comp BUS 10 Year EUL</v>
      </c>
      <c r="DM416" s="763">
        <f>(INDEX('Avoided Cost Benefits'!$B$4:$B$865,MATCH(DL416,'Avoided Cost Benefits'!$A$4:$A$865,0)))*F416*DN418</f>
        <v>3037.3071117898689</v>
      </c>
      <c r="DN416" s="2042">
        <f>IFERROR((127*$DN$418+1446)/((1+DiscountRate)^(CurrentYear-DiscountYear)),0)</f>
        <v>2208</v>
      </c>
    </row>
    <row r="417" spans="1:121" x14ac:dyDescent="0.25">
      <c r="A417" s="2006" t="s">
        <v>112</v>
      </c>
      <c r="B417" s="247">
        <f t="shared" si="107"/>
        <v>805002</v>
      </c>
      <c r="C417" s="656" t="s">
        <v>521</v>
      </c>
      <c r="D417" s="1972" t="s">
        <v>60</v>
      </c>
      <c r="E417" s="458" t="s">
        <v>522</v>
      </c>
      <c r="F417" s="399">
        <f>ROUND(0.9*F429*G429*(H429-I429),2)</f>
        <v>1052.02</v>
      </c>
      <c r="G417" s="441" t="s">
        <v>477</v>
      </c>
      <c r="H417" s="442">
        <f>VLOOKUP(G417,'CP FACTORS'!$A$26:$B$38,2,FALSE)</f>
        <v>1.379439E-4</v>
      </c>
      <c r="I417" s="486">
        <f>ROUND(H417*F417,6)</f>
        <v>0.14512</v>
      </c>
      <c r="J417" s="477">
        <v>10</v>
      </c>
      <c r="K417" s="1789">
        <f>L429/K429</f>
        <v>202.28779999999998</v>
      </c>
      <c r="L417" s="487" t="s">
        <v>265</v>
      </c>
      <c r="V417" s="1285" t="s">
        <v>261</v>
      </c>
      <c r="W417" s="53"/>
      <c r="X417" s="53"/>
      <c r="Y417" s="53"/>
      <c r="Z417" s="53"/>
      <c r="AA417" s="53"/>
      <c r="AB417" s="53"/>
      <c r="AC417" s="53"/>
      <c r="AD417" s="53"/>
      <c r="AE417" s="1631">
        <v>1052.02</v>
      </c>
      <c r="AF417" s="1631">
        <v>1052.02</v>
      </c>
      <c r="AG417" s="692">
        <f t="shared" si="125"/>
        <v>1052.02</v>
      </c>
      <c r="AH417"/>
      <c r="AI417" s="1285" t="s">
        <v>50</v>
      </c>
      <c r="AJ417" s="639"/>
      <c r="AK417" s="639"/>
      <c r="AL417" s="639"/>
      <c r="AM417" s="639"/>
      <c r="AN417" s="639"/>
      <c r="AO417" s="52"/>
      <c r="AP417" s="671"/>
      <c r="AQ417" s="671"/>
      <c r="AR417" s="671">
        <v>10</v>
      </c>
      <c r="AS417" s="671">
        <v>10</v>
      </c>
      <c r="AT417" s="671">
        <v>10</v>
      </c>
      <c r="AV417" s="1285">
        <f>K416</f>
        <v>202.28779999999998</v>
      </c>
      <c r="AW417" s="640"/>
      <c r="AX417" s="640"/>
      <c r="AY417" s="640"/>
      <c r="AZ417" s="640"/>
      <c r="BA417" s="657"/>
      <c r="BB417" s="657"/>
      <c r="BC417" s="657"/>
      <c r="BD417" s="657"/>
      <c r="BE417" s="1640" t="s">
        <v>518</v>
      </c>
      <c r="BF417" s="1639">
        <v>202.28779999999998</v>
      </c>
      <c r="BG417" s="2004">
        <f t="shared" si="126"/>
        <v>202.28779999999998</v>
      </c>
      <c r="DK417" s="998">
        <f>(DM417)/(DN417)</f>
        <v>1.5243109021728725</v>
      </c>
      <c r="DL417" s="1272" t="str">
        <f>CONCATENATE(G417," ",J417," Year EUL")</f>
        <v>Air Comp BUS 10 Year EUL</v>
      </c>
      <c r="DM417" s="763">
        <f>(INDEX('Avoided Cost Benefits'!$B$4:$B$865,MATCH(DL417,'Avoided Cost Benefits'!$A$4:$A$865,0)))*F417*DN418</f>
        <v>3365.6784719977022</v>
      </c>
      <c r="DN417" s="2043">
        <f>IFERROR((127*$DN$418+1446)/((1+DiscountRate)^(CurrentYear-DiscountYear)),0)</f>
        <v>2208</v>
      </c>
    </row>
    <row r="418" spans="1:121" outlineLevel="1" x14ac:dyDescent="0.25">
      <c r="D418" s="74" t="s">
        <v>95</v>
      </c>
      <c r="E418" s="108" t="s">
        <v>523</v>
      </c>
      <c r="F418" s="7"/>
      <c r="G418" s="7"/>
      <c r="H418" s="449"/>
      <c r="I418" s="7"/>
      <c r="J418" s="7"/>
      <c r="K418" s="1638"/>
      <c r="DN418" s="499">
        <v>6</v>
      </c>
      <c r="DO418" s="247" t="s">
        <v>524</v>
      </c>
    </row>
    <row r="419" spans="1:121" outlineLevel="1" x14ac:dyDescent="0.25">
      <c r="D419" s="7" t="s">
        <v>97</v>
      </c>
      <c r="E419" s="7"/>
      <c r="F419" s="7"/>
      <c r="G419" s="7"/>
      <c r="H419" s="449"/>
      <c r="I419" s="7"/>
      <c r="J419" s="7"/>
      <c r="K419" s="7"/>
    </row>
    <row r="420" spans="1:121" outlineLevel="1" x14ac:dyDescent="0.25">
      <c r="D420" s="450"/>
      <c r="G420" s="247"/>
      <c r="H420" s="451"/>
    </row>
    <row r="421" spans="1:121" outlineLevel="1" x14ac:dyDescent="0.25">
      <c r="D421" s="450"/>
      <c r="G421" s="247"/>
      <c r="H421" s="451"/>
    </row>
    <row r="422" spans="1:121" outlineLevel="1" x14ac:dyDescent="0.25">
      <c r="D422" s="450"/>
      <c r="G422" s="247"/>
      <c r="H422" s="451"/>
      <c r="M422" s="7"/>
    </row>
    <row r="423" spans="1:121" outlineLevel="1" x14ac:dyDescent="0.25">
      <c r="D423" s="450"/>
      <c r="G423" s="247"/>
      <c r="H423" s="451"/>
      <c r="M423" s="7"/>
    </row>
    <row r="424" spans="1:121" outlineLevel="1" x14ac:dyDescent="0.25">
      <c r="D424" s="450"/>
      <c r="G424" s="247"/>
      <c r="H424" s="451"/>
      <c r="M424" s="7"/>
    </row>
    <row r="425" spans="1:121" outlineLevel="1" x14ac:dyDescent="0.25">
      <c r="D425" s="450"/>
      <c r="G425" s="247"/>
      <c r="H425" s="451"/>
    </row>
    <row r="426" spans="1:121" s="8" customFormat="1" ht="30" outlineLevel="1" x14ac:dyDescent="0.25">
      <c r="A426" s="247"/>
      <c r="B426" s="247"/>
      <c r="C426" s="64"/>
      <c r="D426" s="1236" t="s">
        <v>43</v>
      </c>
      <c r="E426" s="1236" t="s">
        <v>173</v>
      </c>
      <c r="F426" s="32" t="s">
        <v>525</v>
      </c>
      <c r="G426" s="1236" t="s">
        <v>141</v>
      </c>
      <c r="H426" s="1236" t="s">
        <v>526</v>
      </c>
      <c r="I426" s="1236" t="s">
        <v>527</v>
      </c>
      <c r="J426" s="1236" t="s">
        <v>390</v>
      </c>
      <c r="K426" s="1236" t="s">
        <v>528</v>
      </c>
      <c r="L426" s="1236" t="s">
        <v>529</v>
      </c>
      <c r="M426" s="115"/>
      <c r="N426" s="115"/>
      <c r="O426" s="115"/>
      <c r="P426" s="115"/>
      <c r="Q426" s="115"/>
      <c r="R426" s="115"/>
      <c r="S426" s="115"/>
      <c r="T426" s="115"/>
      <c r="U426" s="115"/>
      <c r="DK426" s="996"/>
      <c r="DL426" s="115"/>
      <c r="DM426" s="115"/>
      <c r="DN426" s="499"/>
    </row>
    <row r="427" spans="1:121" outlineLevel="1" x14ac:dyDescent="0.25">
      <c r="D427" s="647" t="str">
        <f>C415</f>
        <v>805000_2024_12_</v>
      </c>
      <c r="E427" s="647" t="str">
        <f>E415</f>
        <v>VSD Air Compressor 5-40 HP</v>
      </c>
      <c r="F427" s="1693">
        <v>1</v>
      </c>
      <c r="G427" s="1706">
        <v>5702</v>
      </c>
      <c r="H427" s="501">
        <v>0.89</v>
      </c>
      <c r="I427" s="502">
        <v>0.70499999999999996</v>
      </c>
      <c r="J427" s="1790">
        <v>100</v>
      </c>
      <c r="K427" s="1790">
        <v>100</v>
      </c>
      <c r="L427" s="1791">
        <f>((127*K427)+1446)*1.43</f>
        <v>20228.78</v>
      </c>
      <c r="DP427" s="37"/>
      <c r="DQ427" s="37"/>
    </row>
    <row r="428" spans="1:121" outlineLevel="1" x14ac:dyDescent="0.25">
      <c r="D428" s="647" t="str">
        <f>C416</f>
        <v>805001_2024_12_</v>
      </c>
      <c r="E428" s="647" t="str">
        <f>E416</f>
        <v>VSD Air Compressor &gt;40-&lt;50 HP</v>
      </c>
      <c r="F428" s="1693">
        <v>1</v>
      </c>
      <c r="G428" s="1706">
        <v>5702</v>
      </c>
      <c r="H428" s="501">
        <v>0.88600000000000001</v>
      </c>
      <c r="I428" s="502">
        <v>0.70099999999999996</v>
      </c>
      <c r="J428" s="1790">
        <v>100</v>
      </c>
      <c r="K428" s="1790">
        <v>100</v>
      </c>
      <c r="L428" s="1791">
        <f>((127*K428)+1446)*1.43</f>
        <v>20228.78</v>
      </c>
      <c r="DP428" s="37"/>
      <c r="DQ428" s="37"/>
    </row>
    <row r="429" spans="1:121" outlineLevel="1" x14ac:dyDescent="0.25">
      <c r="D429" s="647" t="str">
        <f>C417</f>
        <v>805002_2024_12_</v>
      </c>
      <c r="E429" s="647" t="str">
        <f>E417</f>
        <v>VSD Air Compressor 50-200 HP</v>
      </c>
      <c r="F429" s="1693">
        <v>1</v>
      </c>
      <c r="G429" s="1706">
        <v>5702</v>
      </c>
      <c r="H429" s="501">
        <v>0.86299999999999999</v>
      </c>
      <c r="I429" s="502">
        <v>0.65800000000000003</v>
      </c>
      <c r="J429" s="1790">
        <v>100</v>
      </c>
      <c r="K429" s="1790">
        <v>100</v>
      </c>
      <c r="L429" s="1791">
        <f>((127*K429)+1446)*1.43</f>
        <v>20228.78</v>
      </c>
      <c r="DP429" s="37"/>
      <c r="DQ429" s="37"/>
    </row>
    <row r="430" spans="1:121" ht="18.75" x14ac:dyDescent="0.35">
      <c r="L430" s="1792" t="s">
        <v>530</v>
      </c>
    </row>
    <row r="431" spans="1:121" x14ac:dyDescent="0.25">
      <c r="DK431" s="989" t="s">
        <v>531</v>
      </c>
    </row>
    <row r="432" spans="1:121" s="7" customFormat="1" x14ac:dyDescent="0.25">
      <c r="A432" s="247"/>
      <c r="B432" s="2308" t="s">
        <v>532</v>
      </c>
      <c r="C432" s="2309"/>
      <c r="D432" s="2309"/>
      <c r="E432" s="2309"/>
      <c r="F432" s="2309"/>
      <c r="G432" s="2309"/>
      <c r="H432" s="2309"/>
      <c r="I432" s="2310"/>
      <c r="J432" s="2310"/>
      <c r="K432" s="2310"/>
      <c r="L432" s="2310"/>
      <c r="M432" s="2311"/>
      <c r="N432" s="2311"/>
      <c r="O432" s="2312"/>
      <c r="V432" s="1234" t="str">
        <f>B432</f>
        <v>Kitchen Demand Ventilation Controls</v>
      </c>
      <c r="W432" s="1235"/>
      <c r="X432" s="1235"/>
      <c r="Y432" s="1235"/>
      <c r="Z432" s="1235"/>
      <c r="AA432" s="1235"/>
      <c r="AB432" s="1235"/>
      <c r="AC432" s="1235"/>
      <c r="AD432" s="1235"/>
      <c r="AE432" s="1235"/>
      <c r="AF432" s="1235"/>
      <c r="AG432" s="1235"/>
      <c r="AH432" s="1235"/>
      <c r="AI432" s="1269"/>
      <c r="AJ432" s="2"/>
      <c r="AK432" s="2"/>
      <c r="AL432" s="2"/>
      <c r="AM432" s="2"/>
      <c r="AN432" s="2"/>
      <c r="AO432" s="2"/>
      <c r="AP432" s="2"/>
      <c r="AQ432" s="2"/>
      <c r="AR432" s="2"/>
      <c r="AS432" s="2"/>
      <c r="AT432" s="2"/>
      <c r="AU432" s="2"/>
      <c r="AV432" s="2"/>
      <c r="BG432" s="2"/>
      <c r="DK432" s="23"/>
      <c r="DN432" s="2031"/>
    </row>
    <row r="433" spans="1:118" x14ac:dyDescent="0.25">
      <c r="D433" s="439"/>
      <c r="E433" s="7"/>
      <c r="F433" s="7"/>
      <c r="G433" s="7"/>
      <c r="H433" s="440"/>
      <c r="I433" s="7"/>
      <c r="J433" s="7"/>
      <c r="K433" s="7"/>
      <c r="L433" s="7"/>
      <c r="P433" s="7"/>
      <c r="Q433" s="7"/>
      <c r="R433" s="7"/>
      <c r="S433" s="7"/>
      <c r="T433" s="7"/>
      <c r="U433" s="7"/>
      <c r="V433"/>
      <c r="W433"/>
      <c r="X433"/>
      <c r="Y433"/>
      <c r="Z433"/>
      <c r="AA433"/>
      <c r="AB433"/>
      <c r="AC433"/>
      <c r="AD433"/>
      <c r="AE433"/>
      <c r="AF433"/>
      <c r="AG433"/>
      <c r="AH433"/>
      <c r="AI433"/>
      <c r="AJ433" s="6"/>
      <c r="AK433" s="6"/>
      <c r="AL433" s="6"/>
      <c r="AM433" s="6"/>
      <c r="AN433" s="6"/>
      <c r="AO433" s="6"/>
      <c r="AP433" s="6"/>
      <c r="AQ433" s="6"/>
      <c r="AR433" s="6"/>
      <c r="AS433" s="6"/>
      <c r="AT433" s="6"/>
      <c r="AU433" s="6"/>
      <c r="AV433" s="6"/>
      <c r="BG433" s="6"/>
    </row>
    <row r="434" spans="1:118" s="8" customFormat="1" ht="30" x14ac:dyDescent="0.25">
      <c r="A434" s="247"/>
      <c r="B434" s="64"/>
      <c r="C434" s="9" t="s">
        <v>43</v>
      </c>
      <c r="D434" s="9" t="s">
        <v>44</v>
      </c>
      <c r="E434" s="1301" t="s">
        <v>45</v>
      </c>
      <c r="F434" s="1301" t="s">
        <v>261</v>
      </c>
      <c r="G434" s="1301" t="s">
        <v>47</v>
      </c>
      <c r="H434" s="10" t="s">
        <v>48</v>
      </c>
      <c r="I434" s="1301" t="s">
        <v>49</v>
      </c>
      <c r="J434" s="1301" t="s">
        <v>50</v>
      </c>
      <c r="K434" s="9" t="s">
        <v>533</v>
      </c>
      <c r="L434" s="9" t="s">
        <v>52</v>
      </c>
      <c r="M434" s="247"/>
      <c r="N434" s="247"/>
      <c r="O434" s="247"/>
      <c r="P434" s="115"/>
      <c r="Q434" s="115"/>
      <c r="R434" s="115"/>
      <c r="S434" s="115"/>
      <c r="T434" s="115"/>
      <c r="U434" s="115"/>
      <c r="V434" s="636" t="s">
        <v>53</v>
      </c>
      <c r="W434" s="637">
        <f>$W$8</f>
        <v>43252</v>
      </c>
      <c r="X434" s="637">
        <f>$X$8</f>
        <v>43465</v>
      </c>
      <c r="Y434" s="637">
        <f>$Y$8</f>
        <v>43800</v>
      </c>
      <c r="Z434" s="637">
        <f>$Z$8</f>
        <v>43862</v>
      </c>
      <c r="AA434" s="637">
        <f>$AA$8</f>
        <v>44013</v>
      </c>
      <c r="AB434" s="637">
        <v>44166</v>
      </c>
      <c r="AC434" s="637">
        <f>$AC$8</f>
        <v>44531</v>
      </c>
      <c r="AD434" s="637">
        <f>$AD$8</f>
        <v>44774</v>
      </c>
      <c r="AE434" s="637">
        <f>$AE$8</f>
        <v>45142</v>
      </c>
      <c r="AF434" s="637">
        <f>$AF$8</f>
        <v>45672</v>
      </c>
      <c r="AG434" s="637">
        <f>$AG$8</f>
        <v>45971</v>
      </c>
      <c r="AH434"/>
      <c r="AI434" s="636" t="s">
        <v>53</v>
      </c>
      <c r="AJ434" s="637">
        <v>43252</v>
      </c>
      <c r="AK434" s="637">
        <f>$X$8</f>
        <v>43465</v>
      </c>
      <c r="AL434" s="637">
        <f>$Y$8</f>
        <v>43800</v>
      </c>
      <c r="AM434" s="637">
        <f>$Z$8</f>
        <v>43862</v>
      </c>
      <c r="AN434" s="637">
        <f>$AA$8</f>
        <v>44013</v>
      </c>
      <c r="AO434" s="637">
        <f>$AB$8</f>
        <v>44166</v>
      </c>
      <c r="AP434" s="637">
        <f>$AC$8</f>
        <v>44531</v>
      </c>
      <c r="AQ434" s="637">
        <f>$AD$8</f>
        <v>44774</v>
      </c>
      <c r="AR434" s="637">
        <f>$AE$8</f>
        <v>45142</v>
      </c>
      <c r="AS434" s="637">
        <f>$AF$8</f>
        <v>45672</v>
      </c>
      <c r="AT434" s="637">
        <f>$AT$8</f>
        <v>45971</v>
      </c>
      <c r="AU434" s="2"/>
      <c r="AV434" s="636" t="s">
        <v>53</v>
      </c>
      <c r="AW434" s="637">
        <v>43252</v>
      </c>
      <c r="AX434" s="637">
        <f>$X$8</f>
        <v>43465</v>
      </c>
      <c r="AY434" s="637">
        <f>$Y$8</f>
        <v>43800</v>
      </c>
      <c r="AZ434" s="637">
        <f>$Z$8</f>
        <v>43862</v>
      </c>
      <c r="BA434" s="637">
        <f>$AA$8</f>
        <v>44013</v>
      </c>
      <c r="BB434" s="637">
        <v>44166</v>
      </c>
      <c r="BC434" s="637">
        <f>$AC$8</f>
        <v>44531</v>
      </c>
      <c r="BD434" s="637">
        <f>$AD$8</f>
        <v>44774</v>
      </c>
      <c r="BE434" s="637">
        <f>$AE$8</f>
        <v>45142</v>
      </c>
      <c r="BF434" s="637">
        <f>$AF$8</f>
        <v>45672</v>
      </c>
      <c r="BG434" s="637">
        <f>$AT$8</f>
        <v>45971</v>
      </c>
      <c r="DK434" s="991" t="str">
        <f>$DK$8</f>
        <v>TRC (2025)</v>
      </c>
      <c r="DL434" s="761" t="str">
        <f>$DL$8</f>
        <v>Benefit Lookup</v>
      </c>
      <c r="DM434" s="761" t="str">
        <f>$DM$8</f>
        <v>Benefits (2025 $)</v>
      </c>
      <c r="DN434" s="2034" t="str">
        <f>$DN$8</f>
        <v>Incremental Cost (2025 $)</v>
      </c>
    </row>
    <row r="435" spans="1:118" x14ac:dyDescent="0.25">
      <c r="A435" s="2006" t="s">
        <v>112</v>
      </c>
      <c r="B435" s="247">
        <f t="shared" ref="B435" si="127">VALUE(LEFT(C435,6))</f>
        <v>805405</v>
      </c>
      <c r="C435" s="656" t="s">
        <v>534</v>
      </c>
      <c r="D435" s="1972" t="s">
        <v>60</v>
      </c>
      <c r="E435" s="653" t="s">
        <v>535</v>
      </c>
      <c r="F435" s="399">
        <f>ROUND(F445*G445,2)</f>
        <v>4197</v>
      </c>
      <c r="G435" s="441" t="s">
        <v>280</v>
      </c>
      <c r="H435" s="442">
        <f>VLOOKUP(G435,'CP FACTORS'!$A$26:$B$38,2,FALSE)</f>
        <v>1.998949E-4</v>
      </c>
      <c r="I435" s="654">
        <f>F435*H435</f>
        <v>0.83895889530000001</v>
      </c>
      <c r="J435" s="99">
        <v>15</v>
      </c>
      <c r="K435" s="1689">
        <v>1991</v>
      </c>
      <c r="L435" s="487" t="s">
        <v>265</v>
      </c>
      <c r="V435" s="1285" t="s">
        <v>46</v>
      </c>
      <c r="W435" s="53"/>
      <c r="X435" s="53"/>
      <c r="Y435" s="53"/>
      <c r="Z435" s="53"/>
      <c r="AA435" s="56">
        <v>4486</v>
      </c>
      <c r="AB435" s="616">
        <v>4197</v>
      </c>
      <c r="AC435" s="692">
        <v>4197</v>
      </c>
      <c r="AD435" s="692">
        <v>4197</v>
      </c>
      <c r="AE435" s="692">
        <v>4197</v>
      </c>
      <c r="AF435" s="692">
        <v>4197</v>
      </c>
      <c r="AG435" s="692">
        <v>4197</v>
      </c>
      <c r="AH435"/>
      <c r="AI435" s="1285" t="s">
        <v>50</v>
      </c>
      <c r="AJ435" s="639"/>
      <c r="AK435" s="639"/>
      <c r="AL435" s="639"/>
      <c r="AM435" s="68"/>
      <c r="AN435" s="644">
        <v>15</v>
      </c>
      <c r="AO435" s="671">
        <v>15</v>
      </c>
      <c r="AP435" s="671">
        <v>15</v>
      </c>
      <c r="AQ435" s="671">
        <v>15</v>
      </c>
      <c r="AR435" s="671">
        <v>15</v>
      </c>
      <c r="AS435" s="671">
        <v>15</v>
      </c>
      <c r="AT435" s="1940"/>
      <c r="AV435" s="1285" t="s">
        <v>51</v>
      </c>
      <c r="AW435" s="640"/>
      <c r="AX435" s="640"/>
      <c r="AY435" s="640"/>
      <c r="AZ435" s="640"/>
      <c r="BA435" s="40">
        <v>1991</v>
      </c>
      <c r="BB435" s="657">
        <v>1991</v>
      </c>
      <c r="BC435" s="657">
        <v>1991</v>
      </c>
      <c r="BD435" s="657">
        <v>1991</v>
      </c>
      <c r="BE435" s="657">
        <v>1991</v>
      </c>
      <c r="BF435" s="657">
        <v>1991</v>
      </c>
      <c r="BG435" s="1940"/>
      <c r="DK435" s="998">
        <f>(DM435)/(DN435)</f>
        <v>1.7359796272251358</v>
      </c>
      <c r="DL435" s="1272" t="str">
        <f>CONCATENATE(G435," ",J435," Year EUL")</f>
        <v>Cooking BUS 15 Year EUL</v>
      </c>
      <c r="DM435" s="999">
        <f>(INDEX('Avoided Cost Benefits'!$B$4:$B$865,MATCH(DL435,'Avoided Cost Benefits'!$A$4:$A$865,0)))*F435</f>
        <v>3456.3354378052454</v>
      </c>
      <c r="DN435" s="2033">
        <f>IFERROR(K435/((1+DiscountRate)^(CurrentYear-DiscountYear)),0)</f>
        <v>1991</v>
      </c>
    </row>
    <row r="436" spans="1:118" outlineLevel="1" x14ac:dyDescent="0.25">
      <c r="A436" s="2006"/>
      <c r="D436" s="74" t="s">
        <v>95</v>
      </c>
      <c r="E436" s="108" t="s">
        <v>536</v>
      </c>
      <c r="F436" s="7"/>
      <c r="G436" s="7"/>
      <c r="H436" s="449"/>
      <c r="I436" s="7"/>
      <c r="J436" s="7"/>
    </row>
    <row r="437" spans="1:118" outlineLevel="1" x14ac:dyDescent="0.25">
      <c r="A437" s="2006"/>
      <c r="D437" s="7" t="s">
        <v>97</v>
      </c>
      <c r="E437" s="64"/>
      <c r="F437" s="7"/>
      <c r="G437" s="7"/>
      <c r="H437" s="449"/>
      <c r="I437" s="7"/>
      <c r="J437" s="7"/>
      <c r="K437" s="64"/>
    </row>
    <row r="438" spans="1:118" outlineLevel="1" x14ac:dyDescent="0.25">
      <c r="D438" s="450"/>
      <c r="E438" s="64"/>
      <c r="F438" s="64"/>
      <c r="G438" s="247"/>
      <c r="H438" s="451"/>
    </row>
    <row r="439" spans="1:118" outlineLevel="1" x14ac:dyDescent="0.25">
      <c r="D439" s="450"/>
      <c r="G439" s="247"/>
      <c r="H439" s="451"/>
      <c r="P439" s="2313"/>
      <c r="Q439" s="2313"/>
    </row>
    <row r="440" spans="1:118" outlineLevel="1" x14ac:dyDescent="0.25">
      <c r="D440" s="450"/>
      <c r="G440" s="247"/>
      <c r="H440" s="451"/>
      <c r="M440" s="7"/>
      <c r="P440" s="2313"/>
      <c r="Q440" s="2313"/>
    </row>
    <row r="441" spans="1:118" outlineLevel="1" x14ac:dyDescent="0.25">
      <c r="D441" s="450"/>
      <c r="G441" s="247"/>
      <c r="H441" s="451"/>
      <c r="M441" s="7"/>
      <c r="P441" s="2313"/>
      <c r="Q441" s="2313"/>
    </row>
    <row r="442" spans="1:118" outlineLevel="1" x14ac:dyDescent="0.25">
      <c r="D442" s="450"/>
      <c r="G442" s="247"/>
      <c r="H442" s="451"/>
      <c r="M442" s="7"/>
    </row>
    <row r="443" spans="1:118" outlineLevel="1" x14ac:dyDescent="0.25">
      <c r="D443" s="450"/>
      <c r="G443" s="247"/>
      <c r="H443" s="451"/>
    </row>
    <row r="444" spans="1:118" s="8" customFormat="1" outlineLevel="1" x14ac:dyDescent="0.25">
      <c r="A444" s="247"/>
      <c r="B444" s="115"/>
      <c r="C444" s="64"/>
      <c r="D444" s="1236" t="s">
        <v>43</v>
      </c>
      <c r="E444" s="1236" t="s">
        <v>173</v>
      </c>
      <c r="F444" s="31" t="s">
        <v>537</v>
      </c>
      <c r="G444" s="1236" t="s">
        <v>390</v>
      </c>
      <c r="H444" s="451"/>
      <c r="I444" s="247"/>
      <c r="J444" s="115"/>
      <c r="K444" s="115"/>
      <c r="L444" s="115"/>
      <c r="M444" s="115"/>
      <c r="N444" s="115"/>
      <c r="O444" s="115"/>
      <c r="P444" s="115"/>
      <c r="Q444" s="115"/>
      <c r="R444" s="115"/>
      <c r="S444" s="115"/>
      <c r="T444" s="115"/>
      <c r="U444" s="115"/>
      <c r="DK444" s="996"/>
      <c r="DL444" s="115"/>
      <c r="DM444" s="115"/>
      <c r="DN444" s="499"/>
    </row>
    <row r="445" spans="1:118" outlineLevel="1" x14ac:dyDescent="0.25">
      <c r="D445" s="647" t="str">
        <f>C435</f>
        <v>805405_2020_07_</v>
      </c>
      <c r="E445" s="647" t="str">
        <f>E435</f>
        <v>Kitchen Demand Ventilation Controls, Retrofit</v>
      </c>
      <c r="F445" s="655">
        <v>4197</v>
      </c>
      <c r="G445" s="480">
        <v>1</v>
      </c>
      <c r="H445" s="451"/>
    </row>
    <row r="448" spans="1:118" s="7" customFormat="1" x14ac:dyDescent="0.25">
      <c r="A448" s="247"/>
      <c r="B448" s="2308" t="s">
        <v>538</v>
      </c>
      <c r="C448" s="2309"/>
      <c r="D448" s="2309"/>
      <c r="E448" s="2309"/>
      <c r="F448" s="2309"/>
      <c r="G448" s="2309"/>
      <c r="H448" s="2309"/>
      <c r="I448" s="2310"/>
      <c r="J448" s="2310"/>
      <c r="K448" s="2310"/>
      <c r="L448" s="2310"/>
      <c r="M448" s="2311"/>
      <c r="N448" s="2311"/>
      <c r="O448" s="2312"/>
      <c r="V448" s="1234" t="str">
        <f>B448</f>
        <v>Demand Controlled Ventilation</v>
      </c>
      <c r="W448" s="1235"/>
      <c r="X448" s="1235"/>
      <c r="Y448" s="1235"/>
      <c r="Z448" s="1235"/>
      <c r="AA448" s="1235"/>
      <c r="AB448" s="1235"/>
      <c r="AC448" s="1235"/>
      <c r="AD448" s="1235"/>
      <c r="AE448" s="1235"/>
      <c r="AF448" s="1235"/>
      <c r="AG448" s="1235"/>
      <c r="AH448" s="1235"/>
      <c r="AI448" s="1269"/>
      <c r="AJ448" s="2"/>
      <c r="AK448" s="2"/>
      <c r="AL448" s="2"/>
      <c r="AM448" s="2"/>
      <c r="AN448" s="2"/>
      <c r="AO448" s="2"/>
      <c r="AP448" s="2"/>
      <c r="AQ448" s="2"/>
      <c r="AR448" s="2"/>
      <c r="AS448" s="2"/>
      <c r="AT448" s="2"/>
      <c r="AU448" s="2"/>
      <c r="AV448" s="2"/>
      <c r="BG448" s="2"/>
      <c r="DK448" s="23"/>
      <c r="DN448" s="2031"/>
    </row>
    <row r="449" spans="1:118" x14ac:dyDescent="0.25">
      <c r="D449" s="439"/>
      <c r="E449" s="7"/>
      <c r="F449" s="7"/>
      <c r="G449" s="7"/>
      <c r="H449" s="440"/>
      <c r="I449" s="7"/>
      <c r="J449" s="7"/>
      <c r="K449" s="7"/>
      <c r="L449" s="7"/>
      <c r="P449" s="7"/>
      <c r="Q449" s="7"/>
      <c r="R449" s="7"/>
      <c r="S449" s="7"/>
      <c r="T449" s="7"/>
      <c r="U449" s="7"/>
      <c r="V449"/>
      <c r="W449"/>
      <c r="X449"/>
      <c r="Y449"/>
      <c r="Z449"/>
      <c r="AA449"/>
      <c r="AB449"/>
      <c r="AC449"/>
      <c r="AD449"/>
      <c r="AE449"/>
      <c r="AF449"/>
      <c r="AG449"/>
      <c r="AH449"/>
      <c r="AI449"/>
      <c r="AJ449" s="6"/>
      <c r="AK449" s="6"/>
      <c r="AL449" s="6"/>
      <c r="AM449" s="6"/>
      <c r="AN449" s="6"/>
      <c r="AO449" s="6"/>
      <c r="AP449" s="6"/>
      <c r="AQ449" s="6"/>
      <c r="AR449" s="6"/>
      <c r="AS449" s="6"/>
      <c r="AT449" s="6"/>
      <c r="AU449" s="6"/>
      <c r="AV449" s="6"/>
      <c r="BG449" s="6"/>
      <c r="DK449" s="989" t="s">
        <v>531</v>
      </c>
    </row>
    <row r="450" spans="1:118" s="8" customFormat="1" ht="30" x14ac:dyDescent="0.25">
      <c r="A450" s="247"/>
      <c r="B450" s="64"/>
      <c r="C450" s="9" t="s">
        <v>43</v>
      </c>
      <c r="D450" s="9" t="s">
        <v>44</v>
      </c>
      <c r="E450" s="1301" t="s">
        <v>45</v>
      </c>
      <c r="F450" s="1301" t="s">
        <v>539</v>
      </c>
      <c r="G450" s="1301" t="s">
        <v>47</v>
      </c>
      <c r="H450" s="10" t="s">
        <v>48</v>
      </c>
      <c r="I450" s="1301" t="s">
        <v>49</v>
      </c>
      <c r="J450" s="1301" t="s">
        <v>50</v>
      </c>
      <c r="K450" s="9" t="s">
        <v>51</v>
      </c>
      <c r="L450" s="9" t="s">
        <v>52</v>
      </c>
      <c r="M450" s="247"/>
      <c r="N450" s="499"/>
      <c r="O450" s="483"/>
      <c r="P450" s="484"/>
      <c r="Q450" s="115"/>
      <c r="R450" s="115"/>
      <c r="S450" s="115"/>
      <c r="T450" s="115"/>
      <c r="U450" s="115"/>
      <c r="V450" s="636" t="s">
        <v>53</v>
      </c>
      <c r="W450" s="637">
        <f>$W$8</f>
        <v>43252</v>
      </c>
      <c r="X450" s="637">
        <f>$X$8</f>
        <v>43465</v>
      </c>
      <c r="Y450" s="637">
        <f>$Y$8</f>
        <v>43800</v>
      </c>
      <c r="Z450" s="637">
        <f>$Z$8</f>
        <v>43862</v>
      </c>
      <c r="AA450" s="637">
        <f>$AA$8</f>
        <v>44013</v>
      </c>
      <c r="AB450" s="637">
        <v>44166</v>
      </c>
      <c r="AC450" s="637">
        <f>$AC$8</f>
        <v>44531</v>
      </c>
      <c r="AD450" s="637">
        <f>$AD$8</f>
        <v>44774</v>
      </c>
      <c r="AE450" s="637">
        <f>$AE$8</f>
        <v>45142</v>
      </c>
      <c r="AF450" s="637">
        <f>$AF$8</f>
        <v>45672</v>
      </c>
      <c r="AG450" s="637">
        <f>$AG$8</f>
        <v>45971</v>
      </c>
      <c r="AH450"/>
      <c r="AI450" s="636" t="s">
        <v>53</v>
      </c>
      <c r="AJ450" s="637">
        <v>43252</v>
      </c>
      <c r="AK450" s="637">
        <f>$X$8</f>
        <v>43465</v>
      </c>
      <c r="AL450" s="637">
        <f>$Y$8</f>
        <v>43800</v>
      </c>
      <c r="AM450" s="637">
        <f>$Z$8</f>
        <v>43862</v>
      </c>
      <c r="AN450" s="637">
        <f>$AA$8</f>
        <v>44013</v>
      </c>
      <c r="AO450" s="637">
        <f>$AB$8</f>
        <v>44166</v>
      </c>
      <c r="AP450" s="637">
        <f>$AC$8</f>
        <v>44531</v>
      </c>
      <c r="AQ450" s="637">
        <f>$AD$8</f>
        <v>44774</v>
      </c>
      <c r="AR450" s="637">
        <f>$AE$8</f>
        <v>45142</v>
      </c>
      <c r="AS450" s="637">
        <f>$AF$8</f>
        <v>45672</v>
      </c>
      <c r="AT450" s="637">
        <f>$AT$8</f>
        <v>45971</v>
      </c>
      <c r="AU450" s="2"/>
      <c r="AV450" s="636" t="s">
        <v>53</v>
      </c>
      <c r="AW450" s="637">
        <v>43252</v>
      </c>
      <c r="AX450" s="637">
        <f>$X$8</f>
        <v>43465</v>
      </c>
      <c r="AY450" s="637">
        <f>$Y$8</f>
        <v>43800</v>
      </c>
      <c r="AZ450" s="637">
        <f>$Z$8</f>
        <v>43862</v>
      </c>
      <c r="BA450" s="637">
        <f>$AA$8</f>
        <v>44013</v>
      </c>
      <c r="BB450" s="637">
        <v>44166</v>
      </c>
      <c r="BC450" s="637">
        <f>$AC$8</f>
        <v>44531</v>
      </c>
      <c r="BD450" s="637">
        <f>$AD$8</f>
        <v>44774</v>
      </c>
      <c r="BE450" s="637">
        <f>$AE$8</f>
        <v>45142</v>
      </c>
      <c r="BF450" s="637">
        <f>$AF$8</f>
        <v>45672</v>
      </c>
      <c r="BG450" s="637">
        <f>$AT$8</f>
        <v>45971</v>
      </c>
      <c r="DK450" s="991" t="str">
        <f>$DK$8</f>
        <v>TRC (2025)</v>
      </c>
      <c r="DL450" s="761" t="str">
        <f>$DL$8</f>
        <v>Benefit Lookup</v>
      </c>
      <c r="DM450" s="761" t="str">
        <f>$DM$8</f>
        <v>Benefits (2025 $)</v>
      </c>
      <c r="DN450" s="2034" t="str">
        <f>$DN$8</f>
        <v>Incremental Cost (2025 $)</v>
      </c>
    </row>
    <row r="451" spans="1:118" x14ac:dyDescent="0.25">
      <c r="A451" s="2006" t="s">
        <v>112</v>
      </c>
      <c r="B451" s="247">
        <f t="shared" ref="B451:B453" si="128">VALUE(LEFT(C451,6))</f>
        <v>805650</v>
      </c>
      <c r="C451" s="656" t="s">
        <v>540</v>
      </c>
      <c r="D451" s="1972" t="s">
        <v>60</v>
      </c>
      <c r="E451" s="458" t="s">
        <v>541</v>
      </c>
      <c r="F451" s="399">
        <f>ROUND((F463/1000)*G463+(F463/1000)*H463,2)</f>
        <v>0.67</v>
      </c>
      <c r="G451" s="441" t="s">
        <v>332</v>
      </c>
      <c r="H451" s="442">
        <f>VLOOKUP(G451,'CP FACTORS'!$A$26:$B$38,2,FALSE)</f>
        <v>9.1068400000000004E-4</v>
      </c>
      <c r="I451" s="459">
        <f>ROUND(H451*F451,6)</f>
        <v>6.0999999999999997E-4</v>
      </c>
      <c r="J451" s="477">
        <v>10</v>
      </c>
      <c r="K451" s="1689" t="s">
        <v>542</v>
      </c>
      <c r="L451" s="487" t="s">
        <v>543</v>
      </c>
      <c r="V451" s="1285" t="str">
        <f>F450</f>
        <v>kWh Annual Savings (per sqft)</v>
      </c>
      <c r="W451" s="53">
        <v>0.66500000000000004</v>
      </c>
      <c r="X451" s="53">
        <v>0.66500000000000004</v>
      </c>
      <c r="Y451" s="53">
        <v>0.66500000000000004</v>
      </c>
      <c r="Z451" s="53">
        <v>0.66500000000000004</v>
      </c>
      <c r="AA451" s="53">
        <v>0.66500000000000004</v>
      </c>
      <c r="AB451" s="616">
        <v>0.67</v>
      </c>
      <c r="AC451" s="692">
        <v>0.67</v>
      </c>
      <c r="AD451" s="692">
        <v>0.67</v>
      </c>
      <c r="AE451" s="692">
        <v>0.67</v>
      </c>
      <c r="AF451" s="692">
        <v>0.67</v>
      </c>
      <c r="AG451" s="692">
        <v>0.67</v>
      </c>
      <c r="AH451"/>
      <c r="AI451" s="1311" t="s">
        <v>50</v>
      </c>
      <c r="AJ451" s="19">
        <v>10</v>
      </c>
      <c r="AK451" s="19">
        <v>10</v>
      </c>
      <c r="AL451" s="19">
        <v>10</v>
      </c>
      <c r="AM451" s="19">
        <v>10</v>
      </c>
      <c r="AN451" s="19">
        <v>10</v>
      </c>
      <c r="AO451" s="52">
        <v>10</v>
      </c>
      <c r="AP451" s="52">
        <v>10</v>
      </c>
      <c r="AQ451" s="52">
        <v>10</v>
      </c>
      <c r="AR451" s="52">
        <v>10</v>
      </c>
      <c r="AS451" s="52">
        <v>10</v>
      </c>
      <c r="AT451" s="52">
        <v>10</v>
      </c>
      <c r="AV451" s="1311" t="s">
        <v>51</v>
      </c>
      <c r="AW451" s="672" t="s">
        <v>542</v>
      </c>
      <c r="AX451" s="672" t="s">
        <v>542</v>
      </c>
      <c r="AY451" s="672" t="s">
        <v>542</v>
      </c>
      <c r="AZ451" s="672" t="s">
        <v>542</v>
      </c>
      <c r="BA451" s="672" t="s">
        <v>542</v>
      </c>
      <c r="BB451" s="657" t="s">
        <v>542</v>
      </c>
      <c r="BC451" s="657" t="s">
        <v>542</v>
      </c>
      <c r="BD451" s="657" t="s">
        <v>542</v>
      </c>
      <c r="BE451" s="657" t="s">
        <v>542</v>
      </c>
      <c r="BF451" s="657" t="s">
        <v>542</v>
      </c>
      <c r="BG451" s="657" t="s">
        <v>542</v>
      </c>
      <c r="DK451" s="993" t="str">
        <f>IFERROR((DM451)/(DN451),"n/a")</f>
        <v>n/a</v>
      </c>
      <c r="DL451" s="1272" t="str">
        <f>CONCATENATE(G451," ",J451," Year EUL")</f>
        <v>Cooling BUS 10 Year EUL</v>
      </c>
      <c r="DM451" s="181">
        <f>(INDEX('Avoided Cost Benefits'!$B$4:$B$864,MATCH(DL451,'Avoided Cost Benefits'!$A$4:$A$864,0)))*F451</f>
        <v>0.96382681093578204</v>
      </c>
      <c r="DN451" s="2033">
        <f>IFERROR(K451/((1+DiscountRate)^(CurrentYear-DiscountYear)),0)</f>
        <v>0</v>
      </c>
    </row>
    <row r="452" spans="1:118" x14ac:dyDescent="0.25">
      <c r="A452" s="2006" t="s">
        <v>112</v>
      </c>
      <c r="B452" s="247">
        <f t="shared" si="128"/>
        <v>805700</v>
      </c>
      <c r="C452" s="656" t="s">
        <v>544</v>
      </c>
      <c r="D452" s="1972" t="s">
        <v>60</v>
      </c>
      <c r="E452" s="458" t="s">
        <v>545</v>
      </c>
      <c r="F452" s="399">
        <f>ROUND((F464/1000)*G464+(F464/1000)*H464,2)</f>
        <v>1.9</v>
      </c>
      <c r="G452" s="441" t="s">
        <v>332</v>
      </c>
      <c r="H452" s="442">
        <f>VLOOKUP(G452,'CP FACTORS'!$A$26:$B$38,2,FALSE)</f>
        <v>9.1068400000000004E-4</v>
      </c>
      <c r="I452" s="459">
        <f>ROUND(H452*F452,6)</f>
        <v>1.73E-3</v>
      </c>
      <c r="J452" s="477">
        <v>10</v>
      </c>
      <c r="K452" s="1689" t="s">
        <v>542</v>
      </c>
      <c r="L452" s="487" t="s">
        <v>543</v>
      </c>
      <c r="V452" s="1285" t="str">
        <f>V451</f>
        <v>kWh Annual Savings (per sqft)</v>
      </c>
      <c r="W452" s="53">
        <v>1.895</v>
      </c>
      <c r="X452" s="53">
        <v>1.895</v>
      </c>
      <c r="Y452" s="53">
        <v>1.895</v>
      </c>
      <c r="Z452" s="53">
        <v>1.895</v>
      </c>
      <c r="AA452" s="53">
        <v>1.895</v>
      </c>
      <c r="AB452" s="616">
        <v>1.9</v>
      </c>
      <c r="AC452" s="692">
        <v>1.9</v>
      </c>
      <c r="AD452" s="692">
        <v>1.9</v>
      </c>
      <c r="AE452" s="692">
        <v>1.9</v>
      </c>
      <c r="AF452" s="692">
        <v>1.9</v>
      </c>
      <c r="AG452" s="692">
        <v>1.9</v>
      </c>
      <c r="AH452"/>
      <c r="AI452" s="1311" t="s">
        <v>50</v>
      </c>
      <c r="AJ452" s="19">
        <v>10</v>
      </c>
      <c r="AK452" s="19">
        <v>10</v>
      </c>
      <c r="AL452" s="19">
        <v>10</v>
      </c>
      <c r="AM452" s="19">
        <v>10</v>
      </c>
      <c r="AN452" s="19">
        <v>10</v>
      </c>
      <c r="AO452" s="52">
        <v>10</v>
      </c>
      <c r="AP452" s="52">
        <v>10</v>
      </c>
      <c r="AQ452" s="52">
        <v>10</v>
      </c>
      <c r="AR452" s="52">
        <v>10</v>
      </c>
      <c r="AS452" s="52">
        <v>10</v>
      </c>
      <c r="AT452" s="52">
        <v>10</v>
      </c>
      <c r="AV452" s="1311" t="s">
        <v>51</v>
      </c>
      <c r="AW452" s="672" t="s">
        <v>542</v>
      </c>
      <c r="AX452" s="672" t="s">
        <v>542</v>
      </c>
      <c r="AY452" s="672" t="s">
        <v>542</v>
      </c>
      <c r="AZ452" s="672" t="s">
        <v>542</v>
      </c>
      <c r="BA452" s="672" t="s">
        <v>542</v>
      </c>
      <c r="BB452" s="657" t="s">
        <v>542</v>
      </c>
      <c r="BC452" s="657" t="s">
        <v>542</v>
      </c>
      <c r="BD452" s="657" t="s">
        <v>542</v>
      </c>
      <c r="BE452" s="657" t="s">
        <v>542</v>
      </c>
      <c r="BF452" s="657" t="s">
        <v>542</v>
      </c>
      <c r="BG452" s="657" t="s">
        <v>542</v>
      </c>
      <c r="DK452" s="993" t="str">
        <f>IFERROR((DM452)/(DN452),"n/a")</f>
        <v>n/a</v>
      </c>
      <c r="DL452" s="641" t="str">
        <f>CONCATENATE(G452," ",J452," Year EUL")</f>
        <v>Cooling BUS 10 Year EUL</v>
      </c>
      <c r="DM452" s="623">
        <f>(INDEX('Avoided Cost Benefits'!$B$4:$B$864,MATCH(DL452,'Avoided Cost Benefits'!$A$4:$A$864,0)))*F452</f>
        <v>2.7332402101163966</v>
      </c>
      <c r="DN452" s="1928">
        <f>IFERROR(K452/((1+DiscountRate)^(CurrentYear-DiscountYear)),0)</f>
        <v>0</v>
      </c>
    </row>
    <row r="453" spans="1:118" x14ac:dyDescent="0.25">
      <c r="A453" s="2006" t="s">
        <v>112</v>
      </c>
      <c r="B453" s="247">
        <f t="shared" si="128"/>
        <v>805750</v>
      </c>
      <c r="C453" s="656" t="s">
        <v>546</v>
      </c>
      <c r="D453" s="1972" t="s">
        <v>60</v>
      </c>
      <c r="E453" s="458" t="s">
        <v>547</v>
      </c>
      <c r="F453" s="399">
        <f>ROUND((F465/1000)*G465+(F465/1000)*H465,2)</f>
        <v>1.08</v>
      </c>
      <c r="G453" s="441" t="s">
        <v>332</v>
      </c>
      <c r="H453" s="442">
        <f>VLOOKUP(G453,'CP FACTORS'!$A$26:$B$38,2,FALSE)</f>
        <v>9.1068400000000004E-4</v>
      </c>
      <c r="I453" s="459">
        <f>ROUND(H453*F453,6)</f>
        <v>9.8400000000000007E-4</v>
      </c>
      <c r="J453" s="477">
        <v>10</v>
      </c>
      <c r="K453" s="1689" t="s">
        <v>542</v>
      </c>
      <c r="L453" s="487" t="s">
        <v>543</v>
      </c>
      <c r="V453" s="1285" t="str">
        <f>V452</f>
        <v>kWh Annual Savings (per sqft)</v>
      </c>
      <c r="W453" s="53">
        <v>1.0750000000000002</v>
      </c>
      <c r="X453" s="53">
        <v>1.0750000000000002</v>
      </c>
      <c r="Y453" s="53">
        <v>1.0750000000000002</v>
      </c>
      <c r="Z453" s="53">
        <v>1.0750000000000002</v>
      </c>
      <c r="AA453" s="53">
        <v>1.0750000000000002</v>
      </c>
      <c r="AB453" s="616">
        <v>1.08</v>
      </c>
      <c r="AC453" s="692">
        <v>1.08</v>
      </c>
      <c r="AD453" s="692">
        <v>1.08</v>
      </c>
      <c r="AE453" s="692">
        <v>1.08</v>
      </c>
      <c r="AF453" s="692">
        <v>1.08</v>
      </c>
      <c r="AG453" s="692">
        <v>1.08</v>
      </c>
      <c r="AH453"/>
      <c r="AI453" s="1311" t="s">
        <v>50</v>
      </c>
      <c r="AJ453" s="19">
        <v>10</v>
      </c>
      <c r="AK453" s="19">
        <v>10</v>
      </c>
      <c r="AL453" s="19">
        <v>10</v>
      </c>
      <c r="AM453" s="19">
        <v>10</v>
      </c>
      <c r="AN453" s="19">
        <v>10</v>
      </c>
      <c r="AO453" s="52">
        <v>10</v>
      </c>
      <c r="AP453" s="52">
        <v>10</v>
      </c>
      <c r="AQ453" s="52">
        <v>10</v>
      </c>
      <c r="AR453" s="52">
        <v>10</v>
      </c>
      <c r="AS453" s="52">
        <v>10</v>
      </c>
      <c r="AT453" s="52">
        <v>10</v>
      </c>
      <c r="AV453" s="1311" t="s">
        <v>51</v>
      </c>
      <c r="AW453" s="672" t="s">
        <v>542</v>
      </c>
      <c r="AX453" s="672" t="s">
        <v>542</v>
      </c>
      <c r="AY453" s="672" t="s">
        <v>542</v>
      </c>
      <c r="AZ453" s="672" t="s">
        <v>542</v>
      </c>
      <c r="BA453" s="672" t="s">
        <v>542</v>
      </c>
      <c r="BB453" s="657" t="s">
        <v>542</v>
      </c>
      <c r="BC453" s="657" t="s">
        <v>542</v>
      </c>
      <c r="BD453" s="657" t="s">
        <v>542</v>
      </c>
      <c r="BE453" s="657" t="s">
        <v>542</v>
      </c>
      <c r="BF453" s="657" t="s">
        <v>542</v>
      </c>
      <c r="BG453" s="657" t="s">
        <v>542</v>
      </c>
      <c r="DK453" s="993" t="str">
        <f>IFERROR((DM453)/(DN453),"n/a")</f>
        <v>n/a</v>
      </c>
      <c r="DL453" s="641" t="str">
        <f>CONCATENATE(G453," ",J453," Year EUL")</f>
        <v>Cooling BUS 10 Year EUL</v>
      </c>
      <c r="DM453" s="997">
        <f>(INDEX('Avoided Cost Benefits'!$B$4:$B$864,MATCH(DL453,'Avoided Cost Benefits'!$A$4:$A$864,0)))*F453</f>
        <v>1.5536312773293204</v>
      </c>
      <c r="DN453" s="2035">
        <f>IFERROR(K453/((1+DiscountRate)^(CurrentYear-DiscountYear)),0)</f>
        <v>0</v>
      </c>
    </row>
    <row r="454" spans="1:118" outlineLevel="1" x14ac:dyDescent="0.25">
      <c r="D454" s="74" t="s">
        <v>95</v>
      </c>
      <c r="E454" s="108" t="s">
        <v>548</v>
      </c>
      <c r="F454" s="7"/>
      <c r="G454" s="7"/>
      <c r="H454" s="449"/>
      <c r="I454" s="7"/>
      <c r="J454" s="7"/>
      <c r="K454" s="7"/>
    </row>
    <row r="455" spans="1:118" outlineLevel="1" x14ac:dyDescent="0.25">
      <c r="D455" s="7" t="s">
        <v>97</v>
      </c>
      <c r="E455" s="7"/>
      <c r="F455" s="7"/>
      <c r="G455" s="7"/>
      <c r="H455" s="449"/>
      <c r="I455" s="7"/>
      <c r="J455" s="7"/>
      <c r="K455" s="7"/>
    </row>
    <row r="456" spans="1:118" outlineLevel="1" x14ac:dyDescent="0.25">
      <c r="D456" s="505"/>
      <c r="G456" s="247"/>
      <c r="H456" s="451"/>
    </row>
    <row r="457" spans="1:118" outlineLevel="1" x14ac:dyDescent="0.25">
      <c r="D457" s="505"/>
      <c r="G457" s="247"/>
      <c r="H457" s="451"/>
    </row>
    <row r="458" spans="1:118" outlineLevel="1" x14ac:dyDescent="0.25">
      <c r="D458" s="505"/>
      <c r="G458" s="247"/>
      <c r="H458" s="451"/>
      <c r="M458" s="7"/>
    </row>
    <row r="459" spans="1:118" outlineLevel="1" x14ac:dyDescent="0.25">
      <c r="D459" s="505"/>
      <c r="G459" s="247"/>
      <c r="H459" s="451"/>
      <c r="M459" s="7"/>
    </row>
    <row r="460" spans="1:118" outlineLevel="1" x14ac:dyDescent="0.25">
      <c r="D460" s="450"/>
      <c r="G460" s="247"/>
      <c r="H460" s="451"/>
      <c r="M460" s="7"/>
    </row>
    <row r="461" spans="1:118" outlineLevel="1" x14ac:dyDescent="0.25">
      <c r="D461" s="450"/>
      <c r="G461" s="247"/>
      <c r="H461" s="451"/>
    </row>
    <row r="462" spans="1:118" s="8" customFormat="1" outlineLevel="1" x14ac:dyDescent="0.25">
      <c r="A462" s="247"/>
      <c r="B462" s="115"/>
      <c r="C462" s="64"/>
      <c r="D462" s="1236" t="s">
        <v>43</v>
      </c>
      <c r="E462" s="1236" t="s">
        <v>173</v>
      </c>
      <c r="F462" s="32" t="s">
        <v>549</v>
      </c>
      <c r="G462" s="1236" t="s">
        <v>550</v>
      </c>
      <c r="H462" s="1236" t="s">
        <v>551</v>
      </c>
      <c r="I462" s="115"/>
      <c r="J462" s="115"/>
      <c r="K462" s="115"/>
      <c r="L462" s="115"/>
      <c r="M462" s="115"/>
      <c r="N462" s="115"/>
      <c r="O462" s="115"/>
      <c r="P462" s="115"/>
      <c r="Q462" s="115"/>
      <c r="R462" s="115"/>
      <c r="S462" s="115"/>
      <c r="T462" s="115"/>
      <c r="U462" s="115"/>
      <c r="DK462" s="996"/>
      <c r="DL462" s="115"/>
      <c r="DM462" s="115"/>
      <c r="DN462" s="499"/>
    </row>
    <row r="463" spans="1:118" outlineLevel="1" x14ac:dyDescent="0.25">
      <c r="D463" s="647" t="str">
        <f>C451</f>
        <v>805650_2019_12_</v>
      </c>
      <c r="E463" s="647" t="str">
        <f>E451</f>
        <v>Demand Controlled Ventillation (Gas Heat)</v>
      </c>
      <c r="F463" s="1693">
        <v>1</v>
      </c>
      <c r="G463" s="34">
        <v>665</v>
      </c>
      <c r="H463" s="500">
        <v>0</v>
      </c>
    </row>
    <row r="464" spans="1:118" outlineLevel="1" x14ac:dyDescent="0.25">
      <c r="D464" s="647" t="str">
        <f>C452</f>
        <v>805700_2019_12_</v>
      </c>
      <c r="E464" s="647" t="str">
        <f>E452</f>
        <v>Demand Controlled Ventillation (Electric Heat)</v>
      </c>
      <c r="F464" s="1693">
        <v>1</v>
      </c>
      <c r="G464" s="34">
        <v>665</v>
      </c>
      <c r="H464" s="500">
        <v>1230</v>
      </c>
    </row>
    <row r="465" spans="1:118" outlineLevel="1" x14ac:dyDescent="0.25">
      <c r="D465" s="647" t="str">
        <f>C453</f>
        <v>805750_2019_12_</v>
      </c>
      <c r="E465" s="647" t="str">
        <f>E453</f>
        <v>Demand Controlled Ventillation (Heat Pump)</v>
      </c>
      <c r="F465" s="1693">
        <v>1</v>
      </c>
      <c r="G465" s="34">
        <v>665</v>
      </c>
      <c r="H465" s="500">
        <v>410</v>
      </c>
    </row>
    <row r="468" spans="1:118" s="7" customFormat="1" x14ac:dyDescent="0.25">
      <c r="A468" s="247"/>
      <c r="B468" s="2308" t="s">
        <v>552</v>
      </c>
      <c r="C468" s="2309"/>
      <c r="D468" s="2309"/>
      <c r="E468" s="2309"/>
      <c r="F468" s="2309"/>
      <c r="G468" s="2309"/>
      <c r="H468" s="2309"/>
      <c r="I468" s="2310"/>
      <c r="J468" s="2310"/>
      <c r="K468" s="2310"/>
      <c r="L468" s="2310"/>
      <c r="M468" s="2311"/>
      <c r="N468" s="2311"/>
      <c r="O468" s="2312"/>
      <c r="V468" s="1234" t="str">
        <f>B468</f>
        <v>Advanced RTU Controls</v>
      </c>
      <c r="W468" s="1235"/>
      <c r="X468" s="1235"/>
      <c r="Y468" s="1235"/>
      <c r="Z468" s="1235"/>
      <c r="AA468" s="1235"/>
      <c r="AB468" s="1235"/>
      <c r="AC468" s="1235"/>
      <c r="AD468" s="1235"/>
      <c r="AE468" s="1235"/>
      <c r="AF468" s="1235"/>
      <c r="AG468" s="1235"/>
      <c r="AH468" s="1235"/>
      <c r="AI468" s="1269"/>
      <c r="AJ468" s="2"/>
      <c r="AK468" s="2"/>
      <c r="AL468" s="2"/>
      <c r="AM468" s="2"/>
      <c r="AN468" s="2"/>
      <c r="AO468" s="2"/>
      <c r="AP468" s="2"/>
      <c r="AQ468" s="2"/>
      <c r="AR468" s="2"/>
      <c r="AS468" s="2"/>
      <c r="AT468" s="2"/>
      <c r="AU468" s="2"/>
      <c r="AV468" s="2"/>
      <c r="BG468" s="2"/>
      <c r="DK468" s="23"/>
      <c r="DN468" s="2031"/>
    </row>
    <row r="469" spans="1:118" x14ac:dyDescent="0.25">
      <c r="D469" s="439"/>
      <c r="E469" s="7"/>
      <c r="F469" s="7"/>
      <c r="G469" s="7"/>
      <c r="H469" s="440"/>
      <c r="I469" s="7"/>
      <c r="J469" s="7"/>
      <c r="K469" s="7"/>
      <c r="L469" s="7"/>
      <c r="P469" s="7"/>
      <c r="Q469" s="7"/>
      <c r="R469" s="7"/>
      <c r="S469" s="7"/>
      <c r="T469" s="7"/>
      <c r="U469" s="7"/>
      <c r="V469"/>
      <c r="W469"/>
      <c r="X469"/>
      <c r="Y469"/>
      <c r="Z469"/>
      <c r="AA469"/>
      <c r="AB469"/>
      <c r="AC469"/>
      <c r="AD469"/>
      <c r="AE469"/>
      <c r="AF469"/>
      <c r="AG469"/>
      <c r="AH469"/>
      <c r="AI469"/>
      <c r="AJ469" s="6"/>
      <c r="AK469" s="6"/>
      <c r="AL469" s="6"/>
      <c r="AM469" s="6"/>
      <c r="AN469" s="6"/>
      <c r="AO469" s="6"/>
      <c r="AP469" s="6"/>
      <c r="AQ469" s="6"/>
      <c r="AR469" s="6"/>
      <c r="AS469" s="6"/>
      <c r="AT469" s="6"/>
      <c r="AU469" s="6"/>
      <c r="AV469" s="6"/>
      <c r="BG469" s="6"/>
      <c r="DK469" s="989" t="s">
        <v>260</v>
      </c>
    </row>
    <row r="470" spans="1:118" s="8" customFormat="1" ht="30" x14ac:dyDescent="0.25">
      <c r="A470" s="247"/>
      <c r="B470" s="64"/>
      <c r="C470" s="9" t="s">
        <v>43</v>
      </c>
      <c r="D470" s="9" t="s">
        <v>44</v>
      </c>
      <c r="E470" s="1301" t="s">
        <v>45</v>
      </c>
      <c r="F470" s="1301" t="s">
        <v>261</v>
      </c>
      <c r="G470" s="1301" t="s">
        <v>47</v>
      </c>
      <c r="H470" s="10" t="s">
        <v>48</v>
      </c>
      <c r="I470" s="1301" t="s">
        <v>49</v>
      </c>
      <c r="J470" s="1301" t="s">
        <v>50</v>
      </c>
      <c r="K470" s="9" t="s">
        <v>553</v>
      </c>
      <c r="L470" s="9" t="s">
        <v>52</v>
      </c>
      <c r="M470" s="247"/>
      <c r="N470" s="247"/>
      <c r="O470" s="247"/>
      <c r="P470" s="115"/>
      <c r="Q470" s="115"/>
      <c r="R470" s="115"/>
      <c r="S470" s="115"/>
      <c r="T470" s="115"/>
      <c r="U470" s="115"/>
      <c r="V470" s="636" t="s">
        <v>53</v>
      </c>
      <c r="W470" s="637">
        <f>$W$8</f>
        <v>43252</v>
      </c>
      <c r="X470" s="637">
        <f>$X$8</f>
        <v>43465</v>
      </c>
      <c r="Y470" s="637">
        <f>$Y$8</f>
        <v>43800</v>
      </c>
      <c r="Z470" s="637">
        <f>$Z$8</f>
        <v>43862</v>
      </c>
      <c r="AA470" s="637">
        <f>$AA$8</f>
        <v>44013</v>
      </c>
      <c r="AB470" s="637">
        <v>44166</v>
      </c>
      <c r="AC470" s="637">
        <f>$AC$8</f>
        <v>44531</v>
      </c>
      <c r="AD470" s="637">
        <f>$AD$8</f>
        <v>44774</v>
      </c>
      <c r="AE470" s="637">
        <f>$AE$8</f>
        <v>45142</v>
      </c>
      <c r="AF470" s="637">
        <f>$AF$8</f>
        <v>45672</v>
      </c>
      <c r="AG470" s="637">
        <f>$AG$8</f>
        <v>45971</v>
      </c>
      <c r="AH470"/>
      <c r="AI470" s="636" t="s">
        <v>53</v>
      </c>
      <c r="AJ470" s="637">
        <v>43252</v>
      </c>
      <c r="AK470" s="637">
        <f>$X$8</f>
        <v>43465</v>
      </c>
      <c r="AL470" s="637">
        <f>$Y$8</f>
        <v>43800</v>
      </c>
      <c r="AM470" s="637">
        <f>$Z$8</f>
        <v>43862</v>
      </c>
      <c r="AN470" s="637">
        <f>$AA$8</f>
        <v>44013</v>
      </c>
      <c r="AO470" s="637">
        <f>$AB$8</f>
        <v>44166</v>
      </c>
      <c r="AP470" s="637">
        <f>$AC$8</f>
        <v>44531</v>
      </c>
      <c r="AQ470" s="637">
        <f>$AD$8</f>
        <v>44774</v>
      </c>
      <c r="AR470" s="637">
        <f>$AE$8</f>
        <v>45142</v>
      </c>
      <c r="AS470" s="637">
        <f>$AF$8</f>
        <v>45672</v>
      </c>
      <c r="AT470" s="637">
        <f>$AT$8</f>
        <v>45971</v>
      </c>
      <c r="AU470" s="2"/>
      <c r="AV470" s="636" t="s">
        <v>53</v>
      </c>
      <c r="AW470" s="637">
        <v>43252</v>
      </c>
      <c r="AX470" s="637">
        <f>$X$8</f>
        <v>43465</v>
      </c>
      <c r="AY470" s="637">
        <f>$Y$8</f>
        <v>43800</v>
      </c>
      <c r="AZ470" s="637">
        <f>$Z$8</f>
        <v>43862</v>
      </c>
      <c r="BA470" s="637">
        <f>$AA$8</f>
        <v>44013</v>
      </c>
      <c r="BB470" s="637">
        <v>44166</v>
      </c>
      <c r="BC470" s="637">
        <f>$AC$8</f>
        <v>44531</v>
      </c>
      <c r="BD470" s="637">
        <f>$AD$8</f>
        <v>44774</v>
      </c>
      <c r="BE470" s="637">
        <f>$AE$8</f>
        <v>45142</v>
      </c>
      <c r="BF470" s="637">
        <f>$AF$8</f>
        <v>45672</v>
      </c>
      <c r="BG470" s="637">
        <f>$AT$8</f>
        <v>45971</v>
      </c>
      <c r="DK470" s="991" t="str">
        <f>$DK$8</f>
        <v>TRC (2025)</v>
      </c>
      <c r="DL470" s="761" t="str">
        <f>$DL$8</f>
        <v>Benefit Lookup</v>
      </c>
      <c r="DM470" s="761" t="str">
        <f>$DM$8</f>
        <v>Benefits (2025 $)</v>
      </c>
      <c r="DN470" s="2034" t="str">
        <f>$DN$8</f>
        <v>Incremental Cost (2025 $)</v>
      </c>
    </row>
    <row r="471" spans="1:118" x14ac:dyDescent="0.25">
      <c r="A471" s="2006" t="s">
        <v>112</v>
      </c>
      <c r="B471" s="247">
        <f t="shared" ref="B471" si="129">VALUE(LEFT(C471,6))</f>
        <v>805800</v>
      </c>
      <c r="C471" s="656" t="s">
        <v>554</v>
      </c>
      <c r="D471" s="1972" t="s">
        <v>60</v>
      </c>
      <c r="E471" s="458" t="s">
        <v>552</v>
      </c>
      <c r="F471" s="399">
        <f>ROUND(F481*G481*H481,2)</f>
        <v>3779.33</v>
      </c>
      <c r="G471" s="441" t="s">
        <v>361</v>
      </c>
      <c r="H471" s="442">
        <f>VLOOKUP(G471,'CP FACTORS'!$A$26:$B$38,2,FALSE)</f>
        <v>4.4398300000000001E-4</v>
      </c>
      <c r="I471" s="459">
        <f>ROUND(H471*F471,6)</f>
        <v>1.6779580000000001</v>
      </c>
      <c r="J471" s="99">
        <v>15</v>
      </c>
      <c r="K471" s="1681">
        <v>4038</v>
      </c>
      <c r="L471" s="487" t="s">
        <v>63</v>
      </c>
      <c r="V471" s="1285" t="str">
        <f>F470</f>
        <v>kWh Annual Savings (per HP)</v>
      </c>
      <c r="W471" s="53">
        <v>3779.3340000000003</v>
      </c>
      <c r="X471" s="53">
        <v>3779.3340000000003</v>
      </c>
      <c r="Y471" s="53">
        <v>3779.3340000000003</v>
      </c>
      <c r="Z471" s="53">
        <v>3779.3340000000003</v>
      </c>
      <c r="AA471" s="53">
        <v>3779.3340000000003</v>
      </c>
      <c r="AB471" s="616">
        <v>3779.33</v>
      </c>
      <c r="AC471" s="692">
        <v>3779.33</v>
      </c>
      <c r="AD471" s="692">
        <v>3779.33</v>
      </c>
      <c r="AE471" s="692">
        <v>3779.33</v>
      </c>
      <c r="AF471" s="692">
        <v>3779.33</v>
      </c>
      <c r="AG471" s="692">
        <v>3779.33</v>
      </c>
      <c r="AH471"/>
      <c r="AI471" s="1311" t="s">
        <v>50</v>
      </c>
      <c r="AJ471" s="19">
        <v>15</v>
      </c>
      <c r="AK471" s="19">
        <v>15</v>
      </c>
      <c r="AL471" s="19">
        <v>15</v>
      </c>
      <c r="AM471" s="19">
        <v>15</v>
      </c>
      <c r="AN471" s="19">
        <v>15</v>
      </c>
      <c r="AO471" s="52">
        <v>15</v>
      </c>
      <c r="AP471" s="671">
        <v>15</v>
      </c>
      <c r="AQ471" s="671">
        <v>15</v>
      </c>
      <c r="AR471" s="671">
        <v>15</v>
      </c>
      <c r="AS471" s="671">
        <v>15</v>
      </c>
      <c r="AT471" s="671">
        <v>15</v>
      </c>
      <c r="AV471" s="1311" t="s">
        <v>51</v>
      </c>
      <c r="AW471" s="672">
        <v>4038</v>
      </c>
      <c r="AX471" s="672">
        <v>4038</v>
      </c>
      <c r="AY471" s="672">
        <v>4038</v>
      </c>
      <c r="AZ471" s="672">
        <v>4038</v>
      </c>
      <c r="BA471" s="672">
        <v>4038</v>
      </c>
      <c r="BB471" s="657">
        <v>4038</v>
      </c>
      <c r="BC471" s="657">
        <v>4038</v>
      </c>
      <c r="BD471" s="657">
        <v>4038</v>
      </c>
      <c r="BE471" s="657">
        <v>4038</v>
      </c>
      <c r="BF471" s="657">
        <v>4038</v>
      </c>
      <c r="BG471" s="657">
        <v>4038</v>
      </c>
      <c r="DK471" s="998">
        <f>(DM471)/(DN471)</f>
        <v>1.1412362084060232</v>
      </c>
      <c r="DL471" s="1272" t="str">
        <f>CONCATENATE(G471," ",J471," Year EUL")</f>
        <v>HVAC BUS 15 Year EUL</v>
      </c>
      <c r="DM471" s="999">
        <f>(INDEX('Avoided Cost Benefits'!$B$4:$B$864,MATCH(DL471,'Avoided Cost Benefits'!$A$4:$A$864,0)))*F471</f>
        <v>4608.311809543522</v>
      </c>
      <c r="DN471" s="2037">
        <f>IFERROR(K471/((1+DiscountRate)^(CurrentYear-DiscountYear)),0)</f>
        <v>4038</v>
      </c>
    </row>
    <row r="472" spans="1:118" outlineLevel="1" x14ac:dyDescent="0.25">
      <c r="A472" s="2006"/>
      <c r="D472" s="74" t="s">
        <v>95</v>
      </c>
      <c r="E472" s="108" t="s">
        <v>555</v>
      </c>
      <c r="F472" s="7"/>
      <c r="G472" s="7"/>
      <c r="H472" s="449"/>
      <c r="I472" s="7"/>
      <c r="J472" s="7"/>
      <c r="K472" s="7"/>
      <c r="V472" s="1285" t="str">
        <f>V471</f>
        <v>kWh Annual Savings (per HP)</v>
      </c>
      <c r="W472" s="53">
        <v>3779.3340000000003</v>
      </c>
      <c r="X472" s="53">
        <v>3779.3340000000003</v>
      </c>
      <c r="Y472" s="53">
        <v>3779.3340000000003</v>
      </c>
      <c r="Z472" s="53">
        <v>3779.3340000000003</v>
      </c>
      <c r="AA472" s="53">
        <v>3779.3340000000003</v>
      </c>
      <c r="AB472" s="616">
        <v>0</v>
      </c>
      <c r="AC472" s="68"/>
      <c r="AD472" s="68"/>
      <c r="AE472" s="68"/>
      <c r="AF472" s="68"/>
      <c r="AG472" s="68"/>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row>
    <row r="473" spans="1:118" outlineLevel="1" x14ac:dyDescent="0.25">
      <c r="A473" s="2006"/>
      <c r="D473" s="7" t="s">
        <v>97</v>
      </c>
      <c r="E473" s="64"/>
      <c r="F473" s="7"/>
      <c r="G473" s="7"/>
      <c r="H473" s="449"/>
      <c r="I473" s="7"/>
      <c r="J473" s="7"/>
      <c r="K473" s="64"/>
    </row>
    <row r="474" spans="1:118" ht="18" customHeight="1" outlineLevel="1" x14ac:dyDescent="0.25">
      <c r="D474" s="450"/>
      <c r="E474" s="64"/>
      <c r="F474" s="64"/>
      <c r="G474" s="247"/>
      <c r="H474" s="451"/>
    </row>
    <row r="475" spans="1:118" outlineLevel="1" x14ac:dyDescent="0.25">
      <c r="D475" s="450"/>
      <c r="G475" s="247"/>
      <c r="H475" s="451"/>
      <c r="P475" s="2313"/>
      <c r="Q475" s="2313"/>
    </row>
    <row r="476" spans="1:118" outlineLevel="1" x14ac:dyDescent="0.25">
      <c r="D476" s="450"/>
      <c r="G476" s="247"/>
      <c r="H476" s="451"/>
      <c r="M476" s="7"/>
      <c r="P476" s="2313"/>
      <c r="Q476" s="2313"/>
    </row>
    <row r="477" spans="1:118" outlineLevel="1" x14ac:dyDescent="0.25">
      <c r="D477" s="450"/>
      <c r="G477" s="247"/>
      <c r="H477" s="451"/>
      <c r="M477" s="7"/>
      <c r="P477" s="2313"/>
      <c r="Q477" s="2313"/>
    </row>
    <row r="478" spans="1:118" outlineLevel="1" x14ac:dyDescent="0.25">
      <c r="D478" s="450"/>
      <c r="G478" s="247"/>
      <c r="H478" s="451"/>
      <c r="M478" s="7"/>
    </row>
    <row r="479" spans="1:118" outlineLevel="1" x14ac:dyDescent="0.25">
      <c r="D479" s="450"/>
      <c r="G479" s="247"/>
      <c r="H479" s="451"/>
    </row>
    <row r="480" spans="1:118" s="8" customFormat="1" outlineLevel="1" x14ac:dyDescent="0.25">
      <c r="A480" s="247"/>
      <c r="B480" s="115"/>
      <c r="C480" s="64"/>
      <c r="D480" s="1236" t="s">
        <v>43</v>
      </c>
      <c r="E480" s="1236" t="s">
        <v>173</v>
      </c>
      <c r="F480" s="31" t="s">
        <v>556</v>
      </c>
      <c r="G480" s="1236" t="s">
        <v>557</v>
      </c>
      <c r="H480" s="1236" t="s">
        <v>558</v>
      </c>
      <c r="I480" s="115"/>
      <c r="J480" s="115"/>
      <c r="K480" s="115"/>
      <c r="L480" s="115"/>
      <c r="M480" s="115"/>
      <c r="N480" s="115"/>
      <c r="O480" s="115"/>
      <c r="P480" s="115"/>
      <c r="Q480" s="115"/>
      <c r="R480" s="115"/>
      <c r="S480" s="115"/>
      <c r="T480" s="115"/>
      <c r="U480" s="115"/>
      <c r="DK480" s="996"/>
      <c r="DL480" s="115"/>
      <c r="DM480" s="115"/>
      <c r="DN480" s="499"/>
    </row>
    <row r="481" spans="1:118" outlineLevel="1" x14ac:dyDescent="0.25">
      <c r="D481" s="647" t="str">
        <f>C471</f>
        <v>805800_2019_12_</v>
      </c>
      <c r="E481" s="647" t="str">
        <f>E471</f>
        <v>Advanced RTU Controls</v>
      </c>
      <c r="F481" s="1693">
        <v>1</v>
      </c>
      <c r="G481" s="506">
        <v>0.55800000000000005</v>
      </c>
      <c r="H481" s="1706">
        <v>6773</v>
      </c>
    </row>
    <row r="484" spans="1:118" x14ac:dyDescent="0.25">
      <c r="B484" s="2314" t="s">
        <v>559</v>
      </c>
      <c r="C484" s="2315"/>
      <c r="D484" s="2315"/>
      <c r="E484" s="2315"/>
      <c r="F484" s="2315"/>
      <c r="G484" s="2315"/>
      <c r="H484" s="2315"/>
      <c r="I484" s="2315"/>
      <c r="J484" s="2315"/>
      <c r="K484" s="2315"/>
      <c r="L484" s="2315"/>
      <c r="M484" s="2315"/>
      <c r="N484" s="2315"/>
      <c r="O484" s="2316"/>
      <c r="V484" s="1234" t="str">
        <f>B484</f>
        <v>High Volume Low Speed Fans</v>
      </c>
      <c r="W484" s="1235"/>
      <c r="X484" s="1235"/>
      <c r="Y484" s="1235"/>
      <c r="Z484" s="1235"/>
      <c r="AA484" s="1235"/>
      <c r="AB484" s="1235"/>
      <c r="AC484" s="1235"/>
      <c r="AD484" s="1235"/>
      <c r="AE484" s="1235"/>
      <c r="AF484" s="1235"/>
      <c r="AG484" s="1235"/>
      <c r="AH484" s="1235"/>
      <c r="AI484" s="1269"/>
      <c r="AW484" s="7"/>
      <c r="AX484" s="7"/>
      <c r="AY484" s="7"/>
      <c r="AZ484" s="7"/>
      <c r="BA484" s="7"/>
      <c r="BB484" s="7"/>
      <c r="BC484" s="7"/>
      <c r="BD484" s="7"/>
      <c r="BE484" s="7"/>
      <c r="BF484" s="7"/>
    </row>
    <row r="485" spans="1:118" x14ac:dyDescent="0.25">
      <c r="V485"/>
      <c r="W485"/>
      <c r="X485"/>
      <c r="Y485"/>
      <c r="Z485"/>
      <c r="AA485"/>
      <c r="AB485"/>
      <c r="AC485"/>
      <c r="AD485"/>
      <c r="AE485"/>
      <c r="AF485"/>
      <c r="AG485"/>
      <c r="AH485"/>
      <c r="AI485"/>
      <c r="AJ485" s="6"/>
      <c r="AK485" s="6"/>
      <c r="AL485" s="6"/>
      <c r="AM485" s="6"/>
      <c r="AN485" s="6"/>
      <c r="AO485" s="6"/>
      <c r="AP485" s="6"/>
      <c r="AQ485" s="6"/>
      <c r="AR485" s="6"/>
      <c r="AS485" s="6"/>
      <c r="AT485" s="6"/>
      <c r="AU485" s="6"/>
      <c r="AV485" s="6"/>
      <c r="BG485" s="6"/>
    </row>
    <row r="486" spans="1:118" ht="30" x14ac:dyDescent="0.25">
      <c r="C486" s="9" t="s">
        <v>43</v>
      </c>
      <c r="D486" s="9" t="s">
        <v>44</v>
      </c>
      <c r="E486" s="1301" t="s">
        <v>45</v>
      </c>
      <c r="F486" s="1301" t="s">
        <v>560</v>
      </c>
      <c r="G486" s="1301" t="s">
        <v>47</v>
      </c>
      <c r="H486" s="10" t="s">
        <v>48</v>
      </c>
      <c r="I486" s="1301" t="s">
        <v>49</v>
      </c>
      <c r="J486" s="1301" t="s">
        <v>50</v>
      </c>
      <c r="K486" s="9" t="s">
        <v>51</v>
      </c>
      <c r="L486" s="9" t="s">
        <v>52</v>
      </c>
      <c r="V486" s="636" t="s">
        <v>53</v>
      </c>
      <c r="W486" s="637">
        <f>$W$8</f>
        <v>43252</v>
      </c>
      <c r="X486" s="637">
        <f>$X$8</f>
        <v>43465</v>
      </c>
      <c r="Y486" s="637">
        <f>$Y$8</f>
        <v>43800</v>
      </c>
      <c r="Z486" s="637">
        <f>$Z$8</f>
        <v>43862</v>
      </c>
      <c r="AA486" s="637">
        <f>$AA$8</f>
        <v>44013</v>
      </c>
      <c r="AB486" s="637">
        <v>44166</v>
      </c>
      <c r="AC486" s="637">
        <f>$AC$8</f>
        <v>44531</v>
      </c>
      <c r="AD486" s="637">
        <f>$AD$8</f>
        <v>44774</v>
      </c>
      <c r="AE486" s="637">
        <f>$AE$8</f>
        <v>45142</v>
      </c>
      <c r="AF486" s="637">
        <f>$AF$8</f>
        <v>45672</v>
      </c>
      <c r="AG486" s="637">
        <f>$AG$8</f>
        <v>45971</v>
      </c>
      <c r="AH486"/>
      <c r="AI486" s="636" t="s">
        <v>53</v>
      </c>
      <c r="AJ486" s="637">
        <v>43252</v>
      </c>
      <c r="AK486" s="637">
        <f>$X$8</f>
        <v>43465</v>
      </c>
      <c r="AL486" s="637">
        <f>$Y$8</f>
        <v>43800</v>
      </c>
      <c r="AM486" s="637">
        <f>$Z$8</f>
        <v>43862</v>
      </c>
      <c r="AN486" s="637">
        <f>$AA$8</f>
        <v>44013</v>
      </c>
      <c r="AO486" s="637">
        <f>$AB$8</f>
        <v>44166</v>
      </c>
      <c r="AP486" s="637">
        <f>$AC$8</f>
        <v>44531</v>
      </c>
      <c r="AQ486" s="637">
        <f>$AD$8</f>
        <v>44774</v>
      </c>
      <c r="AR486" s="637">
        <f>$AE$8</f>
        <v>45142</v>
      </c>
      <c r="AS486" s="637">
        <f>$AF$8</f>
        <v>45672</v>
      </c>
      <c r="AT486" s="637">
        <f>$AT$8</f>
        <v>45971</v>
      </c>
      <c r="AV486" s="636" t="s">
        <v>53</v>
      </c>
      <c r="AW486" s="637">
        <v>43252</v>
      </c>
      <c r="AX486" s="637">
        <f>$X$8</f>
        <v>43465</v>
      </c>
      <c r="AY486" s="637">
        <f>$Y$8</f>
        <v>43800</v>
      </c>
      <c r="AZ486" s="637">
        <f>$Z$8</f>
        <v>43862</v>
      </c>
      <c r="BA486" s="637">
        <f>$AA$8</f>
        <v>44013</v>
      </c>
      <c r="BB486" s="637">
        <v>44166</v>
      </c>
      <c r="BC486" s="637">
        <f>$AC$8</f>
        <v>44531</v>
      </c>
      <c r="BD486" s="637">
        <f>$AD$8</f>
        <v>44774</v>
      </c>
      <c r="BE486" s="637">
        <f>$AE$8</f>
        <v>45142</v>
      </c>
      <c r="BF486" s="637">
        <f>$AF$8</f>
        <v>45672</v>
      </c>
      <c r="BG486" s="637">
        <f>$AT$8</f>
        <v>45971</v>
      </c>
      <c r="DK486" s="991" t="str">
        <f>$DK$8</f>
        <v>TRC (2025)</v>
      </c>
      <c r="DL486" s="761" t="str">
        <f>$DL$8</f>
        <v>Benefit Lookup</v>
      </c>
      <c r="DM486" s="761" t="str">
        <f>$DM$8</f>
        <v>Benefits (2025 $)</v>
      </c>
      <c r="DN486" s="2034" t="str">
        <f>$DN$8</f>
        <v>Incremental Cost (2025 $)</v>
      </c>
    </row>
    <row r="487" spans="1:118" x14ac:dyDescent="0.25">
      <c r="A487" s="2006" t="s">
        <v>112</v>
      </c>
      <c r="B487" s="247">
        <f t="shared" ref="B487:B488" si="130">VALUE(LEFT(C487,6))</f>
        <v>806090</v>
      </c>
      <c r="C487" s="656" t="s">
        <v>561</v>
      </c>
      <c r="D487" s="1972" t="s">
        <v>60</v>
      </c>
      <c r="E487" s="458" t="s">
        <v>562</v>
      </c>
      <c r="F487" s="399">
        <f>ROUND(F497*G497,2)</f>
        <v>3218</v>
      </c>
      <c r="G487" s="441" t="s">
        <v>361</v>
      </c>
      <c r="H487" s="442">
        <f>VLOOKUP(G487,'CP FACTORS'!$A$26:$B$38,2,FALSE)</f>
        <v>4.4398300000000001E-4</v>
      </c>
      <c r="I487" s="507">
        <f>F487*H487</f>
        <v>1.428737294</v>
      </c>
      <c r="J487" s="99">
        <v>10</v>
      </c>
      <c r="K487" s="1689">
        <v>4072</v>
      </c>
      <c r="L487" s="487" t="s">
        <v>63</v>
      </c>
      <c r="V487" s="1285" t="s">
        <v>46</v>
      </c>
      <c r="W487" s="53"/>
      <c r="X487" s="53"/>
      <c r="Y487" s="53"/>
      <c r="Z487" s="68"/>
      <c r="AA487" s="646"/>
      <c r="AB487" s="616"/>
      <c r="AC487" s="692"/>
      <c r="AD487" s="692"/>
      <c r="AE487" s="692"/>
      <c r="AF487" s="692">
        <v>3218</v>
      </c>
      <c r="AG487" s="692">
        <v>3218</v>
      </c>
      <c r="AH487"/>
      <c r="AI487" s="1285" t="s">
        <v>50</v>
      </c>
      <c r="AJ487" s="639"/>
      <c r="AK487" s="639"/>
      <c r="AL487" s="639"/>
      <c r="AM487" s="68"/>
      <c r="AN487" s="650"/>
      <c r="AO487" s="671"/>
      <c r="AP487" s="671"/>
      <c r="AQ487" s="671"/>
      <c r="AR487" s="671"/>
      <c r="AS487" s="54">
        <v>10</v>
      </c>
      <c r="AT487" s="671">
        <v>10</v>
      </c>
      <c r="AV487" s="1285" t="s">
        <v>51</v>
      </c>
      <c r="AW487" s="640"/>
      <c r="AX487" s="640"/>
      <c r="AY487" s="640"/>
      <c r="AZ487" s="68"/>
      <c r="BA487" s="652"/>
      <c r="BB487" s="657"/>
      <c r="BC487" s="657"/>
      <c r="BD487" s="657"/>
      <c r="BE487" s="657"/>
      <c r="BF487" s="726">
        <v>4072</v>
      </c>
      <c r="BG487" s="657">
        <v>4072</v>
      </c>
      <c r="DK487" s="993">
        <f>(DM487)/(DN487)</f>
        <v>0.71821819439734769</v>
      </c>
      <c r="DL487" s="1272" t="str">
        <f>CONCATENATE(G487," ",J487," Year EUL")</f>
        <v>HVAC BUS 10 Year EUL</v>
      </c>
      <c r="DM487" s="423">
        <f>(INDEX('Avoided Cost Benefits'!$B$4:$B$864,MATCH(DL487,'Avoided Cost Benefits'!$A$4:$A$864,0)))*F487</f>
        <v>2924.5844875859998</v>
      </c>
      <c r="DN487" s="2033">
        <f>IFERROR(K487/((1+DiscountRate)^(CurrentYear-DiscountYear)),0)</f>
        <v>4072</v>
      </c>
    </row>
    <row r="488" spans="1:118" x14ac:dyDescent="0.25">
      <c r="A488" s="2006" t="s">
        <v>112</v>
      </c>
      <c r="B488" s="247">
        <f t="shared" si="130"/>
        <v>806095</v>
      </c>
      <c r="C488" s="656" t="s">
        <v>563</v>
      </c>
      <c r="D488" s="1972" t="s">
        <v>60</v>
      </c>
      <c r="E488" s="458" t="s">
        <v>564</v>
      </c>
      <c r="F488" s="399">
        <f>ROUND(F498*G498,2)</f>
        <v>4938</v>
      </c>
      <c r="G488" s="441" t="s">
        <v>361</v>
      </c>
      <c r="H488" s="442">
        <f>VLOOKUP(G488,'CP FACTORS'!$A$26:$B$38,2,FALSE)</f>
        <v>4.4398300000000001E-4</v>
      </c>
      <c r="I488" s="507">
        <f>F488*H488</f>
        <v>2.1923880540000003</v>
      </c>
      <c r="J488" s="99">
        <v>10</v>
      </c>
      <c r="K488" s="1689">
        <v>4110</v>
      </c>
      <c r="L488" s="487" t="s">
        <v>63</v>
      </c>
      <c r="V488" s="1285" t="s">
        <v>46</v>
      </c>
      <c r="W488" s="53"/>
      <c r="X488" s="53"/>
      <c r="Y488" s="53"/>
      <c r="Z488" s="68"/>
      <c r="AA488" s="646"/>
      <c r="AB488" s="616"/>
      <c r="AC488" s="692"/>
      <c r="AD488" s="692"/>
      <c r="AE488" s="692"/>
      <c r="AF488" s="692">
        <v>4938</v>
      </c>
      <c r="AG488" s="692">
        <v>4938</v>
      </c>
      <c r="AH488"/>
      <c r="AI488" s="1285" t="s">
        <v>50</v>
      </c>
      <c r="AJ488" s="639"/>
      <c r="AK488" s="639"/>
      <c r="AL488" s="639"/>
      <c r="AM488" s="68"/>
      <c r="AN488" s="650"/>
      <c r="AO488" s="671"/>
      <c r="AP488" s="671"/>
      <c r="AQ488" s="671"/>
      <c r="AR488" s="671"/>
      <c r="AS488" s="54">
        <v>10</v>
      </c>
      <c r="AT488" s="671">
        <v>10</v>
      </c>
      <c r="AV488" s="1285" t="s">
        <v>51</v>
      </c>
      <c r="AW488" s="640"/>
      <c r="AX488" s="640"/>
      <c r="AY488" s="640"/>
      <c r="AZ488" s="68"/>
      <c r="BA488" s="652"/>
      <c r="BB488" s="657"/>
      <c r="BC488" s="657"/>
      <c r="BD488" s="657"/>
      <c r="BE488" s="657"/>
      <c r="BF488" s="726">
        <v>4110</v>
      </c>
      <c r="BG488" s="657">
        <v>4110</v>
      </c>
      <c r="DK488" s="993">
        <f>(DM488)/(DN488)</f>
        <v>1.0919113895302781</v>
      </c>
      <c r="DL488" s="1272" t="str">
        <f>CONCATENATE(G488," ",J488," Year EUL")</f>
        <v>HVAC BUS 10 Year EUL</v>
      </c>
      <c r="DM488" s="423">
        <f>(INDEX('Avoided Cost Benefits'!$B$4:$B$864,MATCH(DL488,'Avoided Cost Benefits'!$A$4:$A$864,0)))*F488</f>
        <v>4487.7558109694428</v>
      </c>
      <c r="DN488" s="1928">
        <f>IFERROR(K488/((1+DiscountRate)^(CurrentYear-DiscountYear)),0)</f>
        <v>4110</v>
      </c>
    </row>
    <row r="489" spans="1:118" x14ac:dyDescent="0.25">
      <c r="A489" s="2006" t="s">
        <v>112</v>
      </c>
      <c r="B489" s="247">
        <f t="shared" ref="B489:B491" si="131">VALUE(LEFT(C489,6))</f>
        <v>806100</v>
      </c>
      <c r="C489" s="656" t="s">
        <v>565</v>
      </c>
      <c r="D489" s="1972" t="s">
        <v>60</v>
      </c>
      <c r="E489" s="458" t="s">
        <v>566</v>
      </c>
      <c r="F489" s="399">
        <f>ROUND(F499*G499,2)</f>
        <v>6577</v>
      </c>
      <c r="G489" s="441" t="s">
        <v>361</v>
      </c>
      <c r="H489" s="442">
        <f>VLOOKUP(G489,'CP FACTORS'!$A$26:$B$38,2,FALSE)</f>
        <v>4.4398300000000001E-4</v>
      </c>
      <c r="I489" s="507">
        <f>F489*H489</f>
        <v>2.9200761910000002</v>
      </c>
      <c r="J489" s="99">
        <v>10</v>
      </c>
      <c r="K489" s="1689">
        <v>4150</v>
      </c>
      <c r="L489" s="487" t="s">
        <v>63</v>
      </c>
      <c r="V489" s="1285" t="s">
        <v>46</v>
      </c>
      <c r="W489" s="53"/>
      <c r="X489" s="53"/>
      <c r="Y489" s="53"/>
      <c r="Z489" s="68"/>
      <c r="AA489" s="646">
        <v>6577</v>
      </c>
      <c r="AB489" s="616">
        <v>6577</v>
      </c>
      <c r="AC489" s="692">
        <v>6577</v>
      </c>
      <c r="AD489" s="692">
        <v>6577</v>
      </c>
      <c r="AE489" s="692">
        <v>6577</v>
      </c>
      <c r="AF489" s="692">
        <v>6577</v>
      </c>
      <c r="AG489" s="692">
        <v>6577</v>
      </c>
      <c r="AH489"/>
      <c r="AI489" s="1285" t="s">
        <v>50</v>
      </c>
      <c r="AJ489" s="639"/>
      <c r="AK489" s="639"/>
      <c r="AL489" s="639"/>
      <c r="AM489" s="68"/>
      <c r="AN489" s="650">
        <v>10</v>
      </c>
      <c r="AO489" s="671">
        <v>10</v>
      </c>
      <c r="AP489" s="671">
        <v>10</v>
      </c>
      <c r="AQ489" s="671">
        <v>10</v>
      </c>
      <c r="AR489" s="671">
        <v>10</v>
      </c>
      <c r="AS489" s="671">
        <v>10</v>
      </c>
      <c r="AT489" s="671">
        <v>10</v>
      </c>
      <c r="AV489" s="1285" t="s">
        <v>51</v>
      </c>
      <c r="AW489" s="640"/>
      <c r="AX489" s="640"/>
      <c r="AY489" s="640"/>
      <c r="AZ489" s="68"/>
      <c r="BA489" s="652">
        <v>4150</v>
      </c>
      <c r="BB489" s="657">
        <v>4150</v>
      </c>
      <c r="BC489" s="657">
        <v>4150</v>
      </c>
      <c r="BD489" s="657">
        <v>4150</v>
      </c>
      <c r="BE489" s="657">
        <v>4150</v>
      </c>
      <c r="BF489" s="657">
        <v>4150</v>
      </c>
      <c r="BG489" s="657">
        <v>4150</v>
      </c>
      <c r="DK489" s="993">
        <f>(DM489)/(DN489)</f>
        <v>1.4403163062332454</v>
      </c>
      <c r="DL489" s="1272" t="str">
        <f>CONCATENATE(G489," ",J489," Year EUL")</f>
        <v>HVAC BUS 10 Year EUL</v>
      </c>
      <c r="DM489" s="423">
        <f>(INDEX('Avoided Cost Benefits'!$B$4:$B$864,MATCH(DL489,'Avoided Cost Benefits'!$A$4:$A$864,0)))*F489</f>
        <v>5977.3126708679683</v>
      </c>
      <c r="DN489" s="1928">
        <f>IFERROR(K489/((1+DiscountRate)^(CurrentYear-DiscountYear)),0)</f>
        <v>4150</v>
      </c>
    </row>
    <row r="490" spans="1:118" x14ac:dyDescent="0.25">
      <c r="A490" s="2006" t="s">
        <v>112</v>
      </c>
      <c r="B490" s="247">
        <f t="shared" si="131"/>
        <v>806110</v>
      </c>
      <c r="C490" s="656" t="s">
        <v>567</v>
      </c>
      <c r="D490" s="1972" t="s">
        <v>60</v>
      </c>
      <c r="E490" s="458" t="s">
        <v>568</v>
      </c>
      <c r="F490" s="399">
        <f>ROUND(F500*G500,2)</f>
        <v>8543</v>
      </c>
      <c r="G490" s="441" t="s">
        <v>361</v>
      </c>
      <c r="H490" s="442">
        <f>VLOOKUP(G490,'CP FACTORS'!$A$26:$B$38,2,FALSE)</f>
        <v>4.4398300000000001E-4</v>
      </c>
      <c r="I490" s="507">
        <f>F490*H490</f>
        <v>3.7929467690000003</v>
      </c>
      <c r="J490" s="99">
        <v>10</v>
      </c>
      <c r="K490" s="1689">
        <v>4180</v>
      </c>
      <c r="L490" s="487" t="s">
        <v>63</v>
      </c>
      <c r="V490" s="1285" t="s">
        <v>46</v>
      </c>
      <c r="W490" s="53"/>
      <c r="X490" s="53"/>
      <c r="Y490" s="53"/>
      <c r="Z490" s="68"/>
      <c r="AA490" s="646">
        <v>8543</v>
      </c>
      <c r="AB490" s="616">
        <v>8543</v>
      </c>
      <c r="AC490" s="692">
        <v>8543</v>
      </c>
      <c r="AD490" s="692">
        <v>8543</v>
      </c>
      <c r="AE490" s="692">
        <v>8543</v>
      </c>
      <c r="AF490" s="692">
        <v>8543</v>
      </c>
      <c r="AG490" s="692">
        <v>8543</v>
      </c>
      <c r="AH490"/>
      <c r="AI490" s="1285" t="s">
        <v>50</v>
      </c>
      <c r="AJ490" s="639"/>
      <c r="AK490" s="639"/>
      <c r="AL490" s="639"/>
      <c r="AM490" s="68"/>
      <c r="AN490" s="650">
        <v>10</v>
      </c>
      <c r="AO490" s="671">
        <v>10</v>
      </c>
      <c r="AP490" s="671">
        <v>10</v>
      </c>
      <c r="AQ490" s="671">
        <v>10</v>
      </c>
      <c r="AR490" s="671">
        <v>10</v>
      </c>
      <c r="AS490" s="671">
        <v>10</v>
      </c>
      <c r="AT490" s="671">
        <v>10</v>
      </c>
      <c r="AV490" s="1285" t="s">
        <v>51</v>
      </c>
      <c r="AW490" s="640"/>
      <c r="AX490" s="640"/>
      <c r="AY490" s="640"/>
      <c r="AZ490" s="68"/>
      <c r="BA490" s="652">
        <v>4180</v>
      </c>
      <c r="BB490" s="657">
        <v>4180</v>
      </c>
      <c r="BC490" s="657">
        <v>4180</v>
      </c>
      <c r="BD490" s="657">
        <v>4180</v>
      </c>
      <c r="BE490" s="657">
        <v>4180</v>
      </c>
      <c r="BF490" s="657">
        <v>4180</v>
      </c>
      <c r="BG490" s="657">
        <v>4180</v>
      </c>
      <c r="DK490" s="1000">
        <f>(DM490)/(DN490)</f>
        <v>1.8574291498365354</v>
      </c>
      <c r="DL490" s="641" t="str">
        <f>CONCATENATE(G490," ",J490," Year EUL")</f>
        <v>HVAC BUS 10 Year EUL</v>
      </c>
      <c r="DM490" s="423">
        <f>(INDEX('Avoided Cost Benefits'!$B$4:$B$864,MATCH(DL490,'Avoided Cost Benefits'!$A$4:$A$864,0)))*F490</f>
        <v>7764.0538463167177</v>
      </c>
      <c r="DN490" s="1928">
        <f>IFERROR(K490/((1+DiscountRate)^(CurrentYear-DiscountYear)),0)</f>
        <v>4180</v>
      </c>
    </row>
    <row r="491" spans="1:118" x14ac:dyDescent="0.25">
      <c r="A491" s="2006" t="s">
        <v>112</v>
      </c>
      <c r="B491" s="247">
        <f t="shared" si="131"/>
        <v>806120</v>
      </c>
      <c r="C491" s="656" t="s">
        <v>569</v>
      </c>
      <c r="D491" s="1972" t="s">
        <v>60</v>
      </c>
      <c r="E491" s="458" t="s">
        <v>570</v>
      </c>
      <c r="F491" s="399">
        <f>ROUND(F501*G501,2)</f>
        <v>10018</v>
      </c>
      <c r="G491" s="441" t="s">
        <v>361</v>
      </c>
      <c r="H491" s="442">
        <f>VLOOKUP(G491,'CP FACTORS'!$A$26:$B$38,2,FALSE)</f>
        <v>4.4398300000000001E-4</v>
      </c>
      <c r="I491" s="507">
        <f>F491*H491</f>
        <v>4.4478216939999999</v>
      </c>
      <c r="J491" s="99">
        <v>10</v>
      </c>
      <c r="K491" s="1689">
        <v>4225</v>
      </c>
      <c r="L491" s="487" t="s">
        <v>63</v>
      </c>
      <c r="V491" s="1285" t="s">
        <v>46</v>
      </c>
      <c r="W491" s="53"/>
      <c r="X491" s="53"/>
      <c r="Y491" s="53"/>
      <c r="Z491" s="68"/>
      <c r="AA491" s="646">
        <v>10018</v>
      </c>
      <c r="AB491" s="616">
        <v>10018</v>
      </c>
      <c r="AC491" s="692">
        <v>10018</v>
      </c>
      <c r="AD491" s="692">
        <v>10018</v>
      </c>
      <c r="AE491" s="692">
        <v>10018</v>
      </c>
      <c r="AF491" s="692">
        <v>10018</v>
      </c>
      <c r="AG491" s="692">
        <v>10018</v>
      </c>
      <c r="AH491"/>
      <c r="AI491" s="1285" t="s">
        <v>50</v>
      </c>
      <c r="AJ491" s="639"/>
      <c r="AK491" s="639"/>
      <c r="AL491" s="639"/>
      <c r="AM491" s="68"/>
      <c r="AN491" s="650">
        <v>10</v>
      </c>
      <c r="AO491" s="671">
        <v>10</v>
      </c>
      <c r="AP491" s="671">
        <v>10</v>
      </c>
      <c r="AQ491" s="671">
        <v>10</v>
      </c>
      <c r="AR491" s="671">
        <v>10</v>
      </c>
      <c r="AS491" s="671">
        <v>10</v>
      </c>
      <c r="AT491" s="671">
        <v>10</v>
      </c>
      <c r="AV491" s="1285" t="s">
        <v>51</v>
      </c>
      <c r="AW491" s="640"/>
      <c r="AX491" s="640"/>
      <c r="AY491" s="640"/>
      <c r="AZ491" s="68"/>
      <c r="BA491" s="652">
        <v>4225</v>
      </c>
      <c r="BB491" s="657">
        <v>4225</v>
      </c>
      <c r="BC491" s="657">
        <v>4225</v>
      </c>
      <c r="BD491" s="657">
        <v>4225</v>
      </c>
      <c r="BE491" s="657">
        <v>4225</v>
      </c>
      <c r="BF491" s="657">
        <v>4225</v>
      </c>
      <c r="BG491" s="657">
        <v>4225</v>
      </c>
      <c r="DK491" s="1001">
        <f>(DM491)/(DN491)</f>
        <v>2.1549264232359064</v>
      </c>
      <c r="DL491" s="641" t="str">
        <f>CONCATENATE(G491," ",J491," Year EUL")</f>
        <v>HVAC BUS 10 Year EUL</v>
      </c>
      <c r="DM491" s="423">
        <f>(INDEX('Avoided Cost Benefits'!$B$4:$B$864,MATCH(DL491,'Avoided Cost Benefits'!$A$4:$A$864,0)))*F491</f>
        <v>9104.5641381717051</v>
      </c>
      <c r="DN491" s="2035">
        <f>IFERROR(K491/((1+DiscountRate)^(CurrentYear-DiscountYear)),0)</f>
        <v>4225</v>
      </c>
    </row>
    <row r="492" spans="1:118" outlineLevel="1" x14ac:dyDescent="0.25">
      <c r="D492" s="7" t="s">
        <v>95</v>
      </c>
      <c r="E492" s="7" t="s">
        <v>571</v>
      </c>
    </row>
    <row r="493" spans="1:118" outlineLevel="1" x14ac:dyDescent="0.25"/>
    <row r="494" spans="1:118" outlineLevel="1" x14ac:dyDescent="0.25"/>
    <row r="495" spans="1:118" outlineLevel="1" x14ac:dyDescent="0.25"/>
    <row r="496" spans="1:118" outlineLevel="1" x14ac:dyDescent="0.25">
      <c r="D496" s="1236" t="s">
        <v>43</v>
      </c>
      <c r="E496" s="1236" t="s">
        <v>173</v>
      </c>
      <c r="F496" s="31" t="s">
        <v>572</v>
      </c>
      <c r="G496" s="1236" t="s">
        <v>573</v>
      </c>
    </row>
    <row r="497" spans="1:118" outlineLevel="1" x14ac:dyDescent="0.25">
      <c r="D497" s="647" t="str">
        <f>C487</f>
        <v>806090_2024_12_</v>
      </c>
      <c r="E497" s="458" t="str">
        <f>E487</f>
        <v>High Volume Low Speed Fan, 16</v>
      </c>
      <c r="F497" s="19">
        <v>3218</v>
      </c>
      <c r="G497" s="480">
        <v>1</v>
      </c>
    </row>
    <row r="498" spans="1:118" outlineLevel="1" x14ac:dyDescent="0.25">
      <c r="D498" s="647" t="str">
        <f>C488</f>
        <v>806095_2024_12_</v>
      </c>
      <c r="E498" s="458" t="str">
        <f>E488</f>
        <v>High Volume Low Speed Fan, 18</v>
      </c>
      <c r="F498" s="19">
        <v>4938</v>
      </c>
      <c r="G498" s="480">
        <v>1</v>
      </c>
    </row>
    <row r="499" spans="1:118" outlineLevel="1" x14ac:dyDescent="0.25">
      <c r="D499" s="647" t="str">
        <f>C489</f>
        <v>806100_2020_07_</v>
      </c>
      <c r="E499" s="458" t="str">
        <f>E489</f>
        <v>High Volume Low Speed Fan, 20</v>
      </c>
      <c r="F499" s="19">
        <v>6577</v>
      </c>
      <c r="G499" s="480">
        <v>1</v>
      </c>
    </row>
    <row r="500" spans="1:118" outlineLevel="1" x14ac:dyDescent="0.25">
      <c r="D500" s="647" t="str">
        <f>C490</f>
        <v>806110_2020_07_</v>
      </c>
      <c r="E500" s="458" t="str">
        <f>E490</f>
        <v>High Volume Low Speed Fan, 22</v>
      </c>
      <c r="F500" s="19">
        <v>8543</v>
      </c>
      <c r="G500" s="480">
        <v>1</v>
      </c>
    </row>
    <row r="501" spans="1:118" outlineLevel="1" x14ac:dyDescent="0.25">
      <c r="D501" s="647" t="str">
        <f>C491</f>
        <v>806120_2020_07_</v>
      </c>
      <c r="E501" s="458" t="str">
        <f>E491</f>
        <v>High Volume Low Speed Fan, 24</v>
      </c>
      <c r="F501" s="19">
        <v>10018</v>
      </c>
      <c r="G501" s="480">
        <v>1</v>
      </c>
    </row>
    <row r="502" spans="1:118" outlineLevel="1" x14ac:dyDescent="0.25">
      <c r="D502" s="504"/>
      <c r="E502" s="457"/>
      <c r="F502" s="1772"/>
      <c r="G502" s="1773"/>
    </row>
    <row r="504" spans="1:118" s="7" customFormat="1" x14ac:dyDescent="0.25">
      <c r="A504" s="247"/>
      <c r="B504" s="2308" t="s">
        <v>574</v>
      </c>
      <c r="C504" s="2309"/>
      <c r="D504" s="2309"/>
      <c r="E504" s="2309"/>
      <c r="F504" s="2309"/>
      <c r="G504" s="2309"/>
      <c r="H504" s="2309"/>
      <c r="I504" s="2310"/>
      <c r="J504" s="2310"/>
      <c r="K504" s="2310"/>
      <c r="L504" s="2310"/>
      <c r="M504" s="2311"/>
      <c r="N504" s="2311"/>
      <c r="O504" s="2312"/>
      <c r="V504" s="1234" t="str">
        <f>B504</f>
        <v>Custom Measure</v>
      </c>
      <c r="W504" s="1235"/>
      <c r="X504" s="1235"/>
      <c r="Y504" s="1235"/>
      <c r="Z504" s="1235"/>
      <c r="AA504" s="1235"/>
      <c r="AB504" s="1235"/>
      <c r="AC504" s="1235"/>
      <c r="AD504" s="1235"/>
      <c r="AE504" s="1235"/>
      <c r="AF504" s="1235"/>
      <c r="AG504" s="1235"/>
      <c r="AH504" s="1235"/>
      <c r="AI504" s="1269"/>
      <c r="AJ504" s="2"/>
      <c r="AK504" s="2"/>
      <c r="AL504" s="2"/>
      <c r="AM504" s="2"/>
      <c r="AN504" s="2"/>
      <c r="AO504" s="2"/>
      <c r="AP504" s="2"/>
      <c r="AQ504" s="2"/>
      <c r="AR504" s="2"/>
      <c r="AS504" s="2"/>
      <c r="AT504" s="2"/>
      <c r="AU504" s="2"/>
      <c r="AV504" s="2"/>
      <c r="BG504" s="2"/>
      <c r="DK504" s="23"/>
      <c r="DN504" s="2031"/>
    </row>
    <row r="505" spans="1:118" x14ac:dyDescent="0.25">
      <c r="D505" s="439"/>
      <c r="E505" s="7"/>
      <c r="F505" s="7"/>
      <c r="G505" s="7"/>
      <c r="H505" s="440"/>
      <c r="I505" s="7"/>
      <c r="J505" s="7"/>
      <c r="K505" s="7"/>
      <c r="L505" s="7"/>
      <c r="P505" s="7"/>
      <c r="Q505" s="7"/>
      <c r="R505" s="7"/>
      <c r="S505" s="7"/>
      <c r="T505" s="7"/>
      <c r="U505" s="7"/>
      <c r="V505"/>
      <c r="W505"/>
      <c r="X505"/>
      <c r="Y505"/>
      <c r="Z505"/>
      <c r="AA505"/>
      <c r="AB505"/>
      <c r="AC505"/>
      <c r="AD505"/>
      <c r="AE505"/>
      <c r="AF505"/>
      <c r="AG505"/>
      <c r="AH505"/>
      <c r="AI505"/>
      <c r="AJ505" s="6"/>
      <c r="AK505" s="6"/>
      <c r="AL505" s="6"/>
      <c r="AM505" s="6"/>
      <c r="AN505" s="6"/>
      <c r="AO505" s="6"/>
      <c r="AP505" s="6"/>
      <c r="AQ505" s="6"/>
      <c r="AR505" s="6"/>
      <c r="AS505" s="6"/>
      <c r="AT505" s="6"/>
      <c r="AU505" s="6"/>
      <c r="AV505" s="6"/>
      <c r="BG505" s="6"/>
    </row>
    <row r="506" spans="1:118" s="8" customFormat="1" ht="30" x14ac:dyDescent="0.25">
      <c r="A506" s="247"/>
      <c r="B506" s="64"/>
      <c r="C506" s="9" t="s">
        <v>43</v>
      </c>
      <c r="D506" s="9" t="s">
        <v>44</v>
      </c>
      <c r="E506" s="1301" t="s">
        <v>45</v>
      </c>
      <c r="F506" s="1301" t="s">
        <v>575</v>
      </c>
      <c r="G506" s="1301" t="s">
        <v>47</v>
      </c>
      <c r="H506" s="10" t="s">
        <v>48</v>
      </c>
      <c r="I506" s="1301" t="s">
        <v>49</v>
      </c>
      <c r="J506" s="1301" t="s">
        <v>50</v>
      </c>
      <c r="K506" s="9" t="s">
        <v>51</v>
      </c>
      <c r="L506" s="9" t="s">
        <v>52</v>
      </c>
      <c r="M506" s="247"/>
      <c r="N506" s="247"/>
      <c r="O506" s="247"/>
      <c r="P506" s="115"/>
      <c r="Q506" s="115"/>
      <c r="R506" s="115"/>
      <c r="S506" s="115"/>
      <c r="T506" s="115"/>
      <c r="U506" s="115"/>
      <c r="V506" s="636" t="s">
        <v>53</v>
      </c>
      <c r="W506" s="637">
        <f>$W$8</f>
        <v>43252</v>
      </c>
      <c r="X506" s="637">
        <f>$X$8</f>
        <v>43465</v>
      </c>
      <c r="Y506" s="637">
        <f>$Y$8</f>
        <v>43800</v>
      </c>
      <c r="Z506" s="637">
        <f>$Z$8</f>
        <v>43862</v>
      </c>
      <c r="AA506" s="637">
        <f>$AA$8</f>
        <v>44013</v>
      </c>
      <c r="AB506" s="637">
        <v>44166</v>
      </c>
      <c r="AC506" s="637">
        <f>$AC$8</f>
        <v>44531</v>
      </c>
      <c r="AD506" s="637">
        <f>$AD$8</f>
        <v>44774</v>
      </c>
      <c r="AE506" s="637">
        <f>$AE$8</f>
        <v>45142</v>
      </c>
      <c r="AF506" s="637">
        <f>$AF$8</f>
        <v>45672</v>
      </c>
      <c r="AG506" s="637">
        <f>$AG$8</f>
        <v>45971</v>
      </c>
      <c r="AH506"/>
      <c r="AI506" s="636" t="s">
        <v>53</v>
      </c>
      <c r="AJ506" s="637">
        <v>43252</v>
      </c>
      <c r="AK506" s="637">
        <f>$X$8</f>
        <v>43465</v>
      </c>
      <c r="AL506" s="637">
        <f>$Y$8</f>
        <v>43800</v>
      </c>
      <c r="AM506" s="637">
        <f>$Z$8</f>
        <v>43862</v>
      </c>
      <c r="AN506" s="637">
        <f>$AA$8</f>
        <v>44013</v>
      </c>
      <c r="AO506" s="637">
        <f>$AB$8</f>
        <v>44166</v>
      </c>
      <c r="AP506" s="637">
        <f>$AC$8</f>
        <v>44531</v>
      </c>
      <c r="AQ506" s="637">
        <f>$AD$8</f>
        <v>44774</v>
      </c>
      <c r="AR506" s="637">
        <f>$AE$8</f>
        <v>45142</v>
      </c>
      <c r="AS506" s="637">
        <f>$AF$8</f>
        <v>45672</v>
      </c>
      <c r="AT506" s="637">
        <f>$AT$8</f>
        <v>45971</v>
      </c>
      <c r="AU506" s="2"/>
      <c r="AV506" s="636" t="s">
        <v>53</v>
      </c>
      <c r="AW506" s="637">
        <v>43252</v>
      </c>
      <c r="AX506" s="637">
        <f>$X$8</f>
        <v>43465</v>
      </c>
      <c r="AY506" s="637">
        <f>$Y$8</f>
        <v>43800</v>
      </c>
      <c r="AZ506" s="637">
        <f>$Z$8</f>
        <v>43862</v>
      </c>
      <c r="BA506" s="637">
        <f>$AA$8</f>
        <v>44013</v>
      </c>
      <c r="BB506" s="637">
        <v>44166</v>
      </c>
      <c r="BC506" s="637">
        <f>$AC$8</f>
        <v>44531</v>
      </c>
      <c r="BD506" s="637">
        <f>$AD$8</f>
        <v>44774</v>
      </c>
      <c r="BE506" s="637">
        <f>$AE$8</f>
        <v>45142</v>
      </c>
      <c r="BF506" s="637">
        <f>$AF$8</f>
        <v>45672</v>
      </c>
      <c r="BG506" s="637">
        <f>$AT$8</f>
        <v>45971</v>
      </c>
      <c r="DK506" s="991" t="str">
        <f>$DK$8</f>
        <v>TRC (2025)</v>
      </c>
      <c r="DL506" s="761" t="str">
        <f>$DL$8</f>
        <v>Benefit Lookup</v>
      </c>
      <c r="DM506" s="761" t="str">
        <f>$DM$8</f>
        <v>Benefits (2025 $)</v>
      </c>
      <c r="DN506" s="2034" t="str">
        <f>$DN$8</f>
        <v>Incremental Cost (2025 $)</v>
      </c>
    </row>
    <row r="507" spans="1:118" x14ac:dyDescent="0.25">
      <c r="A507" s="2006" t="s">
        <v>576</v>
      </c>
      <c r="B507" s="247">
        <f t="shared" ref="B507" si="132">VALUE(LEFT(C507,6))</f>
        <v>999999</v>
      </c>
      <c r="C507" s="2140" t="s">
        <v>577</v>
      </c>
      <c r="D507" s="1972" t="s">
        <v>578</v>
      </c>
      <c r="E507" s="458" t="s">
        <v>579</v>
      </c>
      <c r="F507" s="19" t="s">
        <v>576</v>
      </c>
      <c r="G507" s="1973" t="s">
        <v>477</v>
      </c>
      <c r="H507" s="2075">
        <f>VLOOKUP(G507,'CP FACTORS'!$A$26:$B$38,2,FALSE)</f>
        <v>1.379439E-4</v>
      </c>
      <c r="I507" s="507" t="s">
        <v>576</v>
      </c>
      <c r="J507" s="99" t="s">
        <v>576</v>
      </c>
      <c r="K507" s="99" t="s">
        <v>576</v>
      </c>
      <c r="L507" s="487" t="s">
        <v>576</v>
      </c>
      <c r="V507" s="1285" t="s">
        <v>46</v>
      </c>
      <c r="W507" s="785"/>
      <c r="X507" s="785"/>
      <c r="Y507" s="638" t="s">
        <v>576</v>
      </c>
      <c r="Z507" s="53" t="s">
        <v>576</v>
      </c>
      <c r="AA507" s="53" t="s">
        <v>576</v>
      </c>
      <c r="AB507" s="616" t="s">
        <v>576</v>
      </c>
      <c r="AC507" s="692" t="s">
        <v>576</v>
      </c>
      <c r="AD507" s="692" t="s">
        <v>576</v>
      </c>
      <c r="AE507" s="657" t="s">
        <v>576</v>
      </c>
      <c r="AF507" s="657" t="s">
        <v>576</v>
      </c>
      <c r="AG507" s="657" t="s">
        <v>576</v>
      </c>
      <c r="AH507" s="39"/>
      <c r="AI507" s="1311" t="s">
        <v>50</v>
      </c>
      <c r="AJ507" s="785"/>
      <c r="AK507" s="785"/>
      <c r="AL507" s="638" t="s">
        <v>576</v>
      </c>
      <c r="AM507" s="19" t="s">
        <v>576</v>
      </c>
      <c r="AN507" s="19" t="s">
        <v>576</v>
      </c>
      <c r="AO507" s="18" t="s">
        <v>576</v>
      </c>
      <c r="AP507" s="18" t="s">
        <v>576</v>
      </c>
      <c r="AQ507" s="18" t="s">
        <v>576</v>
      </c>
      <c r="AR507" s="657" t="s">
        <v>576</v>
      </c>
      <c r="AS507" s="657" t="s">
        <v>576</v>
      </c>
      <c r="AT507" s="657" t="s">
        <v>576</v>
      </c>
      <c r="AU507" s="37"/>
      <c r="AV507" s="1311" t="s">
        <v>51</v>
      </c>
      <c r="AW507" s="785"/>
      <c r="AX507" s="785"/>
      <c r="AY507" s="638" t="s">
        <v>576</v>
      </c>
      <c r="AZ507" s="19" t="s">
        <v>576</v>
      </c>
      <c r="BA507" s="19" t="s">
        <v>576</v>
      </c>
      <c r="BB507" s="657" t="s">
        <v>576</v>
      </c>
      <c r="BC507" s="657" t="s">
        <v>576</v>
      </c>
      <c r="BD507" s="657" t="s">
        <v>576</v>
      </c>
      <c r="BE507" s="657" t="s">
        <v>576</v>
      </c>
      <c r="BF507" s="657" t="s">
        <v>576</v>
      </c>
      <c r="BG507" s="657" t="s">
        <v>576</v>
      </c>
      <c r="DK507" s="1002" t="s">
        <v>576</v>
      </c>
      <c r="DL507" s="121" t="str">
        <f>CONCATENATE(G507," ",J507," Year EUL")</f>
        <v>Air Comp BUS Custom Year EUL</v>
      </c>
      <c r="DM507" s="999" t="s">
        <v>576</v>
      </c>
      <c r="DN507" s="2044" t="s">
        <v>576</v>
      </c>
    </row>
    <row r="508" spans="1:118" x14ac:dyDescent="0.25">
      <c r="A508" s="2006" t="s">
        <v>576</v>
      </c>
      <c r="B508" s="247">
        <f t="shared" ref="B508" si="133">VALUE(LEFT(C508,6))</f>
        <v>999999</v>
      </c>
      <c r="C508" s="2140" t="s">
        <v>577</v>
      </c>
      <c r="D508" s="1972" t="s">
        <v>578</v>
      </c>
      <c r="E508" s="458" t="s">
        <v>580</v>
      </c>
      <c r="F508" s="19" t="s">
        <v>576</v>
      </c>
      <c r="G508" s="1973" t="s">
        <v>581</v>
      </c>
      <c r="H508" s="2075">
        <f>VLOOKUP(G508,'CP FACTORS'!$A$26:$B$38,2,FALSE)</f>
        <v>4.4398300000000001E-4</v>
      </c>
      <c r="I508" s="507" t="s">
        <v>576</v>
      </c>
      <c r="J508" s="99" t="s">
        <v>576</v>
      </c>
      <c r="K508" s="99" t="s">
        <v>576</v>
      </c>
      <c r="L508" s="487" t="s">
        <v>576</v>
      </c>
      <c r="V508" s="1285" t="s">
        <v>46</v>
      </c>
      <c r="W508" s="785"/>
      <c r="X508" s="785"/>
      <c r="Y508" s="638" t="s">
        <v>576</v>
      </c>
      <c r="Z508" s="53" t="s">
        <v>576</v>
      </c>
      <c r="AA508" s="53" t="s">
        <v>576</v>
      </c>
      <c r="AB508" s="616" t="s">
        <v>576</v>
      </c>
      <c r="AC508" s="692" t="s">
        <v>576</v>
      </c>
      <c r="AD508" s="692" t="s">
        <v>576</v>
      </c>
      <c r="AE508" s="657" t="s">
        <v>576</v>
      </c>
      <c r="AF508" s="657" t="s">
        <v>576</v>
      </c>
      <c r="AG508" s="657" t="s">
        <v>576</v>
      </c>
      <c r="AH508" s="39"/>
      <c r="AI508" s="1311" t="s">
        <v>50</v>
      </c>
      <c r="AJ508" s="785"/>
      <c r="AK508" s="785"/>
      <c r="AL508" s="638" t="s">
        <v>576</v>
      </c>
      <c r="AM508" s="19" t="s">
        <v>576</v>
      </c>
      <c r="AN508" s="19" t="s">
        <v>576</v>
      </c>
      <c r="AO508" s="18" t="s">
        <v>576</v>
      </c>
      <c r="AP508" s="18" t="s">
        <v>576</v>
      </c>
      <c r="AQ508" s="18" t="s">
        <v>576</v>
      </c>
      <c r="AR508" s="657" t="s">
        <v>576</v>
      </c>
      <c r="AS508" s="657" t="s">
        <v>576</v>
      </c>
      <c r="AT508" s="657" t="s">
        <v>576</v>
      </c>
      <c r="AU508" s="37"/>
      <c r="AV508" s="1311" t="s">
        <v>51</v>
      </c>
      <c r="AW508" s="785"/>
      <c r="AX508" s="785"/>
      <c r="AY508" s="638" t="s">
        <v>576</v>
      </c>
      <c r="AZ508" s="19" t="s">
        <v>576</v>
      </c>
      <c r="BA508" s="19" t="s">
        <v>576</v>
      </c>
      <c r="BB508" s="657" t="s">
        <v>576</v>
      </c>
      <c r="BC508" s="657" t="s">
        <v>576</v>
      </c>
      <c r="BD508" s="657" t="s">
        <v>576</v>
      </c>
      <c r="BE508" s="657" t="s">
        <v>576</v>
      </c>
      <c r="BF508" s="657" t="s">
        <v>576</v>
      </c>
      <c r="BG508" s="657" t="s">
        <v>576</v>
      </c>
      <c r="DK508" s="1002" t="s">
        <v>576</v>
      </c>
      <c r="DL508" s="121" t="str">
        <f>CONCATENATE(G508," ",J508," Year EUL")</f>
        <v>Building Shell BUS Custom Year EUL</v>
      </c>
      <c r="DM508" s="999" t="s">
        <v>576</v>
      </c>
      <c r="DN508" s="2044" t="s">
        <v>576</v>
      </c>
    </row>
    <row r="509" spans="1:118" x14ac:dyDescent="0.25">
      <c r="A509" s="2006" t="s">
        <v>576</v>
      </c>
      <c r="B509" s="247">
        <f t="shared" ref="B509:B517" si="134">VALUE(LEFT(C509,6))</f>
        <v>999999</v>
      </c>
      <c r="C509" s="2140" t="s">
        <v>577</v>
      </c>
      <c r="D509" s="1972" t="s">
        <v>578</v>
      </c>
      <c r="E509" s="458" t="s">
        <v>582</v>
      </c>
      <c r="F509" s="19" t="s">
        <v>576</v>
      </c>
      <c r="G509" s="1973" t="s">
        <v>280</v>
      </c>
      <c r="H509" s="2075">
        <f>VLOOKUP(G509,'CP FACTORS'!$A$26:$B$38,2,FALSE)</f>
        <v>1.998949E-4</v>
      </c>
      <c r="I509" s="507" t="s">
        <v>576</v>
      </c>
      <c r="J509" s="99" t="s">
        <v>576</v>
      </c>
      <c r="K509" s="99" t="s">
        <v>576</v>
      </c>
      <c r="L509" s="487" t="s">
        <v>576</v>
      </c>
      <c r="V509" s="1285" t="s">
        <v>46</v>
      </c>
      <c r="W509" s="785"/>
      <c r="X509" s="785"/>
      <c r="Y509" s="638" t="s">
        <v>576</v>
      </c>
      <c r="Z509" s="53" t="s">
        <v>576</v>
      </c>
      <c r="AA509" s="53" t="s">
        <v>576</v>
      </c>
      <c r="AB509" s="616" t="s">
        <v>576</v>
      </c>
      <c r="AC509" s="692" t="s">
        <v>576</v>
      </c>
      <c r="AD509" s="692" t="s">
        <v>576</v>
      </c>
      <c r="AE509" s="657" t="s">
        <v>576</v>
      </c>
      <c r="AF509" s="657" t="s">
        <v>576</v>
      </c>
      <c r="AG509" s="657" t="s">
        <v>576</v>
      </c>
      <c r="AH509" s="39"/>
      <c r="AI509" s="1311" t="s">
        <v>50</v>
      </c>
      <c r="AJ509" s="785"/>
      <c r="AK509" s="785"/>
      <c r="AL509" s="638" t="s">
        <v>576</v>
      </c>
      <c r="AM509" s="19" t="s">
        <v>576</v>
      </c>
      <c r="AN509" s="19" t="s">
        <v>576</v>
      </c>
      <c r="AO509" s="18" t="s">
        <v>576</v>
      </c>
      <c r="AP509" s="18" t="s">
        <v>576</v>
      </c>
      <c r="AQ509" s="18" t="s">
        <v>576</v>
      </c>
      <c r="AR509" s="657" t="s">
        <v>576</v>
      </c>
      <c r="AS509" s="657" t="s">
        <v>576</v>
      </c>
      <c r="AT509" s="657" t="s">
        <v>576</v>
      </c>
      <c r="AU509" s="37"/>
      <c r="AV509" s="1311" t="s">
        <v>51</v>
      </c>
      <c r="AW509" s="785"/>
      <c r="AX509" s="785"/>
      <c r="AY509" s="638" t="s">
        <v>576</v>
      </c>
      <c r="AZ509" s="19" t="s">
        <v>576</v>
      </c>
      <c r="BA509" s="19" t="s">
        <v>576</v>
      </c>
      <c r="BB509" s="657" t="s">
        <v>576</v>
      </c>
      <c r="BC509" s="657" t="s">
        <v>576</v>
      </c>
      <c r="BD509" s="657" t="s">
        <v>576</v>
      </c>
      <c r="BE509" s="657" t="s">
        <v>576</v>
      </c>
      <c r="BF509" s="657" t="s">
        <v>576</v>
      </c>
      <c r="BG509" s="657" t="s">
        <v>576</v>
      </c>
      <c r="DK509" s="1002" t="s">
        <v>576</v>
      </c>
      <c r="DL509" s="121" t="str">
        <f t="shared" ref="DL509:DL517" si="135">CONCATENATE(G509," ",J509," Year EUL")</f>
        <v>Cooking BUS Custom Year EUL</v>
      </c>
      <c r="DM509" s="999" t="s">
        <v>576</v>
      </c>
      <c r="DN509" s="2044" t="s">
        <v>576</v>
      </c>
    </row>
    <row r="510" spans="1:118" x14ac:dyDescent="0.25">
      <c r="A510" s="2006" t="s">
        <v>576</v>
      </c>
      <c r="B510" s="247">
        <f t="shared" si="134"/>
        <v>999999</v>
      </c>
      <c r="C510" s="2140" t="s">
        <v>577</v>
      </c>
      <c r="D510" s="1972" t="s">
        <v>578</v>
      </c>
      <c r="E510" s="458" t="s">
        <v>583</v>
      </c>
      <c r="F510" s="19" t="s">
        <v>576</v>
      </c>
      <c r="G510" s="1973" t="s">
        <v>332</v>
      </c>
      <c r="H510" s="2075">
        <f>VLOOKUP(G510,'CP FACTORS'!$A$26:$B$38,2,FALSE)</f>
        <v>9.1068400000000004E-4</v>
      </c>
      <c r="I510" s="507" t="s">
        <v>576</v>
      </c>
      <c r="J510" s="99" t="s">
        <v>576</v>
      </c>
      <c r="K510" s="99" t="s">
        <v>576</v>
      </c>
      <c r="L510" s="487" t="s">
        <v>576</v>
      </c>
      <c r="V510" s="1285" t="s">
        <v>46</v>
      </c>
      <c r="W510" s="785"/>
      <c r="X510" s="785"/>
      <c r="Y510" s="638" t="s">
        <v>576</v>
      </c>
      <c r="Z510" s="53" t="s">
        <v>576</v>
      </c>
      <c r="AA510" s="53" t="s">
        <v>576</v>
      </c>
      <c r="AB510" s="616" t="s">
        <v>576</v>
      </c>
      <c r="AC510" s="692" t="s">
        <v>576</v>
      </c>
      <c r="AD510" s="692" t="s">
        <v>576</v>
      </c>
      <c r="AE510" s="657" t="s">
        <v>576</v>
      </c>
      <c r="AF510" s="657" t="s">
        <v>576</v>
      </c>
      <c r="AG510" s="657" t="s">
        <v>576</v>
      </c>
      <c r="AH510" s="39"/>
      <c r="AI510" s="1311" t="s">
        <v>50</v>
      </c>
      <c r="AJ510" s="785"/>
      <c r="AK510" s="785"/>
      <c r="AL510" s="638" t="s">
        <v>576</v>
      </c>
      <c r="AM510" s="19" t="s">
        <v>576</v>
      </c>
      <c r="AN510" s="19" t="s">
        <v>576</v>
      </c>
      <c r="AO510" s="18" t="s">
        <v>576</v>
      </c>
      <c r="AP510" s="18" t="s">
        <v>576</v>
      </c>
      <c r="AQ510" s="18" t="s">
        <v>576</v>
      </c>
      <c r="AR510" s="657" t="s">
        <v>576</v>
      </c>
      <c r="AS510" s="657" t="s">
        <v>576</v>
      </c>
      <c r="AT510" s="657" t="s">
        <v>576</v>
      </c>
      <c r="AU510" s="37"/>
      <c r="AV510" s="1311" t="s">
        <v>51</v>
      </c>
      <c r="AW510" s="785"/>
      <c r="AX510" s="785"/>
      <c r="AY510" s="638" t="s">
        <v>576</v>
      </c>
      <c r="AZ510" s="19" t="s">
        <v>576</v>
      </c>
      <c r="BA510" s="19" t="s">
        <v>576</v>
      </c>
      <c r="BB510" s="657" t="s">
        <v>576</v>
      </c>
      <c r="BC510" s="657" t="s">
        <v>576</v>
      </c>
      <c r="BD510" s="657" t="s">
        <v>576</v>
      </c>
      <c r="BE510" s="657" t="s">
        <v>576</v>
      </c>
      <c r="BF510" s="657" t="s">
        <v>576</v>
      </c>
      <c r="BG510" s="657" t="s">
        <v>576</v>
      </c>
      <c r="DK510" s="1002" t="s">
        <v>576</v>
      </c>
      <c r="DL510" s="121" t="str">
        <f t="shared" si="135"/>
        <v>Cooling BUS Custom Year EUL</v>
      </c>
      <c r="DM510" s="999" t="s">
        <v>576</v>
      </c>
      <c r="DN510" s="2044" t="s">
        <v>576</v>
      </c>
    </row>
    <row r="511" spans="1:118" x14ac:dyDescent="0.25">
      <c r="A511" s="2006" t="s">
        <v>576</v>
      </c>
      <c r="B511" s="247">
        <f t="shared" si="134"/>
        <v>999999</v>
      </c>
      <c r="C511" s="2140" t="s">
        <v>577</v>
      </c>
      <c r="D511" s="1972" t="s">
        <v>578</v>
      </c>
      <c r="E511" s="458" t="s">
        <v>584</v>
      </c>
      <c r="F511" s="19" t="s">
        <v>576</v>
      </c>
      <c r="G511" s="1973" t="s">
        <v>361</v>
      </c>
      <c r="H511" s="2075">
        <f>VLOOKUP(G511,'CP FACTORS'!$A$26:$B$38,2,FALSE)</f>
        <v>4.4398300000000001E-4</v>
      </c>
      <c r="I511" s="507" t="s">
        <v>576</v>
      </c>
      <c r="J511" s="99" t="s">
        <v>576</v>
      </c>
      <c r="K511" s="99" t="s">
        <v>576</v>
      </c>
      <c r="L511" s="487" t="s">
        <v>576</v>
      </c>
      <c r="V511" s="1285" t="s">
        <v>46</v>
      </c>
      <c r="W511" s="785"/>
      <c r="X511" s="785"/>
      <c r="Y511" s="638" t="s">
        <v>576</v>
      </c>
      <c r="Z511" s="53" t="s">
        <v>576</v>
      </c>
      <c r="AA511" s="53" t="s">
        <v>576</v>
      </c>
      <c r="AB511" s="616" t="s">
        <v>576</v>
      </c>
      <c r="AC511" s="692" t="s">
        <v>576</v>
      </c>
      <c r="AD511" s="692" t="s">
        <v>576</v>
      </c>
      <c r="AE511" s="657" t="s">
        <v>576</v>
      </c>
      <c r="AF511" s="657" t="s">
        <v>576</v>
      </c>
      <c r="AG511" s="657" t="s">
        <v>576</v>
      </c>
      <c r="AH511" s="39"/>
      <c r="AI511" s="1311" t="s">
        <v>50</v>
      </c>
      <c r="AJ511" s="785"/>
      <c r="AK511" s="785"/>
      <c r="AL511" s="638" t="s">
        <v>576</v>
      </c>
      <c r="AM511" s="19" t="s">
        <v>576</v>
      </c>
      <c r="AN511" s="19" t="s">
        <v>576</v>
      </c>
      <c r="AO511" s="18" t="s">
        <v>576</v>
      </c>
      <c r="AP511" s="18" t="s">
        <v>576</v>
      </c>
      <c r="AQ511" s="18" t="s">
        <v>576</v>
      </c>
      <c r="AR511" s="657" t="s">
        <v>576</v>
      </c>
      <c r="AS511" s="657" t="s">
        <v>576</v>
      </c>
      <c r="AT511" s="657" t="s">
        <v>576</v>
      </c>
      <c r="AU511" s="37"/>
      <c r="AV511" s="1311" t="s">
        <v>51</v>
      </c>
      <c r="AW511" s="785"/>
      <c r="AX511" s="785"/>
      <c r="AY511" s="638" t="s">
        <v>576</v>
      </c>
      <c r="AZ511" s="19" t="s">
        <v>576</v>
      </c>
      <c r="BA511" s="19" t="s">
        <v>576</v>
      </c>
      <c r="BB511" s="657" t="s">
        <v>576</v>
      </c>
      <c r="BC511" s="657" t="s">
        <v>576</v>
      </c>
      <c r="BD511" s="657" t="s">
        <v>576</v>
      </c>
      <c r="BE511" s="657" t="s">
        <v>576</v>
      </c>
      <c r="BF511" s="657" t="s">
        <v>576</v>
      </c>
      <c r="BG511" s="657" t="s">
        <v>576</v>
      </c>
      <c r="DK511" s="1002" t="s">
        <v>576</v>
      </c>
      <c r="DL511" s="121" t="str">
        <f t="shared" si="135"/>
        <v>HVAC BUS Custom Year EUL</v>
      </c>
      <c r="DM511" s="999" t="s">
        <v>576</v>
      </c>
      <c r="DN511" s="2044" t="s">
        <v>576</v>
      </c>
    </row>
    <row r="512" spans="1:118" x14ac:dyDescent="0.25">
      <c r="A512" s="2006" t="s">
        <v>576</v>
      </c>
      <c r="B512" s="247">
        <f t="shared" si="134"/>
        <v>999999</v>
      </c>
      <c r="C512" s="2140" t="s">
        <v>577</v>
      </c>
      <c r="D512" s="1972" t="s">
        <v>578</v>
      </c>
      <c r="E512" s="458" t="s">
        <v>585</v>
      </c>
      <c r="F512" s="19" t="s">
        <v>576</v>
      </c>
      <c r="G512" s="1972" t="s">
        <v>586</v>
      </c>
      <c r="H512" s="2075" t="s">
        <v>586</v>
      </c>
      <c r="I512" s="507" t="s">
        <v>576</v>
      </c>
      <c r="J512" s="99" t="s">
        <v>576</v>
      </c>
      <c r="K512" s="99" t="s">
        <v>576</v>
      </c>
      <c r="L512" s="487" t="s">
        <v>576</v>
      </c>
      <c r="V512" s="1285" t="s">
        <v>46</v>
      </c>
      <c r="W512" s="785"/>
      <c r="X512" s="785"/>
      <c r="Y512" s="638" t="s">
        <v>576</v>
      </c>
      <c r="Z512" s="53" t="s">
        <v>576</v>
      </c>
      <c r="AA512" s="53" t="s">
        <v>576</v>
      </c>
      <c r="AB512" s="616" t="s">
        <v>576</v>
      </c>
      <c r="AC512" s="692" t="s">
        <v>576</v>
      </c>
      <c r="AD512" s="692" t="s">
        <v>576</v>
      </c>
      <c r="AE512" s="657" t="s">
        <v>576</v>
      </c>
      <c r="AF512" s="657" t="s">
        <v>576</v>
      </c>
      <c r="AG512" s="657" t="s">
        <v>576</v>
      </c>
      <c r="AH512" s="39"/>
      <c r="AI512" s="1311" t="s">
        <v>50</v>
      </c>
      <c r="AJ512" s="785"/>
      <c r="AK512" s="785"/>
      <c r="AL512" s="638" t="s">
        <v>576</v>
      </c>
      <c r="AM512" s="19" t="s">
        <v>576</v>
      </c>
      <c r="AN512" s="19" t="s">
        <v>576</v>
      </c>
      <c r="AO512" s="18" t="s">
        <v>576</v>
      </c>
      <c r="AP512" s="18" t="s">
        <v>576</v>
      </c>
      <c r="AQ512" s="18" t="s">
        <v>576</v>
      </c>
      <c r="AR512" s="657" t="s">
        <v>576</v>
      </c>
      <c r="AS512" s="657" t="s">
        <v>576</v>
      </c>
      <c r="AT512" s="657" t="s">
        <v>576</v>
      </c>
      <c r="AU512" s="37"/>
      <c r="AV512" s="1311" t="s">
        <v>51</v>
      </c>
      <c r="AW512" s="785"/>
      <c r="AX512" s="785"/>
      <c r="AY512" s="638" t="s">
        <v>576</v>
      </c>
      <c r="AZ512" s="19" t="s">
        <v>576</v>
      </c>
      <c r="BA512" s="19" t="s">
        <v>576</v>
      </c>
      <c r="BB512" s="657" t="s">
        <v>576</v>
      </c>
      <c r="BC512" s="657" t="s">
        <v>576</v>
      </c>
      <c r="BD512" s="657" t="s">
        <v>576</v>
      </c>
      <c r="BE512" s="657" t="s">
        <v>576</v>
      </c>
      <c r="BF512" s="657" t="s">
        <v>576</v>
      </c>
      <c r="BG512" s="657" t="s">
        <v>576</v>
      </c>
      <c r="DK512" s="1002" t="s">
        <v>576</v>
      </c>
      <c r="DL512" s="121" t="str">
        <f t="shared" si="135"/>
        <v>Variable Custom Year EUL</v>
      </c>
      <c r="DM512" s="999" t="s">
        <v>576</v>
      </c>
      <c r="DN512" s="2044" t="s">
        <v>576</v>
      </c>
    </row>
    <row r="513" spans="1:118" x14ac:dyDescent="0.25">
      <c r="A513" s="2006" t="s">
        <v>576</v>
      </c>
      <c r="B513" s="247">
        <f t="shared" si="134"/>
        <v>999999</v>
      </c>
      <c r="C513" s="2140" t="s">
        <v>577</v>
      </c>
      <c r="D513" s="1972" t="s">
        <v>578</v>
      </c>
      <c r="E513" s="458" t="s">
        <v>587</v>
      </c>
      <c r="F513" s="19" t="s">
        <v>576</v>
      </c>
      <c r="G513" s="1973" t="s">
        <v>588</v>
      </c>
      <c r="H513" s="2075">
        <f>VLOOKUP(G513,'CP FACTORS'!$A$26:$B$38,2,FALSE)</f>
        <v>1.379439E-4</v>
      </c>
      <c r="I513" s="507" t="s">
        <v>576</v>
      </c>
      <c r="J513" s="99" t="s">
        <v>576</v>
      </c>
      <c r="K513" s="99" t="s">
        <v>576</v>
      </c>
      <c r="L513" s="487" t="s">
        <v>576</v>
      </c>
      <c r="V513" s="1285" t="s">
        <v>46</v>
      </c>
      <c r="W513" s="785"/>
      <c r="X513" s="785"/>
      <c r="Y513" s="638" t="s">
        <v>576</v>
      </c>
      <c r="Z513" s="53" t="s">
        <v>576</v>
      </c>
      <c r="AA513" s="53" t="s">
        <v>576</v>
      </c>
      <c r="AB513" s="616" t="s">
        <v>576</v>
      </c>
      <c r="AC513" s="692" t="s">
        <v>576</v>
      </c>
      <c r="AD513" s="692" t="s">
        <v>576</v>
      </c>
      <c r="AE513" s="657" t="s">
        <v>576</v>
      </c>
      <c r="AF513" s="657" t="s">
        <v>576</v>
      </c>
      <c r="AG513" s="657" t="s">
        <v>576</v>
      </c>
      <c r="AH513" s="39"/>
      <c r="AI513" s="1311" t="s">
        <v>50</v>
      </c>
      <c r="AJ513" s="785"/>
      <c r="AK513" s="785"/>
      <c r="AL513" s="638" t="s">
        <v>576</v>
      </c>
      <c r="AM513" s="19" t="s">
        <v>576</v>
      </c>
      <c r="AN513" s="19" t="s">
        <v>576</v>
      </c>
      <c r="AO513" s="18" t="s">
        <v>576</v>
      </c>
      <c r="AP513" s="18" t="s">
        <v>576</v>
      </c>
      <c r="AQ513" s="18" t="s">
        <v>576</v>
      </c>
      <c r="AR513" s="657" t="s">
        <v>576</v>
      </c>
      <c r="AS513" s="657" t="s">
        <v>576</v>
      </c>
      <c r="AT513" s="657" t="s">
        <v>576</v>
      </c>
      <c r="AU513" s="37"/>
      <c r="AV513" s="1311" t="s">
        <v>51</v>
      </c>
      <c r="AW513" s="785"/>
      <c r="AX513" s="785"/>
      <c r="AY513" s="638" t="s">
        <v>576</v>
      </c>
      <c r="AZ513" s="19" t="s">
        <v>576</v>
      </c>
      <c r="BA513" s="19" t="s">
        <v>576</v>
      </c>
      <c r="BB513" s="657" t="s">
        <v>576</v>
      </c>
      <c r="BC513" s="657" t="s">
        <v>576</v>
      </c>
      <c r="BD513" s="657" t="s">
        <v>576</v>
      </c>
      <c r="BE513" s="657" t="s">
        <v>576</v>
      </c>
      <c r="BF513" s="657" t="s">
        <v>576</v>
      </c>
      <c r="BG513" s="657" t="s">
        <v>576</v>
      </c>
      <c r="DK513" s="1002" t="s">
        <v>576</v>
      </c>
      <c r="DL513" s="121" t="str">
        <f t="shared" si="135"/>
        <v>Miscellaneous BUS Custom Year EUL</v>
      </c>
      <c r="DM513" s="999" t="s">
        <v>576</v>
      </c>
      <c r="DN513" s="2044" t="s">
        <v>576</v>
      </c>
    </row>
    <row r="514" spans="1:118" x14ac:dyDescent="0.25">
      <c r="A514" s="2006" t="s">
        <v>576</v>
      </c>
      <c r="B514" s="247">
        <f t="shared" si="134"/>
        <v>999999</v>
      </c>
      <c r="C514" s="2140" t="s">
        <v>577</v>
      </c>
      <c r="D514" s="1972" t="s">
        <v>578</v>
      </c>
      <c r="E514" s="458" t="s">
        <v>589</v>
      </c>
      <c r="F514" s="19" t="s">
        <v>576</v>
      </c>
      <c r="G514" s="1973" t="s">
        <v>264</v>
      </c>
      <c r="H514" s="2075">
        <f>VLOOKUP(G514,'CP FACTORS'!$A$26:$B$38,2,FALSE)</f>
        <v>1.379439E-4</v>
      </c>
      <c r="I514" s="507" t="s">
        <v>576</v>
      </c>
      <c r="J514" s="99" t="s">
        <v>576</v>
      </c>
      <c r="K514" s="99" t="s">
        <v>576</v>
      </c>
      <c r="L514" s="487" t="s">
        <v>576</v>
      </c>
      <c r="V514" s="1285" t="s">
        <v>46</v>
      </c>
      <c r="W514" s="785"/>
      <c r="X514" s="785"/>
      <c r="Y514" s="638" t="s">
        <v>576</v>
      </c>
      <c r="Z514" s="53" t="s">
        <v>576</v>
      </c>
      <c r="AA514" s="53" t="s">
        <v>576</v>
      </c>
      <c r="AB514" s="616" t="s">
        <v>576</v>
      </c>
      <c r="AC514" s="692" t="s">
        <v>576</v>
      </c>
      <c r="AD514" s="692" t="s">
        <v>576</v>
      </c>
      <c r="AE514" s="657" t="s">
        <v>576</v>
      </c>
      <c r="AF514" s="657" t="s">
        <v>576</v>
      </c>
      <c r="AG514" s="657" t="s">
        <v>576</v>
      </c>
      <c r="AH514" s="39"/>
      <c r="AI514" s="1311" t="s">
        <v>50</v>
      </c>
      <c r="AJ514" s="785"/>
      <c r="AK514" s="785"/>
      <c r="AL514" s="638" t="s">
        <v>576</v>
      </c>
      <c r="AM514" s="19" t="s">
        <v>576</v>
      </c>
      <c r="AN514" s="19" t="s">
        <v>576</v>
      </c>
      <c r="AO514" s="18" t="s">
        <v>576</v>
      </c>
      <c r="AP514" s="18" t="s">
        <v>576</v>
      </c>
      <c r="AQ514" s="18" t="s">
        <v>576</v>
      </c>
      <c r="AR514" s="657" t="s">
        <v>576</v>
      </c>
      <c r="AS514" s="657" t="s">
        <v>576</v>
      </c>
      <c r="AT514" s="657" t="s">
        <v>576</v>
      </c>
      <c r="AU514" s="37"/>
      <c r="AV514" s="1311" t="s">
        <v>51</v>
      </c>
      <c r="AW514" s="785"/>
      <c r="AX514" s="785"/>
      <c r="AY514" s="638" t="s">
        <v>576</v>
      </c>
      <c r="AZ514" s="19" t="s">
        <v>576</v>
      </c>
      <c r="BA514" s="19" t="s">
        <v>576</v>
      </c>
      <c r="BB514" s="657" t="s">
        <v>576</v>
      </c>
      <c r="BC514" s="657" t="s">
        <v>576</v>
      </c>
      <c r="BD514" s="657" t="s">
        <v>576</v>
      </c>
      <c r="BE514" s="657" t="s">
        <v>576</v>
      </c>
      <c r="BF514" s="657" t="s">
        <v>576</v>
      </c>
      <c r="BG514" s="657" t="s">
        <v>576</v>
      </c>
      <c r="DK514" s="1002" t="s">
        <v>576</v>
      </c>
      <c r="DL514" s="121" t="str">
        <f t="shared" si="135"/>
        <v>Motors BUS Custom Year EUL</v>
      </c>
      <c r="DM514" s="999" t="s">
        <v>576</v>
      </c>
      <c r="DN514" s="2044" t="s">
        <v>576</v>
      </c>
    </row>
    <row r="515" spans="1:118" x14ac:dyDescent="0.25">
      <c r="A515" s="2006" t="s">
        <v>576</v>
      </c>
      <c r="B515" s="247">
        <f t="shared" si="134"/>
        <v>999999</v>
      </c>
      <c r="C515" s="2140" t="s">
        <v>577</v>
      </c>
      <c r="D515" s="1972" t="s">
        <v>578</v>
      </c>
      <c r="E515" s="458" t="s">
        <v>590</v>
      </c>
      <c r="F515" s="19" t="s">
        <v>576</v>
      </c>
      <c r="G515" s="1973" t="s">
        <v>591</v>
      </c>
      <c r="H515" s="2075">
        <f>VLOOKUP(G515,'CP FACTORS'!$A$26:$B$38,2,FALSE)</f>
        <v>1.379439E-4</v>
      </c>
      <c r="I515" s="507" t="s">
        <v>576</v>
      </c>
      <c r="J515" s="99" t="s">
        <v>576</v>
      </c>
      <c r="K515" s="99" t="s">
        <v>576</v>
      </c>
      <c r="L515" s="487" t="s">
        <v>576</v>
      </c>
      <c r="V515" s="1285" t="s">
        <v>46</v>
      </c>
      <c r="W515" s="785"/>
      <c r="X515" s="785"/>
      <c r="Y515" s="638" t="s">
        <v>576</v>
      </c>
      <c r="Z515" s="53" t="s">
        <v>576</v>
      </c>
      <c r="AA515" s="53" t="s">
        <v>576</v>
      </c>
      <c r="AB515" s="616" t="s">
        <v>576</v>
      </c>
      <c r="AC515" s="692" t="s">
        <v>576</v>
      </c>
      <c r="AD515" s="692" t="s">
        <v>576</v>
      </c>
      <c r="AE515" s="657" t="s">
        <v>576</v>
      </c>
      <c r="AF515" s="657" t="s">
        <v>576</v>
      </c>
      <c r="AG515" s="657" t="s">
        <v>576</v>
      </c>
      <c r="AH515" s="39"/>
      <c r="AI515" s="1311" t="s">
        <v>50</v>
      </c>
      <c r="AJ515" s="785"/>
      <c r="AK515" s="785"/>
      <c r="AL515" s="638" t="s">
        <v>576</v>
      </c>
      <c r="AM515" s="19" t="s">
        <v>576</v>
      </c>
      <c r="AN515" s="19" t="s">
        <v>576</v>
      </c>
      <c r="AO515" s="18" t="s">
        <v>576</v>
      </c>
      <c r="AP515" s="18" t="s">
        <v>576</v>
      </c>
      <c r="AQ515" s="18" t="s">
        <v>576</v>
      </c>
      <c r="AR515" s="657" t="s">
        <v>576</v>
      </c>
      <c r="AS515" s="657" t="s">
        <v>576</v>
      </c>
      <c r="AT515" s="657" t="s">
        <v>576</v>
      </c>
      <c r="AU515" s="37"/>
      <c r="AV515" s="1311" t="s">
        <v>51</v>
      </c>
      <c r="AW515" s="785"/>
      <c r="AX515" s="785"/>
      <c r="AY515" s="638" t="s">
        <v>576</v>
      </c>
      <c r="AZ515" s="19" t="s">
        <v>576</v>
      </c>
      <c r="BA515" s="19" t="s">
        <v>576</v>
      </c>
      <c r="BB515" s="657" t="s">
        <v>576</v>
      </c>
      <c r="BC515" s="657" t="s">
        <v>576</v>
      </c>
      <c r="BD515" s="657" t="s">
        <v>576</v>
      </c>
      <c r="BE515" s="657" t="s">
        <v>576</v>
      </c>
      <c r="BF515" s="657" t="s">
        <v>576</v>
      </c>
      <c r="BG515" s="657" t="s">
        <v>576</v>
      </c>
      <c r="DK515" s="1002" t="s">
        <v>576</v>
      </c>
      <c r="DL515" s="121" t="str">
        <f t="shared" si="135"/>
        <v>Process BUS Custom Year EUL</v>
      </c>
      <c r="DM515" s="999" t="s">
        <v>576</v>
      </c>
      <c r="DN515" s="2044" t="s">
        <v>576</v>
      </c>
    </row>
    <row r="516" spans="1:118" x14ac:dyDescent="0.25">
      <c r="A516" s="2006" t="s">
        <v>576</v>
      </c>
      <c r="B516" s="247">
        <f t="shared" si="134"/>
        <v>999999</v>
      </c>
      <c r="C516" s="2140" t="s">
        <v>577</v>
      </c>
      <c r="D516" s="1972" t="s">
        <v>578</v>
      </c>
      <c r="E516" s="458" t="s">
        <v>592</v>
      </c>
      <c r="F516" s="19" t="s">
        <v>576</v>
      </c>
      <c r="G516" s="1973" t="s">
        <v>149</v>
      </c>
      <c r="H516" s="2075">
        <f>VLOOKUP(G516,'CP FACTORS'!$A$26:$B$38,2,FALSE)</f>
        <v>1.3573829999999999E-4</v>
      </c>
      <c r="I516" s="507" t="s">
        <v>576</v>
      </c>
      <c r="J516" s="99" t="s">
        <v>576</v>
      </c>
      <c r="K516" s="99" t="s">
        <v>576</v>
      </c>
      <c r="L516" s="487" t="s">
        <v>576</v>
      </c>
      <c r="V516" s="1285" t="s">
        <v>46</v>
      </c>
      <c r="W516" s="785"/>
      <c r="X516" s="785"/>
      <c r="Y516" s="638" t="s">
        <v>576</v>
      </c>
      <c r="Z516" s="53" t="s">
        <v>576</v>
      </c>
      <c r="AA516" s="53" t="s">
        <v>576</v>
      </c>
      <c r="AB516" s="616" t="s">
        <v>576</v>
      </c>
      <c r="AC516" s="692" t="s">
        <v>576</v>
      </c>
      <c r="AD516" s="692" t="s">
        <v>576</v>
      </c>
      <c r="AE516" s="657" t="s">
        <v>576</v>
      </c>
      <c r="AF516" s="657" t="s">
        <v>576</v>
      </c>
      <c r="AG516" s="657" t="s">
        <v>576</v>
      </c>
      <c r="AH516" s="39"/>
      <c r="AI516" s="1311" t="s">
        <v>50</v>
      </c>
      <c r="AJ516" s="785"/>
      <c r="AK516" s="785"/>
      <c r="AL516" s="638" t="s">
        <v>576</v>
      </c>
      <c r="AM516" s="19" t="s">
        <v>576</v>
      </c>
      <c r="AN516" s="19" t="s">
        <v>576</v>
      </c>
      <c r="AO516" s="18" t="s">
        <v>576</v>
      </c>
      <c r="AP516" s="18" t="s">
        <v>576</v>
      </c>
      <c r="AQ516" s="18" t="s">
        <v>576</v>
      </c>
      <c r="AR516" s="657" t="s">
        <v>576</v>
      </c>
      <c r="AS516" s="657" t="s">
        <v>576</v>
      </c>
      <c r="AT516" s="657" t="s">
        <v>576</v>
      </c>
      <c r="AU516" s="37"/>
      <c r="AV516" s="1311" t="s">
        <v>51</v>
      </c>
      <c r="AW516" s="785"/>
      <c r="AX516" s="785"/>
      <c r="AY516" s="638" t="s">
        <v>576</v>
      </c>
      <c r="AZ516" s="19" t="s">
        <v>576</v>
      </c>
      <c r="BA516" s="19" t="s">
        <v>576</v>
      </c>
      <c r="BB516" s="657" t="s">
        <v>576</v>
      </c>
      <c r="BC516" s="657" t="s">
        <v>576</v>
      </c>
      <c r="BD516" s="657" t="s">
        <v>576</v>
      </c>
      <c r="BE516" s="657" t="s">
        <v>576</v>
      </c>
      <c r="BF516" s="657" t="s">
        <v>576</v>
      </c>
      <c r="BG516" s="657" t="s">
        <v>576</v>
      </c>
      <c r="DK516" s="1002" t="s">
        <v>576</v>
      </c>
      <c r="DL516" s="121" t="str">
        <f t="shared" si="135"/>
        <v>Refrigeration BUS Custom Year EUL</v>
      </c>
      <c r="DM516" s="999" t="s">
        <v>576</v>
      </c>
      <c r="DN516" s="2044" t="s">
        <v>576</v>
      </c>
    </row>
    <row r="517" spans="1:118" x14ac:dyDescent="0.25">
      <c r="A517" s="2006" t="s">
        <v>576</v>
      </c>
      <c r="B517" s="247">
        <f t="shared" si="134"/>
        <v>999999</v>
      </c>
      <c r="C517" s="2140" t="s">
        <v>577</v>
      </c>
      <c r="D517" s="1972" t="s">
        <v>578</v>
      </c>
      <c r="E517" s="458" t="s">
        <v>593</v>
      </c>
      <c r="F517" s="19" t="s">
        <v>576</v>
      </c>
      <c r="G517" s="1973" t="s">
        <v>224</v>
      </c>
      <c r="H517" s="2075">
        <f>VLOOKUP(G517,'CP FACTORS'!$A$26:$B$38,2,FALSE)</f>
        <v>1.811545E-4</v>
      </c>
      <c r="I517" s="507" t="s">
        <v>576</v>
      </c>
      <c r="J517" s="99" t="s">
        <v>576</v>
      </c>
      <c r="K517" s="99" t="s">
        <v>576</v>
      </c>
      <c r="L517" s="487" t="s">
        <v>576</v>
      </c>
      <c r="V517" s="1285" t="s">
        <v>46</v>
      </c>
      <c r="W517" s="785"/>
      <c r="X517" s="785"/>
      <c r="Y517" s="638" t="s">
        <v>576</v>
      </c>
      <c r="Z517" s="53" t="s">
        <v>576</v>
      </c>
      <c r="AA517" s="53" t="s">
        <v>576</v>
      </c>
      <c r="AB517" s="616" t="s">
        <v>576</v>
      </c>
      <c r="AC517" s="692" t="s">
        <v>576</v>
      </c>
      <c r="AD517" s="692" t="s">
        <v>576</v>
      </c>
      <c r="AE517" s="657" t="s">
        <v>576</v>
      </c>
      <c r="AF517" s="657" t="s">
        <v>576</v>
      </c>
      <c r="AG517" s="657" t="s">
        <v>576</v>
      </c>
      <c r="AH517" s="39"/>
      <c r="AI517" s="1311" t="s">
        <v>50</v>
      </c>
      <c r="AJ517" s="785"/>
      <c r="AK517" s="785"/>
      <c r="AL517" s="638" t="s">
        <v>576</v>
      </c>
      <c r="AM517" s="19" t="s">
        <v>576</v>
      </c>
      <c r="AN517" s="19" t="s">
        <v>576</v>
      </c>
      <c r="AO517" s="18" t="s">
        <v>576</v>
      </c>
      <c r="AP517" s="18" t="s">
        <v>576</v>
      </c>
      <c r="AQ517" s="18" t="s">
        <v>576</v>
      </c>
      <c r="AR517" s="657" t="s">
        <v>576</v>
      </c>
      <c r="AS517" s="657" t="s">
        <v>576</v>
      </c>
      <c r="AT517" s="657" t="s">
        <v>576</v>
      </c>
      <c r="AU517" s="37"/>
      <c r="AV517" s="1311" t="s">
        <v>51</v>
      </c>
      <c r="AW517" s="785"/>
      <c r="AX517" s="785"/>
      <c r="AY517" s="638" t="s">
        <v>576</v>
      </c>
      <c r="AZ517" s="19" t="s">
        <v>576</v>
      </c>
      <c r="BA517" s="19" t="s">
        <v>576</v>
      </c>
      <c r="BB517" s="657" t="s">
        <v>576</v>
      </c>
      <c r="BC517" s="657" t="s">
        <v>576</v>
      </c>
      <c r="BD517" s="657" t="s">
        <v>576</v>
      </c>
      <c r="BE517" s="657" t="s">
        <v>576</v>
      </c>
      <c r="BF517" s="657" t="s">
        <v>576</v>
      </c>
      <c r="BG517" s="657" t="s">
        <v>576</v>
      </c>
      <c r="DK517" s="1002" t="s">
        <v>576</v>
      </c>
      <c r="DL517" s="121" t="str">
        <f t="shared" si="135"/>
        <v>Water Heating BUS Custom Year EUL</v>
      </c>
      <c r="DM517" s="999" t="s">
        <v>576</v>
      </c>
      <c r="DN517" s="2044" t="s">
        <v>576</v>
      </c>
    </row>
    <row r="518" spans="1:118" outlineLevel="1" x14ac:dyDescent="0.25">
      <c r="D518" s="7" t="s">
        <v>95</v>
      </c>
      <c r="E518" s="7" t="s">
        <v>594</v>
      </c>
    </row>
    <row r="519" spans="1:118" outlineLevel="1" x14ac:dyDescent="0.25"/>
  </sheetData>
  <autoFilter ref="A1:A4724" xr:uid="{00000000-0001-0000-0B00-000000000000}"/>
  <mergeCells count="27">
    <mergeCell ref="DM311:DN311"/>
    <mergeCell ref="DO311:DP311"/>
    <mergeCell ref="B57:O57"/>
    <mergeCell ref="B117:O117"/>
    <mergeCell ref="B79:O79"/>
    <mergeCell ref="B136:O136"/>
    <mergeCell ref="B203:O203"/>
    <mergeCell ref="B223:O223"/>
    <mergeCell ref="E3:G3"/>
    <mergeCell ref="H3:J3"/>
    <mergeCell ref="D4:J4"/>
    <mergeCell ref="B6:O6"/>
    <mergeCell ref="A1:Q1"/>
    <mergeCell ref="M342:O345"/>
    <mergeCell ref="B360:O360"/>
    <mergeCell ref="O43:S46"/>
    <mergeCell ref="B164:O164"/>
    <mergeCell ref="B180:O180"/>
    <mergeCell ref="I102:J102"/>
    <mergeCell ref="M102:N102"/>
    <mergeCell ref="B504:O504"/>
    <mergeCell ref="P475:Q477"/>
    <mergeCell ref="B484:O484"/>
    <mergeCell ref="B468:O468"/>
    <mergeCell ref="B432:O432"/>
    <mergeCell ref="P439:Q441"/>
    <mergeCell ref="B448:O448"/>
  </mergeCells>
  <phoneticPr fontId="66" type="noConversion"/>
  <conditionalFormatting sqref="D25:E25 E144:E145 D146">
    <cfRule type="cellIs" dxfId="281" priority="253" operator="equal">
      <formula>"x"</formula>
    </cfRule>
  </conditionalFormatting>
  <conditionalFormatting sqref="D63:E63">
    <cfRule type="cellIs" dxfId="280" priority="251" operator="equal">
      <formula>"x"</formula>
    </cfRule>
  </conditionalFormatting>
  <conditionalFormatting sqref="D94:E94">
    <cfRule type="cellIs" dxfId="279" priority="249" operator="equal">
      <formula>"x"</formula>
    </cfRule>
  </conditionalFormatting>
  <conditionalFormatting sqref="D122:E122">
    <cfRule type="cellIs" dxfId="278" priority="248" operator="equal">
      <formula>"x"</formula>
    </cfRule>
  </conditionalFormatting>
  <conditionalFormatting sqref="D168:E168">
    <cfRule type="cellIs" dxfId="277" priority="245" operator="equal">
      <formula>"x"</formula>
    </cfRule>
  </conditionalFormatting>
  <conditionalFormatting sqref="D187:E187">
    <cfRule type="cellIs" dxfId="276" priority="243" operator="equal">
      <formula>"x"</formula>
    </cfRule>
  </conditionalFormatting>
  <conditionalFormatting sqref="D209:E209">
    <cfRule type="cellIs" dxfId="275" priority="242" operator="equal">
      <formula>"x"</formula>
    </cfRule>
  </conditionalFormatting>
  <conditionalFormatting sqref="D228:E228">
    <cfRule type="cellIs" dxfId="274" priority="241" operator="equal">
      <formula>"x"</formula>
    </cfRule>
  </conditionalFormatting>
  <conditionalFormatting sqref="D245:E245">
    <cfRule type="cellIs" dxfId="273" priority="240" operator="equal">
      <formula>"x"</formula>
    </cfRule>
  </conditionalFormatting>
  <conditionalFormatting sqref="D262:E262">
    <cfRule type="cellIs" dxfId="272" priority="239" operator="equal">
      <formula>"x"</formula>
    </cfRule>
  </conditionalFormatting>
  <conditionalFormatting sqref="D296:E296">
    <cfRule type="cellIs" dxfId="271" priority="238" operator="equal">
      <formula>"x"</formula>
    </cfRule>
  </conditionalFormatting>
  <conditionalFormatting sqref="D321:E321">
    <cfRule type="cellIs" dxfId="270" priority="237" operator="equal">
      <formula>"x"</formula>
    </cfRule>
  </conditionalFormatting>
  <conditionalFormatting sqref="D344:E344">
    <cfRule type="cellIs" dxfId="269" priority="236" operator="equal">
      <formula>"x"</formula>
    </cfRule>
  </conditionalFormatting>
  <conditionalFormatting sqref="D370:E370">
    <cfRule type="cellIs" dxfId="268" priority="232" operator="equal">
      <formula>"x"</formula>
    </cfRule>
  </conditionalFormatting>
  <conditionalFormatting sqref="D396:E396">
    <cfRule type="cellIs" dxfId="267" priority="231" operator="equal">
      <formula>"x"</formula>
    </cfRule>
  </conditionalFormatting>
  <conditionalFormatting sqref="D418:E418">
    <cfRule type="cellIs" dxfId="266" priority="230" operator="equal">
      <formula>"x"</formula>
    </cfRule>
  </conditionalFormatting>
  <conditionalFormatting sqref="D436:E436">
    <cfRule type="cellIs" dxfId="265" priority="224" operator="equal">
      <formula>"x"</formula>
    </cfRule>
  </conditionalFormatting>
  <conditionalFormatting sqref="D454:E454">
    <cfRule type="cellIs" dxfId="264" priority="219" operator="equal">
      <formula>"x"</formula>
    </cfRule>
  </conditionalFormatting>
  <conditionalFormatting sqref="D472:E472">
    <cfRule type="cellIs" dxfId="263" priority="218" operator="equal">
      <formula>"x"</formula>
    </cfRule>
  </conditionalFormatting>
  <conditionalFormatting sqref="AB9:AB24">
    <cfRule type="cellIs" dxfId="262" priority="42" operator="notEqual">
      <formula>AA9</formula>
    </cfRule>
  </conditionalFormatting>
  <conditionalFormatting sqref="AB313:AB320">
    <cfRule type="cellIs" dxfId="261" priority="85" operator="notEqual">
      <formula>AA313</formula>
    </cfRule>
  </conditionalFormatting>
  <conditionalFormatting sqref="AB332:AB338">
    <cfRule type="cellIs" dxfId="260" priority="145" operator="notEqual">
      <formula>AA332</formula>
    </cfRule>
  </conditionalFormatting>
  <conditionalFormatting sqref="AB342">
    <cfRule type="cellIs" dxfId="259" priority="193" operator="notEqual">
      <formula>AA342</formula>
    </cfRule>
  </conditionalFormatting>
  <conditionalFormatting sqref="AB39:AC54">
    <cfRule type="cellIs" dxfId="258" priority="20" operator="notEqual">
      <formula>AA39</formula>
    </cfRule>
  </conditionalFormatting>
  <conditionalFormatting sqref="AB60:AC61 AB74:AD75 AB82:AE92 AB105:AF114 AC183:AE186 AC435:AG435">
    <cfRule type="cellIs" dxfId="257" priority="415" operator="notEqual">
      <formula>AA60</formula>
    </cfRule>
  </conditionalFormatting>
  <conditionalFormatting sqref="AB291:AD295">
    <cfRule type="cellIs" dxfId="256" priority="189" operator="notEqual">
      <formula>AA291</formula>
    </cfRule>
  </conditionalFormatting>
  <conditionalFormatting sqref="AB305:AD309">
    <cfRule type="cellIs" dxfId="255" priority="150" operator="notEqual">
      <formula>AA305</formula>
    </cfRule>
  </conditionalFormatting>
  <conditionalFormatting sqref="AC342:AD343">
    <cfRule type="cellIs" dxfId="254" priority="187" operator="notEqual">
      <formula>AB342</formula>
    </cfRule>
  </conditionalFormatting>
  <conditionalFormatting sqref="AC415:AD415">
    <cfRule type="cellIs" dxfId="253" priority="190" operator="notEqual">
      <formula>AB415</formula>
    </cfRule>
  </conditionalFormatting>
  <conditionalFormatting sqref="AC507:AD517">
    <cfRule type="cellIs" dxfId="252" priority="15" operator="notEqual">
      <formula>AB507</formula>
    </cfRule>
  </conditionalFormatting>
  <conditionalFormatting sqref="AC139:AE145">
    <cfRule type="cellIs" dxfId="251" priority="211" operator="notEqual">
      <formula>AB139</formula>
    </cfRule>
  </conditionalFormatting>
  <conditionalFormatting sqref="AC167:AE167">
    <cfRule type="cellIs" dxfId="250" priority="209" operator="notEqual">
      <formula>AB167</formula>
    </cfRule>
  </conditionalFormatting>
  <conditionalFormatting sqref="AC241:AE244">
    <cfRule type="cellIs" dxfId="249" priority="180" operator="notEqual">
      <formula>AB241</formula>
    </cfRule>
  </conditionalFormatting>
  <conditionalFormatting sqref="AC120:AF121">
    <cfRule type="cellIs" dxfId="248" priority="1" operator="notEqual">
      <formula>AB120</formula>
    </cfRule>
  </conditionalFormatting>
  <conditionalFormatting sqref="AC206:AF208">
    <cfRule type="cellIs" dxfId="247" priority="185" operator="notEqual">
      <formula>AB206</formula>
    </cfRule>
  </conditionalFormatting>
  <conditionalFormatting sqref="AC218:AF220">
    <cfRule type="cellIs" dxfId="246" priority="153" operator="notEqual">
      <formula>AB218</formula>
    </cfRule>
  </conditionalFormatting>
  <conditionalFormatting sqref="AC254:AG257">
    <cfRule type="cellIs" dxfId="245" priority="152" operator="notEqual">
      <formula>AB254</formula>
    </cfRule>
  </conditionalFormatting>
  <conditionalFormatting sqref="AC261:AG261">
    <cfRule type="cellIs" dxfId="244" priority="191" operator="notEqual">
      <formula>AB261</formula>
    </cfRule>
  </conditionalFormatting>
  <conditionalFormatting sqref="AC363:AG369">
    <cfRule type="cellIs" dxfId="243" priority="182" operator="notEqual">
      <formula>AB363</formula>
    </cfRule>
  </conditionalFormatting>
  <conditionalFormatting sqref="AC389:AG395">
    <cfRule type="cellIs" dxfId="242" priority="181" operator="notEqual">
      <formula>AB389</formula>
    </cfRule>
  </conditionalFormatting>
  <conditionalFormatting sqref="AC405:AG411">
    <cfRule type="cellIs" dxfId="241" priority="137" operator="notEqual">
      <formula>AB405</formula>
    </cfRule>
  </conditionalFormatting>
  <conditionalFormatting sqref="AC451:AG453">
    <cfRule type="cellIs" dxfId="240" priority="203" operator="notEqual">
      <formula>AB451</formula>
    </cfRule>
  </conditionalFormatting>
  <conditionalFormatting sqref="AC471:AG471">
    <cfRule type="cellIs" dxfId="239" priority="204" operator="notEqual">
      <formula>AB471</formula>
    </cfRule>
  </conditionalFormatting>
  <conditionalFormatting sqref="AC487:AG491">
    <cfRule type="cellIs" dxfId="238" priority="161" operator="notEqual">
      <formula>AB487</formula>
    </cfRule>
  </conditionalFormatting>
  <conditionalFormatting sqref="AF60:AF61 AF183:AF186 AF197:AG200">
    <cfRule type="expression" dxfId="237" priority="133">
      <formula>AND(AF60=AE60,AE60&lt;&gt;"")</formula>
    </cfRule>
    <cfRule type="expression" dxfId="236" priority="134">
      <formula>AF60&lt;&gt;AE60</formula>
    </cfRule>
  </conditionalFormatting>
  <conditionalFormatting sqref="AF155:AF159 AG155:AG161 AC160:AF161">
    <cfRule type="cellIs" dxfId="235" priority="154" operator="notEqual">
      <formula>AB155</formula>
    </cfRule>
  </conditionalFormatting>
  <conditionalFormatting sqref="AF167">
    <cfRule type="expression" dxfId="234" priority="115">
      <formula>AND(AF167=AE167,AE167&lt;&gt;"")</formula>
    </cfRule>
    <cfRule type="expression" dxfId="233" priority="116">
      <formula>AF167&lt;&gt;AE167</formula>
    </cfRule>
  </conditionalFormatting>
  <conditionalFormatting sqref="AF226:AF227">
    <cfRule type="expression" dxfId="232" priority="107">
      <formula>AND(AF226=AE226,AE226&lt;&gt;"")</formula>
    </cfRule>
    <cfRule type="expression" dxfId="231" priority="108">
      <formula>AF226&lt;&gt;AE226</formula>
    </cfRule>
  </conditionalFormatting>
  <conditionalFormatting sqref="AF237">
    <cfRule type="cellIs" dxfId="230" priority="158" operator="notEqual">
      <formula>AE237</formula>
    </cfRule>
  </conditionalFormatting>
  <conditionalFormatting sqref="AF241:AF244">
    <cfRule type="expression" dxfId="229" priority="105">
      <formula>AND(AF241=AE241,AE241&lt;&gt;"")</formula>
    </cfRule>
    <cfRule type="expression" dxfId="228" priority="106">
      <formula>AF241&lt;&gt;AE241</formula>
    </cfRule>
  </conditionalFormatting>
  <conditionalFormatting sqref="AF291:AF295">
    <cfRule type="expression" dxfId="227" priority="104">
      <formula>AF291&lt;&gt;AE291</formula>
    </cfRule>
    <cfRule type="expression" dxfId="226" priority="103">
      <formula>AND(AF291=AE291,AE291&lt;&gt;"")</formula>
    </cfRule>
  </conditionalFormatting>
  <conditionalFormatting sqref="AF9:AG24">
    <cfRule type="expression" dxfId="225" priority="4">
      <formula>AND(AF9=AE9,AE9&lt;&gt;"")</formula>
    </cfRule>
    <cfRule type="expression" dxfId="224" priority="5">
      <formula>AF9&lt;&gt;AE9</formula>
    </cfRule>
  </conditionalFormatting>
  <conditionalFormatting sqref="AF82:AG92">
    <cfRule type="expression" dxfId="223" priority="2">
      <formula>AND(AF82=AD82,AD82&lt;&gt;"")</formula>
    </cfRule>
    <cfRule type="expression" dxfId="222" priority="3">
      <formula>AF82&lt;&gt;AD82</formula>
    </cfRule>
  </conditionalFormatting>
  <conditionalFormatting sqref="AF139:AG145">
    <cfRule type="expression" dxfId="221" priority="121">
      <formula>AND(AF139=AE139,AE139&lt;&gt;"")</formula>
    </cfRule>
    <cfRule type="expression" dxfId="220" priority="122">
      <formula>AF139&lt;&gt;AE139</formula>
    </cfRule>
  </conditionalFormatting>
  <conditionalFormatting sqref="AF313:AG320">
    <cfRule type="expression" dxfId="219" priority="84">
      <formula>AF313&lt;&gt;AE313</formula>
    </cfRule>
    <cfRule type="expression" dxfId="218" priority="83">
      <formula>AND(AF313=AE313,AE313&lt;&gt;"")</formula>
    </cfRule>
  </conditionalFormatting>
  <conditionalFormatting sqref="AG120:AG121">
    <cfRule type="expression" dxfId="217" priority="123">
      <formula>AND(AG120=AE120,AE120&lt;&gt;"")</formula>
    </cfRule>
    <cfRule type="expression" dxfId="216" priority="124">
      <formula>AG120&lt;&gt;AE120</formula>
    </cfRule>
  </conditionalFormatting>
  <conditionalFormatting sqref="AG342:AG343">
    <cfRule type="expression" dxfId="215" priority="100">
      <formula>AG342&lt;&gt;AF342</formula>
    </cfRule>
    <cfRule type="expression" dxfId="214" priority="99">
      <formula>AND(AG342=AF342,AF342&lt;&gt;"")</formula>
    </cfRule>
  </conditionalFormatting>
  <conditionalFormatting sqref="AG415:AG417">
    <cfRule type="cellIs" dxfId="213" priority="174" operator="notEqual">
      <formula>AF415</formula>
    </cfRule>
  </conditionalFormatting>
  <conditionalFormatting sqref="AO9:AO24">
    <cfRule type="cellIs" dxfId="212" priority="41" operator="notEqual">
      <formula>AN9</formula>
    </cfRule>
  </conditionalFormatting>
  <conditionalFormatting sqref="AO39:AP54">
    <cfRule type="cellIs" dxfId="211" priority="19" operator="notEqual">
      <formula>AN39</formula>
    </cfRule>
  </conditionalFormatting>
  <conditionalFormatting sqref="AO313:AQ320">
    <cfRule type="cellIs" dxfId="210" priority="81" operator="notEqual">
      <formula>AN313</formula>
    </cfRule>
  </conditionalFormatting>
  <conditionalFormatting sqref="AO331:AQ338">
    <cfRule type="cellIs" dxfId="209" priority="82" operator="notEqual">
      <formula>AN331</formula>
    </cfRule>
  </conditionalFormatting>
  <conditionalFormatting sqref="AO305:AS309">
    <cfRule type="cellIs" dxfId="208" priority="148" operator="notEqual">
      <formula>AN305</formula>
    </cfRule>
  </conditionalFormatting>
  <conditionalFormatting sqref="AO291:AT295">
    <cfRule type="cellIs" dxfId="207" priority="175" operator="notEqual">
      <formula>AN291</formula>
    </cfRule>
  </conditionalFormatting>
  <conditionalFormatting sqref="AP74:AR75">
    <cfRule type="cellIs" dxfId="206" priority="277" operator="notEqual">
      <formula>AO74</formula>
    </cfRule>
  </conditionalFormatting>
  <conditionalFormatting sqref="AP254:AT257">
    <cfRule type="cellIs" dxfId="205" priority="151" operator="notEqual">
      <formula>AO254</formula>
    </cfRule>
  </conditionalFormatting>
  <conditionalFormatting sqref="AR241:AT244 AR261:AT261">
    <cfRule type="cellIs" dxfId="204" priority="179" operator="notEqual">
      <formula>AQ241</formula>
    </cfRule>
  </conditionalFormatting>
  <conditionalFormatting sqref="AS197:AT200">
    <cfRule type="cellIs" dxfId="203" priority="164" operator="notEqual">
      <formula>AR197</formula>
    </cfRule>
  </conditionalFormatting>
  <conditionalFormatting sqref="AS237:AT237">
    <cfRule type="cellIs" dxfId="202" priority="157" operator="notEqual">
      <formula>AR237</formula>
    </cfRule>
  </conditionalFormatting>
  <conditionalFormatting sqref="BB313:BB320">
    <cfRule type="cellIs" dxfId="201" priority="72" operator="notEqual">
      <formula>BA313</formula>
    </cfRule>
  </conditionalFormatting>
  <conditionalFormatting sqref="BB331:BB338">
    <cfRule type="cellIs" dxfId="200" priority="78" operator="notEqual">
      <formula>BA331</formula>
    </cfRule>
  </conditionalFormatting>
  <conditionalFormatting sqref="BB39:BC54">
    <cfRule type="cellIs" dxfId="199" priority="21" operator="notEqual">
      <formula>BA39</formula>
    </cfRule>
  </conditionalFormatting>
  <conditionalFormatting sqref="BB9:BD24">
    <cfRule type="cellIs" dxfId="198" priority="40" operator="notEqual">
      <formula>BA9</formula>
    </cfRule>
  </conditionalFormatting>
  <conditionalFormatting sqref="BB291:BG295">
    <cfRule type="cellIs" dxfId="197" priority="13" operator="notEqual">
      <formula>BA291</formula>
    </cfRule>
  </conditionalFormatting>
  <conditionalFormatting sqref="BB305:BG309">
    <cfRule type="cellIs" dxfId="196" priority="8" operator="notEqual">
      <formula>BA305</formula>
    </cfRule>
  </conditionalFormatting>
  <conditionalFormatting sqref="BC197:BG200">
    <cfRule type="cellIs" dxfId="195" priority="12" operator="notEqual">
      <formula>BB197</formula>
    </cfRule>
  </conditionalFormatting>
  <conditionalFormatting sqref="BF237:BG237">
    <cfRule type="cellIs" dxfId="194" priority="11" operator="notEqual">
      <formula>BE237</formula>
    </cfRule>
  </conditionalFormatting>
  <conditionalFormatting sqref="BO39:BP54">
    <cfRule type="cellIs" dxfId="193" priority="22" operator="notEqual">
      <formula>BN39</formula>
    </cfRule>
  </conditionalFormatting>
  <conditionalFormatting sqref="BO305:BT309">
    <cfRule type="cellIs" dxfId="192" priority="6" operator="notEqual">
      <formula>BN305</formula>
    </cfRule>
  </conditionalFormatting>
  <conditionalFormatting sqref="BO313:BT320">
    <cfRule type="cellIs" dxfId="191" priority="74" operator="notEqual">
      <formula>BN313</formula>
    </cfRule>
  </conditionalFormatting>
  <conditionalFormatting sqref="BO331:BT338">
    <cfRule type="cellIs" dxfId="190" priority="80" operator="notEqual">
      <formula>BN331</formula>
    </cfRule>
  </conditionalFormatting>
  <conditionalFormatting sqref="BS237:BT237">
    <cfRule type="cellIs" dxfId="189" priority="155" operator="notEqual">
      <formula>BR237</formula>
    </cfRule>
  </conditionalFormatting>
  <conditionalFormatting sqref="CC313:CH320">
    <cfRule type="cellIs" dxfId="188" priority="73" operator="notEqual">
      <formula>CB313</formula>
    </cfRule>
  </conditionalFormatting>
  <conditionalFormatting sqref="CC338:CH338">
    <cfRule type="cellIs" dxfId="187" priority="146" operator="notEqual">
      <formula>CB338</formula>
    </cfRule>
  </conditionalFormatting>
  <conditionalFormatting sqref="CG331:CH337">
    <cfRule type="cellIs" dxfId="186" priority="79" operator="notEqual">
      <formula>CF331</formula>
    </cfRule>
  </conditionalFormatting>
  <conditionalFormatting sqref="CO39:CQ54">
    <cfRule type="cellIs" dxfId="185" priority="17" operator="notEqual">
      <formula>CN39</formula>
    </cfRule>
  </conditionalFormatting>
  <conditionalFormatting sqref="CP332:CU338">
    <cfRule type="cellIs" dxfId="184" priority="142" operator="notEqual">
      <formula>CO332</formula>
    </cfRule>
  </conditionalFormatting>
  <conditionalFormatting sqref="CT331:CU331">
    <cfRule type="cellIs" dxfId="183" priority="77" operator="notEqual">
      <formula>CS331</formula>
    </cfRule>
  </conditionalFormatting>
  <conditionalFormatting sqref="DC39:DE54">
    <cfRule type="cellIs" dxfId="182" priority="18" operator="notEqual">
      <formula>DB39</formula>
    </cfRule>
  </conditionalFormatting>
  <conditionalFormatting sqref="DC332:DH338">
    <cfRule type="cellIs" dxfId="181" priority="141" operator="notEqual">
      <formula>DB332</formula>
    </cfRule>
  </conditionalFormatting>
  <conditionalFormatting sqref="DG331:DH331">
    <cfRule type="cellIs" dxfId="180" priority="76" operator="notEqual">
      <formula>DF331</formula>
    </cfRule>
  </conditionalFormatting>
  <conditionalFormatting sqref="DP332:DU338">
    <cfRule type="cellIs" dxfId="179" priority="86" operator="notEqual">
      <formula>DO332</formula>
    </cfRule>
  </conditionalFormatting>
  <conditionalFormatting sqref="DT331:DU331">
    <cfRule type="cellIs" dxfId="178" priority="75" operator="notEqual">
      <formula>DS331</formula>
    </cfRule>
  </conditionalFormatting>
  <pageMargins left="0.7" right="0.7" top="0.75" bottom="0.75" header="0.3" footer="0.3"/>
  <pageSetup scale="39" fitToHeight="0" orientation="landscape" r:id="rId1"/>
  <rowBreaks count="2" manualBreakCount="2">
    <brk id="221" max="17" man="1"/>
    <brk id="4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J5130"/>
  <sheetViews>
    <sheetView zoomScale="70" zoomScaleNormal="70" workbookViewId="0">
      <selection sqref="A1:P1"/>
    </sheetView>
  </sheetViews>
  <sheetFormatPr defaultColWidth="9.28515625" defaultRowHeight="15" outlineLevelRow="1" x14ac:dyDescent="0.25"/>
  <cols>
    <col min="1" max="1" width="19.140625" style="64" customWidth="1"/>
    <col min="2" max="2" width="8.7109375" style="64" customWidth="1"/>
    <col min="3" max="3" width="24.28515625" style="62" customWidth="1"/>
    <col min="4" max="4" width="34" style="63" customWidth="1"/>
    <col min="5" max="5" width="81.7109375" style="63" customWidth="1"/>
    <col min="6" max="6" width="22.28515625" style="62" customWidth="1"/>
    <col min="7" max="7" width="37.28515625" style="64" customWidth="1"/>
    <col min="8" max="8" width="27.140625" style="64" customWidth="1"/>
    <col min="9" max="9" width="56" style="64" customWidth="1"/>
    <col min="10" max="10" width="11.7109375" style="64" customWidth="1"/>
    <col min="11" max="11" width="22.5703125" style="64" bestFit="1" customWidth="1"/>
    <col min="12" max="12" width="14.5703125" style="64" customWidth="1"/>
    <col min="13" max="13" width="14.28515625" style="64" customWidth="1"/>
    <col min="14" max="14" width="10.5703125" style="64" customWidth="1"/>
    <col min="15" max="15" width="14.28515625" style="64" customWidth="1"/>
    <col min="16" max="16" width="12.28515625" style="64" bestFit="1" customWidth="1"/>
    <col min="17" max="17" width="2.28515625" style="64" customWidth="1"/>
    <col min="18" max="18" width="1.42578125" style="64" customWidth="1"/>
    <col min="19" max="21" width="9.28515625" style="64" customWidth="1"/>
    <col min="22" max="22" width="26.5703125" style="6" customWidth="1"/>
    <col min="23" max="23" width="13.7109375" style="6" customWidth="1"/>
    <col min="24" max="24" width="18.42578125" style="6" customWidth="1"/>
    <col min="25" max="25" width="16.7109375" style="6" customWidth="1"/>
    <col min="26" max="26" width="19.28515625" style="6" bestFit="1" customWidth="1"/>
    <col min="27" max="27" width="13.7109375" style="6" customWidth="1"/>
    <col min="28" max="28" width="18.5703125" style="6" bestFit="1" customWidth="1"/>
    <col min="29" max="29" width="17.7109375" style="6" customWidth="1"/>
    <col min="30" max="31" width="13.7109375" style="6" customWidth="1"/>
    <col min="32" max="32" width="18.5703125" style="6" customWidth="1"/>
    <col min="33" max="33" width="15" style="6" bestFit="1" customWidth="1"/>
    <col min="34" max="34" width="9.28515625" style="6" customWidth="1"/>
    <col min="35" max="35" width="15.5703125" style="6" customWidth="1"/>
    <col min="36" max="37" width="20" style="6" bestFit="1" customWidth="1"/>
    <col min="38" max="39" width="15.5703125" style="6" customWidth="1"/>
    <col min="40" max="40" width="16.7109375" style="6" bestFit="1" customWidth="1"/>
    <col min="41" max="41" width="17.28515625" style="6" bestFit="1" customWidth="1"/>
    <col min="42" max="43" width="15.5703125" style="6" customWidth="1"/>
    <col min="44" max="44" width="19.28515625" style="6" customWidth="1"/>
    <col min="45" max="45" width="15.5703125" style="6" customWidth="1"/>
    <col min="46" max="52" width="9.28515625" style="6" customWidth="1"/>
    <col min="53" max="110" width="18.28515625" style="6" customWidth="1"/>
    <col min="111" max="111" width="12" style="1004" bestFit="1" customWidth="1"/>
    <col min="112" max="112" width="39.28515625" style="64" customWidth="1"/>
    <col min="113" max="113" width="11.7109375" style="64" customWidth="1"/>
    <col min="114" max="114" width="17.5703125" style="2031" bestFit="1" customWidth="1"/>
    <col min="115" max="16384" width="9.28515625" style="6"/>
  </cols>
  <sheetData>
    <row r="1" spans="1:114" s="2" customFormat="1" ht="18.75" x14ac:dyDescent="0.3">
      <c r="A1" s="2371" t="s">
        <v>595</v>
      </c>
      <c r="B1" s="2372"/>
      <c r="C1" s="2373"/>
      <c r="D1" s="2372"/>
      <c r="E1" s="2372"/>
      <c r="F1" s="2372"/>
      <c r="G1" s="2372"/>
      <c r="H1" s="2372"/>
      <c r="I1" s="2372"/>
      <c r="J1" s="2372"/>
      <c r="K1" s="2372"/>
      <c r="L1" s="2372"/>
      <c r="M1" s="2372"/>
      <c r="N1" s="2372"/>
      <c r="O1" s="2372"/>
      <c r="P1" s="2372"/>
      <c r="Q1" s="1232"/>
      <c r="R1" s="247"/>
      <c r="S1" s="247"/>
      <c r="T1" s="247"/>
      <c r="U1" s="247"/>
      <c r="V1" s="3"/>
      <c r="W1" s="4"/>
      <c r="X1" s="4"/>
      <c r="Y1" s="5"/>
      <c r="Z1" s="5"/>
      <c r="AA1" s="5"/>
      <c r="AB1" s="5"/>
      <c r="AC1" s="5"/>
      <c r="AD1" s="5"/>
      <c r="AE1" s="5"/>
      <c r="AF1" s="5"/>
      <c r="AG1" s="5"/>
      <c r="AH1" s="5"/>
      <c r="DG1" s="1028"/>
      <c r="DH1" s="247"/>
      <c r="DI1" s="247"/>
      <c r="DJ1" s="499"/>
    </row>
    <row r="2" spans="1:114" s="2" customFormat="1" ht="30" customHeight="1" outlineLevel="1" x14ac:dyDescent="0.35">
      <c r="A2" s="247"/>
      <c r="B2" s="435"/>
      <c r="C2" s="58"/>
      <c r="D2" s="2324" t="s">
        <v>40</v>
      </c>
      <c r="E2" s="2374"/>
      <c r="F2" s="2375"/>
      <c r="G2" s="2375"/>
      <c r="H2" s="2375"/>
      <c r="I2" s="2375"/>
      <c r="J2" s="2375"/>
      <c r="K2" s="246"/>
      <c r="L2" s="246"/>
      <c r="M2" s="247"/>
      <c r="N2" s="247"/>
      <c r="O2" s="247"/>
      <c r="P2" s="247"/>
      <c r="Q2" s="247"/>
      <c r="R2" s="247"/>
      <c r="S2" s="247"/>
      <c r="T2" s="247"/>
      <c r="U2" s="247"/>
      <c r="V2" s="1349"/>
      <c r="W2" s="1349"/>
      <c r="X2" s="1349"/>
      <c r="Y2" s="1349"/>
      <c r="Z2" s="1349"/>
      <c r="AA2" s="1349"/>
      <c r="AB2" s="1349"/>
      <c r="AC2" s="1349"/>
      <c r="AD2" s="1349"/>
      <c r="AE2" s="1349"/>
      <c r="AF2" s="1349"/>
      <c r="AG2" s="1349"/>
      <c r="AH2" s="1349"/>
      <c r="AI2" s="1349"/>
      <c r="DG2" s="1028"/>
      <c r="DH2" s="247"/>
      <c r="DI2" s="247"/>
      <c r="DJ2" s="499"/>
    </row>
    <row r="3" spans="1:114" s="2" customFormat="1" ht="33.75" customHeight="1" x14ac:dyDescent="0.25">
      <c r="A3" s="247"/>
      <c r="B3" s="247"/>
      <c r="C3" s="59"/>
      <c r="D3" s="60"/>
      <c r="E3" s="60"/>
      <c r="F3" s="59"/>
      <c r="G3" s="59"/>
      <c r="H3" s="59"/>
      <c r="I3" s="59"/>
      <c r="J3" s="59"/>
      <c r="K3" s="247"/>
      <c r="L3" s="247"/>
      <c r="M3" s="247"/>
      <c r="N3" s="247"/>
      <c r="O3" s="247"/>
      <c r="P3" s="247"/>
      <c r="Q3" s="247"/>
      <c r="R3" s="247"/>
      <c r="S3" s="247"/>
      <c r="T3" s="247"/>
      <c r="U3" s="247"/>
      <c r="V3" s="1349"/>
      <c r="W3" s="1349"/>
      <c r="X3" s="1349"/>
      <c r="Y3" s="1349"/>
      <c r="Z3" s="1349"/>
      <c r="AA3" s="1349"/>
      <c r="AB3" s="1349"/>
      <c r="AC3" s="1349"/>
      <c r="AD3" s="1349"/>
      <c r="AE3" s="1349"/>
      <c r="AF3" s="1349"/>
      <c r="AG3" s="1349"/>
      <c r="AH3" s="1349"/>
      <c r="AI3" s="1349"/>
      <c r="DG3" s="1028"/>
      <c r="DH3" s="247"/>
      <c r="DI3" s="247"/>
      <c r="DJ3" s="499"/>
    </row>
    <row r="4" spans="1:114" s="50" customFormat="1" x14ac:dyDescent="0.25">
      <c r="B4" s="2339" t="s">
        <v>596</v>
      </c>
      <c r="C4" s="2340"/>
      <c r="D4" s="2340"/>
      <c r="E4" s="2340"/>
      <c r="F4" s="2340"/>
      <c r="G4" s="2340"/>
      <c r="H4" s="2340"/>
      <c r="I4" s="2311"/>
      <c r="J4" s="2311"/>
      <c r="K4" s="2311"/>
      <c r="L4" s="2311"/>
      <c r="M4" s="2311"/>
      <c r="N4" s="2311"/>
      <c r="O4" s="2312"/>
      <c r="V4" s="2339" t="str">
        <f>B4</f>
        <v>Heat Pump Water Heater</v>
      </c>
      <c r="W4" s="2340"/>
      <c r="X4" s="2340"/>
      <c r="Y4" s="2340"/>
      <c r="Z4" s="2340"/>
      <c r="AA4" s="2340"/>
      <c r="AB4" s="2340"/>
      <c r="AC4" s="2341"/>
      <c r="AD4" s="2341"/>
      <c r="AE4" s="2341"/>
      <c r="AF4" s="2341"/>
      <c r="AG4" s="2341"/>
      <c r="AH4" s="2341"/>
      <c r="AI4" s="2342"/>
      <c r="DG4" s="61"/>
      <c r="DI4" s="247"/>
      <c r="DJ4" s="2031"/>
    </row>
    <row r="5" spans="1:114" x14ac:dyDescent="0.25">
      <c r="DI5" s="247"/>
      <c r="DJ5" s="2045"/>
    </row>
    <row r="6" spans="1:114" s="8" customFormat="1" ht="33" x14ac:dyDescent="0.25">
      <c r="A6" s="2141"/>
      <c r="B6" s="115"/>
      <c r="C6" s="1242" t="s">
        <v>43</v>
      </c>
      <c r="D6" s="1242" t="s">
        <v>597</v>
      </c>
      <c r="E6" s="1242" t="s">
        <v>45</v>
      </c>
      <c r="F6" s="1242" t="s">
        <v>46</v>
      </c>
      <c r="G6" s="1242" t="s">
        <v>47</v>
      </c>
      <c r="H6" s="1242" t="s">
        <v>48</v>
      </c>
      <c r="I6" s="1242" t="s">
        <v>598</v>
      </c>
      <c r="J6" s="1242" t="s">
        <v>599</v>
      </c>
      <c r="K6" s="1242" t="s">
        <v>600</v>
      </c>
      <c r="L6" s="1242" t="s">
        <v>601</v>
      </c>
      <c r="M6" s="1242" t="s">
        <v>49</v>
      </c>
      <c r="N6" s="1242" t="s">
        <v>50</v>
      </c>
      <c r="O6" s="1242" t="s">
        <v>51</v>
      </c>
      <c r="P6" s="1242" t="s">
        <v>52</v>
      </c>
      <c r="Q6" s="115"/>
      <c r="R6" s="115"/>
      <c r="S6" s="115"/>
      <c r="T6" s="115"/>
      <c r="U6" s="115"/>
      <c r="V6" s="636" t="s">
        <v>53</v>
      </c>
      <c r="W6" s="637">
        <v>43252</v>
      </c>
      <c r="X6" s="637">
        <v>43465</v>
      </c>
      <c r="Y6" s="637">
        <v>43800</v>
      </c>
      <c r="Z6" s="637">
        <v>43862</v>
      </c>
      <c r="AA6" s="637">
        <v>44013</v>
      </c>
      <c r="AB6" s="637">
        <v>44166</v>
      </c>
      <c r="AC6" s="637">
        <v>44531</v>
      </c>
      <c r="AD6" s="637">
        <v>44774</v>
      </c>
      <c r="AE6" s="637">
        <v>45139</v>
      </c>
      <c r="AF6" s="637">
        <f>'Deemed Savings Tbl Revision Log'!C17</f>
        <v>45672</v>
      </c>
      <c r="AG6" s="637">
        <f>'Deemed Savings Tbl Revision Log'!$C$18</f>
        <v>45971</v>
      </c>
      <c r="DG6" s="1717" t="s">
        <v>54</v>
      </c>
      <c r="DH6" s="1249" t="s">
        <v>55</v>
      </c>
      <c r="DI6" s="156" t="s">
        <v>56</v>
      </c>
      <c r="DJ6" s="2046" t="s">
        <v>57</v>
      </c>
    </row>
    <row r="7" spans="1:114" ht="15.75" customHeight="1" x14ac:dyDescent="0.25">
      <c r="A7" s="2142" t="s">
        <v>602</v>
      </c>
      <c r="B7" s="1318">
        <f>VALUE(LEFT(C7,6))</f>
        <v>250050</v>
      </c>
      <c r="C7" s="65" t="s">
        <v>603</v>
      </c>
      <c r="D7" s="101" t="s">
        <v>604</v>
      </c>
      <c r="E7" s="65" t="s">
        <v>605</v>
      </c>
      <c r="F7" s="1793">
        <f>ROUND((((((1/F16)-(1/F17))*F18*F19*F20*F21*(F22-F23)*F24)/F25)-(J7)+I7)*F40,2)</f>
        <v>2396.2600000000002</v>
      </c>
      <c r="G7" s="1285" t="s">
        <v>606</v>
      </c>
      <c r="H7" s="66">
        <f>VLOOKUP(G7,'CP FACTORS'!$A$3:$B$38, 2, FALSE)</f>
        <v>8.8731800000000003E-5</v>
      </c>
      <c r="I7" s="1794">
        <f>(((1-1/F17)*F18*F19*F20*F21*(F22-F23)*F24)*F26*F27*F35/(F29*F25))*F36</f>
        <v>380.51597358938926</v>
      </c>
      <c r="J7" s="1794">
        <f>(((1-1/F17)*F18*F19*F20*F21*(F22-F23)*F24)*F26*F28/(F34*F25))*F37</f>
        <v>187.07094426254071</v>
      </c>
      <c r="K7" s="1794">
        <f>(((1-1/F17)*F18*F19*F20*F21*(F22-F23)*F24)*F26*F28/(F30*F25))*F38</f>
        <v>152.6604919412847</v>
      </c>
      <c r="L7" s="1794">
        <f>(((1-1/F17)*F18*F19*F20*F21*(F22-F23)*F24)*F26*F28/(F32*F25)*F39)</f>
        <v>113.43086392528012</v>
      </c>
      <c r="M7" s="1795">
        <f>ROUND(F7*H7,6)</f>
        <v>0.21262400000000001</v>
      </c>
      <c r="N7" s="67">
        <f>F41</f>
        <v>13</v>
      </c>
      <c r="O7" s="1796">
        <f>F42</f>
        <v>1199</v>
      </c>
      <c r="P7" s="597" t="s">
        <v>63</v>
      </c>
      <c r="R7" s="510"/>
      <c r="V7" s="337" t="str">
        <f>F6</f>
        <v>kWh Annual Savings</v>
      </c>
      <c r="W7" s="364">
        <v>3736.4662164914935</v>
      </c>
      <c r="X7" s="67">
        <v>2506.58000131569</v>
      </c>
      <c r="Y7" s="1737">
        <v>2296.31</v>
      </c>
      <c r="Z7" s="337">
        <v>2296.31</v>
      </c>
      <c r="AA7" s="337">
        <v>2296.31</v>
      </c>
      <c r="AB7" s="644">
        <v>2276.14</v>
      </c>
      <c r="AC7" s="337">
        <v>2276.14</v>
      </c>
      <c r="AD7" s="337">
        <v>2276.14</v>
      </c>
      <c r="AE7" s="337">
        <v>2276.14</v>
      </c>
      <c r="AF7" s="253">
        <v>2396.2600000000002</v>
      </c>
      <c r="AG7" s="253">
        <f>IF(F7&lt;&gt;"",F7,"")</f>
        <v>2396.2600000000002</v>
      </c>
      <c r="AH7" s="114"/>
      <c r="AU7" s="1350"/>
      <c r="DG7" s="1721">
        <f>(DI7)/(DJ7)</f>
        <v>1.1871774588443991</v>
      </c>
      <c r="DH7" s="121" t="str">
        <f>CONCATENATE(G7," ",N7," Year EUL")</f>
        <v>Water Heating RES 13 Year EUL</v>
      </c>
      <c r="DI7" s="1722">
        <f>(INDEX('Avoided Cost Benefits'!$B$4:$B$865,MATCH(DH7,'Avoided Cost Benefits'!$A$4:$A$865,0)))*F7</f>
        <v>1423.4257731544344</v>
      </c>
      <c r="DJ7" s="2037">
        <f>IFERROR(O7/((1+DiscountRate)^(CurrentYear-DiscountYear)),0)</f>
        <v>1199</v>
      </c>
    </row>
    <row r="8" spans="1:114" ht="15" customHeight="1" outlineLevel="1" x14ac:dyDescent="0.25">
      <c r="A8" s="2142" t="s">
        <v>607</v>
      </c>
      <c r="D8" s="74" t="s">
        <v>95</v>
      </c>
      <c r="E8" s="74" t="s">
        <v>608</v>
      </c>
      <c r="F8" s="1767"/>
      <c r="J8" s="1004"/>
      <c r="L8" s="115"/>
      <c r="AU8" s="1350"/>
      <c r="DJ8" s="2045"/>
    </row>
    <row r="9" spans="1:114" ht="15" customHeight="1" outlineLevel="1" x14ac:dyDescent="0.25">
      <c r="A9" s="2142" t="s">
        <v>602</v>
      </c>
      <c r="B9" s="72"/>
      <c r="C9" s="70"/>
      <c r="D9" s="74" t="s">
        <v>609</v>
      </c>
      <c r="E9" s="74" t="s">
        <v>610</v>
      </c>
      <c r="F9" s="1768"/>
      <c r="G9" s="72"/>
      <c r="H9" s="1723"/>
      <c r="I9" s="50"/>
      <c r="J9" s="50"/>
      <c r="K9" s="50"/>
      <c r="L9" s="115"/>
      <c r="AU9" s="1350"/>
      <c r="DJ9" s="2045"/>
    </row>
    <row r="10" spans="1:114" ht="15" customHeight="1" outlineLevel="1" x14ac:dyDescent="0.25">
      <c r="A10" s="2142" t="s">
        <v>602</v>
      </c>
      <c r="B10" s="72"/>
      <c r="C10" s="70"/>
      <c r="D10" s="1723"/>
      <c r="E10" s="74" t="s">
        <v>611</v>
      </c>
      <c r="F10" s="1768"/>
      <c r="G10" s="72"/>
      <c r="H10" s="72"/>
      <c r="I10" s="72"/>
      <c r="L10" s="1724"/>
      <c r="AU10" s="1350"/>
      <c r="DJ10" s="2045"/>
    </row>
    <row r="11" spans="1:114" ht="15" customHeight="1" outlineLevel="1" x14ac:dyDescent="0.25">
      <c r="A11" s="2142" t="s">
        <v>602</v>
      </c>
      <c r="B11" s="72"/>
      <c r="C11" s="70"/>
      <c r="D11" s="74"/>
      <c r="E11" s="74"/>
      <c r="F11" s="1768"/>
      <c r="G11" s="72"/>
      <c r="H11" s="72"/>
      <c r="I11" s="72"/>
      <c r="L11" s="115"/>
      <c r="AU11" s="1350"/>
      <c r="DJ11" s="2045"/>
    </row>
    <row r="12" spans="1:114" ht="15" customHeight="1" outlineLevel="1" x14ac:dyDescent="0.25">
      <c r="A12" s="2142" t="s">
        <v>602</v>
      </c>
      <c r="B12" s="72"/>
      <c r="C12" s="70"/>
      <c r="D12" s="74"/>
      <c r="E12" s="74" t="s">
        <v>612</v>
      </c>
      <c r="F12" s="1768"/>
      <c r="G12" s="72"/>
      <c r="H12" s="72"/>
      <c r="I12" s="72"/>
      <c r="L12" s="115"/>
      <c r="AU12" s="1350"/>
      <c r="DJ12" s="2045"/>
    </row>
    <row r="13" spans="1:114" ht="15" customHeight="1" outlineLevel="1" x14ac:dyDescent="0.25">
      <c r="A13" s="2142" t="s">
        <v>607</v>
      </c>
      <c r="B13" s="72"/>
      <c r="C13" s="70"/>
      <c r="D13" s="74"/>
      <c r="E13" s="74"/>
      <c r="F13" s="1768"/>
      <c r="G13" s="72"/>
      <c r="H13" s="72"/>
      <c r="I13" s="72"/>
      <c r="L13" s="115"/>
      <c r="AU13" s="1350"/>
      <c r="DJ13" s="2045"/>
    </row>
    <row r="14" spans="1:114" ht="15" customHeight="1" outlineLevel="1" x14ac:dyDescent="0.25">
      <c r="A14" s="2142" t="s">
        <v>607</v>
      </c>
      <c r="B14" s="72"/>
      <c r="C14" s="70"/>
      <c r="D14" s="74"/>
      <c r="E14" s="74"/>
      <c r="F14" s="1768"/>
      <c r="G14" s="72"/>
      <c r="H14" s="72"/>
      <c r="I14" s="72"/>
      <c r="L14" s="115"/>
      <c r="AU14" s="1350"/>
      <c r="DJ14" s="2045"/>
    </row>
    <row r="15" spans="1:114" s="8" customFormat="1" ht="15" customHeight="1" outlineLevel="1" x14ac:dyDescent="0.25">
      <c r="A15" s="2142" t="s">
        <v>607</v>
      </c>
      <c r="B15" s="115"/>
      <c r="C15" s="62"/>
      <c r="D15" s="1309" t="s">
        <v>613</v>
      </c>
      <c r="E15" s="1309" t="s">
        <v>614</v>
      </c>
      <c r="F15" s="1242" t="s">
        <v>615</v>
      </c>
      <c r="G15" s="2378" t="s">
        <v>616</v>
      </c>
      <c r="H15" s="2378"/>
      <c r="I15" s="1299" t="s">
        <v>617</v>
      </c>
      <c r="J15" s="115"/>
      <c r="K15" s="115"/>
      <c r="L15" s="115"/>
      <c r="M15" s="115"/>
      <c r="N15" s="115"/>
      <c r="O15" s="115"/>
      <c r="P15" s="115"/>
      <c r="Q15" s="115"/>
      <c r="R15" s="115"/>
      <c r="S15" s="115"/>
      <c r="T15" s="115"/>
      <c r="U15" s="115"/>
      <c r="V15" s="636" t="s">
        <v>53</v>
      </c>
      <c r="W15" s="637">
        <v>43252</v>
      </c>
      <c r="X15" s="637">
        <f>$X$6</f>
        <v>43465</v>
      </c>
      <c r="Y15" s="637">
        <f>$Y$6</f>
        <v>43800</v>
      </c>
      <c r="Z15" s="637">
        <f>$Z$6</f>
        <v>43862</v>
      </c>
      <c r="AA15" s="637">
        <f>$AA$6</f>
        <v>44013</v>
      </c>
      <c r="AB15" s="637">
        <f>$AB$6</f>
        <v>44166</v>
      </c>
      <c r="AC15" s="637">
        <f>$AC$6</f>
        <v>44531</v>
      </c>
      <c r="AD15" s="637">
        <f>$AD$6</f>
        <v>44774</v>
      </c>
      <c r="AE15" s="637">
        <f>$AE$6</f>
        <v>45139</v>
      </c>
      <c r="AF15" s="637">
        <f>$AF$6</f>
        <v>45672</v>
      </c>
      <c r="AG15" s="637">
        <f>$AG$6</f>
        <v>45971</v>
      </c>
      <c r="AU15" s="1350"/>
      <c r="DG15" s="1004"/>
      <c r="DH15" s="64"/>
      <c r="DI15" s="64"/>
      <c r="DJ15" s="2045"/>
    </row>
    <row r="16" spans="1:114" ht="39.6" customHeight="1" outlineLevel="1" x14ac:dyDescent="0.25">
      <c r="A16" s="2142" t="s">
        <v>607</v>
      </c>
      <c r="D16" s="1734" t="s">
        <v>618</v>
      </c>
      <c r="E16" s="1734" t="s">
        <v>619</v>
      </c>
      <c r="F16" s="1449">
        <v>0.92069999999999996</v>
      </c>
      <c r="G16" s="2379" t="s">
        <v>620</v>
      </c>
      <c r="H16" s="2376"/>
      <c r="I16" s="1738"/>
      <c r="V16" s="1739" t="str">
        <f t="shared" ref="V16:V42" si="0">D16</f>
        <v>UEFBASE</v>
      </c>
      <c r="W16" s="1740">
        <v>0.9</v>
      </c>
      <c r="X16" s="1726">
        <v>0.94358243626061789</v>
      </c>
      <c r="Y16" s="1741">
        <v>0.94451470457134135</v>
      </c>
      <c r="Z16" s="1725">
        <v>0.94451470457134135</v>
      </c>
      <c r="AA16" s="1725">
        <v>0.94451470457134135</v>
      </c>
      <c r="AB16" s="1725">
        <v>0.94451470457134135</v>
      </c>
      <c r="AC16" s="1725">
        <v>0.94451470457134135</v>
      </c>
      <c r="AD16" s="1725">
        <v>0.94451470457134135</v>
      </c>
      <c r="AE16" s="1725">
        <v>0.94451470457134135</v>
      </c>
      <c r="AF16" s="253">
        <v>0.92069999999999996</v>
      </c>
      <c r="AG16" s="546">
        <f t="shared" ref="AG16:AG42" si="1">IF(F16&lt;&gt;"",F16,"")</f>
        <v>0.92069999999999996</v>
      </c>
      <c r="AU16" s="1350"/>
      <c r="DJ16" s="2045"/>
    </row>
    <row r="17" spans="1:114" ht="18" customHeight="1" outlineLevel="1" x14ac:dyDescent="0.25">
      <c r="A17" s="2142" t="s">
        <v>602</v>
      </c>
      <c r="D17" s="1734" t="s">
        <v>621</v>
      </c>
      <c r="E17" s="1734" t="s">
        <v>622</v>
      </c>
      <c r="F17" s="1742">
        <v>3.4379630138240294</v>
      </c>
      <c r="G17" s="2376" t="s">
        <v>623</v>
      </c>
      <c r="H17" s="2376"/>
      <c r="I17" s="1738" t="s">
        <v>624</v>
      </c>
      <c r="J17" s="115"/>
      <c r="V17" s="1739" t="str">
        <f t="shared" si="0"/>
        <v>UEFEE</v>
      </c>
      <c r="W17" s="1351">
        <v>3.14</v>
      </c>
      <c r="X17" s="76">
        <v>3.255169603721936</v>
      </c>
      <c r="Y17" s="1743">
        <v>3.4379630138240294</v>
      </c>
      <c r="Z17" s="77">
        <v>3.4379630138240294</v>
      </c>
      <c r="AA17" s="77">
        <v>3.4379630138240294</v>
      </c>
      <c r="AB17" s="1352">
        <v>3.4379630138240294</v>
      </c>
      <c r="AC17" s="77">
        <v>3.4379630138240294</v>
      </c>
      <c r="AD17" s="77">
        <v>3.4379630138240294</v>
      </c>
      <c r="AE17" s="1352">
        <v>3.4379630138240294</v>
      </c>
      <c r="AF17" s="253">
        <v>3.4379630138240294</v>
      </c>
      <c r="AG17" s="546">
        <f t="shared" si="1"/>
        <v>3.4379630138240294</v>
      </c>
      <c r="AU17" s="1350"/>
      <c r="DJ17" s="2045"/>
    </row>
    <row r="18" spans="1:114" ht="120" customHeight="1" outlineLevel="1" x14ac:dyDescent="0.25">
      <c r="A18" s="2142" t="s">
        <v>602</v>
      </c>
      <c r="D18" s="1734" t="s">
        <v>625</v>
      </c>
      <c r="E18" s="1734" t="s">
        <v>626</v>
      </c>
      <c r="F18" s="1744">
        <v>17.600000000000001</v>
      </c>
      <c r="G18" s="2376" t="s">
        <v>627</v>
      </c>
      <c r="H18" s="2376"/>
      <c r="I18" s="1738" t="s">
        <v>628</v>
      </c>
      <c r="J18" s="115"/>
      <c r="V18" s="1739" t="str">
        <f t="shared" si="0"/>
        <v>GPD</v>
      </c>
      <c r="W18" s="75">
        <f>64/W19</f>
        <v>23.970037453183522</v>
      </c>
      <c r="X18" s="76">
        <v>17.600000000000001</v>
      </c>
      <c r="Y18" s="1351">
        <v>17.600000000000001</v>
      </c>
      <c r="Z18" s="77">
        <v>17.600000000000001</v>
      </c>
      <c r="AA18" s="77">
        <v>17.600000000000001</v>
      </c>
      <c r="AB18" s="77">
        <v>17.600000000000001</v>
      </c>
      <c r="AC18" s="77">
        <v>17.600000000000001</v>
      </c>
      <c r="AD18" s="77">
        <v>17.600000000000001</v>
      </c>
      <c r="AE18" s="77">
        <v>17.600000000000001</v>
      </c>
      <c r="AF18" s="253">
        <v>17.600000000000001</v>
      </c>
      <c r="AG18" s="546">
        <f t="shared" si="1"/>
        <v>17.600000000000001</v>
      </c>
      <c r="AU18" s="1350"/>
      <c r="DJ18" s="2045"/>
    </row>
    <row r="19" spans="1:114" ht="33.75" customHeight="1" outlineLevel="1" x14ac:dyDescent="0.25">
      <c r="A19" s="2142" t="s">
        <v>629</v>
      </c>
      <c r="D19" s="1734" t="s">
        <v>630</v>
      </c>
      <c r="E19" s="1734" t="s">
        <v>631</v>
      </c>
      <c r="F19" s="1742">
        <v>2.6500604229607121</v>
      </c>
      <c r="G19" s="2376" t="s">
        <v>632</v>
      </c>
      <c r="H19" s="2376"/>
      <c r="I19" s="1738" t="s">
        <v>633</v>
      </c>
      <c r="J19" s="115"/>
      <c r="V19" s="1739" t="str">
        <f t="shared" si="0"/>
        <v>Household</v>
      </c>
      <c r="W19" s="75">
        <v>2.67</v>
      </c>
      <c r="X19" s="76">
        <v>2.6599441340781969</v>
      </c>
      <c r="Y19" s="1743">
        <v>2.6500604229607121</v>
      </c>
      <c r="Z19" s="77">
        <v>2.6500604229607121</v>
      </c>
      <c r="AA19" s="77">
        <v>2.6500604229607121</v>
      </c>
      <c r="AB19" s="77">
        <v>2.6500604229607121</v>
      </c>
      <c r="AC19" s="77">
        <v>2.6500604229607121</v>
      </c>
      <c r="AD19" s="77">
        <v>2.6500604229607121</v>
      </c>
      <c r="AE19" s="77">
        <v>2.6500604229607121</v>
      </c>
      <c r="AF19" s="253">
        <v>2.6500604229607121</v>
      </c>
      <c r="AG19" s="546">
        <f t="shared" si="1"/>
        <v>2.6500604229607121</v>
      </c>
      <c r="AU19" s="1350"/>
      <c r="DJ19" s="2045"/>
    </row>
    <row r="20" spans="1:114" ht="15" customHeight="1" outlineLevel="1" x14ac:dyDescent="0.25">
      <c r="A20" s="2142" t="s">
        <v>629</v>
      </c>
      <c r="D20" s="1745">
        <v>365.25</v>
      </c>
      <c r="E20" s="1734" t="s">
        <v>634</v>
      </c>
      <c r="F20" s="1540">
        <v>365.25</v>
      </c>
      <c r="G20" s="2376" t="s">
        <v>635</v>
      </c>
      <c r="H20" s="2376"/>
      <c r="I20" s="1738" t="s">
        <v>624</v>
      </c>
      <c r="J20" s="115"/>
      <c r="V20" s="1739">
        <f t="shared" si="0"/>
        <v>365.25</v>
      </c>
      <c r="W20" s="1377">
        <v>365</v>
      </c>
      <c r="X20" s="1284">
        <v>365.25</v>
      </c>
      <c r="Y20" s="1284">
        <v>365.25</v>
      </c>
      <c r="Z20" s="1284">
        <v>365.25</v>
      </c>
      <c r="AA20" s="1284">
        <v>365.25</v>
      </c>
      <c r="AB20" s="1360">
        <v>365.25</v>
      </c>
      <c r="AC20" s="1284">
        <v>365.25</v>
      </c>
      <c r="AD20" s="1284">
        <v>365.25</v>
      </c>
      <c r="AE20" s="1360">
        <v>365.25</v>
      </c>
      <c r="AF20" s="253">
        <v>365.25</v>
      </c>
      <c r="AG20" s="546">
        <f t="shared" si="1"/>
        <v>365.25</v>
      </c>
      <c r="AU20" s="1350"/>
      <c r="DJ20" s="2045"/>
    </row>
    <row r="21" spans="1:114" outlineLevel="1" x14ac:dyDescent="0.25">
      <c r="A21" s="2142"/>
      <c r="D21" s="1734" t="s">
        <v>636</v>
      </c>
      <c r="E21" s="1734" t="s">
        <v>637</v>
      </c>
      <c r="F21" s="1744">
        <v>8.33</v>
      </c>
      <c r="G21" s="2376" t="s">
        <v>638</v>
      </c>
      <c r="H21" s="2376"/>
      <c r="I21" s="1738" t="s">
        <v>624</v>
      </c>
      <c r="J21" s="62"/>
      <c r="V21" s="1739" t="str">
        <f t="shared" si="0"/>
        <v>Den</v>
      </c>
      <c r="W21" s="1351">
        <v>8.33</v>
      </c>
      <c r="X21" s="1360">
        <v>8.33</v>
      </c>
      <c r="Y21" s="1360">
        <v>8.33</v>
      </c>
      <c r="Z21" s="1284">
        <v>8.33</v>
      </c>
      <c r="AA21" s="1284">
        <v>8.33</v>
      </c>
      <c r="AB21" s="1352">
        <v>8.33</v>
      </c>
      <c r="AC21" s="77">
        <v>8.33</v>
      </c>
      <c r="AD21" s="77">
        <v>8.33</v>
      </c>
      <c r="AE21" s="1352">
        <v>8.33</v>
      </c>
      <c r="AF21" s="253">
        <v>8.33</v>
      </c>
      <c r="AG21" s="546">
        <f t="shared" si="1"/>
        <v>8.33</v>
      </c>
      <c r="AU21" s="1350"/>
      <c r="DJ21" s="2045"/>
    </row>
    <row r="22" spans="1:114" outlineLevel="1" x14ac:dyDescent="0.25">
      <c r="A22" s="2142"/>
      <c r="D22" s="1734" t="s">
        <v>639</v>
      </c>
      <c r="E22" s="1734" t="s">
        <v>640</v>
      </c>
      <c r="F22" s="1540">
        <v>125</v>
      </c>
      <c r="G22" s="2376" t="s">
        <v>641</v>
      </c>
      <c r="H22" s="2376"/>
      <c r="I22" s="1738" t="s">
        <v>624</v>
      </c>
      <c r="J22" s="62"/>
      <c r="V22" s="1739" t="str">
        <f t="shared" si="0"/>
        <v>HWT</v>
      </c>
      <c r="W22" s="1377">
        <v>135</v>
      </c>
      <c r="X22" s="78">
        <v>125</v>
      </c>
      <c r="Y22" s="1360">
        <v>125</v>
      </c>
      <c r="Z22" s="1284">
        <v>125</v>
      </c>
      <c r="AA22" s="1284">
        <v>125</v>
      </c>
      <c r="AB22" s="1360">
        <v>125</v>
      </c>
      <c r="AC22" s="1284">
        <v>125</v>
      </c>
      <c r="AD22" s="1284">
        <v>125</v>
      </c>
      <c r="AE22" s="1360">
        <v>125</v>
      </c>
      <c r="AF22" s="253">
        <v>125</v>
      </c>
      <c r="AG22" s="546">
        <f t="shared" si="1"/>
        <v>125</v>
      </c>
      <c r="AU22" s="1350"/>
      <c r="DJ22" s="2045"/>
    </row>
    <row r="23" spans="1:114" ht="30" customHeight="1" outlineLevel="1" x14ac:dyDescent="0.25">
      <c r="A23" s="2142"/>
      <c r="D23" s="1734" t="s">
        <v>642</v>
      </c>
      <c r="E23" s="1734" t="s">
        <v>643</v>
      </c>
      <c r="F23" s="1540">
        <v>58.4</v>
      </c>
      <c r="G23" s="2376" t="s">
        <v>644</v>
      </c>
      <c r="H23" s="2376"/>
      <c r="I23" s="1738" t="s">
        <v>624</v>
      </c>
      <c r="J23" s="62"/>
      <c r="V23" s="1739" t="str">
        <f t="shared" si="0"/>
        <v>CWT</v>
      </c>
      <c r="W23" s="1377">
        <v>61.3</v>
      </c>
      <c r="X23" s="78">
        <v>57.898000000000003</v>
      </c>
      <c r="Y23" s="1360">
        <v>57.898000000000003</v>
      </c>
      <c r="Z23" s="1284">
        <v>57.898000000000003</v>
      </c>
      <c r="AA23" s="1284">
        <v>57.898000000000003</v>
      </c>
      <c r="AB23" s="1360">
        <v>57.898000000000003</v>
      </c>
      <c r="AC23" s="1284">
        <v>57.898000000000003</v>
      </c>
      <c r="AD23" s="1284">
        <v>57.898000000000003</v>
      </c>
      <c r="AE23" s="1360">
        <v>57.898000000000003</v>
      </c>
      <c r="AF23" s="253">
        <v>58.4</v>
      </c>
      <c r="AG23" s="546">
        <f t="shared" si="1"/>
        <v>58.4</v>
      </c>
      <c r="AU23" s="1350"/>
      <c r="DJ23" s="2045"/>
    </row>
    <row r="24" spans="1:114" ht="18" outlineLevel="1" x14ac:dyDescent="0.25">
      <c r="A24" s="2142"/>
      <c r="D24" s="1734" t="s">
        <v>645</v>
      </c>
      <c r="E24" s="1734" t="s">
        <v>646</v>
      </c>
      <c r="F24" s="1540">
        <v>1</v>
      </c>
      <c r="G24" s="2376" t="s">
        <v>647</v>
      </c>
      <c r="H24" s="2376"/>
      <c r="I24" s="1738" t="s">
        <v>624</v>
      </c>
      <c r="V24" s="1739" t="str">
        <f t="shared" si="0"/>
        <v>CP</v>
      </c>
      <c r="W24" s="1377">
        <v>1</v>
      </c>
      <c r="X24" s="1360">
        <v>1</v>
      </c>
      <c r="Y24" s="1377">
        <v>1</v>
      </c>
      <c r="Z24" s="1284">
        <v>1</v>
      </c>
      <c r="AA24" s="1284">
        <v>1</v>
      </c>
      <c r="AB24" s="1360">
        <v>1</v>
      </c>
      <c r="AC24" s="1284">
        <v>1</v>
      </c>
      <c r="AD24" s="1284">
        <v>1</v>
      </c>
      <c r="AE24" s="1360">
        <v>1</v>
      </c>
      <c r="AF24" s="253">
        <v>1</v>
      </c>
      <c r="AG24" s="546">
        <f t="shared" si="1"/>
        <v>1</v>
      </c>
      <c r="AU24" s="1350"/>
      <c r="DJ24" s="2045"/>
    </row>
    <row r="25" spans="1:114" outlineLevel="1" x14ac:dyDescent="0.25">
      <c r="A25" s="2142"/>
      <c r="D25" s="1734">
        <v>3412</v>
      </c>
      <c r="E25" s="1734"/>
      <c r="F25" s="1541">
        <v>3412</v>
      </c>
      <c r="G25" s="2376" t="s">
        <v>648</v>
      </c>
      <c r="H25" s="2376"/>
      <c r="I25" s="1738" t="s">
        <v>649</v>
      </c>
      <c r="V25" s="1739">
        <f t="shared" si="0"/>
        <v>3412</v>
      </c>
      <c r="W25" s="1378">
        <v>3412</v>
      </c>
      <c r="X25" s="1358">
        <v>3412</v>
      </c>
      <c r="Y25" s="1378">
        <v>3412</v>
      </c>
      <c r="Z25" s="570">
        <v>3412</v>
      </c>
      <c r="AA25" s="570">
        <v>3412</v>
      </c>
      <c r="AB25" s="1358">
        <v>3412</v>
      </c>
      <c r="AC25" s="570">
        <v>3412</v>
      </c>
      <c r="AD25" s="570">
        <v>3412</v>
      </c>
      <c r="AE25" s="1358">
        <v>3412</v>
      </c>
      <c r="AF25" s="253">
        <v>3412</v>
      </c>
      <c r="AG25" s="546">
        <f t="shared" si="1"/>
        <v>3412</v>
      </c>
      <c r="AU25" s="1350"/>
      <c r="DJ25" s="2045"/>
    </row>
    <row r="26" spans="1:114" ht="30" customHeight="1" outlineLevel="1" x14ac:dyDescent="0.25">
      <c r="A26" s="2142"/>
      <c r="D26" s="80" t="s">
        <v>391</v>
      </c>
      <c r="E26" s="1734" t="s">
        <v>650</v>
      </c>
      <c r="F26" s="1449">
        <v>0.81</v>
      </c>
      <c r="G26" s="2376" t="s">
        <v>651</v>
      </c>
      <c r="H26" s="2376"/>
      <c r="I26" s="1738" t="s">
        <v>652</v>
      </c>
      <c r="V26" s="1739" t="str">
        <f t="shared" si="0"/>
        <v>LF</v>
      </c>
      <c r="W26" s="1746">
        <v>1</v>
      </c>
      <c r="X26" s="660">
        <v>0.5</v>
      </c>
      <c r="Y26" s="660">
        <v>0.81</v>
      </c>
      <c r="Z26" s="327">
        <v>0.81</v>
      </c>
      <c r="AA26" s="327">
        <v>0.81</v>
      </c>
      <c r="AB26" s="1727">
        <v>0.81</v>
      </c>
      <c r="AC26" s="327">
        <v>0.81</v>
      </c>
      <c r="AD26" s="327">
        <v>0.81</v>
      </c>
      <c r="AE26" s="1727">
        <v>0.81</v>
      </c>
      <c r="AF26" s="253">
        <v>0.81</v>
      </c>
      <c r="AG26" s="546">
        <f t="shared" si="1"/>
        <v>0.81</v>
      </c>
      <c r="AU26" s="1350"/>
      <c r="DJ26" s="2045"/>
    </row>
    <row r="27" spans="1:114" ht="30" outlineLevel="1" x14ac:dyDescent="0.35">
      <c r="A27" s="2142"/>
      <c r="D27" s="1747" t="s">
        <v>653</v>
      </c>
      <c r="E27" s="1734" t="s">
        <v>654</v>
      </c>
      <c r="F27" s="1446">
        <v>0.53</v>
      </c>
      <c r="G27" s="2376" t="s">
        <v>655</v>
      </c>
      <c r="H27" s="2376"/>
      <c r="I27" s="1738" t="s">
        <v>656</v>
      </c>
      <c r="V27" s="1739" t="str">
        <f t="shared" si="0"/>
        <v>WHFC</v>
      </c>
      <c r="W27" s="1748">
        <v>0.4</v>
      </c>
      <c r="X27" s="1749">
        <v>0.53</v>
      </c>
      <c r="Y27" s="1750">
        <v>0.53</v>
      </c>
      <c r="Z27" s="1729">
        <v>0.53</v>
      </c>
      <c r="AA27" s="1729">
        <v>0.53</v>
      </c>
      <c r="AB27" s="1728">
        <v>0.53</v>
      </c>
      <c r="AC27" s="1729">
        <v>0.53</v>
      </c>
      <c r="AD27" s="1729">
        <v>0.53</v>
      </c>
      <c r="AE27" s="1728">
        <v>0.53</v>
      </c>
      <c r="AF27" s="253">
        <v>0.53</v>
      </c>
      <c r="AG27" s="546">
        <f t="shared" si="1"/>
        <v>0.53</v>
      </c>
      <c r="AU27" s="1350"/>
      <c r="DJ27" s="2045"/>
    </row>
    <row r="28" spans="1:114" ht="150" outlineLevel="1" x14ac:dyDescent="0.25">
      <c r="A28" s="2142"/>
      <c r="D28" s="1751" t="s">
        <v>657</v>
      </c>
      <c r="E28" s="1734" t="s">
        <v>658</v>
      </c>
      <c r="F28" s="1446">
        <v>0.43</v>
      </c>
      <c r="G28" s="2376" t="s">
        <v>659</v>
      </c>
      <c r="H28" s="2376"/>
      <c r="I28" s="1734" t="s">
        <v>660</v>
      </c>
      <c r="V28" s="1739" t="str">
        <f t="shared" si="0"/>
        <v>WHFH</v>
      </c>
      <c r="W28" s="1748">
        <v>0.57999999999999996</v>
      </c>
      <c r="X28" s="1749">
        <v>0.43</v>
      </c>
      <c r="Y28" s="1750">
        <v>0.43</v>
      </c>
      <c r="Z28" s="1729">
        <v>0.43</v>
      </c>
      <c r="AA28" s="1729">
        <v>0.43</v>
      </c>
      <c r="AB28" s="1728">
        <v>0.43</v>
      </c>
      <c r="AC28" s="1729">
        <v>0.43</v>
      </c>
      <c r="AD28" s="1729">
        <v>0.43</v>
      </c>
      <c r="AE28" s="1728">
        <v>0.43</v>
      </c>
      <c r="AF28" s="253">
        <v>0.43</v>
      </c>
      <c r="AG28" s="546">
        <f t="shared" si="1"/>
        <v>0.43</v>
      </c>
      <c r="AU28" s="1350"/>
      <c r="DJ28" s="2045"/>
    </row>
    <row r="29" spans="1:114" ht="90" outlineLevel="1" x14ac:dyDescent="0.25">
      <c r="A29" s="2142"/>
      <c r="D29" s="1752" t="s">
        <v>661</v>
      </c>
      <c r="E29" s="1734" t="s">
        <v>662</v>
      </c>
      <c r="F29" s="1449">
        <v>2.8</v>
      </c>
      <c r="G29" s="2376" t="s">
        <v>663</v>
      </c>
      <c r="H29" s="2376"/>
      <c r="I29" s="1734" t="s">
        <v>664</v>
      </c>
      <c r="V29" s="1739" t="str">
        <f t="shared" si="0"/>
        <v>COPcool</v>
      </c>
      <c r="W29" s="1746">
        <v>2.8</v>
      </c>
      <c r="X29" s="1727">
        <v>2.8</v>
      </c>
      <c r="Y29" s="1746">
        <v>2.8</v>
      </c>
      <c r="Z29" s="327">
        <v>2.8</v>
      </c>
      <c r="AA29" s="327">
        <v>2.8</v>
      </c>
      <c r="AB29" s="1727">
        <v>2.8</v>
      </c>
      <c r="AC29" s="327">
        <v>2.8</v>
      </c>
      <c r="AD29" s="327">
        <v>2.8</v>
      </c>
      <c r="AE29" s="1727">
        <v>2.8</v>
      </c>
      <c r="AF29" s="253">
        <v>2.8</v>
      </c>
      <c r="AG29" s="546">
        <f t="shared" si="1"/>
        <v>2.8</v>
      </c>
      <c r="AU29" s="1350"/>
      <c r="DJ29" s="2045"/>
    </row>
    <row r="30" spans="1:114" outlineLevel="1" x14ac:dyDescent="0.25">
      <c r="A30" s="2142"/>
      <c r="D30" s="2377" t="s">
        <v>665</v>
      </c>
      <c r="E30" s="1730" t="s">
        <v>666</v>
      </c>
      <c r="F30" s="1753">
        <v>1</v>
      </c>
      <c r="G30" s="2366"/>
      <c r="H30" s="2366"/>
      <c r="I30" s="2370" t="s">
        <v>667</v>
      </c>
      <c r="V30" s="2367" t="s">
        <v>665</v>
      </c>
      <c r="W30" s="1746">
        <v>1</v>
      </c>
      <c r="X30" s="1727">
        <v>1</v>
      </c>
      <c r="Y30" s="1746">
        <v>1</v>
      </c>
      <c r="Z30" s="327">
        <v>1</v>
      </c>
      <c r="AA30" s="327">
        <v>1</v>
      </c>
      <c r="AB30" s="1727">
        <v>1</v>
      </c>
      <c r="AC30" s="327">
        <v>1</v>
      </c>
      <c r="AD30" s="327">
        <v>1</v>
      </c>
      <c r="AE30" s="1727">
        <v>1</v>
      </c>
      <c r="AF30" s="253">
        <v>1</v>
      </c>
      <c r="AG30" s="546">
        <f t="shared" si="1"/>
        <v>1</v>
      </c>
      <c r="AU30" s="1350"/>
      <c r="DJ30" s="2045"/>
    </row>
    <row r="31" spans="1:114" outlineLevel="1" x14ac:dyDescent="0.25">
      <c r="A31" s="2142"/>
      <c r="D31" s="2377"/>
      <c r="E31" s="1730" t="s">
        <v>668</v>
      </c>
      <c r="F31" s="1797">
        <v>1.44</v>
      </c>
      <c r="G31" s="2366"/>
      <c r="H31" s="2366"/>
      <c r="I31" s="2370"/>
      <c r="V31" s="2368"/>
      <c r="W31" s="1754">
        <v>1.7</v>
      </c>
      <c r="X31" s="1754">
        <v>1.7</v>
      </c>
      <c r="Y31" s="1754">
        <v>1.7</v>
      </c>
      <c r="Z31" s="546">
        <v>1.7</v>
      </c>
      <c r="AA31" s="546">
        <v>1.7</v>
      </c>
      <c r="AB31" s="1355">
        <v>1.7</v>
      </c>
      <c r="AC31" s="546">
        <v>1.7</v>
      </c>
      <c r="AD31" s="546">
        <v>1.7</v>
      </c>
      <c r="AE31" s="1754">
        <v>1.7</v>
      </c>
      <c r="AF31" s="253">
        <v>1.44</v>
      </c>
      <c r="AG31" s="546">
        <f t="shared" si="1"/>
        <v>1.44</v>
      </c>
      <c r="AU31" s="1350"/>
      <c r="DJ31" s="2045"/>
    </row>
    <row r="32" spans="1:114" ht="15" customHeight="1" outlineLevel="1" x14ac:dyDescent="0.25">
      <c r="A32" s="2142"/>
      <c r="D32" s="2377"/>
      <c r="E32" s="1730" t="s">
        <v>669</v>
      </c>
      <c r="F32" s="1797">
        <v>1.62</v>
      </c>
      <c r="G32" s="2366"/>
      <c r="H32" s="2366"/>
      <c r="I32" s="2370"/>
      <c r="V32" s="2368"/>
      <c r="W32" s="1754">
        <v>1.92</v>
      </c>
      <c r="X32" s="1755">
        <v>1.92</v>
      </c>
      <c r="Y32" s="1755">
        <v>1.92</v>
      </c>
      <c r="Z32" s="546">
        <v>1.92</v>
      </c>
      <c r="AA32" s="546">
        <v>1.92</v>
      </c>
      <c r="AB32" s="1355">
        <v>1.92</v>
      </c>
      <c r="AC32" s="546">
        <v>1.92</v>
      </c>
      <c r="AD32" s="546">
        <v>1.92</v>
      </c>
      <c r="AE32" s="1355">
        <v>1.92</v>
      </c>
      <c r="AF32" s="253">
        <v>1.62</v>
      </c>
      <c r="AG32" s="546">
        <f t="shared" si="1"/>
        <v>1.62</v>
      </c>
      <c r="AU32" s="1350"/>
      <c r="DJ32" s="2045"/>
    </row>
    <row r="33" spans="1:114" ht="15" customHeight="1" outlineLevel="1" x14ac:dyDescent="0.25">
      <c r="A33" s="2142"/>
      <c r="D33" s="2377"/>
      <c r="E33" s="1730" t="s">
        <v>670</v>
      </c>
      <c r="F33" s="1797">
        <v>1.74</v>
      </c>
      <c r="G33" s="2366"/>
      <c r="H33" s="2366"/>
      <c r="I33" s="2370"/>
      <c r="V33" s="2368"/>
      <c r="W33" s="1754">
        <v>2.04</v>
      </c>
      <c r="X33" s="1355">
        <v>2.04</v>
      </c>
      <c r="Y33" s="1355">
        <v>2.04</v>
      </c>
      <c r="Z33" s="546">
        <v>2.04</v>
      </c>
      <c r="AA33" s="546">
        <v>2.04</v>
      </c>
      <c r="AB33" s="1355">
        <v>2.04</v>
      </c>
      <c r="AC33" s="546">
        <v>2.04</v>
      </c>
      <c r="AD33" s="546">
        <v>2.04</v>
      </c>
      <c r="AE33" s="1355">
        <v>2.04</v>
      </c>
      <c r="AF33" s="253">
        <v>1.74</v>
      </c>
      <c r="AG33" s="546">
        <f t="shared" si="1"/>
        <v>1.74</v>
      </c>
      <c r="AU33" s="1350"/>
      <c r="DJ33" s="2045"/>
    </row>
    <row r="34" spans="1:114" ht="15" customHeight="1" outlineLevel="1" x14ac:dyDescent="0.25">
      <c r="A34" s="2142"/>
      <c r="D34" s="2377"/>
      <c r="E34" s="1730" t="s">
        <v>671</v>
      </c>
      <c r="F34" s="1797">
        <v>1.28</v>
      </c>
      <c r="G34" s="2366"/>
      <c r="H34" s="2366"/>
      <c r="I34" s="2370"/>
      <c r="V34" s="2369"/>
      <c r="W34" s="1754"/>
      <c r="X34" s="1355"/>
      <c r="Y34" s="1355"/>
      <c r="Z34" s="546"/>
      <c r="AA34" s="546"/>
      <c r="AB34" s="1355"/>
      <c r="AC34" s="546"/>
      <c r="AD34" s="546"/>
      <c r="AE34" s="1355"/>
      <c r="AF34" s="253">
        <v>1.28</v>
      </c>
      <c r="AG34" s="546">
        <f t="shared" si="1"/>
        <v>1.28</v>
      </c>
      <c r="AU34" s="1350"/>
      <c r="DJ34" s="2045"/>
    </row>
    <row r="35" spans="1:114" ht="54.75" customHeight="1" outlineLevel="1" x14ac:dyDescent="0.25">
      <c r="A35" s="2142"/>
      <c r="D35" s="602" t="s">
        <v>672</v>
      </c>
      <c r="E35" s="1243" t="s">
        <v>673</v>
      </c>
      <c r="F35" s="1756">
        <v>1.33</v>
      </c>
      <c r="G35" s="2366" t="s">
        <v>674</v>
      </c>
      <c r="H35" s="2366"/>
      <c r="I35" s="1738" t="s">
        <v>652</v>
      </c>
      <c r="V35" s="1739" t="str">
        <f t="shared" si="0"/>
        <v>LM</v>
      </c>
      <c r="W35" s="1746">
        <v>3</v>
      </c>
      <c r="X35" s="253">
        <v>3.52039106145252</v>
      </c>
      <c r="Y35" s="661">
        <v>1.3299999999999965</v>
      </c>
      <c r="Z35" s="327">
        <v>1.3299999999999965</v>
      </c>
      <c r="AA35" s="327">
        <v>1.3299999999999965</v>
      </c>
      <c r="AB35" s="1727">
        <v>1.33</v>
      </c>
      <c r="AC35" s="327">
        <v>1.33</v>
      </c>
      <c r="AD35" s="327">
        <v>1.33</v>
      </c>
      <c r="AE35" s="1727">
        <v>1.33</v>
      </c>
      <c r="AF35" s="253">
        <v>1.33</v>
      </c>
      <c r="AG35" s="546">
        <f t="shared" si="1"/>
        <v>1.33</v>
      </c>
      <c r="AU35" s="1350"/>
      <c r="DJ35" s="2045"/>
    </row>
    <row r="36" spans="1:114" ht="15" customHeight="1" outlineLevel="1" x14ac:dyDescent="0.25">
      <c r="A36" s="2142"/>
      <c r="D36" s="602" t="s">
        <v>250</v>
      </c>
      <c r="E36" s="1243" t="s">
        <v>675</v>
      </c>
      <c r="F36" s="1446">
        <v>0.95</v>
      </c>
      <c r="G36" s="2366" t="s">
        <v>676</v>
      </c>
      <c r="H36" s="2366"/>
      <c r="I36" s="1738"/>
      <c r="V36" s="1739" t="str">
        <f t="shared" si="0"/>
        <v>%Cool</v>
      </c>
      <c r="W36" s="1748">
        <v>0.91</v>
      </c>
      <c r="X36" s="1728">
        <v>1</v>
      </c>
      <c r="Y36" s="1748">
        <v>1</v>
      </c>
      <c r="Z36" s="1729">
        <v>1</v>
      </c>
      <c r="AA36" s="1729">
        <v>1</v>
      </c>
      <c r="AB36" s="676">
        <v>0.95</v>
      </c>
      <c r="AC36" s="1729">
        <v>0.95</v>
      </c>
      <c r="AD36" s="1729">
        <v>0.95</v>
      </c>
      <c r="AE36" s="1728">
        <v>0.95</v>
      </c>
      <c r="AF36" s="253">
        <v>0.95</v>
      </c>
      <c r="AG36" s="546">
        <f t="shared" si="1"/>
        <v>0.95</v>
      </c>
      <c r="AU36" s="1350"/>
      <c r="DJ36" s="2045"/>
    </row>
    <row r="37" spans="1:114" ht="15" customHeight="1" outlineLevel="1" x14ac:dyDescent="0.25">
      <c r="A37" s="2142"/>
      <c r="D37" s="602" t="s">
        <v>251</v>
      </c>
      <c r="E37" s="1243" t="s">
        <v>677</v>
      </c>
      <c r="F37" s="1446">
        <v>0.35</v>
      </c>
      <c r="G37" s="2366" t="s">
        <v>678</v>
      </c>
      <c r="H37" s="2366"/>
      <c r="I37" s="1738"/>
      <c r="V37" s="602" t="s">
        <v>251</v>
      </c>
      <c r="W37" s="1748"/>
      <c r="X37" s="1728"/>
      <c r="Y37" s="1748"/>
      <c r="Z37" s="1729"/>
      <c r="AA37" s="1729"/>
      <c r="AB37" s="676"/>
      <c r="AC37" s="1729"/>
      <c r="AD37" s="1729"/>
      <c r="AE37" s="1728"/>
      <c r="AF37" s="253">
        <v>0.35</v>
      </c>
      <c r="AG37" s="546">
        <f t="shared" si="1"/>
        <v>0.35</v>
      </c>
      <c r="AU37" s="1350"/>
      <c r="DJ37" s="2045"/>
    </row>
    <row r="38" spans="1:114" ht="30" customHeight="1" outlineLevel="1" x14ac:dyDescent="0.25">
      <c r="A38" s="2142"/>
      <c r="D38" s="1243" t="s">
        <v>679</v>
      </c>
      <c r="E38" s="1243" t="s">
        <v>680</v>
      </c>
      <c r="F38" s="1757">
        <v>0.2231404958677686</v>
      </c>
      <c r="G38" s="2366" t="s">
        <v>681</v>
      </c>
      <c r="H38" s="2366"/>
      <c r="I38" s="1738" t="s">
        <v>624</v>
      </c>
      <c r="V38" s="1739" t="str">
        <f t="shared" si="0"/>
        <v xml:space="preserve">%ElectricHeat - Electric Resistance Saturation </v>
      </c>
      <c r="W38" s="1758">
        <v>0.375</v>
      </c>
      <c r="X38" s="1731">
        <v>0.375</v>
      </c>
      <c r="Y38" s="1741">
        <v>0.2231404958677686</v>
      </c>
      <c r="Z38" s="1725">
        <v>0.2231404958677686</v>
      </c>
      <c r="AA38" s="1725">
        <v>0.2231404958677686</v>
      </c>
      <c r="AB38" s="1731">
        <v>0.2231404958677686</v>
      </c>
      <c r="AC38" s="1725">
        <v>0.2231404958677686</v>
      </c>
      <c r="AD38" s="1725">
        <v>0.2231404958677686</v>
      </c>
      <c r="AE38" s="1731">
        <v>0.2231404958677686</v>
      </c>
      <c r="AF38" s="253">
        <v>0.2231404958677686</v>
      </c>
      <c r="AG38" s="546">
        <f t="shared" si="1"/>
        <v>0.2231404958677686</v>
      </c>
      <c r="AU38" s="1350"/>
      <c r="DJ38" s="2045"/>
    </row>
    <row r="39" spans="1:114" ht="30.75" customHeight="1" outlineLevel="1" x14ac:dyDescent="0.25">
      <c r="A39" s="2142"/>
      <c r="D39" s="1243" t="s">
        <v>682</v>
      </c>
      <c r="E39" s="1243" t="s">
        <v>683</v>
      </c>
      <c r="F39" s="1757">
        <v>0.26859504132231404</v>
      </c>
      <c r="G39" s="2366" t="s">
        <v>681</v>
      </c>
      <c r="H39" s="2366"/>
      <c r="I39" s="1738" t="s">
        <v>684</v>
      </c>
      <c r="V39" s="1739" t="str">
        <f t="shared" si="0"/>
        <v>%ElectricHeat - Heat Pump Saturation</v>
      </c>
      <c r="W39" s="1758">
        <v>0.42199999999999999</v>
      </c>
      <c r="X39" s="1731">
        <v>0.42199999999999999</v>
      </c>
      <c r="Y39" s="1741">
        <v>0.26859504132231404</v>
      </c>
      <c r="Z39" s="1725">
        <v>0.26859504132231404</v>
      </c>
      <c r="AA39" s="1725">
        <v>0.26859504132231404</v>
      </c>
      <c r="AB39" s="1731">
        <v>0.26859504132231404</v>
      </c>
      <c r="AC39" s="1725">
        <v>0.26859504132231404</v>
      </c>
      <c r="AD39" s="1725">
        <v>0.26859504132231404</v>
      </c>
      <c r="AE39" s="1731">
        <v>0.26859504132231404</v>
      </c>
      <c r="AF39" s="253">
        <v>0.26859504132231404</v>
      </c>
      <c r="AG39" s="546">
        <f t="shared" si="1"/>
        <v>0.26859504132231404</v>
      </c>
      <c r="AU39" s="1350"/>
      <c r="DJ39" s="2045"/>
    </row>
    <row r="40" spans="1:114" ht="15" customHeight="1" outlineLevel="1" x14ac:dyDescent="0.25">
      <c r="A40" s="2142"/>
      <c r="D40" s="1243" t="s">
        <v>105</v>
      </c>
      <c r="E40" s="1243" t="s">
        <v>685</v>
      </c>
      <c r="F40" s="1445">
        <v>1</v>
      </c>
      <c r="G40" s="2366" t="s">
        <v>686</v>
      </c>
      <c r="H40" s="2366"/>
      <c r="I40" s="1738" t="s">
        <v>624</v>
      </c>
      <c r="V40" s="1739" t="str">
        <f t="shared" si="0"/>
        <v>ISR</v>
      </c>
      <c r="W40" s="82">
        <v>1</v>
      </c>
      <c r="X40" s="83">
        <v>1</v>
      </c>
      <c r="Y40" s="83">
        <v>1</v>
      </c>
      <c r="Z40" s="98">
        <v>1</v>
      </c>
      <c r="AA40" s="98">
        <v>1</v>
      </c>
      <c r="AB40" s="83">
        <v>1</v>
      </c>
      <c r="AC40" s="98">
        <v>1</v>
      </c>
      <c r="AD40" s="98">
        <v>1</v>
      </c>
      <c r="AE40" s="83">
        <v>1</v>
      </c>
      <c r="AF40" s="253">
        <v>1</v>
      </c>
      <c r="AG40" s="546">
        <f t="shared" si="1"/>
        <v>1</v>
      </c>
      <c r="AU40" s="1350"/>
      <c r="DJ40" s="2045"/>
    </row>
    <row r="41" spans="1:114" ht="44.65" customHeight="1" outlineLevel="1" x14ac:dyDescent="0.25">
      <c r="A41" s="2142"/>
      <c r="D41" s="1243" t="str">
        <f>N6</f>
        <v>EUL</v>
      </c>
      <c r="E41" s="1243" t="str">
        <f>'Energy Effic. Kits Deemed Table'!E25</f>
        <v>Effective Useful Life</v>
      </c>
      <c r="F41" s="1759">
        <v>13</v>
      </c>
      <c r="G41" s="2366" t="s">
        <v>687</v>
      </c>
      <c r="H41" s="2366"/>
      <c r="I41" s="1738"/>
      <c r="V41" s="1739" t="str">
        <f t="shared" si="0"/>
        <v>EUL</v>
      </c>
      <c r="W41" s="1760">
        <v>13</v>
      </c>
      <c r="X41" s="1760">
        <v>13</v>
      </c>
      <c r="Y41" s="1760">
        <v>13</v>
      </c>
      <c r="Z41" s="99">
        <v>13</v>
      </c>
      <c r="AA41" s="99">
        <v>13</v>
      </c>
      <c r="AB41" s="33">
        <v>13</v>
      </c>
      <c r="AC41" s="99">
        <v>13</v>
      </c>
      <c r="AD41" s="99">
        <v>13</v>
      </c>
      <c r="AE41" s="1760">
        <v>13</v>
      </c>
      <c r="AF41" s="253">
        <v>13</v>
      </c>
      <c r="AG41" s="546">
        <f t="shared" si="1"/>
        <v>13</v>
      </c>
      <c r="AU41" s="1350"/>
      <c r="DJ41" s="2045"/>
    </row>
    <row r="42" spans="1:114" ht="15" customHeight="1" outlineLevel="1" x14ac:dyDescent="0.25">
      <c r="A42" s="2142"/>
      <c r="D42" s="1243" t="str">
        <f>O6</f>
        <v>Inc. Cost</v>
      </c>
      <c r="E42" s="1243" t="s">
        <v>688</v>
      </c>
      <c r="F42" s="1798">
        <v>1199</v>
      </c>
      <c r="G42" s="2366" t="s">
        <v>689</v>
      </c>
      <c r="H42" s="2366"/>
      <c r="I42" s="1738" t="s">
        <v>63</v>
      </c>
      <c r="V42" s="1739" t="str">
        <f t="shared" si="0"/>
        <v>Inc. Cost</v>
      </c>
      <c r="W42" s="280">
        <v>588</v>
      </c>
      <c r="X42" s="280">
        <v>588</v>
      </c>
      <c r="Y42" s="280">
        <v>588</v>
      </c>
      <c r="Z42" s="697">
        <v>588</v>
      </c>
      <c r="AA42" s="697">
        <v>588</v>
      </c>
      <c r="AB42" s="257">
        <v>588</v>
      </c>
      <c r="AC42" s="697">
        <v>588</v>
      </c>
      <c r="AD42" s="697">
        <v>588</v>
      </c>
      <c r="AE42" s="280">
        <v>588</v>
      </c>
      <c r="AF42" s="743">
        <v>1199</v>
      </c>
      <c r="AG42" s="580">
        <f t="shared" si="1"/>
        <v>1199</v>
      </c>
      <c r="AU42" s="1350"/>
      <c r="DJ42" s="2045"/>
    </row>
    <row r="43" spans="1:114" x14ac:dyDescent="0.25">
      <c r="A43" s="2142"/>
      <c r="D43" s="1732"/>
      <c r="E43" s="1732"/>
      <c r="F43" s="1733"/>
      <c r="G43" s="1733"/>
      <c r="H43" s="1733"/>
      <c r="I43" s="1733"/>
      <c r="J43" s="1733"/>
      <c r="K43" s="1733"/>
      <c r="L43" s="1733"/>
      <c r="M43" s="1733"/>
      <c r="N43" s="1733"/>
      <c r="O43" s="1733"/>
      <c r="X43" s="1353"/>
      <c r="Y43" s="1353"/>
      <c r="Z43" s="1353"/>
      <c r="AA43" s="1353"/>
      <c r="AU43" s="1350"/>
      <c r="DJ43" s="2045"/>
    </row>
    <row r="44" spans="1:114" x14ac:dyDescent="0.25">
      <c r="A44" s="2142"/>
      <c r="X44" s="1353"/>
      <c r="Y44" s="1353"/>
      <c r="Z44" s="1353"/>
      <c r="AA44" s="1353"/>
      <c r="AU44" s="1350"/>
      <c r="DJ44" s="2045"/>
    </row>
    <row r="45" spans="1:114" x14ac:dyDescent="0.25">
      <c r="A45" s="2142"/>
      <c r="B45" s="2339" t="s">
        <v>690</v>
      </c>
      <c r="C45" s="2340"/>
      <c r="D45" s="2340"/>
      <c r="E45" s="2340"/>
      <c r="F45" s="2340"/>
      <c r="G45" s="2340"/>
      <c r="H45" s="2340"/>
      <c r="I45" s="2311"/>
      <c r="J45" s="2311"/>
      <c r="K45" s="2311"/>
      <c r="L45" s="2311"/>
      <c r="M45" s="2311"/>
      <c r="N45" s="2311"/>
      <c r="O45" s="2312"/>
      <c r="P45" s="265"/>
      <c r="Q45" s="265"/>
      <c r="V45" s="2339" t="str">
        <f>B45</f>
        <v>SmartLearning Thermostat / Advanced Thermostat</v>
      </c>
      <c r="W45" s="2340"/>
      <c r="X45" s="2340"/>
      <c r="Y45" s="2340"/>
      <c r="Z45" s="2340"/>
      <c r="AA45" s="2340"/>
      <c r="AB45" s="2340"/>
      <c r="AC45" s="2341"/>
      <c r="AD45" s="2341"/>
      <c r="AE45" s="2341"/>
      <c r="AF45" s="2341"/>
      <c r="AG45" s="2341"/>
      <c r="AH45" s="2341"/>
      <c r="AI45" s="2342"/>
      <c r="AU45" s="1350"/>
      <c r="DJ45" s="2045"/>
    </row>
    <row r="46" spans="1:114" x14ac:dyDescent="0.25">
      <c r="A46" s="2142"/>
      <c r="B46" s="549"/>
      <c r="C46" s="263"/>
      <c r="E46" s="100"/>
      <c r="F46" s="1769"/>
      <c r="G46" s="264"/>
      <c r="H46" s="264"/>
      <c r="I46" s="264"/>
      <c r="J46" s="264"/>
      <c r="K46" s="264"/>
      <c r="L46" s="554"/>
      <c r="M46" s="265"/>
      <c r="N46" s="265"/>
      <c r="O46" s="265"/>
      <c r="P46" s="265"/>
      <c r="Q46" s="265"/>
      <c r="AU46" s="1350"/>
      <c r="DJ46" s="2045"/>
    </row>
    <row r="47" spans="1:114" ht="30" x14ac:dyDescent="0.25">
      <c r="A47" s="2142"/>
      <c r="B47" s="549"/>
      <c r="C47" s="1242" t="s">
        <v>43</v>
      </c>
      <c r="D47" s="1242" t="s">
        <v>597</v>
      </c>
      <c r="E47" s="1242" t="s">
        <v>45</v>
      </c>
      <c r="F47" s="1242" t="s">
        <v>46</v>
      </c>
      <c r="G47" s="1242" t="s">
        <v>47</v>
      </c>
      <c r="H47" s="1242" t="s">
        <v>48</v>
      </c>
      <c r="I47" s="1242" t="s">
        <v>49</v>
      </c>
      <c r="J47" s="1254" t="s">
        <v>50</v>
      </c>
      <c r="K47" s="1242" t="s">
        <v>51</v>
      </c>
      <c r="L47" s="1242" t="s">
        <v>52</v>
      </c>
      <c r="M47" s="50"/>
      <c r="N47" s="50"/>
      <c r="O47" s="265"/>
      <c r="P47" s="265"/>
      <c r="Q47" s="265"/>
      <c r="V47" s="636" t="s">
        <v>53</v>
      </c>
      <c r="W47" s="637">
        <v>43252</v>
      </c>
      <c r="X47" s="637">
        <f>$X$6</f>
        <v>43465</v>
      </c>
      <c r="Y47" s="637">
        <f>$Y$6</f>
        <v>43800</v>
      </c>
      <c r="Z47" s="637">
        <f>$Z$6</f>
        <v>43862</v>
      </c>
      <c r="AA47" s="637">
        <f>$AA$6</f>
        <v>44013</v>
      </c>
      <c r="AB47" s="637">
        <f>$AB$6</f>
        <v>44166</v>
      </c>
      <c r="AC47" s="637">
        <f>$AC$6</f>
        <v>44531</v>
      </c>
      <c r="AD47" s="637">
        <f>$AD$6</f>
        <v>44774</v>
      </c>
      <c r="AE47" s="637">
        <f>$AE$6</f>
        <v>45139</v>
      </c>
      <c r="AF47" s="637">
        <f>$AF$6</f>
        <v>45672</v>
      </c>
      <c r="AG47" s="637">
        <f>$AG$6</f>
        <v>45971</v>
      </c>
      <c r="AU47" s="1350"/>
      <c r="DG47" s="1717" t="str">
        <f>$DG$6</f>
        <v>TRC (2025)</v>
      </c>
      <c r="DH47" s="1717" t="str">
        <f>$DH$6</f>
        <v>Benefit Lookup</v>
      </c>
      <c r="DI47" s="1718" t="str">
        <f>$DI$6</f>
        <v>Benefits (2025 $)</v>
      </c>
      <c r="DJ47" s="2046" t="str">
        <f>$DJ$6</f>
        <v>Incremental Cost (2025 $)</v>
      </c>
    </row>
    <row r="48" spans="1:114" x14ac:dyDescent="0.25">
      <c r="A48" s="2142" t="s">
        <v>607</v>
      </c>
      <c r="B48" s="1318">
        <f>VALUE(LEFT(C48,6))</f>
        <v>250100</v>
      </c>
      <c r="C48" s="65" t="s">
        <v>691</v>
      </c>
      <c r="D48" s="2077" t="s">
        <v>692</v>
      </c>
      <c r="E48" s="171" t="s">
        <v>693</v>
      </c>
      <c r="F48" s="870">
        <f>ROUND(F105*((F112*F113*1/F115)/1000)*F116*F96,2)*0</f>
        <v>0</v>
      </c>
      <c r="G48" s="1273" t="s">
        <v>694</v>
      </c>
      <c r="H48" s="66">
        <f>VLOOKUP(G48,'CP FACTORS'!$A$3:$B$38, 2, FALSE)</f>
        <v>9.4741810000000004E-4</v>
      </c>
      <c r="I48" s="1761">
        <f t="shared" ref="I48:I61" si="2">ROUND(H48*F48,6)</f>
        <v>0</v>
      </c>
      <c r="J48" s="127">
        <f t="shared" ref="J48:J61" si="3">$F$125</f>
        <v>11</v>
      </c>
      <c r="K48" s="926">
        <f>$F$126</f>
        <v>79</v>
      </c>
      <c r="L48" s="927" t="s">
        <v>63</v>
      </c>
      <c r="M48" s="265"/>
      <c r="N48" s="1403"/>
      <c r="O48" s="50"/>
      <c r="P48" s="50"/>
      <c r="Q48" s="511"/>
      <c r="R48" s="510"/>
      <c r="V48" s="337" t="str">
        <f t="shared" ref="V48:V61" si="4">$F$47</f>
        <v>kWh Annual Savings</v>
      </c>
      <c r="W48" s="84">
        <v>192.51692307692309</v>
      </c>
      <c r="X48" s="85">
        <v>187.92922225947771</v>
      </c>
      <c r="Y48" s="86">
        <v>187.46</v>
      </c>
      <c r="Z48" s="666">
        <v>187.46</v>
      </c>
      <c r="AA48" s="666">
        <v>187.46</v>
      </c>
      <c r="AB48" s="650">
        <v>185.21</v>
      </c>
      <c r="AC48" s="1394">
        <v>190.21</v>
      </c>
      <c r="AD48" s="1362">
        <v>190.21</v>
      </c>
      <c r="AE48" s="1362">
        <v>190.21</v>
      </c>
      <c r="AF48" s="253">
        <v>0</v>
      </c>
      <c r="AG48" s="253">
        <f>IF(F48&lt;&gt;"",F48,"")</f>
        <v>0</v>
      </c>
      <c r="AH48" s="114"/>
      <c r="AU48" s="1350"/>
      <c r="DG48" s="1332">
        <f>(DI48+DI49)/(DJ48+DJ49)</f>
        <v>0</v>
      </c>
      <c r="DH48" s="125" t="str">
        <f t="shared" ref="DH48:DH61" si="5">CONCATENATE(G48," ",J48," Year EUL")</f>
        <v>Cooling RES 11 Year EUL</v>
      </c>
      <c r="DI48" s="945">
        <f>(INDEX('Avoided Cost Benefits'!$B$4:$B$865,MATCH(DH48,'Avoided Cost Benefits'!$A$4:$A$865,0)))*F48</f>
        <v>0</v>
      </c>
      <c r="DJ48" s="1928">
        <f t="shared" ref="DJ48:DJ61" si="6">IFERROR(K48/((1+DiscountRate)^(CurrentYear-DiscountYear)),0)</f>
        <v>79</v>
      </c>
    </row>
    <row r="49" spans="1:114" x14ac:dyDescent="0.25">
      <c r="A49" s="2142" t="s">
        <v>607</v>
      </c>
      <c r="B49" s="1318">
        <f t="shared" ref="B49:B61" si="7">VALUE(LEFT(C49,6))</f>
        <v>250100</v>
      </c>
      <c r="C49" s="65" t="s">
        <v>691</v>
      </c>
      <c r="D49" s="2077" t="s">
        <v>692</v>
      </c>
      <c r="E49" s="641" t="s">
        <v>693</v>
      </c>
      <c r="F49" s="870">
        <f>ROUND(F71*F78*F85*F92*F96+F97*F104*29.3,2)*0</f>
        <v>0</v>
      </c>
      <c r="G49" s="1273" t="s">
        <v>695</v>
      </c>
      <c r="H49" s="66">
        <f>VLOOKUP(G49,'CP FACTORS'!$A$3:$B$38, 2, FALSE)</f>
        <v>0</v>
      </c>
      <c r="I49" s="1761">
        <f t="shared" si="2"/>
        <v>0</v>
      </c>
      <c r="J49" s="127">
        <f t="shared" si="3"/>
        <v>11</v>
      </c>
      <c r="K49" s="926"/>
      <c r="L49" s="927" t="s">
        <v>63</v>
      </c>
      <c r="M49" s="265"/>
      <c r="N49" s="1403"/>
      <c r="O49" s="50"/>
      <c r="P49" s="87"/>
      <c r="Q49" s="511"/>
      <c r="R49" s="510"/>
      <c r="V49" s="337" t="str">
        <f t="shared" si="4"/>
        <v>kWh Annual Savings</v>
      </c>
      <c r="W49" s="84">
        <v>661.9754064</v>
      </c>
      <c r="X49" s="85">
        <v>552.61606399999994</v>
      </c>
      <c r="Y49" s="86">
        <v>557.16</v>
      </c>
      <c r="Z49" s="666">
        <v>557.16</v>
      </c>
      <c r="AA49" s="666">
        <v>557.16</v>
      </c>
      <c r="AB49" s="650">
        <v>550.48</v>
      </c>
      <c r="AC49" s="1362">
        <v>550.48</v>
      </c>
      <c r="AD49" s="1362">
        <v>550.48</v>
      </c>
      <c r="AE49" s="1362">
        <v>550.48</v>
      </c>
      <c r="AF49" s="253">
        <v>0</v>
      </c>
      <c r="AG49" s="253">
        <f t="shared" ref="AG49:AG61" si="8">IF(F49&lt;&gt;"",F49,"")</f>
        <v>0</v>
      </c>
      <c r="AH49" s="114"/>
      <c r="AU49" s="1350"/>
      <c r="DG49" s="1333"/>
      <c r="DH49" s="877" t="str">
        <f t="shared" si="5"/>
        <v>Heating RES 11 Year EUL</v>
      </c>
      <c r="DI49" s="527">
        <f>(INDEX('Avoided Cost Benefits'!$B$4:$B$865,MATCH(DH49,'Avoided Cost Benefits'!$A$4:$A$865,0)))*F49</f>
        <v>0</v>
      </c>
      <c r="DJ49" s="1928">
        <f t="shared" si="6"/>
        <v>0</v>
      </c>
    </row>
    <row r="50" spans="1:114" x14ac:dyDescent="0.25">
      <c r="A50" s="2142" t="s">
        <v>602</v>
      </c>
      <c r="B50" s="1318">
        <f t="shared" si="7"/>
        <v>250101</v>
      </c>
      <c r="C50" s="65" t="s">
        <v>696</v>
      </c>
      <c r="D50" s="101" t="s">
        <v>604</v>
      </c>
      <c r="E50" s="171" t="s">
        <v>697</v>
      </c>
      <c r="F50" s="870">
        <f>ROUND(F106*((F112*F114*1/F115)/1000)*F116*F96,2)*0</f>
        <v>0</v>
      </c>
      <c r="G50" s="1273" t="s">
        <v>694</v>
      </c>
      <c r="H50" s="66">
        <f>VLOOKUP(G50,'CP FACTORS'!$A$3:$B$38, 2, FALSE)</f>
        <v>9.4741810000000004E-4</v>
      </c>
      <c r="I50" s="1761">
        <f t="shared" si="2"/>
        <v>0</v>
      </c>
      <c r="J50" s="127">
        <f t="shared" si="3"/>
        <v>11</v>
      </c>
      <c r="K50" s="926">
        <f>$F$126</f>
        <v>79</v>
      </c>
      <c r="L50" s="927" t="s">
        <v>63</v>
      </c>
      <c r="M50" s="265"/>
      <c r="N50" s="1403"/>
      <c r="O50" s="50"/>
      <c r="P50" s="87"/>
      <c r="Q50" s="511"/>
      <c r="R50" s="510"/>
      <c r="V50" s="337" t="str">
        <f t="shared" si="4"/>
        <v>kWh Annual Savings</v>
      </c>
      <c r="W50" s="84"/>
      <c r="X50" s="85"/>
      <c r="Y50" s="86">
        <v>187.46</v>
      </c>
      <c r="Z50" s="666">
        <v>187.46</v>
      </c>
      <c r="AA50" s="666">
        <v>187.46</v>
      </c>
      <c r="AB50" s="650">
        <v>185.21</v>
      </c>
      <c r="AC50" s="1394">
        <v>190.21</v>
      </c>
      <c r="AD50" s="1362">
        <v>190.21</v>
      </c>
      <c r="AE50" s="1362">
        <v>190.21</v>
      </c>
      <c r="AF50" s="253">
        <v>0</v>
      </c>
      <c r="AG50" s="253">
        <f t="shared" si="8"/>
        <v>0</v>
      </c>
      <c r="AH50" s="114"/>
      <c r="AU50" s="1350"/>
      <c r="DG50" s="1333">
        <f>(DI50+DI51)/(DJ50+DJ51)</f>
        <v>0</v>
      </c>
      <c r="DH50" s="125" t="str">
        <f t="shared" si="5"/>
        <v>Cooling RES 11 Year EUL</v>
      </c>
      <c r="DI50" s="527">
        <f>(INDEX('Avoided Cost Benefits'!$B$4:$B$865,MATCH(DH50,'Avoided Cost Benefits'!$A$4:$A$865,0)))*F50</f>
        <v>0</v>
      </c>
      <c r="DJ50" s="1928">
        <f t="shared" si="6"/>
        <v>79</v>
      </c>
    </row>
    <row r="51" spans="1:114" x14ac:dyDescent="0.25">
      <c r="A51" s="2142" t="s">
        <v>602</v>
      </c>
      <c r="B51" s="1318">
        <f t="shared" si="7"/>
        <v>250101</v>
      </c>
      <c r="C51" s="65" t="s">
        <v>696</v>
      </c>
      <c r="D51" s="101" t="s">
        <v>604</v>
      </c>
      <c r="E51" s="641" t="s">
        <v>697</v>
      </c>
      <c r="F51" s="870">
        <f>ROUND(F72*F79*F86*F92*F96+F97*F104*29.3,2)*0</f>
        <v>0</v>
      </c>
      <c r="G51" s="1273" t="s">
        <v>695</v>
      </c>
      <c r="H51" s="66">
        <f>VLOOKUP(G51,'CP FACTORS'!$A$3:$B$38, 2, FALSE)</f>
        <v>0</v>
      </c>
      <c r="I51" s="1761">
        <f t="shared" si="2"/>
        <v>0</v>
      </c>
      <c r="J51" s="127">
        <f t="shared" si="3"/>
        <v>11</v>
      </c>
      <c r="K51" s="926"/>
      <c r="L51" s="927" t="s">
        <v>63</v>
      </c>
      <c r="M51" s="265"/>
      <c r="N51" s="1403"/>
      <c r="O51" s="50"/>
      <c r="P51" s="87"/>
      <c r="Q51" s="511"/>
      <c r="R51" s="510"/>
      <c r="V51" s="337" t="str">
        <f t="shared" si="4"/>
        <v>kWh Annual Savings</v>
      </c>
      <c r="W51" s="84"/>
      <c r="X51" s="85"/>
      <c r="Y51" s="86">
        <v>362.16</v>
      </c>
      <c r="Z51" s="666">
        <v>362.16</v>
      </c>
      <c r="AA51" s="666">
        <v>362.16</v>
      </c>
      <c r="AB51" s="650">
        <v>357.82</v>
      </c>
      <c r="AC51" s="1362">
        <v>357.82</v>
      </c>
      <c r="AD51" s="1362">
        <v>357.82</v>
      </c>
      <c r="AE51" s="1362">
        <v>357.82</v>
      </c>
      <c r="AF51" s="253">
        <v>0</v>
      </c>
      <c r="AG51" s="253">
        <f t="shared" si="8"/>
        <v>0</v>
      </c>
      <c r="AH51" s="114"/>
      <c r="AU51" s="1350"/>
      <c r="DG51" s="1333"/>
      <c r="DH51" s="877" t="str">
        <f t="shared" si="5"/>
        <v>Heating RES 11 Year EUL</v>
      </c>
      <c r="DI51" s="527">
        <f>(INDEX('Avoided Cost Benefits'!$B$4:$B$865,MATCH(DH51,'Avoided Cost Benefits'!$A$4:$A$865,0)))*F51</f>
        <v>0</v>
      </c>
      <c r="DJ51" s="1928">
        <f t="shared" si="6"/>
        <v>0</v>
      </c>
    </row>
    <row r="52" spans="1:114" x14ac:dyDescent="0.25">
      <c r="A52" s="2142" t="s">
        <v>602</v>
      </c>
      <c r="B52" s="1318">
        <f t="shared" si="7"/>
        <v>250150</v>
      </c>
      <c r="C52" s="65" t="s">
        <v>698</v>
      </c>
      <c r="D52" s="101" t="s">
        <v>604</v>
      </c>
      <c r="E52" s="171" t="s">
        <v>699</v>
      </c>
      <c r="F52" s="870">
        <f>ROUND(F107*((F112*F114*1/F115)/1000)*F116*F96,2)*0</f>
        <v>0</v>
      </c>
      <c r="G52" s="1273" t="s">
        <v>694</v>
      </c>
      <c r="H52" s="66">
        <f>VLOOKUP(G52,'CP FACTORS'!$A$3:$B$38, 2, FALSE)</f>
        <v>9.4741810000000004E-4</v>
      </c>
      <c r="I52" s="1761">
        <f t="shared" si="2"/>
        <v>0</v>
      </c>
      <c r="J52" s="127">
        <f t="shared" si="3"/>
        <v>11</v>
      </c>
      <c r="K52" s="926">
        <f>$F$126</f>
        <v>79</v>
      </c>
      <c r="L52" s="927" t="s">
        <v>63</v>
      </c>
      <c r="M52" s="265"/>
      <c r="N52" s="1403"/>
      <c r="O52" s="50"/>
      <c r="P52" s="88"/>
      <c r="Q52" s="511"/>
      <c r="R52" s="510"/>
      <c r="V52" s="337" t="str">
        <f t="shared" si="4"/>
        <v>kWh Annual Savings</v>
      </c>
      <c r="W52" s="84">
        <v>192.51692307692309</v>
      </c>
      <c r="X52" s="85">
        <v>122.15399446866051</v>
      </c>
      <c r="Y52" s="86">
        <v>187.46</v>
      </c>
      <c r="Z52" s="666">
        <v>187.46</v>
      </c>
      <c r="AA52" s="666">
        <v>187.46</v>
      </c>
      <c r="AB52" s="650">
        <v>185.21</v>
      </c>
      <c r="AC52" s="1394">
        <v>190.21</v>
      </c>
      <c r="AD52" s="1362">
        <v>190.21</v>
      </c>
      <c r="AE52" s="1362">
        <v>190.21</v>
      </c>
      <c r="AF52" s="253">
        <v>0</v>
      </c>
      <c r="AG52" s="253">
        <f t="shared" si="8"/>
        <v>0</v>
      </c>
      <c r="AH52" s="114"/>
      <c r="AU52" s="1350"/>
      <c r="DG52" s="1333">
        <f>(DI52+DI53)/(DJ52+DJ53)</f>
        <v>0</v>
      </c>
      <c r="DH52" s="125" t="str">
        <f t="shared" si="5"/>
        <v>Cooling RES 11 Year EUL</v>
      </c>
      <c r="DI52" s="527">
        <f>(INDEX('Avoided Cost Benefits'!$B$4:$B$865,MATCH(DH52,'Avoided Cost Benefits'!$A$4:$A$865,0)))*F52</f>
        <v>0</v>
      </c>
      <c r="DJ52" s="1928">
        <f t="shared" si="6"/>
        <v>79</v>
      </c>
    </row>
    <row r="53" spans="1:114" x14ac:dyDescent="0.25">
      <c r="A53" s="2142" t="s">
        <v>602</v>
      </c>
      <c r="B53" s="1318">
        <f t="shared" si="7"/>
        <v>250150</v>
      </c>
      <c r="C53" s="65" t="s">
        <v>698</v>
      </c>
      <c r="D53" s="101" t="s">
        <v>604</v>
      </c>
      <c r="E53" s="641" t="s">
        <v>699</v>
      </c>
      <c r="F53" s="870">
        <f>ROUND(F73*F80*F87*F92*F96+F99*F104*29.3,2)*0</f>
        <v>0</v>
      </c>
      <c r="G53" s="1273" t="s">
        <v>695</v>
      </c>
      <c r="H53" s="66">
        <f>VLOOKUP(G53,'CP FACTORS'!$A$3:$B$38, 2, FALSE)</f>
        <v>0</v>
      </c>
      <c r="I53" s="1761">
        <f t="shared" si="2"/>
        <v>0</v>
      </c>
      <c r="J53" s="127">
        <f t="shared" si="3"/>
        <v>11</v>
      </c>
      <c r="K53" s="926"/>
      <c r="L53" s="927" t="s">
        <v>63</v>
      </c>
      <c r="M53" s="265"/>
      <c r="N53" s="1403"/>
      <c r="O53" s="50"/>
      <c r="P53" s="50"/>
      <c r="Q53" s="511"/>
      <c r="R53" s="510"/>
      <c r="V53" s="337" t="str">
        <f t="shared" si="4"/>
        <v>kWh Annual Savings</v>
      </c>
      <c r="W53" s="84">
        <v>710.41841416</v>
      </c>
      <c r="X53" s="85">
        <v>617.03664664150949</v>
      </c>
      <c r="Y53" s="86">
        <v>615.61</v>
      </c>
      <c r="Z53" s="666">
        <v>615.61</v>
      </c>
      <c r="AA53" s="666">
        <v>615.61</v>
      </c>
      <c r="AB53" s="650">
        <v>608.22</v>
      </c>
      <c r="AC53" s="1362">
        <v>608.22</v>
      </c>
      <c r="AD53" s="1362">
        <v>608.22</v>
      </c>
      <c r="AE53" s="1362">
        <v>608.22</v>
      </c>
      <c r="AF53" s="253">
        <v>0</v>
      </c>
      <c r="AG53" s="253">
        <f t="shared" si="8"/>
        <v>0</v>
      </c>
      <c r="AH53" s="114"/>
      <c r="AU53" s="1350"/>
      <c r="DG53" s="1333"/>
      <c r="DH53" s="877" t="str">
        <f t="shared" si="5"/>
        <v>Heating RES 11 Year EUL</v>
      </c>
      <c r="DI53" s="527">
        <f>(INDEX('Avoided Cost Benefits'!$B$4:$B$865,MATCH(DH53,'Avoided Cost Benefits'!$A$4:$A$865,0)))*F53</f>
        <v>0</v>
      </c>
      <c r="DJ53" s="1928">
        <f t="shared" si="6"/>
        <v>0</v>
      </c>
    </row>
    <row r="54" spans="1:114" x14ac:dyDescent="0.25">
      <c r="A54" s="2142" t="s">
        <v>607</v>
      </c>
      <c r="B54" s="1318">
        <f t="shared" si="7"/>
        <v>250250</v>
      </c>
      <c r="C54" s="65" t="s">
        <v>700</v>
      </c>
      <c r="D54" s="2077" t="s">
        <v>692</v>
      </c>
      <c r="E54" s="171" t="s">
        <v>701</v>
      </c>
      <c r="F54" s="870">
        <f>ROUND(F108*((F112*F113*1/F115)/1000)*F116*F96,2)*0</f>
        <v>0</v>
      </c>
      <c r="G54" s="1273" t="s">
        <v>694</v>
      </c>
      <c r="H54" s="66">
        <f>VLOOKUP(G54,'CP FACTORS'!$A$3:$B$38, 2, FALSE)</f>
        <v>9.4741810000000004E-4</v>
      </c>
      <c r="I54" s="1761">
        <f t="shared" si="2"/>
        <v>0</v>
      </c>
      <c r="J54" s="127">
        <f t="shared" si="3"/>
        <v>11</v>
      </c>
      <c r="K54" s="926">
        <f>$F$126</f>
        <v>79</v>
      </c>
      <c r="L54" s="927" t="s">
        <v>63</v>
      </c>
      <c r="M54" s="265"/>
      <c r="N54" s="1403"/>
      <c r="O54" s="50"/>
      <c r="P54" s="50"/>
      <c r="Q54" s="511"/>
      <c r="R54" s="510"/>
      <c r="V54" s="337" t="str">
        <f t="shared" si="4"/>
        <v>kWh Annual Savings</v>
      </c>
      <c r="W54" s="84">
        <v>192.51692307692309</v>
      </c>
      <c r="X54" s="85">
        <v>187.92922225947771</v>
      </c>
      <c r="Y54" s="86">
        <v>187.46</v>
      </c>
      <c r="Z54" s="666">
        <v>187.46</v>
      </c>
      <c r="AA54" s="666">
        <v>187.46</v>
      </c>
      <c r="AB54" s="650">
        <v>185.21</v>
      </c>
      <c r="AC54" s="1394">
        <v>190.21</v>
      </c>
      <c r="AD54" s="1362">
        <v>190.21</v>
      </c>
      <c r="AE54" s="1362">
        <v>190.21</v>
      </c>
      <c r="AF54" s="253">
        <v>0</v>
      </c>
      <c r="AG54" s="253">
        <f t="shared" si="8"/>
        <v>0</v>
      </c>
      <c r="AH54" s="114"/>
      <c r="AU54" s="1350"/>
      <c r="DG54" s="1333">
        <f>(DI54+DI55)/(DJ54+DJ55)</f>
        <v>0</v>
      </c>
      <c r="DH54" s="125" t="str">
        <f t="shared" si="5"/>
        <v>Cooling RES 11 Year EUL</v>
      </c>
      <c r="DI54" s="527">
        <f>(INDEX('Avoided Cost Benefits'!$B$4:$B$865,MATCH(DH54,'Avoided Cost Benefits'!$A$4:$A$865,0)))*F54</f>
        <v>0</v>
      </c>
      <c r="DJ54" s="1928">
        <f t="shared" si="6"/>
        <v>79</v>
      </c>
    </row>
    <row r="55" spans="1:114" x14ac:dyDescent="0.25">
      <c r="A55" s="2142" t="s">
        <v>607</v>
      </c>
      <c r="B55" s="1318">
        <f t="shared" si="7"/>
        <v>250250</v>
      </c>
      <c r="C55" s="65" t="s">
        <v>700</v>
      </c>
      <c r="D55" s="2077" t="s">
        <v>692</v>
      </c>
      <c r="E55" s="641" t="s">
        <v>702</v>
      </c>
      <c r="F55" s="870">
        <f>ROUND(F74*F81*F88*F92*F96+F100*F104*29.3,2)*0</f>
        <v>0</v>
      </c>
      <c r="G55" s="1273" t="s">
        <v>695</v>
      </c>
      <c r="H55" s="66">
        <f>VLOOKUP(G55,'CP FACTORS'!$A$3:$B$38, 2, FALSE)</f>
        <v>0</v>
      </c>
      <c r="I55" s="1761">
        <f t="shared" si="2"/>
        <v>0</v>
      </c>
      <c r="J55" s="127">
        <f t="shared" si="3"/>
        <v>11</v>
      </c>
      <c r="K55" s="926"/>
      <c r="L55" s="927" t="s">
        <v>63</v>
      </c>
      <c r="M55" s="265"/>
      <c r="N55" s="1403"/>
      <c r="O55" s="50"/>
      <c r="P55" s="50"/>
      <c r="Q55" s="511"/>
      <c r="R55" s="510"/>
      <c r="V55" s="337" t="str">
        <f t="shared" si="4"/>
        <v>kWh Annual Savings</v>
      </c>
      <c r="W55" s="84">
        <v>1092.9514064</v>
      </c>
      <c r="X55" s="85">
        <v>949.28714867924521</v>
      </c>
      <c r="Y55" s="86">
        <v>947.09</v>
      </c>
      <c r="Z55" s="666">
        <v>947.09</v>
      </c>
      <c r="AA55" s="666">
        <v>947.09</v>
      </c>
      <c r="AB55" s="650">
        <v>935.72</v>
      </c>
      <c r="AC55" s="1362">
        <v>935.72</v>
      </c>
      <c r="AD55" s="1362">
        <v>935.72</v>
      </c>
      <c r="AE55" s="1362">
        <v>935.72</v>
      </c>
      <c r="AF55" s="253">
        <v>0</v>
      </c>
      <c r="AG55" s="253">
        <f t="shared" si="8"/>
        <v>0</v>
      </c>
      <c r="AH55" s="114"/>
      <c r="AU55" s="1350"/>
      <c r="DG55" s="1333"/>
      <c r="DH55" s="877" t="str">
        <f t="shared" si="5"/>
        <v>Heating RES 11 Year EUL</v>
      </c>
      <c r="DI55" s="527">
        <f>(INDEX('Avoided Cost Benefits'!$B$4:$B$865,MATCH(DH55,'Avoided Cost Benefits'!$A$4:$A$865,0)))*F55</f>
        <v>0</v>
      </c>
      <c r="DJ55" s="1928">
        <f t="shared" si="6"/>
        <v>0</v>
      </c>
    </row>
    <row r="56" spans="1:114" x14ac:dyDescent="0.25">
      <c r="A56" s="2142" t="s">
        <v>607</v>
      </c>
      <c r="B56" s="1318">
        <f t="shared" si="7"/>
        <v>250350</v>
      </c>
      <c r="C56" s="65" t="s">
        <v>703</v>
      </c>
      <c r="D56" s="2077" t="s">
        <v>692</v>
      </c>
      <c r="E56" s="171" t="s">
        <v>704</v>
      </c>
      <c r="F56" s="870">
        <f>ROUND(F109*((F112*F113*1/F115)/1000)*F116*F96,2)*0</f>
        <v>0</v>
      </c>
      <c r="G56" s="1273" t="s">
        <v>694</v>
      </c>
      <c r="H56" s="66">
        <f>VLOOKUP(G56,'CP FACTORS'!$A$3:$B$38, 2, FALSE)</f>
        <v>9.4741810000000004E-4</v>
      </c>
      <c r="I56" s="1761">
        <f t="shared" si="2"/>
        <v>0</v>
      </c>
      <c r="J56" s="127">
        <f t="shared" si="3"/>
        <v>11</v>
      </c>
      <c r="K56" s="926">
        <f>$F$126</f>
        <v>79</v>
      </c>
      <c r="L56" s="927" t="s">
        <v>63</v>
      </c>
      <c r="M56" s="265"/>
      <c r="N56" s="1403"/>
      <c r="O56" s="50"/>
      <c r="P56" s="87"/>
      <c r="Q56" s="511"/>
      <c r="R56" s="510"/>
      <c r="V56" s="337" t="str">
        <f t="shared" si="4"/>
        <v>kWh Annual Savings</v>
      </c>
      <c r="W56" s="84">
        <v>192.51692307692309</v>
      </c>
      <c r="X56" s="85">
        <v>187.92922225947771</v>
      </c>
      <c r="Y56" s="86">
        <v>187.46</v>
      </c>
      <c r="Z56" s="666">
        <v>187.46</v>
      </c>
      <c r="AA56" s="666">
        <v>187.46</v>
      </c>
      <c r="AB56" s="650">
        <v>185.21</v>
      </c>
      <c r="AC56" s="1394">
        <v>190.21</v>
      </c>
      <c r="AD56" s="1362">
        <v>190.21</v>
      </c>
      <c r="AE56" s="1362">
        <v>190.21</v>
      </c>
      <c r="AF56" s="253">
        <v>0</v>
      </c>
      <c r="AG56" s="253">
        <f t="shared" si="8"/>
        <v>0</v>
      </c>
      <c r="AH56" s="114"/>
      <c r="AU56" s="1350"/>
      <c r="DG56" s="1333">
        <f>(DI56+DI57)/(DJ56+DJ57)</f>
        <v>0</v>
      </c>
      <c r="DH56" s="125" t="str">
        <f t="shared" si="5"/>
        <v>Cooling RES 11 Year EUL</v>
      </c>
      <c r="DI56" s="527">
        <f>(INDEX('Avoided Cost Benefits'!$B$4:$B$865,MATCH(DH56,'Avoided Cost Benefits'!$A$4:$A$865,0)))*F56</f>
        <v>0</v>
      </c>
      <c r="DJ56" s="1928">
        <f t="shared" si="6"/>
        <v>79</v>
      </c>
    </row>
    <row r="57" spans="1:114" x14ac:dyDescent="0.25">
      <c r="A57" s="2142" t="s">
        <v>607</v>
      </c>
      <c r="B57" s="1318">
        <f t="shared" si="7"/>
        <v>250350</v>
      </c>
      <c r="C57" s="65" t="s">
        <v>703</v>
      </c>
      <c r="D57" s="2077" t="s">
        <v>692</v>
      </c>
      <c r="E57" s="641" t="s">
        <v>704</v>
      </c>
      <c r="F57" s="870">
        <f>ROUND(F75*F82*F89*F92*F96+F101*F104*29.3,2)*0</f>
        <v>0</v>
      </c>
      <c r="G57" s="1273" t="s">
        <v>695</v>
      </c>
      <c r="H57" s="66">
        <f>VLOOKUP(G57,'CP FACTORS'!$A$3:$B$38, 2, FALSE)</f>
        <v>0</v>
      </c>
      <c r="I57" s="1761">
        <f t="shared" si="2"/>
        <v>0</v>
      </c>
      <c r="J57" s="127">
        <f t="shared" si="3"/>
        <v>11</v>
      </c>
      <c r="K57" s="926"/>
      <c r="L57" s="927" t="s">
        <v>63</v>
      </c>
      <c r="M57" s="265"/>
      <c r="N57" s="1403"/>
      <c r="O57" s="50"/>
      <c r="P57" s="88"/>
      <c r="Q57" s="511"/>
      <c r="R57" s="510"/>
      <c r="V57" s="337" t="str">
        <f t="shared" si="4"/>
        <v>kWh Annual Savings</v>
      </c>
      <c r="W57" s="84">
        <v>46.295406399999997</v>
      </c>
      <c r="X57" s="84">
        <v>41.992474552808346</v>
      </c>
      <c r="Y57" s="86">
        <v>41.85</v>
      </c>
      <c r="Z57" s="666">
        <v>41.85</v>
      </c>
      <c r="AA57" s="666">
        <v>41.85</v>
      </c>
      <c r="AB57" s="650">
        <v>41.35</v>
      </c>
      <c r="AC57" s="1362">
        <v>41.35</v>
      </c>
      <c r="AD57" s="1362">
        <v>41.35</v>
      </c>
      <c r="AE57" s="1362">
        <v>41.35</v>
      </c>
      <c r="AF57" s="253">
        <v>0</v>
      </c>
      <c r="AG57" s="253">
        <f t="shared" si="8"/>
        <v>0</v>
      </c>
      <c r="AH57" s="114"/>
      <c r="AU57" s="1350"/>
      <c r="DG57" s="1333"/>
      <c r="DH57" s="877" t="str">
        <f t="shared" si="5"/>
        <v>Heating RES 11 Year EUL</v>
      </c>
      <c r="DI57" s="527">
        <f>(INDEX('Avoided Cost Benefits'!$B$4:$B$865,MATCH(DH57,'Avoided Cost Benefits'!$A$4:$A$865,0)))*F57</f>
        <v>0</v>
      </c>
      <c r="DJ57" s="1928">
        <f t="shared" si="6"/>
        <v>0</v>
      </c>
    </row>
    <row r="58" spans="1:114" x14ac:dyDescent="0.25">
      <c r="A58" s="2142" t="s">
        <v>602</v>
      </c>
      <c r="B58" s="1318">
        <f t="shared" si="7"/>
        <v>250351</v>
      </c>
      <c r="C58" s="65" t="s">
        <v>705</v>
      </c>
      <c r="D58" s="101" t="s">
        <v>604</v>
      </c>
      <c r="E58" s="171" t="s">
        <v>706</v>
      </c>
      <c r="F58" s="870">
        <f>ROUND(F110*((F112*F114*1/F115)/1000)*F116*F96,2)*0</f>
        <v>0</v>
      </c>
      <c r="G58" s="1273" t="s">
        <v>694</v>
      </c>
      <c r="H58" s="66">
        <f>VLOOKUP(G58,'CP FACTORS'!$A$3:$B$38, 2, FALSE)</f>
        <v>9.4741810000000004E-4</v>
      </c>
      <c r="I58" s="1761">
        <f t="shared" si="2"/>
        <v>0</v>
      </c>
      <c r="J58" s="127">
        <f t="shared" si="3"/>
        <v>11</v>
      </c>
      <c r="K58" s="926">
        <f>$F$126</f>
        <v>79</v>
      </c>
      <c r="L58" s="927" t="s">
        <v>63</v>
      </c>
      <c r="M58" s="265"/>
      <c r="N58" s="1403"/>
      <c r="O58" s="50"/>
      <c r="P58" s="88"/>
      <c r="Q58" s="511"/>
      <c r="R58" s="510"/>
      <c r="V58" s="337" t="str">
        <f t="shared" si="4"/>
        <v>kWh Annual Savings</v>
      </c>
      <c r="W58" s="84"/>
      <c r="X58" s="84"/>
      <c r="Y58" s="86">
        <v>136.33000000000001</v>
      </c>
      <c r="Z58" s="666">
        <v>136.33000000000001</v>
      </c>
      <c r="AA58" s="666">
        <v>136.33000000000001</v>
      </c>
      <c r="AB58" s="650">
        <v>185.21</v>
      </c>
      <c r="AC58" s="1394">
        <v>190.21</v>
      </c>
      <c r="AD58" s="1362">
        <v>190.21</v>
      </c>
      <c r="AE58" s="1362">
        <v>190.21</v>
      </c>
      <c r="AF58" s="253">
        <v>0</v>
      </c>
      <c r="AG58" s="253">
        <f t="shared" si="8"/>
        <v>0</v>
      </c>
      <c r="AH58" s="114"/>
      <c r="AU58" s="1350"/>
      <c r="DG58" s="1333">
        <f>(DI58+DI59)/(DJ58+DJ59)</f>
        <v>0</v>
      </c>
      <c r="DH58" s="125" t="str">
        <f t="shared" si="5"/>
        <v>Cooling RES 11 Year EUL</v>
      </c>
      <c r="DI58" s="527">
        <f>(INDEX('Avoided Cost Benefits'!$B$4:$B$865,MATCH(DH58,'Avoided Cost Benefits'!$A$4:$A$865,0)))*F58</f>
        <v>0</v>
      </c>
      <c r="DJ58" s="1928">
        <f t="shared" si="6"/>
        <v>79</v>
      </c>
    </row>
    <row r="59" spans="1:114" x14ac:dyDescent="0.25">
      <c r="A59" s="2142" t="s">
        <v>602</v>
      </c>
      <c r="B59" s="1318">
        <f t="shared" si="7"/>
        <v>250351</v>
      </c>
      <c r="C59" s="65" t="s">
        <v>705</v>
      </c>
      <c r="D59" s="101" t="s">
        <v>604</v>
      </c>
      <c r="E59" s="641" t="s">
        <v>707</v>
      </c>
      <c r="F59" s="870">
        <f>ROUND(F76*F83*F90*F92*F96+F102*F104*29.3,2)*0</f>
        <v>0</v>
      </c>
      <c r="G59" s="1273" t="s">
        <v>695</v>
      </c>
      <c r="H59" s="66">
        <f>VLOOKUP(G59,'CP FACTORS'!$A$3:$B$38, 2, FALSE)</f>
        <v>0</v>
      </c>
      <c r="I59" s="1761">
        <f t="shared" si="2"/>
        <v>0</v>
      </c>
      <c r="J59" s="127">
        <f t="shared" si="3"/>
        <v>11</v>
      </c>
      <c r="K59" s="926"/>
      <c r="L59" s="927" t="s">
        <v>63</v>
      </c>
      <c r="M59" s="265"/>
      <c r="N59" s="1403"/>
      <c r="O59" s="50"/>
      <c r="P59" s="88"/>
      <c r="Q59" s="511"/>
      <c r="R59" s="510"/>
      <c r="V59" s="337" t="str">
        <f t="shared" si="4"/>
        <v>kWh Annual Savings</v>
      </c>
      <c r="W59" s="84"/>
      <c r="X59" s="84"/>
      <c r="Y59" s="86">
        <v>27.2</v>
      </c>
      <c r="Z59" s="666">
        <v>27.2</v>
      </c>
      <c r="AA59" s="666">
        <v>27.2</v>
      </c>
      <c r="AB59" s="650">
        <v>26.88</v>
      </c>
      <c r="AC59" s="1362">
        <v>26.88</v>
      </c>
      <c r="AD59" s="1362">
        <v>26.88</v>
      </c>
      <c r="AE59" s="1362">
        <v>26.88</v>
      </c>
      <c r="AF59" s="253">
        <v>0</v>
      </c>
      <c r="AG59" s="253">
        <f t="shared" si="8"/>
        <v>0</v>
      </c>
      <c r="AH59" s="114"/>
      <c r="AU59" s="1350"/>
      <c r="DG59" s="1333"/>
      <c r="DH59" s="877" t="str">
        <f t="shared" si="5"/>
        <v>Heating RES 11 Year EUL</v>
      </c>
      <c r="DI59" s="527">
        <f>(INDEX('Avoided Cost Benefits'!$B$4:$B$865,MATCH(DH59,'Avoided Cost Benefits'!$A$4:$A$865,0)))*F59</f>
        <v>0</v>
      </c>
      <c r="DJ59" s="1928">
        <f t="shared" si="6"/>
        <v>0</v>
      </c>
    </row>
    <row r="60" spans="1:114" x14ac:dyDescent="0.25">
      <c r="A60" s="2142" t="s">
        <v>629</v>
      </c>
      <c r="B60" s="1318">
        <f t="shared" si="7"/>
        <v>250450</v>
      </c>
      <c r="C60" s="65" t="s">
        <v>708</v>
      </c>
      <c r="D60" s="2077" t="s">
        <v>692</v>
      </c>
      <c r="E60" s="171" t="s">
        <v>709</v>
      </c>
      <c r="F60" s="870">
        <f>ROUND(F111*((F112*F113*1/F115)/1000)*F116*F96,2)*0</f>
        <v>0</v>
      </c>
      <c r="G60" s="1273" t="s">
        <v>694</v>
      </c>
      <c r="H60" s="66">
        <f>VLOOKUP(G60,'CP FACTORS'!$A$3:$B$38, 2, FALSE)</f>
        <v>9.4741810000000004E-4</v>
      </c>
      <c r="I60" s="1761">
        <f t="shared" si="2"/>
        <v>0</v>
      </c>
      <c r="J60" s="127">
        <f t="shared" si="3"/>
        <v>11</v>
      </c>
      <c r="K60" s="926">
        <f>$F$126</f>
        <v>79</v>
      </c>
      <c r="L60" s="927" t="s">
        <v>63</v>
      </c>
      <c r="M60" s="265"/>
      <c r="N60" s="1403"/>
      <c r="O60" s="50"/>
      <c r="P60" s="50"/>
      <c r="Q60" s="511"/>
      <c r="R60" s="510"/>
      <c r="V60" s="337" t="str">
        <f t="shared" si="4"/>
        <v>kWh Annual Savings</v>
      </c>
      <c r="W60" s="84">
        <v>192.51692307692309</v>
      </c>
      <c r="X60" s="85">
        <v>187.92922225947771</v>
      </c>
      <c r="Y60" s="86">
        <v>187.46</v>
      </c>
      <c r="Z60" s="666">
        <v>187.46</v>
      </c>
      <c r="AA60" s="666">
        <v>187.46</v>
      </c>
      <c r="AB60" s="650">
        <v>185.21</v>
      </c>
      <c r="AC60" s="1394">
        <v>190.21</v>
      </c>
      <c r="AD60" s="1362">
        <v>190.21</v>
      </c>
      <c r="AE60" s="1362">
        <v>190.21</v>
      </c>
      <c r="AF60" s="253">
        <v>0</v>
      </c>
      <c r="AG60" s="253">
        <f t="shared" si="8"/>
        <v>0</v>
      </c>
      <c r="AH60" s="114"/>
      <c r="AU60" s="1350"/>
      <c r="DG60" s="1333">
        <f>(DI60+DI61)/(DJ60+DJ61)</f>
        <v>0</v>
      </c>
      <c r="DH60" s="125" t="str">
        <f t="shared" si="5"/>
        <v>Cooling RES 11 Year EUL</v>
      </c>
      <c r="DI60" s="527">
        <f>(INDEX('Avoided Cost Benefits'!$B$4:$B$865,MATCH(DH60,'Avoided Cost Benefits'!$A$4:$A$865,0)))*F60</f>
        <v>0</v>
      </c>
      <c r="DJ60" s="1928">
        <f t="shared" si="6"/>
        <v>79</v>
      </c>
    </row>
    <row r="61" spans="1:114" x14ac:dyDescent="0.25">
      <c r="A61" s="2142" t="s">
        <v>629</v>
      </c>
      <c r="B61" s="1318">
        <f t="shared" si="7"/>
        <v>250450</v>
      </c>
      <c r="C61" s="65" t="s">
        <v>708</v>
      </c>
      <c r="D61" s="2077" t="s">
        <v>692</v>
      </c>
      <c r="E61" s="641" t="s">
        <v>710</v>
      </c>
      <c r="F61" s="870">
        <f>ROUND(F77*F84*F91*F92*F96+F103*F104*29.3,2)*0</f>
        <v>0</v>
      </c>
      <c r="G61" s="1273" t="s">
        <v>695</v>
      </c>
      <c r="H61" s="66">
        <f>VLOOKUP(G61,'CP FACTORS'!$A$3:$B$38, 2, FALSE)</f>
        <v>0</v>
      </c>
      <c r="I61" s="1761">
        <f t="shared" si="2"/>
        <v>0</v>
      </c>
      <c r="J61" s="127">
        <f t="shared" si="3"/>
        <v>11</v>
      </c>
      <c r="K61" s="926"/>
      <c r="L61" s="927" t="s">
        <v>63</v>
      </c>
      <c r="M61" s="265"/>
      <c r="N61" s="1403"/>
      <c r="O61" s="265"/>
      <c r="P61" s="265"/>
      <c r="Q61" s="511"/>
      <c r="R61" s="510"/>
      <c r="V61" s="337" t="str">
        <f t="shared" si="4"/>
        <v>kWh Annual Savings</v>
      </c>
      <c r="W61" s="84">
        <v>377.56641415999997</v>
      </c>
      <c r="X61" s="85">
        <v>226.28150936736847</v>
      </c>
      <c r="Y61" s="86">
        <v>160.49</v>
      </c>
      <c r="Z61" s="666">
        <v>160.49</v>
      </c>
      <c r="AA61" s="666">
        <v>160.49</v>
      </c>
      <c r="AB61" s="650">
        <v>158.56</v>
      </c>
      <c r="AC61" s="1394">
        <v>276.79000000000002</v>
      </c>
      <c r="AD61" s="1362">
        <v>276.79000000000002</v>
      </c>
      <c r="AE61" s="1362">
        <v>276.79000000000002</v>
      </c>
      <c r="AF61" s="253">
        <v>0</v>
      </c>
      <c r="AG61" s="253">
        <f t="shared" si="8"/>
        <v>0</v>
      </c>
      <c r="AH61" s="114"/>
      <c r="AU61" s="1350"/>
      <c r="DG61" s="1333"/>
      <c r="DH61" s="877" t="str">
        <f t="shared" si="5"/>
        <v>Heating RES 11 Year EUL</v>
      </c>
      <c r="DI61" s="527">
        <f>(INDEX('Avoided Cost Benefits'!$B$4:$B$865,MATCH(DH61,'Avoided Cost Benefits'!$A$4:$A$865,0)))*F61</f>
        <v>0</v>
      </c>
      <c r="DJ61" s="1928">
        <f t="shared" si="6"/>
        <v>0</v>
      </c>
    </row>
    <row r="62" spans="1:114" outlineLevel="1" x14ac:dyDescent="0.25">
      <c r="A62" s="2142"/>
      <c r="B62" s="549"/>
      <c r="C62" s="263"/>
      <c r="D62" s="74" t="s">
        <v>95</v>
      </c>
      <c r="E62" s="74" t="s">
        <v>711</v>
      </c>
      <c r="F62" s="263" t="s">
        <v>712</v>
      </c>
      <c r="G62" s="265"/>
      <c r="H62" s="265"/>
      <c r="I62" s="265"/>
      <c r="J62" s="265"/>
      <c r="K62" s="265"/>
      <c r="L62" s="265"/>
      <c r="M62" s="265"/>
      <c r="N62" s="1403"/>
      <c r="O62" s="265"/>
      <c r="P62" s="265"/>
      <c r="Q62" s="511"/>
      <c r="AU62" s="1350"/>
      <c r="DJ62" s="2045"/>
    </row>
    <row r="63" spans="1:114" s="1354" customFormat="1" outlineLevel="1" x14ac:dyDescent="0.25">
      <c r="A63" s="2142"/>
      <c r="B63" s="549"/>
      <c r="C63" s="263"/>
      <c r="D63" s="71" t="s">
        <v>609</v>
      </c>
      <c r="E63" s="126" t="s">
        <v>713</v>
      </c>
      <c r="F63" s="518"/>
      <c r="G63" s="265"/>
      <c r="H63" s="265"/>
      <c r="I63" s="265"/>
      <c r="J63" s="265"/>
      <c r="K63" s="265"/>
      <c r="L63" s="265"/>
      <c r="M63" s="265"/>
      <c r="N63" s="1403"/>
      <c r="O63" s="265"/>
      <c r="P63" s="265"/>
      <c r="Q63" s="72"/>
      <c r="R63" s="72"/>
      <c r="S63" s="72"/>
      <c r="T63" s="72"/>
      <c r="U63" s="72"/>
      <c r="V63" s="89"/>
      <c r="AU63" s="1350"/>
      <c r="DG63" s="1005"/>
      <c r="DH63" s="72"/>
      <c r="DI63" s="72"/>
      <c r="DJ63" s="2045"/>
    </row>
    <row r="64" spans="1:114" s="1354" customFormat="1" ht="18" customHeight="1" outlineLevel="1" x14ac:dyDescent="0.25">
      <c r="A64" s="2142"/>
      <c r="B64" s="549"/>
      <c r="C64" s="263"/>
      <c r="D64" s="1404" t="s">
        <v>714</v>
      </c>
      <c r="E64" s="1404" t="s">
        <v>715</v>
      </c>
      <c r="F64" s="1770"/>
      <c r="G64" s="1405"/>
      <c r="H64" s="1405"/>
      <c r="I64" s="1405"/>
      <c r="J64" s="1405"/>
      <c r="K64" s="1405"/>
      <c r="L64" s="1405"/>
      <c r="M64" s="265"/>
      <c r="N64" s="1403"/>
      <c r="O64" s="265"/>
      <c r="P64" s="510"/>
      <c r="Q64" s="72"/>
      <c r="R64" s="72"/>
      <c r="S64" s="72"/>
      <c r="T64" s="72"/>
      <c r="U64" s="72"/>
      <c r="AU64" s="1350"/>
      <c r="DG64" s="1005"/>
      <c r="DH64" s="72"/>
      <c r="DI64" s="72"/>
      <c r="DJ64" s="2045"/>
    </row>
    <row r="65" spans="1:114" s="1354" customFormat="1" ht="18" customHeight="1" outlineLevel="1" x14ac:dyDescent="0.25">
      <c r="A65" s="2142"/>
      <c r="B65" s="549"/>
      <c r="C65" s="263"/>
      <c r="D65" s="1404"/>
      <c r="E65" s="1404" t="s">
        <v>716</v>
      </c>
      <c r="F65" s="1770"/>
      <c r="G65" s="1405"/>
      <c r="H65" s="1405"/>
      <c r="I65" s="1405"/>
      <c r="J65" s="1405"/>
      <c r="K65" s="1405"/>
      <c r="L65" s="1405"/>
      <c r="M65" s="265"/>
      <c r="N65" s="1403"/>
      <c r="O65" s="265"/>
      <c r="P65" s="510"/>
      <c r="Q65" s="72"/>
      <c r="R65" s="72"/>
      <c r="S65" s="72"/>
      <c r="T65" s="72"/>
      <c r="U65" s="72"/>
      <c r="AU65" s="1350"/>
      <c r="DG65" s="1005"/>
      <c r="DH65" s="72"/>
      <c r="DI65" s="72"/>
      <c r="DJ65" s="2045"/>
    </row>
    <row r="66" spans="1:114" s="1354" customFormat="1" ht="18" customHeight="1" outlineLevel="1" x14ac:dyDescent="0.25">
      <c r="A66" s="2142"/>
      <c r="B66" s="549"/>
      <c r="C66" s="263"/>
      <c r="D66" s="1404"/>
      <c r="E66" s="1404" t="s">
        <v>717</v>
      </c>
      <c r="F66" s="1770"/>
      <c r="G66" s="1405"/>
      <c r="H66" s="1405"/>
      <c r="I66" s="1405"/>
      <c r="J66" s="1405"/>
      <c r="K66" s="1405"/>
      <c r="L66" s="1405"/>
      <c r="M66" s="265"/>
      <c r="N66" s="1403"/>
      <c r="O66" s="265"/>
      <c r="P66" s="510"/>
      <c r="Q66" s="72"/>
      <c r="R66" s="72"/>
      <c r="S66" s="72"/>
      <c r="T66" s="72"/>
      <c r="U66" s="72"/>
      <c r="AU66" s="1350"/>
      <c r="DG66" s="1005"/>
      <c r="DH66" s="72"/>
      <c r="DI66" s="72"/>
      <c r="DJ66" s="2045"/>
    </row>
    <row r="67" spans="1:114" s="1354" customFormat="1" ht="18" customHeight="1" outlineLevel="1" x14ac:dyDescent="0.25">
      <c r="A67" s="2142"/>
      <c r="B67" s="549"/>
      <c r="C67" s="263"/>
      <c r="D67" s="1404"/>
      <c r="E67" s="1404" t="s">
        <v>718</v>
      </c>
      <c r="F67" s="1770"/>
      <c r="G67" s="1405"/>
      <c r="H67" s="1405"/>
      <c r="I67" s="1405"/>
      <c r="J67" s="1405"/>
      <c r="K67" s="1405"/>
      <c r="L67" s="1405"/>
      <c r="M67" s="265"/>
      <c r="N67" s="1403"/>
      <c r="O67" s="265"/>
      <c r="P67" s="510"/>
      <c r="Q67" s="72"/>
      <c r="R67" s="72"/>
      <c r="S67" s="72"/>
      <c r="T67" s="72"/>
      <c r="U67" s="72"/>
      <c r="AU67" s="1350"/>
      <c r="DG67" s="1005"/>
      <c r="DH67" s="72"/>
      <c r="DI67" s="72"/>
      <c r="DJ67" s="2045"/>
    </row>
    <row r="68" spans="1:114" s="1354" customFormat="1" ht="18" customHeight="1" outlineLevel="1" x14ac:dyDescent="0.25">
      <c r="A68" s="2142"/>
      <c r="B68" s="549"/>
      <c r="C68" s="263"/>
      <c r="D68" s="1404"/>
      <c r="E68" s="1404"/>
      <c r="F68" s="1770"/>
      <c r="G68" s="1405"/>
      <c r="H68" s="1405"/>
      <c r="I68" s="72"/>
      <c r="J68" s="1405"/>
      <c r="K68" s="1405"/>
      <c r="L68" s="1405"/>
      <c r="M68" s="265"/>
      <c r="N68" s="1403"/>
      <c r="O68" s="265"/>
      <c r="P68" s="510"/>
      <c r="Q68" s="72"/>
      <c r="R68" s="72"/>
      <c r="S68" s="72"/>
      <c r="T68" s="72"/>
      <c r="U68" s="72"/>
      <c r="X68" s="1719" t="s">
        <v>719</v>
      </c>
      <c r="AU68" s="1350"/>
      <c r="DG68" s="1005"/>
      <c r="DH68" s="72"/>
      <c r="DI68" s="72"/>
      <c r="DJ68" s="2045"/>
    </row>
    <row r="69" spans="1:114" s="1354" customFormat="1" outlineLevel="1" x14ac:dyDescent="0.25">
      <c r="A69" s="2142"/>
      <c r="B69" s="549"/>
      <c r="C69" s="263"/>
      <c r="D69" s="126"/>
      <c r="E69" s="126"/>
      <c r="F69" s="263"/>
      <c r="G69" s="265"/>
      <c r="H69" s="265"/>
      <c r="I69" s="265"/>
      <c r="J69" s="265"/>
      <c r="K69" s="265"/>
      <c r="L69" s="265"/>
      <c r="M69" s="265"/>
      <c r="N69" s="1403"/>
      <c r="O69" s="265"/>
      <c r="P69" s="265"/>
      <c r="Q69" s="265"/>
      <c r="R69" s="72"/>
      <c r="S69" s="72"/>
      <c r="T69" s="72"/>
      <c r="U69" s="72"/>
      <c r="AU69" s="1350"/>
      <c r="DG69" s="1005"/>
      <c r="DH69" s="72"/>
      <c r="DI69" s="72"/>
      <c r="DJ69" s="2045"/>
    </row>
    <row r="70" spans="1:114" outlineLevel="1" x14ac:dyDescent="0.25">
      <c r="A70" s="2142"/>
      <c r="B70" s="549"/>
      <c r="C70" s="263"/>
      <c r="D70" s="1309" t="s">
        <v>720</v>
      </c>
      <c r="E70" s="1309" t="s">
        <v>613</v>
      </c>
      <c r="F70" s="1242" t="s">
        <v>615</v>
      </c>
      <c r="G70" s="1242" t="s">
        <v>616</v>
      </c>
      <c r="H70" s="1242" t="s">
        <v>721</v>
      </c>
      <c r="I70" s="1242" t="s">
        <v>721</v>
      </c>
      <c r="J70" s="265"/>
      <c r="M70" s="50"/>
      <c r="N70" s="1403"/>
      <c r="O70" s="265"/>
      <c r="P70" s="265"/>
      <c r="Q70" s="265"/>
      <c r="V70" s="636" t="s">
        <v>53</v>
      </c>
      <c r="W70" s="637">
        <v>43252</v>
      </c>
      <c r="X70" s="637">
        <f>$X$6</f>
        <v>43465</v>
      </c>
      <c r="Y70" s="637">
        <f>$Y$6</f>
        <v>43800</v>
      </c>
      <c r="Z70" s="637">
        <f>$Z$6</f>
        <v>43862</v>
      </c>
      <c r="AA70" s="637">
        <f>$AA$6</f>
        <v>44013</v>
      </c>
      <c r="AB70" s="637">
        <f>$AB$6</f>
        <v>44166</v>
      </c>
      <c r="AC70" s="637">
        <f>$AC$6</f>
        <v>44531</v>
      </c>
      <c r="AD70" s="637">
        <f>$AD$6</f>
        <v>44774</v>
      </c>
      <c r="AE70" s="637">
        <f>$AE$6</f>
        <v>45139</v>
      </c>
      <c r="AF70" s="637">
        <f>$AF$6</f>
        <v>45672</v>
      </c>
      <c r="AG70" s="637">
        <f>$AG$6</f>
        <v>45971</v>
      </c>
      <c r="AH70" s="1354"/>
      <c r="AU70" s="1350"/>
      <c r="DJ70" s="2045"/>
    </row>
    <row r="71" spans="1:114" outlineLevel="1" x14ac:dyDescent="0.25">
      <c r="A71" s="2142"/>
      <c r="B71" s="549"/>
      <c r="C71" s="263"/>
      <c r="D71" s="2355" t="s">
        <v>251</v>
      </c>
      <c r="E71" s="171" t="s">
        <v>693</v>
      </c>
      <c r="F71" s="1480">
        <v>1</v>
      </c>
      <c r="G71" s="2357"/>
      <c r="H71" s="2358"/>
      <c r="I71" s="1300"/>
      <c r="J71" s="265"/>
      <c r="N71" s="1403"/>
      <c r="O71" s="265"/>
      <c r="P71" s="265"/>
      <c r="Q71" s="265"/>
      <c r="V71" s="2353" t="str">
        <f>D71</f>
        <v>%ElectricHeat</v>
      </c>
      <c r="W71" s="269">
        <v>1</v>
      </c>
      <c r="X71" s="269">
        <v>1</v>
      </c>
      <c r="Y71" s="269">
        <v>1</v>
      </c>
      <c r="Z71" s="139">
        <v>1</v>
      </c>
      <c r="AA71" s="139">
        <v>1</v>
      </c>
      <c r="AB71" s="139">
        <v>1</v>
      </c>
      <c r="AC71" s="173">
        <v>1</v>
      </c>
      <c r="AD71" s="173">
        <v>1</v>
      </c>
      <c r="AE71" s="173">
        <v>1</v>
      </c>
      <c r="AF71" s="1323">
        <v>1</v>
      </c>
      <c r="AG71" s="1323">
        <f>IF($F71&lt;&gt;"",$F71,"")</f>
        <v>1</v>
      </c>
      <c r="AH71" s="1354"/>
      <c r="AU71" s="1350"/>
      <c r="DJ71" s="2045"/>
    </row>
    <row r="72" spans="1:114" outlineLevel="1" x14ac:dyDescent="0.25">
      <c r="A72" s="2142"/>
      <c r="B72" s="549"/>
      <c r="C72" s="263"/>
      <c r="D72" s="2356"/>
      <c r="E72" s="171" t="s">
        <v>697</v>
      </c>
      <c r="F72" s="1480">
        <v>1</v>
      </c>
      <c r="G72" s="2357"/>
      <c r="H72" s="2358"/>
      <c r="I72" s="1300"/>
      <c r="J72" s="265"/>
      <c r="N72" s="1403"/>
      <c r="O72" s="265"/>
      <c r="P72" s="265"/>
      <c r="Q72" s="265"/>
      <c r="V72" s="2354"/>
      <c r="W72" s="269"/>
      <c r="X72" s="269"/>
      <c r="Y72" s="269">
        <v>1</v>
      </c>
      <c r="Z72" s="139">
        <v>1</v>
      </c>
      <c r="AA72" s="139">
        <v>1</v>
      </c>
      <c r="AB72" s="139">
        <v>1</v>
      </c>
      <c r="AC72" s="173">
        <v>1</v>
      </c>
      <c r="AD72" s="173">
        <v>1</v>
      </c>
      <c r="AE72" s="173">
        <v>1</v>
      </c>
      <c r="AF72" s="1323">
        <v>1</v>
      </c>
      <c r="AG72" s="1323">
        <f t="shared" ref="AG72:AG125" si="9">IF($F72&lt;&gt;"",$F72,"")</f>
        <v>1</v>
      </c>
      <c r="AH72" s="1354"/>
      <c r="AU72" s="1350"/>
      <c r="DJ72" s="2045"/>
    </row>
    <row r="73" spans="1:114" outlineLevel="1" x14ac:dyDescent="0.25">
      <c r="A73" s="2142"/>
      <c r="B73" s="549"/>
      <c r="C73" s="263"/>
      <c r="D73" s="2356"/>
      <c r="E73" s="171" t="s">
        <v>699</v>
      </c>
      <c r="F73" s="1480">
        <v>1</v>
      </c>
      <c r="G73" s="2357"/>
      <c r="H73" s="2358"/>
      <c r="I73" s="1300"/>
      <c r="J73" s="265"/>
      <c r="N73" s="1403"/>
      <c r="O73" s="265"/>
      <c r="P73" s="265"/>
      <c r="Q73" s="265"/>
      <c r="V73" s="2354"/>
      <c r="W73" s="269">
        <v>1</v>
      </c>
      <c r="X73" s="269">
        <v>1</v>
      </c>
      <c r="Y73" s="269">
        <v>1</v>
      </c>
      <c r="Z73" s="139">
        <v>1</v>
      </c>
      <c r="AA73" s="139">
        <v>1</v>
      </c>
      <c r="AB73" s="139">
        <v>1</v>
      </c>
      <c r="AC73" s="173">
        <v>1</v>
      </c>
      <c r="AD73" s="173">
        <v>1</v>
      </c>
      <c r="AE73" s="173">
        <v>1</v>
      </c>
      <c r="AF73" s="1323">
        <v>1</v>
      </c>
      <c r="AG73" s="1323">
        <f t="shared" si="9"/>
        <v>1</v>
      </c>
      <c r="AH73" s="1354"/>
      <c r="AU73" s="1350"/>
      <c r="DJ73" s="2045"/>
    </row>
    <row r="74" spans="1:114" outlineLevel="1" x14ac:dyDescent="0.25">
      <c r="A74" s="2142"/>
      <c r="B74" s="549"/>
      <c r="C74" s="263"/>
      <c r="D74" s="2356"/>
      <c r="E74" s="171" t="s">
        <v>701</v>
      </c>
      <c r="F74" s="1480">
        <v>1</v>
      </c>
      <c r="G74" s="2357"/>
      <c r="H74" s="2358"/>
      <c r="I74" s="1300"/>
      <c r="J74" s="265"/>
      <c r="N74" s="1403"/>
      <c r="O74" s="265"/>
      <c r="P74" s="265"/>
      <c r="Q74" s="265"/>
      <c r="V74" s="2354"/>
      <c r="W74" s="269">
        <v>1</v>
      </c>
      <c r="X74" s="269">
        <v>1</v>
      </c>
      <c r="Y74" s="269">
        <v>1</v>
      </c>
      <c r="Z74" s="139">
        <v>1</v>
      </c>
      <c r="AA74" s="139">
        <v>1</v>
      </c>
      <c r="AB74" s="139">
        <v>1</v>
      </c>
      <c r="AC74" s="173">
        <v>1</v>
      </c>
      <c r="AD74" s="173">
        <v>1</v>
      </c>
      <c r="AE74" s="173">
        <v>1</v>
      </c>
      <c r="AF74" s="1323">
        <v>1</v>
      </c>
      <c r="AG74" s="1323">
        <f t="shared" si="9"/>
        <v>1</v>
      </c>
      <c r="AH74" s="1354"/>
      <c r="AU74" s="1350"/>
      <c r="DJ74" s="2045"/>
    </row>
    <row r="75" spans="1:114" outlineLevel="1" x14ac:dyDescent="0.25">
      <c r="A75" s="2142"/>
      <c r="B75" s="549"/>
      <c r="C75" s="263"/>
      <c r="D75" s="2356"/>
      <c r="E75" s="171" t="s">
        <v>704</v>
      </c>
      <c r="F75" s="1480">
        <v>0</v>
      </c>
      <c r="G75" s="2357"/>
      <c r="H75" s="2358"/>
      <c r="I75" s="1300"/>
      <c r="J75" s="265"/>
      <c r="N75" s="1403"/>
      <c r="O75" s="265"/>
      <c r="P75" s="265"/>
      <c r="Q75" s="265"/>
      <c r="V75" s="2354"/>
      <c r="W75" s="269">
        <v>0</v>
      </c>
      <c r="X75" s="269">
        <v>0</v>
      </c>
      <c r="Y75" s="269">
        <v>0</v>
      </c>
      <c r="Z75" s="139">
        <v>0</v>
      </c>
      <c r="AA75" s="139">
        <v>0</v>
      </c>
      <c r="AB75" s="139">
        <v>0</v>
      </c>
      <c r="AC75" s="173">
        <v>0</v>
      </c>
      <c r="AD75" s="173">
        <v>0</v>
      </c>
      <c r="AE75" s="173">
        <v>0</v>
      </c>
      <c r="AF75" s="1323">
        <v>0</v>
      </c>
      <c r="AG75" s="1323">
        <f t="shared" si="9"/>
        <v>0</v>
      </c>
      <c r="AH75" s="1354"/>
      <c r="AU75" s="1350"/>
      <c r="DJ75" s="2045"/>
    </row>
    <row r="76" spans="1:114" outlineLevel="1" x14ac:dyDescent="0.25">
      <c r="A76" s="2142"/>
      <c r="B76" s="549"/>
      <c r="C76" s="263"/>
      <c r="D76" s="2356"/>
      <c r="E76" s="171" t="s">
        <v>706</v>
      </c>
      <c r="F76" s="1480">
        <v>0</v>
      </c>
      <c r="G76" s="2357"/>
      <c r="H76" s="2358"/>
      <c r="I76" s="1300"/>
      <c r="J76" s="265"/>
      <c r="N76" s="1403"/>
      <c r="O76" s="265"/>
      <c r="P76" s="265"/>
      <c r="Q76" s="265"/>
      <c r="V76" s="2354"/>
      <c r="W76" s="269"/>
      <c r="X76" s="269"/>
      <c r="Y76" s="1323">
        <v>0</v>
      </c>
      <c r="Z76" s="139">
        <v>0</v>
      </c>
      <c r="AA76" s="139">
        <v>0</v>
      </c>
      <c r="AB76" s="139">
        <v>0</v>
      </c>
      <c r="AC76" s="173">
        <v>0</v>
      </c>
      <c r="AD76" s="173">
        <v>0</v>
      </c>
      <c r="AE76" s="173">
        <v>0</v>
      </c>
      <c r="AF76" s="1323">
        <v>0</v>
      </c>
      <c r="AG76" s="1323">
        <f t="shared" si="9"/>
        <v>0</v>
      </c>
      <c r="AH76" s="1354"/>
      <c r="AU76" s="1350"/>
      <c r="DJ76" s="2045"/>
    </row>
    <row r="77" spans="1:114" ht="15" customHeight="1" outlineLevel="1" x14ac:dyDescent="0.25">
      <c r="A77" s="2142"/>
      <c r="B77" s="549"/>
      <c r="C77" s="263"/>
      <c r="D77" s="2356"/>
      <c r="E77" s="171" t="s">
        <v>709</v>
      </c>
      <c r="F77" s="1480">
        <v>0.33</v>
      </c>
      <c r="G77" s="2351" t="s">
        <v>722</v>
      </c>
      <c r="H77" s="2352"/>
      <c r="I77" s="1300"/>
      <c r="J77" s="265"/>
      <c r="N77" s="1403"/>
      <c r="O77" s="265"/>
      <c r="P77" s="265"/>
      <c r="Q77" s="265"/>
      <c r="V77" s="2354"/>
      <c r="W77" s="269">
        <v>0.35</v>
      </c>
      <c r="X77" s="175">
        <v>0.2446317798632098</v>
      </c>
      <c r="Y77" s="90">
        <v>0.16428797970187123</v>
      </c>
      <c r="Z77" s="677">
        <v>0.16428797970187123</v>
      </c>
      <c r="AA77" s="677">
        <v>0.16428797970187123</v>
      </c>
      <c r="AB77" s="139">
        <v>0.16428797970187123</v>
      </c>
      <c r="AC77" s="175">
        <v>0.33</v>
      </c>
      <c r="AD77" s="173">
        <v>0.33</v>
      </c>
      <c r="AE77" s="173">
        <v>0.33</v>
      </c>
      <c r="AF77" s="1323">
        <v>0.33</v>
      </c>
      <c r="AG77" s="1323">
        <f t="shared" si="9"/>
        <v>0.33</v>
      </c>
      <c r="AH77" s="1354"/>
      <c r="AU77" s="1350"/>
      <c r="DJ77" s="2045"/>
    </row>
    <row r="78" spans="1:114" ht="15" customHeight="1" outlineLevel="1" x14ac:dyDescent="0.25">
      <c r="A78" s="2142"/>
      <c r="B78" s="549"/>
      <c r="C78" s="263"/>
      <c r="D78" s="1870" t="s">
        <v>723</v>
      </c>
      <c r="E78" s="171" t="s">
        <v>693</v>
      </c>
      <c r="F78" s="1492">
        <v>8354.8764478764479</v>
      </c>
      <c r="G78" s="2345" t="s">
        <v>724</v>
      </c>
      <c r="H78" s="2346"/>
      <c r="I78" s="2363" t="s">
        <v>725</v>
      </c>
      <c r="J78" s="265"/>
      <c r="N78" s="1403"/>
      <c r="O78" s="265"/>
      <c r="P78" s="265"/>
      <c r="Q78" s="265"/>
      <c r="V78" s="2353" t="str">
        <f>D78</f>
        <v>HeatingConsumption_Electric</v>
      </c>
      <c r="W78" s="261">
        <v>8320</v>
      </c>
      <c r="X78" s="293">
        <f>206570/25</f>
        <v>8262.7999999999993</v>
      </c>
      <c r="Y78" s="293">
        <v>8354.8764478764479</v>
      </c>
      <c r="Z78" s="319">
        <v>8354.8764478764479</v>
      </c>
      <c r="AA78" s="319">
        <v>8354.8764478764479</v>
      </c>
      <c r="AB78" s="319">
        <v>8354.8764478764479</v>
      </c>
      <c r="AC78" s="319">
        <v>8354.8764478764479</v>
      </c>
      <c r="AD78" s="319">
        <v>8354.8764478764479</v>
      </c>
      <c r="AE78" s="319">
        <v>8354.8764478764479</v>
      </c>
      <c r="AF78" s="253">
        <v>8354.8764478764479</v>
      </c>
      <c r="AG78" s="253">
        <f t="shared" si="9"/>
        <v>8354.8764478764479</v>
      </c>
      <c r="AH78" s="1354"/>
      <c r="AU78" s="1350"/>
      <c r="DJ78" s="2045"/>
    </row>
    <row r="79" spans="1:114" outlineLevel="1" x14ac:dyDescent="0.25">
      <c r="A79" s="2142"/>
      <c r="B79" s="549"/>
      <c r="C79" s="263"/>
      <c r="D79" s="1871"/>
      <c r="E79" s="171" t="s">
        <v>697</v>
      </c>
      <c r="F79" s="1492">
        <v>8355</v>
      </c>
      <c r="G79" s="2347"/>
      <c r="H79" s="2348"/>
      <c r="I79" s="2364"/>
      <c r="J79" s="265"/>
      <c r="N79" s="1403"/>
      <c r="O79" s="265"/>
      <c r="P79" s="265"/>
      <c r="Q79" s="265"/>
      <c r="V79" s="2354"/>
      <c r="W79" s="261"/>
      <c r="X79" s="293"/>
      <c r="Y79" s="293">
        <v>8355</v>
      </c>
      <c r="Z79" s="319">
        <v>8355</v>
      </c>
      <c r="AA79" s="319">
        <v>8355</v>
      </c>
      <c r="AB79" s="319">
        <v>8355</v>
      </c>
      <c r="AC79" s="319">
        <v>8355</v>
      </c>
      <c r="AD79" s="319">
        <v>8355</v>
      </c>
      <c r="AE79" s="319">
        <v>8355</v>
      </c>
      <c r="AF79" s="253">
        <v>8355</v>
      </c>
      <c r="AG79" s="253">
        <f t="shared" si="9"/>
        <v>8355</v>
      </c>
      <c r="AH79" s="1354"/>
      <c r="AU79" s="1350"/>
      <c r="DJ79" s="2045"/>
    </row>
    <row r="80" spans="1:114" outlineLevel="1" x14ac:dyDescent="0.25">
      <c r="A80" s="2142"/>
      <c r="B80" s="549"/>
      <c r="C80" s="263"/>
      <c r="D80" s="1871"/>
      <c r="E80" s="171" t="s">
        <v>699</v>
      </c>
      <c r="F80" s="1492">
        <v>14201.965811965812</v>
      </c>
      <c r="G80" s="2347"/>
      <c r="H80" s="2348"/>
      <c r="I80" s="2365"/>
      <c r="J80" s="265"/>
      <c r="N80" s="1403"/>
      <c r="O80" s="265"/>
      <c r="P80" s="265"/>
      <c r="Q80" s="265"/>
      <c r="V80" s="2354"/>
      <c r="W80" s="261">
        <f>14144</f>
        <v>14144</v>
      </c>
      <c r="X80" s="293">
        <f>X81</f>
        <v>14193.886792452829</v>
      </c>
      <c r="Y80" s="293">
        <v>14201.965811965812</v>
      </c>
      <c r="Z80" s="319">
        <v>14201.965811965812</v>
      </c>
      <c r="AA80" s="319">
        <v>14201.965811965812</v>
      </c>
      <c r="AB80" s="319">
        <v>14201.965811965812</v>
      </c>
      <c r="AC80" s="319">
        <v>14201.965811965812</v>
      </c>
      <c r="AD80" s="319">
        <v>14201.965811965812</v>
      </c>
      <c r="AE80" s="319">
        <v>14201.965811965812</v>
      </c>
      <c r="AF80" s="253">
        <v>14201.965811965812</v>
      </c>
      <c r="AG80" s="253">
        <f t="shared" si="9"/>
        <v>14201.965811965812</v>
      </c>
      <c r="AH80" s="1354"/>
      <c r="AI80" s="1339" t="s">
        <v>726</v>
      </c>
      <c r="AJ80" s="1720">
        <v>17940</v>
      </c>
      <c r="AK80" s="1720">
        <v>10553</v>
      </c>
      <c r="AL80" s="1720">
        <v>17017</v>
      </c>
      <c r="AU80" s="1350"/>
      <c r="DJ80" s="2045"/>
    </row>
    <row r="81" spans="1:114" outlineLevel="1" x14ac:dyDescent="0.25">
      <c r="A81" s="2142"/>
      <c r="B81" s="549"/>
      <c r="C81" s="263"/>
      <c r="D81" s="1871"/>
      <c r="E81" s="171" t="s">
        <v>701</v>
      </c>
      <c r="F81" s="1492">
        <v>14201.965811965812</v>
      </c>
      <c r="G81" s="2347"/>
      <c r="H81" s="2348"/>
      <c r="I81" s="2365"/>
      <c r="J81" s="265"/>
      <c r="N81" s="1403"/>
      <c r="O81" s="265"/>
      <c r="P81" s="265"/>
      <c r="Q81" s="265"/>
      <c r="V81" s="2354"/>
      <c r="W81" s="261">
        <v>14144</v>
      </c>
      <c r="X81" s="293">
        <f>752276/53</f>
        <v>14193.886792452829</v>
      </c>
      <c r="Y81" s="293">
        <v>14201.965811965812</v>
      </c>
      <c r="Z81" s="319">
        <v>14201.965811965812</v>
      </c>
      <c r="AA81" s="319">
        <v>14201.965811965812</v>
      </c>
      <c r="AB81" s="319">
        <v>14201.965811965812</v>
      </c>
      <c r="AC81" s="319">
        <v>14201.965811965812</v>
      </c>
      <c r="AD81" s="319">
        <v>14201.965811965812</v>
      </c>
      <c r="AE81" s="319">
        <v>14201.965811965812</v>
      </c>
      <c r="AF81" s="253">
        <v>14201.965811965812</v>
      </c>
      <c r="AG81" s="253">
        <f t="shared" si="9"/>
        <v>14201.965811965812</v>
      </c>
      <c r="AH81" s="1354"/>
      <c r="AI81" s="1339" t="s">
        <v>727</v>
      </c>
      <c r="AJ81" s="1339">
        <v>19664</v>
      </c>
      <c r="AK81" s="1339">
        <v>11567</v>
      </c>
      <c r="AL81" s="1339">
        <v>18652</v>
      </c>
      <c r="AU81" s="1350"/>
      <c r="DJ81" s="2045"/>
    </row>
    <row r="82" spans="1:114" outlineLevel="1" x14ac:dyDescent="0.25">
      <c r="A82" s="2142"/>
      <c r="B82" s="549"/>
      <c r="C82" s="263"/>
      <c r="D82" s="1871"/>
      <c r="E82" s="171" t="s">
        <v>704</v>
      </c>
      <c r="F82" s="1454">
        <v>0</v>
      </c>
      <c r="G82" s="2347"/>
      <c r="H82" s="2348"/>
      <c r="I82" s="2365"/>
      <c r="J82" s="265"/>
      <c r="N82" s="1403"/>
      <c r="O82" s="265"/>
      <c r="P82" s="265"/>
      <c r="Q82" s="265"/>
      <c r="V82" s="2354"/>
      <c r="W82" s="261">
        <v>0</v>
      </c>
      <c r="X82" s="283">
        <v>0</v>
      </c>
      <c r="Y82" s="297">
        <v>0</v>
      </c>
      <c r="Z82" s="319">
        <v>0</v>
      </c>
      <c r="AA82" s="319">
        <v>0</v>
      </c>
      <c r="AB82" s="319">
        <v>0</v>
      </c>
      <c r="AC82" s="319">
        <v>0</v>
      </c>
      <c r="AD82" s="319">
        <v>0</v>
      </c>
      <c r="AE82" s="319">
        <v>0</v>
      </c>
      <c r="AF82" s="253">
        <v>0</v>
      </c>
      <c r="AG82" s="253">
        <f t="shared" si="9"/>
        <v>0</v>
      </c>
      <c r="AH82" s="1354"/>
      <c r="AI82" s="1339" t="s">
        <v>728</v>
      </c>
      <c r="AJ82" s="1720">
        <v>13502</v>
      </c>
      <c r="AK82" s="1720">
        <v>7943</v>
      </c>
      <c r="AL82" s="1720">
        <v>12807</v>
      </c>
      <c r="AU82" s="1350"/>
      <c r="DJ82" s="2045"/>
    </row>
    <row r="83" spans="1:114" outlineLevel="1" x14ac:dyDescent="0.25">
      <c r="A83" s="2142"/>
      <c r="B83" s="549"/>
      <c r="C83" s="263"/>
      <c r="D83" s="1871"/>
      <c r="E83" s="171" t="s">
        <v>706</v>
      </c>
      <c r="F83" s="1454">
        <v>0</v>
      </c>
      <c r="G83" s="2347"/>
      <c r="H83" s="2348"/>
      <c r="I83" s="2365"/>
      <c r="J83" s="265"/>
      <c r="N83" s="1403"/>
      <c r="O83" s="265"/>
      <c r="P83" s="265"/>
      <c r="Q83" s="265"/>
      <c r="V83" s="2354"/>
      <c r="W83" s="261"/>
      <c r="X83" s="283"/>
      <c r="Y83" s="293">
        <v>0</v>
      </c>
      <c r="Z83" s="319">
        <v>0</v>
      </c>
      <c r="AA83" s="319">
        <v>0</v>
      </c>
      <c r="AB83" s="319">
        <v>0</v>
      </c>
      <c r="AC83" s="319">
        <v>0</v>
      </c>
      <c r="AD83" s="319">
        <v>0</v>
      </c>
      <c r="AE83" s="319">
        <v>0</v>
      </c>
      <c r="AF83" s="253">
        <v>0</v>
      </c>
      <c r="AG83" s="253">
        <f t="shared" si="9"/>
        <v>0</v>
      </c>
      <c r="AH83" s="1354"/>
      <c r="AI83" s="1339"/>
      <c r="AJ83" s="1720"/>
      <c r="AK83" s="1720"/>
      <c r="AL83" s="1720"/>
      <c r="AU83" s="1350"/>
      <c r="DJ83" s="2045"/>
    </row>
    <row r="84" spans="1:114" outlineLevel="1" x14ac:dyDescent="0.25">
      <c r="A84" s="2142"/>
      <c r="B84" s="549"/>
      <c r="C84" s="263"/>
      <c r="D84" s="1871"/>
      <c r="E84" s="171" t="s">
        <v>709</v>
      </c>
      <c r="F84" s="1492">
        <v>11456.0072529465</v>
      </c>
      <c r="G84" s="2349"/>
      <c r="H84" s="2350"/>
      <c r="I84" s="2365"/>
      <c r="J84" s="265"/>
      <c r="N84" s="1403"/>
      <c r="O84" s="265"/>
      <c r="P84" s="265"/>
      <c r="Q84" s="265"/>
      <c r="V84" s="2354"/>
      <c r="W84" s="283">
        <v>13416</v>
      </c>
      <c r="X84" s="91">
        <v>12382.71</v>
      </c>
      <c r="Y84" s="293">
        <v>11456.0072529465</v>
      </c>
      <c r="Z84" s="319">
        <v>11456.0072529465</v>
      </c>
      <c r="AA84" s="319">
        <v>11456.0072529465</v>
      </c>
      <c r="AB84" s="319">
        <v>11456.0072529465</v>
      </c>
      <c r="AC84" s="319">
        <v>11456.0072529465</v>
      </c>
      <c r="AD84" s="319">
        <v>11456.0072529465</v>
      </c>
      <c r="AE84" s="319">
        <v>11456.0072529465</v>
      </c>
      <c r="AF84" s="253">
        <v>11456.0072529465</v>
      </c>
      <c r="AG84" s="253">
        <f t="shared" si="9"/>
        <v>11456.0072529465</v>
      </c>
      <c r="AH84" s="1354"/>
      <c r="AI84" s="1339" t="s">
        <v>729</v>
      </c>
      <c r="AJ84" s="1720">
        <v>14276</v>
      </c>
      <c r="AK84" s="1720">
        <v>8398</v>
      </c>
      <c r="AL84" s="1720">
        <v>13541</v>
      </c>
      <c r="AU84" s="1350"/>
      <c r="DJ84" s="2045"/>
    </row>
    <row r="85" spans="1:114" outlineLevel="1" x14ac:dyDescent="0.25">
      <c r="A85" s="2142"/>
      <c r="B85" s="549"/>
      <c r="C85" s="263"/>
      <c r="D85" s="2355" t="s">
        <v>730</v>
      </c>
      <c r="E85" s="171" t="s">
        <v>693</v>
      </c>
      <c r="F85" s="1458">
        <v>1</v>
      </c>
      <c r="G85" s="2357"/>
      <c r="H85" s="2358"/>
      <c r="I85" s="1300"/>
      <c r="J85" s="265"/>
      <c r="N85" s="1403"/>
      <c r="O85" s="265"/>
      <c r="P85" s="265"/>
      <c r="Q85" s="265"/>
      <c r="V85" s="2353" t="str">
        <f>D85</f>
        <v>HF</v>
      </c>
      <c r="W85" s="269">
        <v>1</v>
      </c>
      <c r="X85" s="269">
        <v>1</v>
      </c>
      <c r="Y85" s="284">
        <v>1</v>
      </c>
      <c r="Z85" s="139">
        <v>1</v>
      </c>
      <c r="AA85" s="139">
        <v>1</v>
      </c>
      <c r="AB85" s="139">
        <v>1</v>
      </c>
      <c r="AC85" s="139">
        <v>1</v>
      </c>
      <c r="AD85" s="139">
        <v>1</v>
      </c>
      <c r="AE85" s="139">
        <v>1</v>
      </c>
      <c r="AF85" s="2007">
        <v>1</v>
      </c>
      <c r="AG85" s="2007">
        <f t="shared" si="9"/>
        <v>1</v>
      </c>
      <c r="AH85" s="1354"/>
      <c r="AI85" s="1339" t="s">
        <v>731</v>
      </c>
      <c r="AJ85" s="1720">
        <v>14144</v>
      </c>
      <c r="AK85" s="1720">
        <v>8320</v>
      </c>
      <c r="AL85" s="1720">
        <v>13416</v>
      </c>
      <c r="AU85" s="1350"/>
      <c r="DJ85" s="2045"/>
    </row>
    <row r="86" spans="1:114" outlineLevel="1" x14ac:dyDescent="0.25">
      <c r="A86" s="2142"/>
      <c r="B86" s="549"/>
      <c r="C86" s="263"/>
      <c r="D86" s="2356"/>
      <c r="E86" s="171" t="s">
        <v>697</v>
      </c>
      <c r="F86" s="1458">
        <v>0.65</v>
      </c>
      <c r="G86" s="2357"/>
      <c r="H86" s="2358"/>
      <c r="I86" s="1300"/>
      <c r="J86" s="265"/>
      <c r="N86" s="1403"/>
      <c r="O86" s="265"/>
      <c r="P86" s="265"/>
      <c r="Q86" s="265"/>
      <c r="V86" s="2354"/>
      <c r="W86" s="269"/>
      <c r="X86" s="269"/>
      <c r="Y86" s="175">
        <v>0.65</v>
      </c>
      <c r="Z86" s="139">
        <v>0.65</v>
      </c>
      <c r="AA86" s="139">
        <v>0.65</v>
      </c>
      <c r="AB86" s="139">
        <v>0.65</v>
      </c>
      <c r="AC86" s="139">
        <v>0.65</v>
      </c>
      <c r="AD86" s="139">
        <v>0.65</v>
      </c>
      <c r="AE86" s="139">
        <v>0.65</v>
      </c>
      <c r="AF86" s="2007">
        <v>0.65</v>
      </c>
      <c r="AG86" s="2007">
        <f t="shared" si="9"/>
        <v>0.65</v>
      </c>
      <c r="AH86" s="1354"/>
      <c r="AI86" s="1339"/>
      <c r="AJ86" s="1720"/>
      <c r="AK86" s="1720"/>
      <c r="AL86" s="1720"/>
      <c r="AU86" s="1350"/>
      <c r="DJ86" s="2045"/>
    </row>
    <row r="87" spans="1:114" outlineLevel="1" x14ac:dyDescent="0.25">
      <c r="A87" s="2142"/>
      <c r="B87" s="549"/>
      <c r="C87" s="263"/>
      <c r="D87" s="2356"/>
      <c r="E87" s="171" t="s">
        <v>699</v>
      </c>
      <c r="F87" s="1458">
        <v>0.65</v>
      </c>
      <c r="G87" s="2357"/>
      <c r="H87" s="2358"/>
      <c r="I87" s="1300"/>
      <c r="J87" s="265"/>
      <c r="N87" s="1403"/>
      <c r="O87" s="265"/>
      <c r="P87" s="265"/>
      <c r="Q87" s="265"/>
      <c r="V87" s="2354"/>
      <c r="W87" s="269">
        <v>0.65</v>
      </c>
      <c r="X87" s="269">
        <v>0.65</v>
      </c>
      <c r="Y87" s="284">
        <v>0.65</v>
      </c>
      <c r="Z87" s="139">
        <v>0.65</v>
      </c>
      <c r="AA87" s="139">
        <v>0.65</v>
      </c>
      <c r="AB87" s="139">
        <v>0.65</v>
      </c>
      <c r="AC87" s="139">
        <v>0.65</v>
      </c>
      <c r="AD87" s="139">
        <v>0.65</v>
      </c>
      <c r="AE87" s="139">
        <v>0.65</v>
      </c>
      <c r="AF87" s="2007">
        <v>0.65</v>
      </c>
      <c r="AG87" s="2007">
        <f t="shared" si="9"/>
        <v>0.65</v>
      </c>
      <c r="AH87" s="1354"/>
      <c r="AI87" s="1339" t="s">
        <v>732</v>
      </c>
      <c r="AJ87" s="1720">
        <v>16272</v>
      </c>
      <c r="AK87" s="1720">
        <v>9572</v>
      </c>
      <c r="AL87" s="1720">
        <v>15435</v>
      </c>
      <c r="AU87" s="1350"/>
      <c r="DJ87" s="2045"/>
    </row>
    <row r="88" spans="1:114" outlineLevel="1" x14ac:dyDescent="0.25">
      <c r="A88" s="2142"/>
      <c r="B88" s="549"/>
      <c r="C88" s="263"/>
      <c r="D88" s="2356"/>
      <c r="E88" s="171" t="s">
        <v>701</v>
      </c>
      <c r="F88" s="1458">
        <v>1</v>
      </c>
      <c r="G88" s="2357"/>
      <c r="H88" s="2358"/>
      <c r="I88" s="1300"/>
      <c r="J88" s="265"/>
      <c r="N88" s="1403"/>
      <c r="O88" s="265"/>
      <c r="P88" s="265"/>
      <c r="Q88" s="265"/>
      <c r="V88" s="2354"/>
      <c r="W88" s="269">
        <v>1</v>
      </c>
      <c r="X88" s="269">
        <v>1</v>
      </c>
      <c r="Y88" s="284">
        <v>1</v>
      </c>
      <c r="Z88" s="139">
        <v>1</v>
      </c>
      <c r="AA88" s="139">
        <v>1</v>
      </c>
      <c r="AB88" s="139">
        <v>1</v>
      </c>
      <c r="AC88" s="139">
        <v>1</v>
      </c>
      <c r="AD88" s="139">
        <v>1</v>
      </c>
      <c r="AE88" s="139">
        <v>1</v>
      </c>
      <c r="AF88" s="2007">
        <v>1</v>
      </c>
      <c r="AG88" s="2007">
        <f t="shared" si="9"/>
        <v>1</v>
      </c>
      <c r="AH88" s="1354"/>
      <c r="AI88" s="1339" t="s">
        <v>733</v>
      </c>
      <c r="AJ88" s="1720">
        <v>16184</v>
      </c>
      <c r="AK88" s="1720">
        <v>9520</v>
      </c>
      <c r="AL88" s="1720">
        <v>15351</v>
      </c>
      <c r="AU88" s="1350"/>
      <c r="DJ88" s="2045"/>
    </row>
    <row r="89" spans="1:114" outlineLevel="1" x14ac:dyDescent="0.25">
      <c r="A89" s="2142"/>
      <c r="B89" s="549"/>
      <c r="C89" s="263"/>
      <c r="D89" s="2356"/>
      <c r="E89" s="171" t="s">
        <v>704</v>
      </c>
      <c r="F89" s="1458">
        <v>1</v>
      </c>
      <c r="G89" s="2357"/>
      <c r="H89" s="2358"/>
      <c r="I89" s="1300"/>
      <c r="J89" s="265"/>
      <c r="N89" s="1403"/>
      <c r="O89" s="265"/>
      <c r="P89" s="265"/>
      <c r="Q89" s="265"/>
      <c r="V89" s="2354"/>
      <c r="W89" s="269">
        <v>1</v>
      </c>
      <c r="X89" s="269">
        <v>1</v>
      </c>
      <c r="Y89" s="269">
        <v>1</v>
      </c>
      <c r="Z89" s="139">
        <v>1</v>
      </c>
      <c r="AA89" s="139">
        <v>1</v>
      </c>
      <c r="AB89" s="139">
        <v>1</v>
      </c>
      <c r="AC89" s="139">
        <v>1</v>
      </c>
      <c r="AD89" s="139">
        <v>1</v>
      </c>
      <c r="AE89" s="139">
        <v>1</v>
      </c>
      <c r="AF89" s="2007">
        <v>1</v>
      </c>
      <c r="AG89" s="2007">
        <f t="shared" si="9"/>
        <v>1</v>
      </c>
      <c r="AH89" s="1354"/>
      <c r="AU89" s="1350"/>
      <c r="DJ89" s="2045"/>
    </row>
    <row r="90" spans="1:114" outlineLevel="1" x14ac:dyDescent="0.25">
      <c r="A90" s="2142"/>
      <c r="B90" s="549"/>
      <c r="C90" s="263"/>
      <c r="D90" s="2356"/>
      <c r="E90" s="171" t="s">
        <v>706</v>
      </c>
      <c r="F90" s="1458">
        <v>0.65</v>
      </c>
      <c r="G90" s="2357"/>
      <c r="H90" s="2358"/>
      <c r="I90" s="1300"/>
      <c r="J90" s="265"/>
      <c r="N90" s="1403"/>
      <c r="O90" s="265"/>
      <c r="P90" s="265"/>
      <c r="Q90" s="265"/>
      <c r="V90" s="2354"/>
      <c r="W90" s="269"/>
      <c r="X90" s="269"/>
      <c r="Y90" s="1323">
        <v>0.65</v>
      </c>
      <c r="Z90" s="139">
        <v>0.65</v>
      </c>
      <c r="AA90" s="139">
        <v>0.65</v>
      </c>
      <c r="AB90" s="139">
        <v>0.65</v>
      </c>
      <c r="AC90" s="139">
        <v>0.65</v>
      </c>
      <c r="AD90" s="139">
        <v>0.65</v>
      </c>
      <c r="AE90" s="139">
        <v>0.65</v>
      </c>
      <c r="AF90" s="2007">
        <v>0.65</v>
      </c>
      <c r="AG90" s="2007">
        <f t="shared" si="9"/>
        <v>0.65</v>
      </c>
      <c r="AH90" s="1354"/>
      <c r="AU90" s="1350"/>
      <c r="DJ90" s="2045"/>
    </row>
    <row r="91" spans="1:114" ht="15" customHeight="1" outlineLevel="1" x14ac:dyDescent="0.25">
      <c r="A91" s="2142"/>
      <c r="B91" s="549"/>
      <c r="C91" s="263"/>
      <c r="D91" s="2356"/>
      <c r="E91" s="171" t="s">
        <v>709</v>
      </c>
      <c r="F91" s="1458">
        <v>1</v>
      </c>
      <c r="G91" s="2351"/>
      <c r="H91" s="2352"/>
      <c r="I91" s="1300"/>
      <c r="J91" s="265"/>
      <c r="N91" s="1403"/>
      <c r="O91" s="265"/>
      <c r="P91" s="265"/>
      <c r="Q91" s="265"/>
      <c r="V91" s="2354"/>
      <c r="W91" s="269">
        <v>1</v>
      </c>
      <c r="X91" s="92">
        <v>0.96572336230188205</v>
      </c>
      <c r="Y91" s="684">
        <v>1</v>
      </c>
      <c r="Z91" s="1415">
        <v>1</v>
      </c>
      <c r="AA91" s="1415">
        <v>1</v>
      </c>
      <c r="AB91" s="1415">
        <v>1</v>
      </c>
      <c r="AC91" s="1415">
        <v>1</v>
      </c>
      <c r="AD91" s="1415">
        <v>1</v>
      </c>
      <c r="AE91" s="1415">
        <v>1</v>
      </c>
      <c r="AF91" s="2007">
        <v>1</v>
      </c>
      <c r="AG91" s="2007">
        <f t="shared" si="9"/>
        <v>1</v>
      </c>
      <c r="AH91" s="1354"/>
      <c r="AJ91" s="1406"/>
      <c r="AU91" s="1350"/>
      <c r="DJ91" s="2045"/>
    </row>
    <row r="92" spans="1:114" ht="45" customHeight="1" outlineLevel="1" x14ac:dyDescent="0.25">
      <c r="A92" s="2142"/>
      <c r="B92" s="549"/>
      <c r="C92" s="263"/>
      <c r="D92" s="2355" t="s">
        <v>734</v>
      </c>
      <c r="E92" s="121" t="s">
        <v>735</v>
      </c>
      <c r="F92" s="1542">
        <f>SUMPRODUCT(F93:F95,I93:I95)</f>
        <v>6.668717948717949E-2</v>
      </c>
      <c r="G92" s="2345" t="s">
        <v>736</v>
      </c>
      <c r="H92" s="2346"/>
      <c r="I92" s="1762" t="s">
        <v>737</v>
      </c>
      <c r="J92" s="265"/>
      <c r="N92" s="1403"/>
      <c r="O92" s="265"/>
      <c r="P92" s="265"/>
      <c r="Q92" s="265"/>
      <c r="V92" s="2353" t="str">
        <f>D92</f>
        <v>HeatingReduction</v>
      </c>
      <c r="W92" s="1413">
        <v>7.3999999999999996E-2</v>
      </c>
      <c r="X92" s="93">
        <v>6.6879999999999995E-2</v>
      </c>
      <c r="Y92" s="93">
        <v>6.668717948717949E-2</v>
      </c>
      <c r="Z92" s="678">
        <v>6.668717948717949E-2</v>
      </c>
      <c r="AA92" s="678">
        <v>6.668717948717949E-2</v>
      </c>
      <c r="AB92" s="1415">
        <v>6.668717948717949E-2</v>
      </c>
      <c r="AC92" s="1415">
        <f>SUMPRODUCT(AC93:AC95,AF93:AF95)</f>
        <v>1.0879999999999999E-2</v>
      </c>
      <c r="AD92" s="1415">
        <v>0</v>
      </c>
      <c r="AE92" s="1415">
        <v>0</v>
      </c>
      <c r="AF92" s="2007">
        <v>6.668717948717949E-2</v>
      </c>
      <c r="AG92" s="2007">
        <f t="shared" si="9"/>
        <v>6.668717948717949E-2</v>
      </c>
      <c r="AH92" s="1354"/>
      <c r="AJ92" s="1406"/>
      <c r="AU92" s="1350"/>
      <c r="DJ92" s="2045"/>
    </row>
    <row r="93" spans="1:114" outlineLevel="1" x14ac:dyDescent="0.25">
      <c r="A93" s="2142"/>
      <c r="B93" s="549"/>
      <c r="C93" s="263"/>
      <c r="D93" s="2356"/>
      <c r="E93" s="121" t="s">
        <v>738</v>
      </c>
      <c r="F93" s="1542">
        <v>8.7999999999999995E-2</v>
      </c>
      <c r="G93" s="2347"/>
      <c r="H93" s="2348"/>
      <c r="I93" s="295">
        <v>0.42820512820512818</v>
      </c>
      <c r="J93" s="265"/>
      <c r="N93" s="1403"/>
      <c r="O93" s="265"/>
      <c r="P93" s="265"/>
      <c r="Q93" s="265"/>
      <c r="V93" s="2354"/>
      <c r="W93" s="1413"/>
      <c r="X93" s="93"/>
      <c r="Y93" s="93"/>
      <c r="Z93" s="678"/>
      <c r="AA93" s="678"/>
      <c r="AB93" s="92">
        <v>8.7999999999999995E-2</v>
      </c>
      <c r="AC93" s="1415">
        <v>8.7999999999999995E-2</v>
      </c>
      <c r="AD93" s="1415">
        <v>8.7999999999999995E-2</v>
      </c>
      <c r="AE93" s="1415">
        <v>8.7999999999999995E-2</v>
      </c>
      <c r="AF93" s="2007">
        <v>8.7999999999999995E-2</v>
      </c>
      <c r="AG93" s="2007">
        <f t="shared" si="9"/>
        <v>8.7999999999999995E-2</v>
      </c>
      <c r="AH93" s="1354"/>
      <c r="AJ93" s="1406"/>
      <c r="AU93" s="1350"/>
      <c r="DJ93" s="2045"/>
    </row>
    <row r="94" spans="1:114" outlineLevel="1" x14ac:dyDescent="0.25">
      <c r="A94" s="2142"/>
      <c r="B94" s="549"/>
      <c r="C94" s="263"/>
      <c r="D94" s="2356"/>
      <c r="E94" s="121" t="s">
        <v>739</v>
      </c>
      <c r="F94" s="1542">
        <v>5.6000000000000001E-2</v>
      </c>
      <c r="G94" s="2347"/>
      <c r="H94" s="2348"/>
      <c r="I94" s="295">
        <v>0.517948717948718</v>
      </c>
      <c r="J94" s="265"/>
      <c r="N94" s="1403"/>
      <c r="O94" s="265"/>
      <c r="P94" s="265"/>
      <c r="Q94" s="265"/>
      <c r="V94" s="2354"/>
      <c r="W94" s="1413"/>
      <c r="X94" s="93"/>
      <c r="Y94" s="93"/>
      <c r="Z94" s="678"/>
      <c r="AA94" s="678"/>
      <c r="AB94" s="92">
        <v>5.6000000000000001E-2</v>
      </c>
      <c r="AC94" s="1415">
        <v>5.6000000000000001E-2</v>
      </c>
      <c r="AD94" s="1415">
        <v>5.6000000000000001E-2</v>
      </c>
      <c r="AE94" s="1415">
        <v>5.6000000000000001E-2</v>
      </c>
      <c r="AF94" s="2007">
        <v>5.6000000000000001E-2</v>
      </c>
      <c r="AG94" s="2007">
        <f t="shared" si="9"/>
        <v>5.6000000000000001E-2</v>
      </c>
      <c r="AH94" s="1354"/>
      <c r="AJ94" s="1406"/>
      <c r="AU94" s="1350"/>
      <c r="DJ94" s="2045"/>
    </row>
    <row r="95" spans="1:114" outlineLevel="1" x14ac:dyDescent="0.25">
      <c r="A95" s="2142"/>
      <c r="B95" s="549"/>
      <c r="C95" s="263"/>
      <c r="D95" s="2361"/>
      <c r="E95" s="121" t="s">
        <v>740</v>
      </c>
      <c r="F95" s="1542">
        <v>0</v>
      </c>
      <c r="G95" s="2349"/>
      <c r="H95" s="2350"/>
      <c r="I95" s="295">
        <v>5.3846153846153849E-2</v>
      </c>
      <c r="J95" s="265"/>
      <c r="N95" s="1403"/>
      <c r="O95" s="265"/>
      <c r="P95" s="265"/>
      <c r="Q95" s="265"/>
      <c r="V95" s="2362"/>
      <c r="W95" s="1413"/>
      <c r="X95" s="93"/>
      <c r="Y95" s="93"/>
      <c r="Z95" s="678"/>
      <c r="AA95" s="678"/>
      <c r="AB95" s="92">
        <v>0</v>
      </c>
      <c r="AC95" s="1415">
        <v>0</v>
      </c>
      <c r="AD95" s="1415">
        <v>0</v>
      </c>
      <c r="AE95" s="1415">
        <v>0</v>
      </c>
      <c r="AF95" s="2007">
        <v>0</v>
      </c>
      <c r="AG95" s="2007">
        <f t="shared" si="9"/>
        <v>0</v>
      </c>
      <c r="AH95" s="1354"/>
      <c r="AJ95" s="1406"/>
      <c r="AU95" s="1350"/>
      <c r="DJ95" s="2045"/>
    </row>
    <row r="96" spans="1:114" ht="45" customHeight="1" outlineLevel="1" x14ac:dyDescent="0.25">
      <c r="A96" s="2142"/>
      <c r="B96" s="549"/>
      <c r="C96" s="263"/>
      <c r="D96" s="1298" t="s">
        <v>741</v>
      </c>
      <c r="E96" s="121" t="s">
        <v>742</v>
      </c>
      <c r="F96" s="1490">
        <v>0.98799999999999999</v>
      </c>
      <c r="G96" s="2343" t="s">
        <v>743</v>
      </c>
      <c r="H96" s="2344"/>
      <c r="I96" s="1278" t="s">
        <v>744</v>
      </c>
      <c r="J96" s="265"/>
      <c r="L96" s="512"/>
      <c r="N96" s="1403"/>
      <c r="O96" s="265"/>
      <c r="P96" s="265"/>
      <c r="Q96" s="265"/>
      <c r="V96" s="1262" t="str">
        <f>D96</f>
        <v>Eff_ISR</v>
      </c>
      <c r="W96" s="269">
        <v>1</v>
      </c>
      <c r="X96" s="284">
        <v>1</v>
      </c>
      <c r="Y96" s="295">
        <v>1</v>
      </c>
      <c r="Z96" s="139">
        <v>1</v>
      </c>
      <c r="AA96" s="139">
        <v>1</v>
      </c>
      <c r="AB96" s="92">
        <v>0.98799999999999999</v>
      </c>
      <c r="AC96" s="1415">
        <v>0.98799999999999999</v>
      </c>
      <c r="AD96" s="1415">
        <v>0.98799999999999999</v>
      </c>
      <c r="AE96" s="1415">
        <v>0.98799999999999999</v>
      </c>
      <c r="AF96" s="2007">
        <v>0.98799999999999999</v>
      </c>
      <c r="AG96" s="2007">
        <f t="shared" si="9"/>
        <v>0.98799999999999999</v>
      </c>
      <c r="AH96" s="1354"/>
      <c r="AJ96" s="1406"/>
      <c r="AU96" s="1350"/>
      <c r="DJ96" s="2045"/>
    </row>
    <row r="97" spans="1:114" outlineLevel="1" x14ac:dyDescent="0.25">
      <c r="A97" s="2142"/>
      <c r="B97" s="549"/>
      <c r="C97" s="263"/>
      <c r="D97" s="2355" t="s">
        <v>745</v>
      </c>
      <c r="E97" s="171" t="s">
        <v>693</v>
      </c>
      <c r="F97" s="1493">
        <f>F117*F124*F85*F92*F96</f>
        <v>0</v>
      </c>
      <c r="G97" s="2345" t="s">
        <v>746</v>
      </c>
      <c r="H97" s="2346"/>
      <c r="I97" s="1300"/>
      <c r="J97" s="265"/>
      <c r="N97" s="1403"/>
      <c r="O97" s="265"/>
      <c r="P97" s="265"/>
      <c r="Q97" s="265"/>
      <c r="V97" s="2353" t="str">
        <f>D97</f>
        <v>∆Therms</v>
      </c>
      <c r="W97" s="1342">
        <f>W117*W$124*W85*W$92*W$96</f>
        <v>50.32</v>
      </c>
      <c r="X97" s="1342">
        <f>X117*X$124*X85*X$92*X$96</f>
        <v>0</v>
      </c>
      <c r="Y97" s="1342">
        <v>0</v>
      </c>
      <c r="Z97" s="666">
        <v>0</v>
      </c>
      <c r="AA97" s="666">
        <v>0</v>
      </c>
      <c r="AB97" s="666">
        <v>0</v>
      </c>
      <c r="AC97" s="666">
        <f t="shared" ref="AC97:AC103" si="10">AC117*$F$124*AC85*$F$92*$F$96</f>
        <v>0</v>
      </c>
      <c r="AD97" s="666">
        <v>0</v>
      </c>
      <c r="AE97" s="666">
        <v>0</v>
      </c>
      <c r="AF97" s="253">
        <v>0</v>
      </c>
      <c r="AG97" s="253">
        <f t="shared" si="9"/>
        <v>0</v>
      </c>
      <c r="AH97" s="1354"/>
      <c r="AU97" s="1350"/>
      <c r="DJ97" s="2045"/>
    </row>
    <row r="98" spans="1:114" outlineLevel="1" x14ac:dyDescent="0.25">
      <c r="A98" s="2142"/>
      <c r="B98" s="549"/>
      <c r="C98" s="263"/>
      <c r="D98" s="2356"/>
      <c r="E98" s="171" t="s">
        <v>697</v>
      </c>
      <c r="F98" s="1493">
        <f>F118*F124*F86*F92*F96</f>
        <v>0</v>
      </c>
      <c r="G98" s="2347"/>
      <c r="H98" s="2348"/>
      <c r="I98" s="1300"/>
      <c r="J98" s="265"/>
      <c r="N98" s="1403"/>
      <c r="O98" s="265"/>
      <c r="P98" s="265"/>
      <c r="Q98" s="265"/>
      <c r="V98" s="2354"/>
      <c r="W98" s="1342"/>
      <c r="X98" s="1342"/>
      <c r="Y98" s="188">
        <v>0</v>
      </c>
      <c r="Z98" s="666">
        <v>0</v>
      </c>
      <c r="AA98" s="666">
        <v>0</v>
      </c>
      <c r="AB98" s="666">
        <v>0</v>
      </c>
      <c r="AC98" s="666">
        <f t="shared" si="10"/>
        <v>0</v>
      </c>
      <c r="AD98" s="666">
        <v>0</v>
      </c>
      <c r="AE98" s="666">
        <v>0</v>
      </c>
      <c r="AF98" s="253">
        <v>0</v>
      </c>
      <c r="AG98" s="253">
        <f t="shared" si="9"/>
        <v>0</v>
      </c>
      <c r="AH98" s="1354"/>
      <c r="AU98" s="1350"/>
      <c r="DJ98" s="2045"/>
    </row>
    <row r="99" spans="1:114" outlineLevel="1" x14ac:dyDescent="0.25">
      <c r="A99" s="2142"/>
      <c r="B99" s="549"/>
      <c r="C99" s="263"/>
      <c r="D99" s="2356"/>
      <c r="E99" s="171" t="s">
        <v>699</v>
      </c>
      <c r="F99" s="1493">
        <f>F119*F124*F87*F92*F96</f>
        <v>0</v>
      </c>
      <c r="G99" s="2347"/>
      <c r="H99" s="2348"/>
      <c r="I99" s="1300"/>
      <c r="J99" s="265"/>
      <c r="N99" s="1403"/>
      <c r="O99" s="265"/>
      <c r="P99" s="265"/>
      <c r="Q99" s="265"/>
      <c r="V99" s="2354"/>
      <c r="W99" s="1342">
        <f t="shared" ref="W99:X101" si="11">W119*W$124*W87*W$92*W$96</f>
        <v>32.707999999999998</v>
      </c>
      <c r="X99" s="1342">
        <f t="shared" si="11"/>
        <v>0</v>
      </c>
      <c r="Y99" s="1342">
        <v>0</v>
      </c>
      <c r="Z99" s="666">
        <v>0</v>
      </c>
      <c r="AA99" s="666">
        <v>0</v>
      </c>
      <c r="AB99" s="666">
        <v>0</v>
      </c>
      <c r="AC99" s="666">
        <f t="shared" si="10"/>
        <v>0</v>
      </c>
      <c r="AD99" s="666">
        <v>0</v>
      </c>
      <c r="AE99" s="666">
        <v>0</v>
      </c>
      <c r="AF99" s="253">
        <v>0</v>
      </c>
      <c r="AG99" s="253">
        <f t="shared" si="9"/>
        <v>0</v>
      </c>
      <c r="AH99" s="1354"/>
      <c r="AJ99" s="1406"/>
      <c r="AU99" s="1350"/>
      <c r="DJ99" s="2045"/>
    </row>
    <row r="100" spans="1:114" outlineLevel="1" x14ac:dyDescent="0.25">
      <c r="A100" s="2142"/>
      <c r="B100" s="549"/>
      <c r="C100" s="263"/>
      <c r="D100" s="2356"/>
      <c r="E100" s="171" t="s">
        <v>701</v>
      </c>
      <c r="F100" s="1493">
        <f>F120*F124*F88*F92*F96</f>
        <v>0</v>
      </c>
      <c r="G100" s="2347"/>
      <c r="H100" s="2348"/>
      <c r="I100" s="1300"/>
      <c r="J100" s="265"/>
      <c r="N100" s="1403"/>
      <c r="O100" s="265"/>
      <c r="P100" s="265"/>
      <c r="Q100" s="265"/>
      <c r="V100" s="2354"/>
      <c r="W100" s="1342">
        <f t="shared" si="11"/>
        <v>50.32</v>
      </c>
      <c r="X100" s="1342">
        <f t="shared" si="11"/>
        <v>0</v>
      </c>
      <c r="Y100" s="1342">
        <v>0</v>
      </c>
      <c r="Z100" s="666">
        <v>0</v>
      </c>
      <c r="AA100" s="666">
        <v>0</v>
      </c>
      <c r="AB100" s="666">
        <v>0</v>
      </c>
      <c r="AC100" s="666">
        <f t="shared" si="10"/>
        <v>0</v>
      </c>
      <c r="AD100" s="666">
        <v>0</v>
      </c>
      <c r="AE100" s="666">
        <v>0</v>
      </c>
      <c r="AF100" s="253">
        <v>0</v>
      </c>
      <c r="AG100" s="253">
        <f t="shared" si="9"/>
        <v>0</v>
      </c>
      <c r="AH100" s="1354"/>
      <c r="AJ100" s="1406"/>
      <c r="AU100" s="1350"/>
      <c r="DJ100" s="2045"/>
    </row>
    <row r="101" spans="1:114" outlineLevel="1" x14ac:dyDescent="0.25">
      <c r="A101" s="2142"/>
      <c r="B101" s="549"/>
      <c r="C101" s="263"/>
      <c r="D101" s="2356"/>
      <c r="E101" s="171" t="s">
        <v>704</v>
      </c>
      <c r="F101" s="1493">
        <f>F121*F124*F89*F92*F96</f>
        <v>44.944257776146785</v>
      </c>
      <c r="G101" s="2347"/>
      <c r="H101" s="2348"/>
      <c r="I101" s="1300"/>
      <c r="J101" s="265"/>
      <c r="N101" s="1403"/>
      <c r="O101" s="265"/>
      <c r="P101" s="265"/>
      <c r="Q101" s="265"/>
      <c r="V101" s="2354"/>
      <c r="W101" s="1342">
        <f t="shared" si="11"/>
        <v>50.32</v>
      </c>
      <c r="X101" s="1342">
        <f t="shared" si="11"/>
        <v>45.643001839969074</v>
      </c>
      <c r="Y101" s="86">
        <v>45.490139449541282</v>
      </c>
      <c r="Z101" s="666">
        <v>45.490139449541282</v>
      </c>
      <c r="AA101" s="666">
        <v>45.490139449541282</v>
      </c>
      <c r="AB101" s="666">
        <v>44.944257776146785</v>
      </c>
      <c r="AC101" s="666">
        <f t="shared" si="10"/>
        <v>44.944257776146785</v>
      </c>
      <c r="AD101" s="666">
        <v>44.944257776146785</v>
      </c>
      <c r="AE101" s="666">
        <v>44.944257776146785</v>
      </c>
      <c r="AF101" s="253">
        <v>44.944257776146785</v>
      </c>
      <c r="AG101" s="253">
        <f>IF($F101&lt;&gt;"",$F101,"")</f>
        <v>44.944257776146785</v>
      </c>
      <c r="AH101" s="1354"/>
      <c r="AJ101" s="1406"/>
      <c r="AU101" s="1350"/>
      <c r="DJ101" s="2045"/>
    </row>
    <row r="102" spans="1:114" outlineLevel="1" x14ac:dyDescent="0.25">
      <c r="A102" s="2142"/>
      <c r="B102" s="549"/>
      <c r="C102" s="263"/>
      <c r="D102" s="2356"/>
      <c r="E102" s="171" t="s">
        <v>706</v>
      </c>
      <c r="F102" s="1493">
        <f>F122*F124*F90*F92*F96</f>
        <v>29.213767554495412</v>
      </c>
      <c r="G102" s="2347"/>
      <c r="H102" s="2348"/>
      <c r="I102" s="1300"/>
      <c r="J102" s="265"/>
      <c r="N102" s="1403"/>
      <c r="O102" s="265"/>
      <c r="P102" s="265"/>
      <c r="Q102" s="265"/>
      <c r="V102" s="2354"/>
      <c r="W102" s="1342"/>
      <c r="X102" s="1342"/>
      <c r="Y102" s="86">
        <v>29.568590642201833</v>
      </c>
      <c r="Z102" s="666">
        <v>29.568590642201833</v>
      </c>
      <c r="AA102" s="666">
        <v>29.568590642201833</v>
      </c>
      <c r="AB102" s="666">
        <v>29.213767554495412</v>
      </c>
      <c r="AC102" s="666">
        <f t="shared" si="10"/>
        <v>29.213767554495412</v>
      </c>
      <c r="AD102" s="666">
        <v>29.213767554495412</v>
      </c>
      <c r="AE102" s="666">
        <v>29.213767554495412</v>
      </c>
      <c r="AF102" s="253">
        <v>29.213767554495412</v>
      </c>
      <c r="AG102" s="253">
        <f t="shared" si="9"/>
        <v>29.213767554495412</v>
      </c>
      <c r="AH102" s="1354"/>
      <c r="AJ102" s="1406"/>
      <c r="AU102" s="1350"/>
      <c r="DJ102" s="2045"/>
    </row>
    <row r="103" spans="1:114" outlineLevel="1" x14ac:dyDescent="0.25">
      <c r="A103" s="2142"/>
      <c r="B103" s="549"/>
      <c r="C103" s="263"/>
      <c r="D103" s="2356"/>
      <c r="E103" s="171" t="s">
        <v>709</v>
      </c>
      <c r="F103" s="1493">
        <f>F123*F124*F91*F92*F96</f>
        <v>30.112652710018352</v>
      </c>
      <c r="G103" s="2349"/>
      <c r="H103" s="2350"/>
      <c r="I103" s="1300"/>
      <c r="J103" s="265"/>
      <c r="N103" s="1403"/>
      <c r="O103" s="265"/>
      <c r="P103" s="265"/>
      <c r="Q103" s="265"/>
      <c r="V103" s="2354"/>
      <c r="W103" s="1342">
        <f>W123*W$124*W91*W$92*W$96</f>
        <v>32.707999999999998</v>
      </c>
      <c r="X103" s="1342">
        <f>X123*X$124*X91*X$92*X$96</f>
        <v>33.295508064007585</v>
      </c>
      <c r="Y103" s="86">
        <v>37.134317317128989</v>
      </c>
      <c r="Z103" s="666">
        <v>37.134317317128989</v>
      </c>
      <c r="AA103" s="666">
        <v>37.134317317128989</v>
      </c>
      <c r="AB103" s="666">
        <v>37.56045646690351</v>
      </c>
      <c r="AC103" s="666">
        <f t="shared" si="10"/>
        <v>30.112652710018352</v>
      </c>
      <c r="AD103" s="666">
        <v>30.112652710018352</v>
      </c>
      <c r="AE103" s="666">
        <v>30.112652710018352</v>
      </c>
      <c r="AF103" s="253">
        <v>30.112652710018352</v>
      </c>
      <c r="AG103" s="253">
        <f t="shared" si="9"/>
        <v>30.112652710018352</v>
      </c>
      <c r="AH103" s="1354"/>
      <c r="AU103" s="1350"/>
      <c r="DJ103" s="2045"/>
    </row>
    <row r="104" spans="1:114" outlineLevel="1" x14ac:dyDescent="0.25">
      <c r="A104" s="2142"/>
      <c r="B104" s="549"/>
      <c r="C104" s="263"/>
      <c r="D104" s="1291" t="s">
        <v>747</v>
      </c>
      <c r="E104" s="333" t="s">
        <v>742</v>
      </c>
      <c r="F104" s="1457">
        <v>3.1399999999999997E-2</v>
      </c>
      <c r="G104" s="2343" t="s">
        <v>748</v>
      </c>
      <c r="H104" s="2344"/>
      <c r="I104" s="1300" t="s">
        <v>749</v>
      </c>
      <c r="J104" s="265"/>
      <c r="N104" s="1403"/>
      <c r="O104" s="265"/>
      <c r="P104" s="265"/>
      <c r="Q104" s="265"/>
      <c r="V104" s="1263" t="str">
        <f>D104</f>
        <v>Fe</v>
      </c>
      <c r="W104" s="273">
        <v>3.1399999999999997E-2</v>
      </c>
      <c r="X104" s="273">
        <v>3.1399999999999997E-2</v>
      </c>
      <c r="Y104" s="296">
        <v>3.1399999999999997E-2</v>
      </c>
      <c r="Z104" s="1407">
        <v>3.1399999999999997E-2</v>
      </c>
      <c r="AA104" s="1407">
        <v>3.1399999999999997E-2</v>
      </c>
      <c r="AB104" s="1407">
        <v>3.1399999999999997E-2</v>
      </c>
      <c r="AC104" s="1407">
        <v>3.1399999999999997E-2</v>
      </c>
      <c r="AD104" s="1407">
        <v>3.1399999999999997E-2</v>
      </c>
      <c r="AE104" s="1407">
        <v>3.1399999999999997E-2</v>
      </c>
      <c r="AF104" s="1323">
        <v>3.1399999999999997E-2</v>
      </c>
      <c r="AG104" s="1323">
        <f t="shared" si="9"/>
        <v>3.1399999999999997E-2</v>
      </c>
      <c r="AH104" s="1354"/>
      <c r="AJ104" s="1406"/>
      <c r="AU104" s="1350"/>
      <c r="DJ104" s="2045"/>
    </row>
    <row r="105" spans="1:114" ht="15" customHeight="1" outlineLevel="1" x14ac:dyDescent="0.25">
      <c r="A105" s="2142"/>
      <c r="B105" s="549"/>
      <c r="C105" s="263"/>
      <c r="D105" s="2355" t="s">
        <v>750</v>
      </c>
      <c r="E105" s="171" t="s">
        <v>693</v>
      </c>
      <c r="F105" s="503">
        <v>1</v>
      </c>
      <c r="G105" s="2345" t="s">
        <v>751</v>
      </c>
      <c r="H105" s="2346"/>
      <c r="I105" s="1300"/>
      <c r="J105" s="265"/>
      <c r="N105" s="1403"/>
      <c r="O105" s="265"/>
      <c r="P105" s="265"/>
      <c r="Q105" s="265"/>
      <c r="V105" s="2353" t="str">
        <f>D105</f>
        <v>%AC</v>
      </c>
      <c r="W105" s="269">
        <v>1</v>
      </c>
      <c r="X105" s="269">
        <v>1</v>
      </c>
      <c r="Y105" s="269">
        <v>1</v>
      </c>
      <c r="Z105" s="139">
        <v>1</v>
      </c>
      <c r="AA105" s="139">
        <v>1</v>
      </c>
      <c r="AB105" s="139">
        <v>1</v>
      </c>
      <c r="AC105" s="139">
        <v>1</v>
      </c>
      <c r="AD105" s="139">
        <v>1</v>
      </c>
      <c r="AE105" s="139">
        <v>1</v>
      </c>
      <c r="AF105" s="1323">
        <v>1</v>
      </c>
      <c r="AG105" s="1323">
        <f t="shared" si="9"/>
        <v>1</v>
      </c>
      <c r="AH105" s="1354"/>
      <c r="AJ105" s="1406"/>
      <c r="AU105" s="1350"/>
      <c r="DJ105" s="2045"/>
    </row>
    <row r="106" spans="1:114" outlineLevel="1" x14ac:dyDescent="0.25">
      <c r="A106" s="2142"/>
      <c r="B106" s="549"/>
      <c r="C106" s="263"/>
      <c r="D106" s="2356"/>
      <c r="E106" s="171" t="s">
        <v>697</v>
      </c>
      <c r="F106" s="503">
        <v>1</v>
      </c>
      <c r="G106" s="2347"/>
      <c r="H106" s="2348"/>
      <c r="I106" s="1300"/>
      <c r="J106" s="265"/>
      <c r="N106" s="1403"/>
      <c r="O106" s="265"/>
      <c r="P106" s="265"/>
      <c r="Q106" s="265"/>
      <c r="V106" s="2354"/>
      <c r="W106" s="269"/>
      <c r="X106" s="269"/>
      <c r="Y106" s="1323">
        <v>1</v>
      </c>
      <c r="Z106" s="139">
        <v>1</v>
      </c>
      <c r="AA106" s="139">
        <v>1</v>
      </c>
      <c r="AB106" s="139">
        <v>1</v>
      </c>
      <c r="AC106" s="139">
        <v>1</v>
      </c>
      <c r="AD106" s="139">
        <v>1</v>
      </c>
      <c r="AE106" s="139">
        <v>1</v>
      </c>
      <c r="AF106" s="1323">
        <v>1</v>
      </c>
      <c r="AG106" s="1323">
        <f t="shared" si="9"/>
        <v>1</v>
      </c>
      <c r="AH106" s="1354"/>
      <c r="AJ106" s="1406"/>
      <c r="AU106" s="1350"/>
      <c r="DJ106" s="2045"/>
    </row>
    <row r="107" spans="1:114" outlineLevel="1" x14ac:dyDescent="0.25">
      <c r="A107" s="2142"/>
      <c r="B107" s="549"/>
      <c r="C107" s="263"/>
      <c r="D107" s="2356"/>
      <c r="E107" s="171" t="s">
        <v>699</v>
      </c>
      <c r="F107" s="503">
        <v>1</v>
      </c>
      <c r="G107" s="2347"/>
      <c r="H107" s="2348"/>
      <c r="I107" s="1300"/>
      <c r="J107" s="265"/>
      <c r="N107" s="1403"/>
      <c r="O107" s="265"/>
      <c r="P107" s="265"/>
      <c r="Q107" s="265"/>
      <c r="V107" s="2354"/>
      <c r="W107" s="269">
        <v>1</v>
      </c>
      <c r="X107" s="269">
        <v>1</v>
      </c>
      <c r="Y107" s="269">
        <v>1</v>
      </c>
      <c r="Z107" s="139">
        <v>1</v>
      </c>
      <c r="AA107" s="139">
        <v>1</v>
      </c>
      <c r="AB107" s="139">
        <v>1</v>
      </c>
      <c r="AC107" s="139">
        <v>1</v>
      </c>
      <c r="AD107" s="139">
        <v>1</v>
      </c>
      <c r="AE107" s="139">
        <v>1</v>
      </c>
      <c r="AF107" s="1323">
        <v>1</v>
      </c>
      <c r="AG107" s="1323">
        <f t="shared" si="9"/>
        <v>1</v>
      </c>
      <c r="AH107" s="1354"/>
      <c r="AJ107" s="1406"/>
      <c r="AU107" s="1350"/>
      <c r="DJ107" s="2045"/>
    </row>
    <row r="108" spans="1:114" outlineLevel="1" x14ac:dyDescent="0.25">
      <c r="A108" s="2142"/>
      <c r="B108" s="549"/>
      <c r="C108" s="263"/>
      <c r="D108" s="2356"/>
      <c r="E108" s="171" t="s">
        <v>701</v>
      </c>
      <c r="F108" s="503">
        <v>1</v>
      </c>
      <c r="G108" s="2347"/>
      <c r="H108" s="2348"/>
      <c r="I108" s="1300"/>
      <c r="J108" s="265"/>
      <c r="N108" s="1403"/>
      <c r="O108" s="265"/>
      <c r="P108" s="265"/>
      <c r="Q108" s="265"/>
      <c r="V108" s="2354"/>
      <c r="W108" s="269">
        <v>1</v>
      </c>
      <c r="X108" s="269">
        <v>1</v>
      </c>
      <c r="Y108" s="269">
        <v>1</v>
      </c>
      <c r="Z108" s="139">
        <v>1</v>
      </c>
      <c r="AA108" s="139">
        <v>1</v>
      </c>
      <c r="AB108" s="139">
        <v>1</v>
      </c>
      <c r="AC108" s="139">
        <v>1</v>
      </c>
      <c r="AD108" s="139">
        <v>1</v>
      </c>
      <c r="AE108" s="139">
        <v>1</v>
      </c>
      <c r="AF108" s="1323">
        <v>1</v>
      </c>
      <c r="AG108" s="1323">
        <f t="shared" si="9"/>
        <v>1</v>
      </c>
      <c r="AH108" s="1354"/>
      <c r="AU108" s="1350"/>
      <c r="DJ108" s="2045"/>
    </row>
    <row r="109" spans="1:114" outlineLevel="1" x14ac:dyDescent="0.25">
      <c r="A109" s="2142"/>
      <c r="B109" s="549"/>
      <c r="C109" s="263"/>
      <c r="D109" s="2356"/>
      <c r="E109" s="171" t="s">
        <v>704</v>
      </c>
      <c r="F109" s="503">
        <v>1</v>
      </c>
      <c r="G109" s="2347"/>
      <c r="H109" s="2348"/>
      <c r="I109" s="1300"/>
      <c r="J109" s="265"/>
      <c r="N109" s="1403"/>
      <c r="O109" s="265"/>
      <c r="P109" s="265"/>
      <c r="Q109" s="265"/>
      <c r="V109" s="2354"/>
      <c r="W109" s="269">
        <v>1</v>
      </c>
      <c r="X109" s="269">
        <v>1</v>
      </c>
      <c r="Y109" s="269">
        <v>1</v>
      </c>
      <c r="Z109" s="139">
        <v>1</v>
      </c>
      <c r="AA109" s="139">
        <v>1</v>
      </c>
      <c r="AB109" s="139">
        <v>1</v>
      </c>
      <c r="AC109" s="139">
        <v>1</v>
      </c>
      <c r="AD109" s="139">
        <v>1</v>
      </c>
      <c r="AE109" s="139">
        <v>1</v>
      </c>
      <c r="AF109" s="1323">
        <v>1</v>
      </c>
      <c r="AG109" s="1323">
        <f t="shared" si="9"/>
        <v>1</v>
      </c>
      <c r="AH109" s="1354"/>
      <c r="AJ109" s="1406"/>
      <c r="AU109" s="1350"/>
      <c r="DJ109" s="2045"/>
    </row>
    <row r="110" spans="1:114" outlineLevel="1" x14ac:dyDescent="0.25">
      <c r="A110" s="2142"/>
      <c r="B110" s="549"/>
      <c r="C110" s="263"/>
      <c r="D110" s="2356"/>
      <c r="E110" s="171" t="s">
        <v>706</v>
      </c>
      <c r="F110" s="503">
        <v>1</v>
      </c>
      <c r="G110" s="2347"/>
      <c r="H110" s="2348"/>
      <c r="I110" s="1300"/>
      <c r="J110" s="265"/>
      <c r="N110" s="1403"/>
      <c r="O110" s="265"/>
      <c r="P110" s="265"/>
      <c r="Q110" s="265"/>
      <c r="V110" s="2354"/>
      <c r="W110" s="269"/>
      <c r="X110" s="269"/>
      <c r="Y110" s="1323">
        <v>1</v>
      </c>
      <c r="Z110" s="139">
        <v>1</v>
      </c>
      <c r="AA110" s="139">
        <v>1</v>
      </c>
      <c r="AB110" s="139">
        <v>1</v>
      </c>
      <c r="AC110" s="139">
        <v>1</v>
      </c>
      <c r="AD110" s="139">
        <v>1</v>
      </c>
      <c r="AE110" s="139">
        <v>1</v>
      </c>
      <c r="AF110" s="1323">
        <v>1</v>
      </c>
      <c r="AG110" s="1323">
        <f t="shared" si="9"/>
        <v>1</v>
      </c>
      <c r="AH110" s="1354"/>
      <c r="AJ110" s="1406"/>
      <c r="AU110" s="1350"/>
      <c r="DJ110" s="2045"/>
    </row>
    <row r="111" spans="1:114" outlineLevel="1" x14ac:dyDescent="0.25">
      <c r="A111" s="2142"/>
      <c r="B111" s="549"/>
      <c r="C111" s="263"/>
      <c r="D111" s="2356"/>
      <c r="E111" s="171" t="s">
        <v>709</v>
      </c>
      <c r="F111" s="503">
        <v>1</v>
      </c>
      <c r="G111" s="2349"/>
      <c r="H111" s="2350"/>
      <c r="I111" s="1300"/>
      <c r="J111" s="265"/>
      <c r="N111" s="1403"/>
      <c r="O111" s="265"/>
      <c r="P111" s="265"/>
      <c r="Q111" s="265"/>
      <c r="V111" s="2354"/>
      <c r="W111" s="269">
        <v>1</v>
      </c>
      <c r="X111" s="269">
        <v>1</v>
      </c>
      <c r="Y111" s="269">
        <v>1</v>
      </c>
      <c r="Z111" s="139">
        <v>1</v>
      </c>
      <c r="AA111" s="139">
        <v>1</v>
      </c>
      <c r="AB111" s="139">
        <v>1</v>
      </c>
      <c r="AC111" s="139">
        <v>1</v>
      </c>
      <c r="AD111" s="139">
        <v>1</v>
      </c>
      <c r="AE111" s="139">
        <v>1</v>
      </c>
      <c r="AF111" s="1323">
        <v>1</v>
      </c>
      <c r="AG111" s="1323">
        <f t="shared" si="9"/>
        <v>1</v>
      </c>
      <c r="AH111" s="1354"/>
      <c r="AJ111" s="1406"/>
      <c r="AU111" s="1350"/>
      <c r="DJ111" s="2045"/>
    </row>
    <row r="112" spans="1:114" ht="15" customHeight="1" outlineLevel="1" x14ac:dyDescent="0.25">
      <c r="A112" s="2142"/>
      <c r="B112" s="549"/>
      <c r="C112" s="263"/>
      <c r="D112" s="1870" t="s">
        <v>752</v>
      </c>
      <c r="E112" s="333" t="s">
        <v>753</v>
      </c>
      <c r="F112" s="1543">
        <v>869</v>
      </c>
      <c r="G112" s="2343" t="s">
        <v>754</v>
      </c>
      <c r="H112" s="2344"/>
      <c r="I112" s="1300" t="s">
        <v>755</v>
      </c>
      <c r="J112" s="265"/>
      <c r="N112" s="1403"/>
      <c r="O112" s="265"/>
      <c r="P112" s="265"/>
      <c r="Q112" s="265"/>
      <c r="V112" s="1262" t="str">
        <f t="shared" ref="V112:V117" si="12">D112</f>
        <v>EFLH cool</v>
      </c>
      <c r="W112" s="1408">
        <v>869</v>
      </c>
      <c r="X112" s="1408">
        <v>869</v>
      </c>
      <c r="Y112" s="1409">
        <v>869</v>
      </c>
      <c r="Z112" s="1038">
        <v>869</v>
      </c>
      <c r="AA112" s="1038">
        <v>869</v>
      </c>
      <c r="AB112" s="1038">
        <v>869</v>
      </c>
      <c r="AC112" s="1038">
        <v>869</v>
      </c>
      <c r="AD112" s="1038">
        <v>869</v>
      </c>
      <c r="AE112" s="1038">
        <v>869</v>
      </c>
      <c r="AF112" s="253">
        <v>869</v>
      </c>
      <c r="AG112" s="253">
        <f t="shared" si="9"/>
        <v>869</v>
      </c>
      <c r="AH112" s="1354"/>
      <c r="AJ112" s="1406"/>
      <c r="AU112" s="1350"/>
      <c r="DJ112" s="2045"/>
    </row>
    <row r="113" spans="1:114" outlineLevel="1" x14ac:dyDescent="0.25">
      <c r="A113" s="2142"/>
      <c r="B113" s="549"/>
      <c r="C113" s="263"/>
      <c r="D113" s="121" t="s">
        <v>756</v>
      </c>
      <c r="E113" s="333" t="s">
        <v>757</v>
      </c>
      <c r="F113" s="1492">
        <v>36000</v>
      </c>
      <c r="G113" s="2357"/>
      <c r="H113" s="2358"/>
      <c r="I113" s="1300" t="s">
        <v>758</v>
      </c>
      <c r="J113" s="265"/>
      <c r="N113" s="1403"/>
      <c r="O113" s="265"/>
      <c r="P113" s="265"/>
      <c r="Q113" s="265"/>
      <c r="V113" s="1410" t="str">
        <f t="shared" si="12"/>
        <v>CapacityCool</v>
      </c>
      <c r="W113" s="1408">
        <v>36000</v>
      </c>
      <c r="X113" s="1409">
        <v>36065.201197692251</v>
      </c>
      <c r="Y113" s="1409">
        <v>36552.308373947715</v>
      </c>
      <c r="Z113" s="1038">
        <v>36552.308373947715</v>
      </c>
      <c r="AA113" s="1038">
        <v>36552.308373947715</v>
      </c>
      <c r="AB113" s="1038">
        <v>36552.308373947715</v>
      </c>
      <c r="AC113" s="943">
        <v>36000</v>
      </c>
      <c r="AD113" s="1038">
        <v>36000</v>
      </c>
      <c r="AE113" s="1038">
        <v>36000</v>
      </c>
      <c r="AF113" s="253">
        <v>36000</v>
      </c>
      <c r="AG113" s="253">
        <f t="shared" si="9"/>
        <v>36000</v>
      </c>
      <c r="AH113" s="1354"/>
      <c r="AU113" s="1350"/>
      <c r="DJ113" s="2045"/>
    </row>
    <row r="114" spans="1:114" outlineLevel="1" x14ac:dyDescent="0.25">
      <c r="A114" s="2142"/>
      <c r="B114" s="549"/>
      <c r="C114" s="263"/>
      <c r="D114" s="121" t="s">
        <v>756</v>
      </c>
      <c r="E114" s="333" t="s">
        <v>759</v>
      </c>
      <c r="F114" s="1492">
        <v>36000</v>
      </c>
      <c r="G114" s="2357"/>
      <c r="H114" s="2358"/>
      <c r="I114" s="1300" t="s">
        <v>758</v>
      </c>
      <c r="J114" s="265"/>
      <c r="N114" s="1403"/>
      <c r="O114" s="265"/>
      <c r="P114" s="265"/>
      <c r="Q114" s="265"/>
      <c r="V114" s="1410" t="str">
        <f t="shared" si="12"/>
        <v>CapacityCool</v>
      </c>
      <c r="W114" s="1408" t="s">
        <v>760</v>
      </c>
      <c r="X114" s="1409">
        <f>X113*0.65</f>
        <v>23442.380778499963</v>
      </c>
      <c r="Y114" s="1409">
        <v>36552.308373947715</v>
      </c>
      <c r="Z114" s="1038">
        <v>36552.308373947715</v>
      </c>
      <c r="AA114" s="1038">
        <v>36552.308373947715</v>
      </c>
      <c r="AB114" s="1038">
        <v>36552</v>
      </c>
      <c r="AC114" s="943">
        <v>36000</v>
      </c>
      <c r="AD114" s="1038">
        <v>36000</v>
      </c>
      <c r="AE114" s="1038">
        <v>36000</v>
      </c>
      <c r="AF114" s="253">
        <v>36000</v>
      </c>
      <c r="AG114" s="253">
        <f t="shared" si="9"/>
        <v>36000</v>
      </c>
      <c r="AH114" s="1354"/>
      <c r="AJ114" s="1406"/>
      <c r="AU114" s="1350"/>
      <c r="DJ114" s="2045"/>
    </row>
    <row r="115" spans="1:114" ht="14.45" customHeight="1" outlineLevel="1" x14ac:dyDescent="0.25">
      <c r="A115" s="2142"/>
      <c r="B115" s="549"/>
      <c r="C115" s="263"/>
      <c r="D115" s="121" t="s">
        <v>761</v>
      </c>
      <c r="E115" s="333" t="s">
        <v>742</v>
      </c>
      <c r="F115" s="1438">
        <v>13.4</v>
      </c>
      <c r="G115" s="2359" t="s">
        <v>762</v>
      </c>
      <c r="H115" s="2360"/>
      <c r="I115" s="1278" t="s">
        <v>725</v>
      </c>
      <c r="J115" s="265"/>
      <c r="N115" s="1403"/>
      <c r="O115" s="265"/>
      <c r="P115" s="265"/>
      <c r="Q115" s="265"/>
      <c r="V115" s="1410" t="str">
        <f t="shared" si="12"/>
        <v>SEER2</v>
      </c>
      <c r="W115" s="1408">
        <v>13</v>
      </c>
      <c r="X115" s="1408">
        <v>13.148148689111222</v>
      </c>
      <c r="Y115" s="94">
        <v>13.555486634175161</v>
      </c>
      <c r="Z115" s="679">
        <v>13.555486634175161</v>
      </c>
      <c r="AA115" s="679">
        <v>13.555486634175161</v>
      </c>
      <c r="AB115" s="1411">
        <v>13.555486634175161</v>
      </c>
      <c r="AC115" s="1412">
        <v>13</v>
      </c>
      <c r="AD115" s="1411">
        <v>13</v>
      </c>
      <c r="AE115" s="1411">
        <v>13</v>
      </c>
      <c r="AF115" s="253">
        <v>13.4</v>
      </c>
      <c r="AG115" s="253">
        <f t="shared" si="9"/>
        <v>13.4</v>
      </c>
      <c r="AH115" s="1354"/>
      <c r="AJ115" s="1406"/>
      <c r="AU115" s="1350"/>
      <c r="DJ115" s="2045"/>
    </row>
    <row r="116" spans="1:114" outlineLevel="1" x14ac:dyDescent="0.25">
      <c r="A116" s="2142"/>
      <c r="B116" s="549"/>
      <c r="C116" s="263"/>
      <c r="D116" s="1291" t="s">
        <v>763</v>
      </c>
      <c r="E116" s="333" t="s">
        <v>742</v>
      </c>
      <c r="F116" s="1542">
        <v>0.08</v>
      </c>
      <c r="G116" s="2343" t="s">
        <v>764</v>
      </c>
      <c r="H116" s="2344"/>
      <c r="I116" s="1300" t="s">
        <v>749</v>
      </c>
      <c r="J116" s="265"/>
      <c r="N116" s="1403"/>
      <c r="O116" s="265"/>
      <c r="P116" s="265"/>
      <c r="Q116" s="265"/>
      <c r="V116" s="1263" t="str">
        <f t="shared" si="12"/>
        <v>CoolingReduction</v>
      </c>
      <c r="W116" s="1413">
        <v>0.08</v>
      </c>
      <c r="X116" s="1413">
        <v>0.08</v>
      </c>
      <c r="Y116" s="1414">
        <v>0.08</v>
      </c>
      <c r="Z116" s="1415">
        <v>0.08</v>
      </c>
      <c r="AA116" s="1415">
        <v>0.08</v>
      </c>
      <c r="AB116" s="1415">
        <v>0.08</v>
      </c>
      <c r="AC116" s="1415">
        <v>0.08</v>
      </c>
      <c r="AD116" s="1415">
        <v>0.08</v>
      </c>
      <c r="AE116" s="1415">
        <v>0.08</v>
      </c>
      <c r="AF116" s="1323">
        <v>0.08</v>
      </c>
      <c r="AG116" s="1323">
        <f t="shared" si="9"/>
        <v>0.08</v>
      </c>
      <c r="AH116" s="1354"/>
      <c r="AJ116" s="1406"/>
      <c r="AU116" s="1350"/>
      <c r="DJ116" s="2045"/>
    </row>
    <row r="117" spans="1:114" ht="15" customHeight="1" outlineLevel="1" x14ac:dyDescent="0.25">
      <c r="A117" s="2142"/>
      <c r="B117" s="549"/>
      <c r="C117" s="263"/>
      <c r="D117" s="2355" t="s">
        <v>765</v>
      </c>
      <c r="E117" s="171" t="s">
        <v>693</v>
      </c>
      <c r="F117" s="1480">
        <v>0</v>
      </c>
      <c r="G117" s="2345" t="s">
        <v>766</v>
      </c>
      <c r="H117" s="2346"/>
      <c r="I117" s="1300"/>
      <c r="J117" s="265"/>
      <c r="N117" s="1403"/>
      <c r="O117" s="265"/>
      <c r="P117" s="265"/>
      <c r="Q117" s="265"/>
      <c r="V117" s="2353" t="str">
        <f t="shared" si="12"/>
        <v>%FossilHeat</v>
      </c>
      <c r="W117" s="269">
        <v>1</v>
      </c>
      <c r="X117" s="1323">
        <v>0</v>
      </c>
      <c r="Y117" s="295">
        <v>0</v>
      </c>
      <c r="Z117" s="139">
        <v>0</v>
      </c>
      <c r="AA117" s="139">
        <v>0</v>
      </c>
      <c r="AB117" s="139">
        <v>0</v>
      </c>
      <c r="AC117" s="139">
        <v>0</v>
      </c>
      <c r="AD117" s="139">
        <v>0</v>
      </c>
      <c r="AE117" s="139">
        <v>0</v>
      </c>
      <c r="AF117" s="1323">
        <v>0</v>
      </c>
      <c r="AG117" s="1323">
        <f t="shared" si="9"/>
        <v>0</v>
      </c>
      <c r="AH117" s="1354"/>
      <c r="AU117" s="1350"/>
      <c r="DJ117" s="2045"/>
    </row>
    <row r="118" spans="1:114" outlineLevel="1" x14ac:dyDescent="0.25">
      <c r="A118" s="2142"/>
      <c r="B118" s="549"/>
      <c r="C118" s="263"/>
      <c r="D118" s="2356"/>
      <c r="E118" s="171" t="s">
        <v>697</v>
      </c>
      <c r="F118" s="1480">
        <v>0</v>
      </c>
      <c r="G118" s="2347"/>
      <c r="H118" s="2348"/>
      <c r="I118" s="1300"/>
      <c r="J118" s="265"/>
      <c r="N118" s="1403"/>
      <c r="O118" s="265"/>
      <c r="P118" s="265"/>
      <c r="Q118" s="265"/>
      <c r="V118" s="2354"/>
      <c r="W118" s="269"/>
      <c r="X118" s="1323"/>
      <c r="Y118" s="1323">
        <v>0</v>
      </c>
      <c r="Z118" s="139">
        <v>0</v>
      </c>
      <c r="AA118" s="139">
        <v>0</v>
      </c>
      <c r="AB118" s="139">
        <v>0</v>
      </c>
      <c r="AC118" s="139">
        <v>0</v>
      </c>
      <c r="AD118" s="139">
        <v>0</v>
      </c>
      <c r="AE118" s="139">
        <v>0</v>
      </c>
      <c r="AF118" s="1323">
        <v>0</v>
      </c>
      <c r="AG118" s="1323">
        <f t="shared" si="9"/>
        <v>0</v>
      </c>
      <c r="AH118" s="1354"/>
      <c r="AU118" s="1350"/>
      <c r="DJ118" s="2045"/>
    </row>
    <row r="119" spans="1:114" outlineLevel="1" x14ac:dyDescent="0.25">
      <c r="A119" s="2142"/>
      <c r="B119" s="549"/>
      <c r="C119" s="263"/>
      <c r="D119" s="2356"/>
      <c r="E119" s="171" t="s">
        <v>699</v>
      </c>
      <c r="F119" s="1480">
        <v>0</v>
      </c>
      <c r="G119" s="2347"/>
      <c r="H119" s="2348"/>
      <c r="I119" s="1300"/>
      <c r="J119" s="265"/>
      <c r="N119" s="1403"/>
      <c r="O119" s="265"/>
      <c r="P119" s="265"/>
      <c r="Q119" s="265"/>
      <c r="V119" s="2354"/>
      <c r="W119" s="269">
        <v>1</v>
      </c>
      <c r="X119" s="1323">
        <v>0</v>
      </c>
      <c r="Y119" s="295">
        <v>0</v>
      </c>
      <c r="Z119" s="139">
        <v>0</v>
      </c>
      <c r="AA119" s="139">
        <v>0</v>
      </c>
      <c r="AB119" s="139">
        <v>0</v>
      </c>
      <c r="AC119" s="139">
        <v>0</v>
      </c>
      <c r="AD119" s="139">
        <v>0</v>
      </c>
      <c r="AE119" s="139">
        <v>0</v>
      </c>
      <c r="AF119" s="1323">
        <v>0</v>
      </c>
      <c r="AG119" s="1323">
        <f t="shared" si="9"/>
        <v>0</v>
      </c>
      <c r="AH119" s="1354"/>
      <c r="AU119" s="1350"/>
      <c r="DJ119" s="2045"/>
    </row>
    <row r="120" spans="1:114" outlineLevel="1" x14ac:dyDescent="0.25">
      <c r="A120" s="2142"/>
      <c r="B120" s="549"/>
      <c r="C120" s="263"/>
      <c r="D120" s="2356"/>
      <c r="E120" s="171" t="s">
        <v>701</v>
      </c>
      <c r="F120" s="1480">
        <v>0</v>
      </c>
      <c r="G120" s="2347"/>
      <c r="H120" s="2348"/>
      <c r="I120" s="1300"/>
      <c r="J120" s="265"/>
      <c r="N120" s="1403"/>
      <c r="O120" s="265"/>
      <c r="P120" s="265"/>
      <c r="Q120" s="265"/>
      <c r="V120" s="2354"/>
      <c r="W120" s="269">
        <v>1</v>
      </c>
      <c r="X120" s="1323">
        <v>0</v>
      </c>
      <c r="Y120" s="295">
        <v>0</v>
      </c>
      <c r="Z120" s="139">
        <v>0</v>
      </c>
      <c r="AA120" s="139">
        <v>0</v>
      </c>
      <c r="AB120" s="139">
        <v>0</v>
      </c>
      <c r="AC120" s="139">
        <v>0</v>
      </c>
      <c r="AD120" s="139">
        <v>0</v>
      </c>
      <c r="AE120" s="139">
        <v>0</v>
      </c>
      <c r="AF120" s="1323">
        <v>0</v>
      </c>
      <c r="AG120" s="1323">
        <f t="shared" si="9"/>
        <v>0</v>
      </c>
      <c r="AH120" s="1354"/>
      <c r="AU120" s="1350"/>
      <c r="DJ120" s="2045"/>
    </row>
    <row r="121" spans="1:114" outlineLevel="1" x14ac:dyDescent="0.25">
      <c r="A121" s="2142"/>
      <c r="B121" s="549"/>
      <c r="C121" s="263"/>
      <c r="D121" s="2356"/>
      <c r="E121" s="171" t="s">
        <v>704</v>
      </c>
      <c r="F121" s="1480">
        <v>1</v>
      </c>
      <c r="G121" s="2347"/>
      <c r="H121" s="2348"/>
      <c r="I121" s="1300"/>
      <c r="J121" s="265"/>
      <c r="N121" s="1403"/>
      <c r="O121" s="265"/>
      <c r="P121" s="265"/>
      <c r="Q121" s="265"/>
      <c r="V121" s="2354"/>
      <c r="W121" s="269">
        <v>1</v>
      </c>
      <c r="X121" s="269">
        <v>1</v>
      </c>
      <c r="Y121" s="295">
        <v>1</v>
      </c>
      <c r="Z121" s="139">
        <v>1</v>
      </c>
      <c r="AA121" s="139">
        <v>1</v>
      </c>
      <c r="AB121" s="139">
        <v>1</v>
      </c>
      <c r="AC121" s="139">
        <v>1</v>
      </c>
      <c r="AD121" s="139">
        <v>1</v>
      </c>
      <c r="AE121" s="139">
        <v>1</v>
      </c>
      <c r="AF121" s="1323">
        <v>1</v>
      </c>
      <c r="AG121" s="1323">
        <f t="shared" si="9"/>
        <v>1</v>
      </c>
      <c r="AH121" s="1354"/>
      <c r="AU121" s="1350"/>
      <c r="DJ121" s="2045"/>
    </row>
    <row r="122" spans="1:114" outlineLevel="1" x14ac:dyDescent="0.25">
      <c r="A122" s="2142"/>
      <c r="B122" s="549"/>
      <c r="C122" s="263"/>
      <c r="D122" s="2356"/>
      <c r="E122" s="171" t="s">
        <v>706</v>
      </c>
      <c r="F122" s="1480">
        <v>1</v>
      </c>
      <c r="G122" s="2349"/>
      <c r="H122" s="2350"/>
      <c r="I122" s="1300"/>
      <c r="J122" s="265"/>
      <c r="N122" s="1403"/>
      <c r="O122" s="265"/>
      <c r="P122" s="265"/>
      <c r="Q122" s="265"/>
      <c r="V122" s="2354"/>
      <c r="W122" s="269"/>
      <c r="X122" s="269"/>
      <c r="Y122" s="1323">
        <v>1</v>
      </c>
      <c r="Z122" s="139">
        <v>1</v>
      </c>
      <c r="AA122" s="139">
        <v>1</v>
      </c>
      <c r="AB122" s="139">
        <v>1</v>
      </c>
      <c r="AC122" s="139">
        <v>1</v>
      </c>
      <c r="AD122" s="139">
        <v>1</v>
      </c>
      <c r="AE122" s="139">
        <v>1</v>
      </c>
      <c r="AF122" s="1323">
        <v>1</v>
      </c>
      <c r="AG122" s="1323">
        <f t="shared" si="9"/>
        <v>1</v>
      </c>
      <c r="AH122" s="1354"/>
      <c r="AU122" s="1350"/>
      <c r="DJ122" s="2045"/>
    </row>
    <row r="123" spans="1:114" ht="14.65" customHeight="1" outlineLevel="1" x14ac:dyDescent="0.25">
      <c r="A123" s="2142"/>
      <c r="B123" s="549"/>
      <c r="C123" s="263"/>
      <c r="D123" s="2356"/>
      <c r="E123" s="171" t="s">
        <v>709</v>
      </c>
      <c r="F123" s="1480">
        <v>0.67</v>
      </c>
      <c r="G123" s="2351" t="s">
        <v>767</v>
      </c>
      <c r="H123" s="2352"/>
      <c r="I123" s="1300"/>
      <c r="J123" s="265"/>
      <c r="N123" s="1403"/>
      <c r="O123" s="265"/>
      <c r="P123" s="265"/>
      <c r="Q123" s="265"/>
      <c r="V123" s="2354"/>
      <c r="W123" s="269">
        <v>0.65</v>
      </c>
      <c r="X123" s="1323">
        <v>0.75536822013679017</v>
      </c>
      <c r="Y123" s="1323">
        <v>0.83571202029812874</v>
      </c>
      <c r="Z123" s="139">
        <v>0.83571202029812874</v>
      </c>
      <c r="AA123" s="139">
        <v>0.83571202029812874</v>
      </c>
      <c r="AB123" s="139">
        <v>0.83571202029812874</v>
      </c>
      <c r="AC123" s="140">
        <v>0.67</v>
      </c>
      <c r="AD123" s="139">
        <v>0.67</v>
      </c>
      <c r="AE123" s="139">
        <v>0.67</v>
      </c>
      <c r="AF123" s="1323">
        <v>0.67</v>
      </c>
      <c r="AG123" s="1323">
        <f t="shared" si="9"/>
        <v>0.67</v>
      </c>
      <c r="AH123" s="1354"/>
      <c r="AU123" s="1350"/>
      <c r="DJ123" s="2045"/>
    </row>
    <row r="124" spans="1:114" outlineLevel="1" x14ac:dyDescent="0.25">
      <c r="A124" s="2142"/>
      <c r="B124" s="549"/>
      <c r="C124" s="263"/>
      <c r="D124" s="1291" t="s">
        <v>768</v>
      </c>
      <c r="E124" s="121" t="s">
        <v>742</v>
      </c>
      <c r="F124" s="1454">
        <v>682.14220183486236</v>
      </c>
      <c r="G124" s="2343" t="s">
        <v>769</v>
      </c>
      <c r="H124" s="2344"/>
      <c r="I124" s="1300" t="s">
        <v>770</v>
      </c>
      <c r="J124" s="265"/>
      <c r="N124" s="1403"/>
      <c r="O124" s="265"/>
      <c r="P124" s="265"/>
      <c r="Q124" s="265"/>
      <c r="V124" s="1263" t="str">
        <f>D124</f>
        <v>HeatingConsumption_Gas</v>
      </c>
      <c r="W124" s="261">
        <v>680</v>
      </c>
      <c r="X124" s="282">
        <v>682.46115191341323</v>
      </c>
      <c r="Y124" s="282">
        <v>682.14220183486236</v>
      </c>
      <c r="Z124" s="319">
        <v>682.14220183486236</v>
      </c>
      <c r="AA124" s="319">
        <v>682.14220183486236</v>
      </c>
      <c r="AB124" s="319">
        <v>682.14220183486236</v>
      </c>
      <c r="AC124" s="319">
        <v>682.14220183486236</v>
      </c>
      <c r="AD124" s="319">
        <v>682.14220183486236</v>
      </c>
      <c r="AE124" s="319">
        <v>682.14220183486236</v>
      </c>
      <c r="AF124" s="253">
        <v>682.14220183486236</v>
      </c>
      <c r="AG124" s="253">
        <f t="shared" si="9"/>
        <v>682.14220183486236</v>
      </c>
      <c r="AH124" s="1354"/>
      <c r="AU124" s="1350"/>
      <c r="DJ124" s="2045"/>
    </row>
    <row r="125" spans="1:114" ht="15" customHeight="1" outlineLevel="1" x14ac:dyDescent="0.25">
      <c r="A125" s="2142"/>
      <c r="B125" s="549"/>
      <c r="C125" s="263"/>
      <c r="D125" s="1293" t="str">
        <f>$D$41</f>
        <v>EUL</v>
      </c>
      <c r="E125" s="1293" t="str">
        <f>$E$41</f>
        <v>Effective Useful Life</v>
      </c>
      <c r="F125" s="1454">
        <v>11</v>
      </c>
      <c r="G125" s="2343" t="s">
        <v>771</v>
      </c>
      <c r="H125" s="2344"/>
      <c r="I125" s="1300"/>
      <c r="J125" s="265"/>
      <c r="N125" s="1403"/>
      <c r="O125" s="265"/>
      <c r="P125" s="265"/>
      <c r="Q125" s="265"/>
      <c r="V125" s="1306" t="str">
        <f>D125</f>
        <v>EUL</v>
      </c>
      <c r="W125" s="422">
        <v>10</v>
      </c>
      <c r="X125" s="422">
        <v>10</v>
      </c>
      <c r="Y125" s="422">
        <v>10</v>
      </c>
      <c r="Z125" s="319">
        <v>10</v>
      </c>
      <c r="AA125" s="319">
        <v>10</v>
      </c>
      <c r="AB125" s="319">
        <v>10</v>
      </c>
      <c r="AC125" s="319">
        <v>10</v>
      </c>
      <c r="AD125" s="319">
        <v>10</v>
      </c>
      <c r="AE125" s="319">
        <v>10</v>
      </c>
      <c r="AF125" s="253">
        <v>11</v>
      </c>
      <c r="AG125" s="253">
        <f t="shared" si="9"/>
        <v>11</v>
      </c>
      <c r="AH125" s="1354"/>
      <c r="AU125" s="1350"/>
      <c r="DJ125" s="2045"/>
    </row>
    <row r="126" spans="1:114" ht="15" customHeight="1" outlineLevel="1" x14ac:dyDescent="0.25">
      <c r="A126" s="2142"/>
      <c r="B126" s="549"/>
      <c r="C126" s="263"/>
      <c r="D126" s="1293" t="str">
        <f>$D$42</f>
        <v>Inc. Cost</v>
      </c>
      <c r="E126" s="1293" t="str">
        <f>$E$42</f>
        <v>Incremental Cost</v>
      </c>
      <c r="F126" s="1763">
        <v>79</v>
      </c>
      <c r="G126" s="2343" t="s">
        <v>771</v>
      </c>
      <c r="H126" s="2344"/>
      <c r="I126" s="1278"/>
      <c r="J126" s="265"/>
      <c r="N126" s="1403"/>
      <c r="O126" s="265"/>
      <c r="P126" s="265"/>
      <c r="Q126" s="265"/>
      <c r="V126" s="1306" t="str">
        <f>D126</f>
        <v>Inc. Cost</v>
      </c>
      <c r="W126" s="95">
        <v>175</v>
      </c>
      <c r="X126" s="95">
        <v>175</v>
      </c>
      <c r="Y126" s="95">
        <v>175</v>
      </c>
      <c r="Z126" s="95">
        <v>175</v>
      </c>
      <c r="AA126" s="95">
        <v>175</v>
      </c>
      <c r="AB126" s="680">
        <v>125</v>
      </c>
      <c r="AC126" s="95">
        <v>125</v>
      </c>
      <c r="AD126" s="95">
        <v>125</v>
      </c>
      <c r="AE126" s="95">
        <v>125</v>
      </c>
      <c r="AF126" s="1123">
        <v>79</v>
      </c>
      <c r="AG126" s="1123">
        <f>IF($F126&lt;&gt;"",$F126,"")</f>
        <v>79</v>
      </c>
      <c r="AH126" s="1354"/>
      <c r="AU126" s="1350"/>
      <c r="DJ126" s="2045"/>
    </row>
    <row r="127" spans="1:114" x14ac:dyDescent="0.25">
      <c r="A127" s="2142"/>
      <c r="B127" s="549"/>
      <c r="C127" s="263"/>
      <c r="D127" s="126"/>
      <c r="E127" s="1277"/>
      <c r="F127" s="263"/>
      <c r="G127" s="265"/>
      <c r="H127" s="265"/>
      <c r="I127" s="265"/>
      <c r="J127" s="265"/>
      <c r="K127" s="265"/>
      <c r="L127" s="265"/>
      <c r="M127" s="265"/>
      <c r="N127" s="265"/>
      <c r="O127" s="265"/>
      <c r="P127" s="265"/>
      <c r="Q127" s="265"/>
      <c r="AH127" s="1354"/>
      <c r="AU127" s="1350"/>
      <c r="DJ127" s="2045"/>
    </row>
    <row r="128" spans="1:114" x14ac:dyDescent="0.25">
      <c r="A128" s="2142"/>
      <c r="AH128" s="1354"/>
      <c r="AU128" s="1350"/>
      <c r="DJ128" s="2045"/>
    </row>
    <row r="129" spans="1:114" s="73" customFormat="1" x14ac:dyDescent="0.25">
      <c r="A129" s="2142"/>
      <c r="B129" s="2339" t="s">
        <v>772</v>
      </c>
      <c r="C129" s="2340"/>
      <c r="D129" s="2340"/>
      <c r="E129" s="2340"/>
      <c r="F129" s="2340"/>
      <c r="G129" s="2340"/>
      <c r="H129" s="2340"/>
      <c r="I129" s="2311"/>
      <c r="J129" s="2311"/>
      <c r="K129" s="2311"/>
      <c r="L129" s="2311"/>
      <c r="M129" s="2311"/>
      <c r="N129" s="2312"/>
      <c r="O129" s="265"/>
      <c r="P129" s="265"/>
      <c r="Q129" s="265"/>
      <c r="R129" s="50"/>
      <c r="S129" s="50"/>
      <c r="T129" s="50"/>
      <c r="U129" s="50"/>
      <c r="V129" s="2339" t="str">
        <f>B129</f>
        <v>Lighting</v>
      </c>
      <c r="W129" s="2340"/>
      <c r="X129" s="2340"/>
      <c r="Y129" s="2340"/>
      <c r="Z129" s="2340"/>
      <c r="AA129" s="2340"/>
      <c r="AB129" s="2340"/>
      <c r="AC129" s="2341"/>
      <c r="AD129" s="2341"/>
      <c r="AE129" s="2341"/>
      <c r="AF129" s="2341"/>
      <c r="AG129" s="2341"/>
      <c r="AH129" s="2342"/>
      <c r="DG129" s="50"/>
      <c r="DH129" s="50"/>
      <c r="DI129" s="142"/>
      <c r="DJ129" s="2047"/>
    </row>
    <row r="130" spans="1:114" s="73" customFormat="1" x14ac:dyDescent="0.25">
      <c r="A130" s="2142"/>
      <c r="B130" s="50"/>
      <c r="C130" s="100"/>
      <c r="D130" s="100"/>
      <c r="E130" s="50"/>
      <c r="F130" s="49"/>
      <c r="G130" s="50"/>
      <c r="H130" s="50"/>
      <c r="I130" s="50"/>
      <c r="J130" s="50"/>
      <c r="K130" s="50"/>
      <c r="L130" s="50"/>
      <c r="M130" s="576"/>
      <c r="N130" s="265"/>
      <c r="O130" s="265"/>
      <c r="P130" s="265"/>
      <c r="Q130" s="265"/>
      <c r="R130" s="50"/>
      <c r="S130" s="50"/>
      <c r="T130" s="50"/>
      <c r="U130" s="50"/>
      <c r="V130" s="50"/>
      <c r="W130" s="365"/>
      <c r="X130" s="365"/>
      <c r="Y130" s="365"/>
      <c r="Z130" s="365"/>
      <c r="AA130" s="365"/>
      <c r="AB130" s="365"/>
      <c r="DG130" s="50"/>
      <c r="DH130" s="50"/>
      <c r="DI130" s="142"/>
      <c r="DJ130" s="2047"/>
    </row>
    <row r="131" spans="1:114" s="73" customFormat="1" ht="30" x14ac:dyDescent="0.25">
      <c r="A131" s="2142"/>
      <c r="B131" s="50"/>
      <c r="C131" s="1242" t="s">
        <v>43</v>
      </c>
      <c r="D131" s="1242" t="s">
        <v>597</v>
      </c>
      <c r="E131" s="106" t="s">
        <v>45</v>
      </c>
      <c r="F131" s="1242" t="s">
        <v>46</v>
      </c>
      <c r="G131" s="106" t="s">
        <v>47</v>
      </c>
      <c r="H131" s="106" t="s">
        <v>48</v>
      </c>
      <c r="I131" s="106" t="s">
        <v>49</v>
      </c>
      <c r="J131" s="106" t="s">
        <v>50</v>
      </c>
      <c r="K131" s="106" t="s">
        <v>51</v>
      </c>
      <c r="L131" s="1242" t="s">
        <v>52</v>
      </c>
      <c r="M131" s="576"/>
      <c r="N131" s="265"/>
      <c r="O131" s="265"/>
      <c r="P131" s="265"/>
      <c r="Q131" s="265"/>
      <c r="R131" s="50"/>
      <c r="S131" s="50"/>
      <c r="T131" s="50"/>
      <c r="U131" s="50"/>
      <c r="V131" s="162" t="s">
        <v>53</v>
      </c>
      <c r="W131" s="110">
        <f>$W$6</f>
        <v>43252</v>
      </c>
      <c r="X131" s="110">
        <f>$X$6</f>
        <v>43465</v>
      </c>
      <c r="Y131" s="110">
        <f>$Y$6</f>
        <v>43800</v>
      </c>
      <c r="Z131" s="110">
        <f>$Z$6</f>
        <v>43862</v>
      </c>
      <c r="AA131" s="110">
        <f>$AA$6</f>
        <v>44013</v>
      </c>
      <c r="AB131" s="110">
        <f>$AB$6</f>
        <v>44166</v>
      </c>
      <c r="AC131" s="637">
        <f>$AC$6</f>
        <v>44531</v>
      </c>
      <c r="AD131" s="637">
        <f>$AD$6</f>
        <v>44774</v>
      </c>
      <c r="AE131" s="637">
        <f>$AE$6</f>
        <v>45139</v>
      </c>
      <c r="AF131" s="637">
        <f>$AF$6</f>
        <v>45672</v>
      </c>
      <c r="AG131" s="637">
        <f>$AG$6</f>
        <v>45971</v>
      </c>
      <c r="DG131" s="1717" t="str">
        <f>$DG$6</f>
        <v>TRC (2025)</v>
      </c>
      <c r="DH131" s="1717" t="str">
        <f>$DH$6</f>
        <v>Benefit Lookup</v>
      </c>
      <c r="DI131" s="1718" t="str">
        <f>$DI$6</f>
        <v>Benefits (2025 $)</v>
      </c>
      <c r="DJ131" s="2046" t="str">
        <f>$DJ$6</f>
        <v>Incremental Cost (2025 $)</v>
      </c>
    </row>
    <row r="132" spans="1:114" s="73" customFormat="1" x14ac:dyDescent="0.25">
      <c r="A132" s="2142" t="s">
        <v>602</v>
      </c>
      <c r="B132" s="1318">
        <f t="shared" ref="B132" si="13">VALUE(LEFT(C132,6))</f>
        <v>251530</v>
      </c>
      <c r="C132" s="550" t="s">
        <v>773</v>
      </c>
      <c r="D132" s="101" t="s">
        <v>604</v>
      </c>
      <c r="E132" s="1249" t="s">
        <v>774</v>
      </c>
      <c r="F132" s="129">
        <f>ROUND((($G$139-$G$140)*$G$145*(1-$G$144)*$G$141*$G$143)/$G$142,2)</f>
        <v>23.24</v>
      </c>
      <c r="G132" s="1237" t="s">
        <v>775</v>
      </c>
      <c r="H132" s="1800">
        <f>VLOOKUP(G132,'CP FACTORS'!$A$3:$B$38, 2, FALSE)</f>
        <v>1.4925290000000001E-4</v>
      </c>
      <c r="I132" s="131">
        <f>ROUND(F132*H132,6)</f>
        <v>3.4689999999999999E-3</v>
      </c>
      <c r="J132" s="44">
        <f>G146</f>
        <v>8</v>
      </c>
      <c r="K132" s="926">
        <f>G147</f>
        <v>3.35</v>
      </c>
      <c r="L132" s="132" t="s">
        <v>63</v>
      </c>
      <c r="M132" s="265"/>
      <c r="N132" s="265"/>
      <c r="O132" s="265"/>
      <c r="P132" s="265"/>
      <c r="Q132" s="265"/>
      <c r="R132" s="510"/>
      <c r="S132" s="50"/>
      <c r="T132" s="50"/>
      <c r="U132" s="50"/>
      <c r="V132" s="644" t="s">
        <v>46</v>
      </c>
      <c r="W132" s="1417"/>
      <c r="X132" s="57"/>
      <c r="Y132" s="129"/>
      <c r="Z132" s="373"/>
      <c r="AA132" s="373"/>
      <c r="AB132" s="133"/>
      <c r="AC132" s="133"/>
      <c r="AD132" s="129"/>
      <c r="AE132" s="129"/>
      <c r="AF132" s="253">
        <f>IF(F132&lt;&gt;"",F132,"")</f>
        <v>23.24</v>
      </c>
      <c r="AG132" s="337"/>
      <c r="AH132" s="114"/>
      <c r="DG132" s="1766">
        <f>(DI132)/(DJ132)</f>
        <v>2.7690008676024807</v>
      </c>
      <c r="DH132" s="121" t="str">
        <f>CONCATENATE(G132," ",J132," Year EUL")</f>
        <v>Lighting RES 8 Year EUL</v>
      </c>
      <c r="DI132" s="1027">
        <f>(INDEX('Avoided Cost Benefits'!$B$4:$B$865,MATCH(DH132,'Avoided Cost Benefits'!$A$4:$A$865,0)))*F132</f>
        <v>9.2761529064683099</v>
      </c>
      <c r="DJ132" s="2035">
        <f>IFERROR(K132/((1+DiscountRate)^(CurrentYear-DiscountYear)),0)</f>
        <v>3.35</v>
      </c>
    </row>
    <row r="133" spans="1:114" s="73" customFormat="1" outlineLevel="1" x14ac:dyDescent="0.25">
      <c r="A133" s="511"/>
      <c r="B133" s="50"/>
      <c r="C133" s="100"/>
      <c r="D133" s="74" t="s">
        <v>95</v>
      </c>
      <c r="E133" s="265" t="s">
        <v>776</v>
      </c>
      <c r="F133" s="1771"/>
      <c r="G133" s="519"/>
      <c r="H133" s="50"/>
      <c r="I133" s="50"/>
      <c r="J133" s="50"/>
      <c r="K133" s="50"/>
      <c r="L133" s="50"/>
      <c r="M133" s="166"/>
      <c r="N133" s="50"/>
      <c r="O133" s="50"/>
      <c r="P133" s="50"/>
      <c r="Q133" s="50"/>
      <c r="R133" s="50"/>
      <c r="S133" s="50"/>
      <c r="T133" s="50"/>
      <c r="U133" s="50"/>
      <c r="V133" s="50"/>
      <c r="W133" s="365"/>
      <c r="X133" s="365"/>
      <c r="Y133" s="365"/>
      <c r="Z133" s="365"/>
      <c r="AA133" s="365"/>
      <c r="AB133" s="365"/>
      <c r="DG133" s="50"/>
      <c r="DH133" s="50"/>
      <c r="DI133" s="142"/>
      <c r="DJ133" s="2047"/>
    </row>
    <row r="134" spans="1:114" s="73" customFormat="1" outlineLevel="1" x14ac:dyDescent="0.25">
      <c r="A134" s="511"/>
      <c r="B134" s="50"/>
      <c r="C134" s="100"/>
      <c r="D134" s="100" t="s">
        <v>609</v>
      </c>
      <c r="E134" s="50" t="s">
        <v>777</v>
      </c>
      <c r="F134" s="49"/>
      <c r="G134" s="50"/>
      <c r="H134" s="50"/>
      <c r="I134" s="50"/>
      <c r="J134" s="50"/>
      <c r="K134" s="50"/>
      <c r="L134" s="50"/>
      <c r="M134" s="166"/>
      <c r="N134" s="50"/>
      <c r="O134" s="50"/>
      <c r="P134" s="50"/>
      <c r="Q134" s="50"/>
      <c r="R134" s="50"/>
      <c r="S134" s="50"/>
      <c r="T134" s="50"/>
      <c r="U134" s="50"/>
      <c r="V134" s="50"/>
      <c r="W134" s="365"/>
      <c r="X134" s="365"/>
      <c r="Y134" s="365"/>
      <c r="Z134" s="365"/>
      <c r="AA134" s="365"/>
      <c r="AB134" s="365"/>
      <c r="DG134" s="50"/>
      <c r="DH134" s="50"/>
      <c r="DI134" s="142"/>
      <c r="DJ134" s="2047"/>
    </row>
    <row r="135" spans="1:114" s="73" customFormat="1" outlineLevel="1" x14ac:dyDescent="0.25">
      <c r="A135" s="511"/>
      <c r="B135" s="50"/>
      <c r="C135" s="100"/>
      <c r="D135" s="100"/>
      <c r="E135" s="50" t="s">
        <v>612</v>
      </c>
      <c r="F135" s="49"/>
      <c r="G135" s="50"/>
      <c r="H135" s="50"/>
      <c r="I135" s="50"/>
      <c r="J135" s="50"/>
      <c r="K135" s="50"/>
      <c r="L135" s="50"/>
      <c r="M135" s="166"/>
      <c r="N135" s="50"/>
      <c r="O135" s="50"/>
      <c r="P135" s="50"/>
      <c r="Q135" s="50"/>
      <c r="R135" s="50"/>
      <c r="S135" s="50"/>
      <c r="T135" s="50"/>
      <c r="U135" s="50"/>
      <c r="V135" s="50"/>
      <c r="W135" s="365"/>
      <c r="X135" s="365"/>
      <c r="Y135" s="365"/>
      <c r="Z135" s="365"/>
      <c r="AA135" s="365"/>
      <c r="AB135" s="365"/>
      <c r="DG135" s="50"/>
      <c r="DH135" s="50"/>
      <c r="DI135" s="142"/>
      <c r="DJ135" s="2047"/>
    </row>
    <row r="136" spans="1:114" s="73" customFormat="1" outlineLevel="1" x14ac:dyDescent="0.25">
      <c r="A136" s="511"/>
      <c r="B136" s="50"/>
      <c r="C136" s="100"/>
      <c r="D136" s="100"/>
      <c r="E136" s="50"/>
      <c r="F136" s="49"/>
      <c r="G136" s="50"/>
      <c r="H136" s="50"/>
      <c r="I136" s="50"/>
      <c r="J136" s="50"/>
      <c r="K136" s="50"/>
      <c r="L136" s="50"/>
      <c r="M136" s="166"/>
      <c r="N136" s="50"/>
      <c r="O136" s="50"/>
      <c r="P136" s="50"/>
      <c r="Q136" s="50"/>
      <c r="R136" s="50"/>
      <c r="S136" s="50"/>
      <c r="T136" s="50"/>
      <c r="U136" s="50"/>
      <c r="V136" s="50"/>
      <c r="W136" s="365"/>
      <c r="X136" s="365"/>
      <c r="Y136" s="365"/>
      <c r="Z136" s="365"/>
      <c r="AA136" s="365"/>
      <c r="AB136" s="365"/>
      <c r="DG136" s="50"/>
      <c r="DH136" s="50"/>
      <c r="DI136" s="142"/>
      <c r="DJ136" s="2047"/>
    </row>
    <row r="137" spans="1:114" s="73" customFormat="1" outlineLevel="1" x14ac:dyDescent="0.25">
      <c r="A137" s="511"/>
      <c r="B137" s="50"/>
      <c r="C137" s="100"/>
      <c r="D137" s="100"/>
      <c r="E137" s="50"/>
      <c r="F137" s="49"/>
      <c r="G137" s="50"/>
      <c r="H137" s="50"/>
      <c r="I137" s="50"/>
      <c r="J137" s="50"/>
      <c r="K137" s="50"/>
      <c r="L137" s="50"/>
      <c r="M137" s="166"/>
      <c r="N137" s="50"/>
      <c r="O137" s="50"/>
      <c r="P137" s="50"/>
      <c r="Q137" s="50"/>
      <c r="R137" s="50"/>
      <c r="S137" s="50"/>
      <c r="T137" s="50"/>
      <c r="U137" s="50"/>
      <c r="V137" s="50"/>
      <c r="W137" s="365"/>
      <c r="X137" s="365"/>
      <c r="Y137" s="365"/>
      <c r="Z137" s="365"/>
      <c r="AA137" s="365"/>
      <c r="AB137" s="365"/>
      <c r="DG137" s="50"/>
      <c r="DH137" s="50"/>
      <c r="DI137" s="142"/>
      <c r="DJ137" s="2047"/>
    </row>
    <row r="138" spans="1:114" s="73" customFormat="1" outlineLevel="1" x14ac:dyDescent="0.25">
      <c r="A138" s="511"/>
      <c r="B138" s="50"/>
      <c r="C138" s="100"/>
      <c r="D138" s="109" t="s">
        <v>720</v>
      </c>
      <c r="E138" s="730" t="s">
        <v>613</v>
      </c>
      <c r="F138" s="106" t="s">
        <v>778</v>
      </c>
      <c r="G138" s="106" t="s">
        <v>615</v>
      </c>
      <c r="H138" s="106" t="s">
        <v>616</v>
      </c>
      <c r="I138" s="106" t="s">
        <v>617</v>
      </c>
      <c r="J138" s="50"/>
      <c r="K138" s="50"/>
      <c r="L138" s="50"/>
      <c r="M138" s="50"/>
      <c r="N138" s="50"/>
      <c r="O138" s="50"/>
      <c r="P138" s="50"/>
      <c r="Q138" s="50"/>
      <c r="R138" s="50"/>
      <c r="S138" s="50"/>
      <c r="T138" s="50"/>
      <c r="U138" s="50"/>
      <c r="V138" s="749" t="s">
        <v>53</v>
      </c>
      <c r="W138" s="1571">
        <f>$W$6</f>
        <v>43252</v>
      </c>
      <c r="X138" s="1571">
        <f>$X$6</f>
        <v>43465</v>
      </c>
      <c r="Y138" s="1571">
        <f>$Y$6</f>
        <v>43800</v>
      </c>
      <c r="Z138" s="1571">
        <f>$Z$6</f>
        <v>43862</v>
      </c>
      <c r="AA138" s="1571">
        <f>$AA$6</f>
        <v>44013</v>
      </c>
      <c r="AB138" s="1571">
        <f>$AB$6</f>
        <v>44166</v>
      </c>
      <c r="AC138" s="1569">
        <f>$AC$6</f>
        <v>44531</v>
      </c>
      <c r="AD138" s="1569">
        <f>$AD$6</f>
        <v>44774</v>
      </c>
      <c r="AE138" s="1569">
        <f>$AE$6</f>
        <v>45139</v>
      </c>
      <c r="AF138" s="1569">
        <f>$AF$6</f>
        <v>45672</v>
      </c>
      <c r="AG138" s="1569">
        <f>$AG$6</f>
        <v>45971</v>
      </c>
      <c r="AH138" s="50"/>
      <c r="DG138" s="50"/>
      <c r="DH138" s="50"/>
      <c r="DI138" s="142"/>
      <c r="DJ138" s="2047"/>
    </row>
    <row r="139" spans="1:114" s="73" customFormat="1" ht="24.75" outlineLevel="1" x14ac:dyDescent="0.25">
      <c r="A139" s="511"/>
      <c r="B139" s="50"/>
      <c r="C139" s="100"/>
      <c r="D139" s="1256" t="s">
        <v>779</v>
      </c>
      <c r="E139" s="1256" t="s">
        <v>774</v>
      </c>
      <c r="F139" s="1311" t="s">
        <v>774</v>
      </c>
      <c r="G139" s="1567">
        <v>7</v>
      </c>
      <c r="H139" s="1248" t="s">
        <v>780</v>
      </c>
      <c r="I139" s="1801" t="s">
        <v>781</v>
      </c>
      <c r="J139" s="50"/>
      <c r="K139" s="520"/>
      <c r="L139" s="520"/>
      <c r="M139" s="50"/>
      <c r="N139" s="166"/>
      <c r="O139" s="50"/>
      <c r="P139" s="50"/>
      <c r="Q139" s="50"/>
      <c r="R139" s="50"/>
      <c r="S139" s="50"/>
      <c r="T139" s="50"/>
      <c r="U139" s="50"/>
      <c r="V139" s="1256" t="str">
        <f>D139</f>
        <v>WattsBase</v>
      </c>
      <c r="W139" s="1418"/>
      <c r="X139" s="1418"/>
      <c r="Y139" s="1418"/>
      <c r="Z139" s="1418"/>
      <c r="AA139" s="1418"/>
      <c r="AB139" s="135"/>
      <c r="AC139" s="135"/>
      <c r="AD139" s="134"/>
      <c r="AE139" s="134"/>
      <c r="AF139" s="253">
        <v>7</v>
      </c>
      <c r="AG139" s="253">
        <f>IF($G139&lt;&gt;"",$G139,"")</f>
        <v>7</v>
      </c>
      <c r="DG139" s="50"/>
      <c r="DH139" s="50"/>
      <c r="DI139" s="142"/>
      <c r="DJ139" s="2047"/>
    </row>
    <row r="140" spans="1:114" s="73" customFormat="1" outlineLevel="1" x14ac:dyDescent="0.25">
      <c r="A140" s="511"/>
      <c r="B140" s="50"/>
      <c r="C140" s="100"/>
      <c r="D140" s="1256" t="s">
        <v>782</v>
      </c>
      <c r="E140" s="1256" t="s">
        <v>774</v>
      </c>
      <c r="F140" s="1237" t="s">
        <v>774</v>
      </c>
      <c r="G140" s="1559">
        <v>0.3</v>
      </c>
      <c r="H140" s="1248" t="s">
        <v>783</v>
      </c>
      <c r="I140" s="1248" t="s">
        <v>784</v>
      </c>
      <c r="J140" s="50"/>
      <c r="K140" s="141"/>
      <c r="L140" s="141"/>
      <c r="M140" s="50"/>
      <c r="N140" s="166"/>
      <c r="O140" s="50"/>
      <c r="P140" s="50"/>
      <c r="Q140" s="50"/>
      <c r="R140" s="50"/>
      <c r="S140" s="50"/>
      <c r="T140" s="50"/>
      <c r="U140" s="50"/>
      <c r="V140" s="1256" t="str">
        <f t="shared" ref="V140:V147" si="14">D140</f>
        <v>WattsEE</v>
      </c>
      <c r="W140" s="1418"/>
      <c r="X140" s="1418"/>
      <c r="Y140" s="1418"/>
      <c r="Z140" s="1418"/>
      <c r="AA140" s="1418"/>
      <c r="AB140" s="135"/>
      <c r="AC140" s="135"/>
      <c r="AD140" s="134"/>
      <c r="AE140" s="134"/>
      <c r="AF140" s="253">
        <v>0.3</v>
      </c>
      <c r="AG140" s="253">
        <f t="shared" ref="AG140:AG147" si="15">IF($G140&lt;&gt;"",$G140,"")</f>
        <v>0.3</v>
      </c>
      <c r="DG140" s="50"/>
      <c r="DH140" s="50"/>
      <c r="DI140" s="142"/>
      <c r="DJ140" s="2047"/>
    </row>
    <row r="141" spans="1:114" s="73" customFormat="1" ht="12.95" customHeight="1" outlineLevel="1" x14ac:dyDescent="0.25">
      <c r="A141" s="511"/>
      <c r="B141" s="50"/>
      <c r="C141" s="100"/>
      <c r="D141" s="1256" t="s">
        <v>141</v>
      </c>
      <c r="E141" s="1248" t="s">
        <v>785</v>
      </c>
      <c r="F141" s="1237" t="s">
        <v>786</v>
      </c>
      <c r="G141" s="1561">
        <v>4380</v>
      </c>
      <c r="H141" s="1239" t="s">
        <v>780</v>
      </c>
      <c r="I141" s="1801" t="s">
        <v>787</v>
      </c>
      <c r="J141" s="50"/>
      <c r="K141" s="141"/>
      <c r="L141" s="141"/>
      <c r="M141" s="50"/>
      <c r="N141" s="166"/>
      <c r="O141" s="50"/>
      <c r="P141" s="50"/>
      <c r="Q141" s="50"/>
      <c r="R141" s="50"/>
      <c r="S141" s="50"/>
      <c r="T141" s="50"/>
      <c r="U141" s="50"/>
      <c r="V141" s="1256" t="str">
        <f t="shared" si="14"/>
        <v>Hours</v>
      </c>
      <c r="W141" s="1421"/>
      <c r="X141" s="146"/>
      <c r="Y141" s="146"/>
      <c r="Z141" s="146"/>
      <c r="AA141" s="146"/>
      <c r="AB141" s="147"/>
      <c r="AC141" s="133"/>
      <c r="AD141" s="129"/>
      <c r="AE141" s="129"/>
      <c r="AF141" s="253">
        <v>4380</v>
      </c>
      <c r="AG141" s="253">
        <f t="shared" si="15"/>
        <v>4380</v>
      </c>
      <c r="DG141" s="50"/>
      <c r="DH141" s="50"/>
      <c r="DI141" s="142"/>
      <c r="DJ141" s="2047"/>
    </row>
    <row r="142" spans="1:114" s="73" customFormat="1" outlineLevel="1" x14ac:dyDescent="0.25">
      <c r="A142" s="511"/>
      <c r="B142" s="50"/>
      <c r="C142" s="100"/>
      <c r="D142" s="136">
        <v>1000</v>
      </c>
      <c r="E142" s="731" t="s">
        <v>788</v>
      </c>
      <c r="F142" s="137" t="s">
        <v>594</v>
      </c>
      <c r="G142" s="1579">
        <v>1000</v>
      </c>
      <c r="H142" s="1248" t="s">
        <v>788</v>
      </c>
      <c r="I142" s="1248"/>
      <c r="J142" s="50"/>
      <c r="K142" s="141"/>
      <c r="L142" s="141"/>
      <c r="M142" s="50"/>
      <c r="N142" s="166"/>
      <c r="O142" s="50"/>
      <c r="P142" s="50"/>
      <c r="Q142" s="50"/>
      <c r="R142" s="50"/>
      <c r="S142" s="50"/>
      <c r="T142" s="50"/>
      <c r="U142" s="50"/>
      <c r="V142" s="1256">
        <f t="shared" si="14"/>
        <v>1000</v>
      </c>
      <c r="W142" s="1419"/>
      <c r="X142" s="137"/>
      <c r="Y142" s="137"/>
      <c r="Z142" s="137"/>
      <c r="AA142" s="137"/>
      <c r="AB142" s="137"/>
      <c r="AC142" s="137"/>
      <c r="AD142" s="137"/>
      <c r="AE142" s="137"/>
      <c r="AF142" s="253">
        <v>1000</v>
      </c>
      <c r="AG142" s="253">
        <f t="shared" si="15"/>
        <v>1000</v>
      </c>
      <c r="DG142" s="50"/>
      <c r="DH142" s="50"/>
      <c r="DI142" s="142"/>
      <c r="DJ142" s="2047"/>
    </row>
    <row r="143" spans="1:114" s="73" customFormat="1" ht="14.45" customHeight="1" outlineLevel="1" x14ac:dyDescent="0.25">
      <c r="A143" s="511"/>
      <c r="B143" s="50"/>
      <c r="C143" s="100"/>
      <c r="D143" s="1256" t="s">
        <v>789</v>
      </c>
      <c r="E143" s="731" t="s">
        <v>790</v>
      </c>
      <c r="F143" s="1237" t="s">
        <v>791</v>
      </c>
      <c r="G143" s="1549">
        <v>0.99</v>
      </c>
      <c r="H143" s="1248" t="s">
        <v>792</v>
      </c>
      <c r="I143" s="1248" t="s">
        <v>793</v>
      </c>
      <c r="J143" s="50"/>
      <c r="K143" s="141"/>
      <c r="L143" s="141"/>
      <c r="M143" s="50"/>
      <c r="N143" s="166"/>
      <c r="O143" s="50"/>
      <c r="P143" s="50"/>
      <c r="Q143" s="50"/>
      <c r="R143" s="50"/>
      <c r="S143" s="50"/>
      <c r="T143" s="50"/>
      <c r="U143" s="50"/>
      <c r="V143" s="1256" t="str">
        <f t="shared" si="14"/>
        <v>WHF</v>
      </c>
      <c r="W143" s="1324"/>
      <c r="X143" s="113"/>
      <c r="Y143" s="1237"/>
      <c r="Z143" s="1237"/>
      <c r="AA143" s="1237"/>
      <c r="AB143" s="1237"/>
      <c r="AC143" s="1237"/>
      <c r="AD143" s="1237"/>
      <c r="AE143" s="1237"/>
      <c r="AF143" s="253">
        <v>0.99</v>
      </c>
      <c r="AG143" s="253">
        <f t="shared" si="15"/>
        <v>0.99</v>
      </c>
      <c r="DG143" s="50"/>
      <c r="DH143" s="50"/>
      <c r="DI143" s="142"/>
      <c r="DJ143" s="2047"/>
    </row>
    <row r="144" spans="1:114" s="73" customFormat="1" ht="45" outlineLevel="1" x14ac:dyDescent="0.25">
      <c r="A144" s="511"/>
      <c r="B144" s="50"/>
      <c r="C144" s="100"/>
      <c r="D144" s="1248" t="s">
        <v>794</v>
      </c>
      <c r="E144" s="731" t="s">
        <v>795</v>
      </c>
      <c r="F144" s="1237" t="s">
        <v>796</v>
      </c>
      <c r="G144" s="1581">
        <v>0</v>
      </c>
      <c r="H144" s="1248" t="s">
        <v>797</v>
      </c>
      <c r="I144" s="1311" t="s">
        <v>798</v>
      </c>
      <c r="J144" s="388"/>
      <c r="K144" s="514"/>
      <c r="L144" s="514"/>
      <c r="M144" s="50"/>
      <c r="N144" s="166"/>
      <c r="O144" s="50"/>
      <c r="P144" s="50"/>
      <c r="Q144" s="50"/>
      <c r="R144" s="50"/>
      <c r="S144" s="50"/>
      <c r="T144" s="50"/>
      <c r="U144" s="50"/>
      <c r="V144" s="1256" t="str">
        <f t="shared" si="14"/>
        <v>Leakage</v>
      </c>
      <c r="W144" s="1420"/>
      <c r="X144" s="138"/>
      <c r="Y144" s="138"/>
      <c r="Z144" s="138"/>
      <c r="AA144" s="138"/>
      <c r="AB144" s="138"/>
      <c r="AC144" s="748"/>
      <c r="AD144" s="748"/>
      <c r="AE144" s="748"/>
      <c r="AF144" s="253">
        <v>0</v>
      </c>
      <c r="AG144" s="253">
        <f t="shared" si="15"/>
        <v>0</v>
      </c>
      <c r="DG144" s="50"/>
      <c r="DH144" s="50"/>
      <c r="DI144" s="142"/>
      <c r="DJ144" s="2047"/>
    </row>
    <row r="145" spans="1:114" s="73" customFormat="1" ht="165" outlineLevel="1" x14ac:dyDescent="0.25">
      <c r="A145" s="511"/>
      <c r="B145" s="50"/>
      <c r="C145" s="100"/>
      <c r="D145" s="1256" t="s">
        <v>105</v>
      </c>
      <c r="E145" s="731" t="s">
        <v>685</v>
      </c>
      <c r="F145" s="1237" t="s">
        <v>796</v>
      </c>
      <c r="G145" s="1802">
        <v>0.8</v>
      </c>
      <c r="H145" s="1248" t="s">
        <v>799</v>
      </c>
      <c r="I145" s="1248"/>
      <c r="J145" s="514"/>
      <c r="K145" s="514"/>
      <c r="L145" s="514"/>
      <c r="M145" s="50"/>
      <c r="N145" s="166"/>
      <c r="O145" s="50"/>
      <c r="P145" s="50"/>
      <c r="Q145" s="50"/>
      <c r="R145" s="50"/>
      <c r="S145" s="50"/>
      <c r="T145" s="50"/>
      <c r="U145" s="50"/>
      <c r="V145" s="1256" t="str">
        <f t="shared" si="14"/>
        <v>ISR</v>
      </c>
      <c r="W145" s="287"/>
      <c r="X145" s="140"/>
      <c r="Y145" s="140"/>
      <c r="Z145" s="140"/>
      <c r="AA145" s="140"/>
      <c r="AB145" s="140"/>
      <c r="AC145" s="139"/>
      <c r="AD145" s="139"/>
      <c r="AE145" s="139"/>
      <c r="AF145" s="253">
        <v>0.8</v>
      </c>
      <c r="AG145" s="253">
        <f t="shared" si="15"/>
        <v>0.8</v>
      </c>
      <c r="DG145" s="50"/>
      <c r="DH145" s="50"/>
      <c r="DI145" s="142"/>
      <c r="DJ145" s="2047"/>
    </row>
    <row r="146" spans="1:114" s="73" customFormat="1" ht="18" customHeight="1" outlineLevel="1" x14ac:dyDescent="0.25">
      <c r="A146" s="511"/>
      <c r="B146" s="549"/>
      <c r="C146" s="126"/>
      <c r="D146" s="1291" t="s">
        <v>800</v>
      </c>
      <c r="E146" s="1291" t="s">
        <v>801</v>
      </c>
      <c r="F146" s="1237" t="s">
        <v>786</v>
      </c>
      <c r="G146" s="1803">
        <v>8</v>
      </c>
      <c r="H146" s="333"/>
      <c r="I146" s="1801" t="s">
        <v>802</v>
      </c>
      <c r="J146" s="514"/>
      <c r="K146" s="265"/>
      <c r="L146" s="265"/>
      <c r="M146" s="576"/>
      <c r="N146" s="265"/>
      <c r="O146" s="265"/>
      <c r="P146" s="265"/>
      <c r="Q146" s="265"/>
      <c r="R146" s="50"/>
      <c r="S146" s="50"/>
      <c r="T146" s="50"/>
      <c r="U146" s="50"/>
      <c r="V146" s="1256" t="str">
        <f t="shared" si="14"/>
        <v xml:space="preserve">EUL </v>
      </c>
      <c r="W146" s="127"/>
      <c r="X146" s="127"/>
      <c r="Y146" s="127"/>
      <c r="Z146" s="127"/>
      <c r="AA146" s="127"/>
      <c r="AB146" s="127"/>
      <c r="AC146" s="127"/>
      <c r="AD146" s="127"/>
      <c r="AE146" s="127"/>
      <c r="AF146" s="253">
        <v>8</v>
      </c>
      <c r="AG146" s="253">
        <f t="shared" si="15"/>
        <v>8</v>
      </c>
      <c r="DG146" s="50"/>
      <c r="DH146" s="50"/>
      <c r="DI146" s="142"/>
      <c r="DJ146" s="2047"/>
    </row>
    <row r="147" spans="1:114" s="73" customFormat="1" ht="30" outlineLevel="1" x14ac:dyDescent="0.25">
      <c r="A147" s="511"/>
      <c r="B147" s="549"/>
      <c r="C147" s="126"/>
      <c r="D147" s="1263" t="s">
        <v>51</v>
      </c>
      <c r="E147" s="1263" t="s">
        <v>688</v>
      </c>
      <c r="F147" s="1237" t="s">
        <v>786</v>
      </c>
      <c r="G147" s="1804">
        <v>3.35</v>
      </c>
      <c r="H147" s="1278" t="s">
        <v>803</v>
      </c>
      <c r="I147" s="1801" t="s">
        <v>804</v>
      </c>
      <c r="J147" s="514"/>
      <c r="K147" s="265"/>
      <c r="L147" s="265"/>
      <c r="M147" s="576"/>
      <c r="N147" s="265"/>
      <c r="O147" s="265"/>
      <c r="P147" s="265"/>
      <c r="Q147" s="265"/>
      <c r="R147" s="50"/>
      <c r="S147" s="50"/>
      <c r="T147" s="50"/>
      <c r="U147" s="50"/>
      <c r="V147" s="1256" t="str">
        <f t="shared" si="14"/>
        <v>Inc. Cost</v>
      </c>
      <c r="W147" s="127"/>
      <c r="X147" s="127"/>
      <c r="Y147" s="127"/>
      <c r="Z147" s="127"/>
      <c r="AA147" s="127"/>
      <c r="AB147" s="127"/>
      <c r="AC147" s="157"/>
      <c r="AD147" s="127"/>
      <c r="AE147" s="127"/>
      <c r="AF147" s="253">
        <v>3.35</v>
      </c>
      <c r="AG147" s="253">
        <f t="shared" si="15"/>
        <v>3.35</v>
      </c>
      <c r="DG147" s="50"/>
      <c r="DH147" s="50"/>
      <c r="DI147" s="142"/>
      <c r="DJ147" s="2047"/>
    </row>
    <row r="148" spans="1:114" x14ac:dyDescent="0.25">
      <c r="A148" s="511"/>
      <c r="DJ148" s="2045"/>
    </row>
    <row r="149" spans="1:114" x14ac:dyDescent="0.25">
      <c r="A149" s="511"/>
      <c r="DJ149" s="2045"/>
    </row>
    <row r="150" spans="1:114" x14ac:dyDescent="0.25">
      <c r="A150" s="511"/>
      <c r="DJ150" s="2045"/>
    </row>
    <row r="151" spans="1:114" x14ac:dyDescent="0.25">
      <c r="A151" s="511"/>
      <c r="DJ151" s="2045"/>
    </row>
    <row r="152" spans="1:114" x14ac:dyDescent="0.25">
      <c r="A152" s="511"/>
      <c r="DJ152" s="2045"/>
    </row>
    <row r="153" spans="1:114" x14ac:dyDescent="0.25">
      <c r="A153" s="511"/>
      <c r="DJ153" s="2045"/>
    </row>
    <row r="154" spans="1:114" x14ac:dyDescent="0.25">
      <c r="A154" s="511"/>
      <c r="DJ154" s="2045"/>
    </row>
    <row r="155" spans="1:114" x14ac:dyDescent="0.25">
      <c r="A155" s="511"/>
      <c r="DJ155" s="2045"/>
    </row>
    <row r="156" spans="1:114" x14ac:dyDescent="0.25">
      <c r="A156" s="511"/>
      <c r="DJ156" s="2045"/>
    </row>
    <row r="157" spans="1:114" x14ac:dyDescent="0.25">
      <c r="A157" s="511"/>
      <c r="DJ157" s="2045"/>
    </row>
    <row r="158" spans="1:114" x14ac:dyDescent="0.25">
      <c r="A158" s="511"/>
      <c r="DJ158" s="2045"/>
    </row>
    <row r="159" spans="1:114" x14ac:dyDescent="0.25">
      <c r="A159" s="511"/>
      <c r="DJ159" s="2045"/>
    </row>
    <row r="160" spans="1:114" x14ac:dyDescent="0.25">
      <c r="A160" s="511"/>
      <c r="DJ160" s="2045"/>
    </row>
    <row r="161" spans="1:114" x14ac:dyDescent="0.25">
      <c r="A161" s="511"/>
      <c r="DJ161" s="2045"/>
    </row>
    <row r="162" spans="1:114" x14ac:dyDescent="0.25">
      <c r="A162" s="511"/>
      <c r="DJ162" s="2045"/>
    </row>
    <row r="163" spans="1:114" x14ac:dyDescent="0.25">
      <c r="A163" s="511"/>
      <c r="DJ163" s="2045"/>
    </row>
    <row r="164" spans="1:114" x14ac:dyDescent="0.25">
      <c r="A164" s="511"/>
      <c r="DJ164" s="2045"/>
    </row>
    <row r="165" spans="1:114" x14ac:dyDescent="0.25">
      <c r="A165" s="511"/>
      <c r="DJ165" s="2045"/>
    </row>
    <row r="166" spans="1:114" x14ac:dyDescent="0.25">
      <c r="A166" s="511"/>
      <c r="DJ166" s="2045"/>
    </row>
    <row r="167" spans="1:114" x14ac:dyDescent="0.25">
      <c r="A167" s="511"/>
      <c r="DJ167" s="2045"/>
    </row>
    <row r="168" spans="1:114" x14ac:dyDescent="0.25">
      <c r="A168" s="511"/>
      <c r="DJ168" s="2045"/>
    </row>
    <row r="169" spans="1:114" x14ac:dyDescent="0.25">
      <c r="A169" s="511"/>
      <c r="DJ169" s="2045"/>
    </row>
    <row r="170" spans="1:114" x14ac:dyDescent="0.25">
      <c r="A170" s="511"/>
      <c r="DJ170" s="2045"/>
    </row>
    <row r="171" spans="1:114" x14ac:dyDescent="0.25">
      <c r="A171" s="511"/>
      <c r="DJ171" s="2045"/>
    </row>
    <row r="172" spans="1:114" x14ac:dyDescent="0.25">
      <c r="A172" s="511"/>
      <c r="DJ172" s="2045"/>
    </row>
    <row r="173" spans="1:114" x14ac:dyDescent="0.25">
      <c r="A173" s="511"/>
      <c r="DJ173" s="2045"/>
    </row>
    <row r="174" spans="1:114" x14ac:dyDescent="0.25">
      <c r="A174" s="511"/>
      <c r="DJ174" s="2045"/>
    </row>
    <row r="175" spans="1:114" x14ac:dyDescent="0.25">
      <c r="A175" s="511"/>
      <c r="DJ175" s="2045"/>
    </row>
    <row r="176" spans="1:114" x14ac:dyDescent="0.25">
      <c r="A176" s="511"/>
      <c r="DJ176" s="2045"/>
    </row>
    <row r="177" spans="1:114" x14ac:dyDescent="0.25">
      <c r="A177" s="511"/>
      <c r="DJ177" s="2045"/>
    </row>
    <row r="178" spans="1:114" x14ac:dyDescent="0.25">
      <c r="A178" s="511"/>
      <c r="DJ178" s="2045"/>
    </row>
    <row r="179" spans="1:114" x14ac:dyDescent="0.25">
      <c r="A179" s="511"/>
      <c r="DJ179" s="2045"/>
    </row>
    <row r="180" spans="1:114" x14ac:dyDescent="0.25">
      <c r="A180" s="511"/>
      <c r="DJ180" s="2045"/>
    </row>
    <row r="181" spans="1:114" x14ac:dyDescent="0.25">
      <c r="A181" s="511"/>
      <c r="DJ181" s="2045"/>
    </row>
    <row r="182" spans="1:114" x14ac:dyDescent="0.25">
      <c r="A182" s="511"/>
      <c r="DJ182" s="2045"/>
    </row>
    <row r="183" spans="1:114" x14ac:dyDescent="0.25">
      <c r="A183" s="511"/>
      <c r="DJ183" s="2045"/>
    </row>
    <row r="184" spans="1:114" x14ac:dyDescent="0.25">
      <c r="A184" s="511"/>
      <c r="DJ184" s="2045"/>
    </row>
    <row r="185" spans="1:114" x14ac:dyDescent="0.25">
      <c r="A185" s="511"/>
      <c r="DJ185" s="2045"/>
    </row>
    <row r="186" spans="1:114" x14ac:dyDescent="0.25">
      <c r="A186" s="511"/>
      <c r="DJ186" s="2045"/>
    </row>
    <row r="187" spans="1:114" x14ac:dyDescent="0.25">
      <c r="A187" s="511"/>
      <c r="DJ187" s="2045"/>
    </row>
    <row r="188" spans="1:114" x14ac:dyDescent="0.25">
      <c r="A188" s="511"/>
      <c r="DJ188" s="2045"/>
    </row>
    <row r="189" spans="1:114" x14ac:dyDescent="0.25">
      <c r="A189" s="511"/>
      <c r="DJ189" s="2045"/>
    </row>
    <row r="190" spans="1:114" x14ac:dyDescent="0.25">
      <c r="A190" s="511"/>
      <c r="DJ190" s="2045"/>
    </row>
    <row r="191" spans="1:114" x14ac:dyDescent="0.25">
      <c r="A191" s="511"/>
      <c r="DJ191" s="2045"/>
    </row>
    <row r="192" spans="1:114" x14ac:dyDescent="0.25">
      <c r="A192" s="511"/>
      <c r="DJ192" s="2045"/>
    </row>
    <row r="193" spans="1:114" x14ac:dyDescent="0.25">
      <c r="A193" s="511"/>
      <c r="DJ193" s="2045"/>
    </row>
    <row r="194" spans="1:114" x14ac:dyDescent="0.25">
      <c r="A194" s="511"/>
      <c r="DJ194" s="2045"/>
    </row>
    <row r="195" spans="1:114" x14ac:dyDescent="0.25">
      <c r="A195" s="511"/>
      <c r="DJ195" s="2045"/>
    </row>
    <row r="196" spans="1:114" x14ac:dyDescent="0.25">
      <c r="A196" s="511"/>
      <c r="DJ196" s="2045"/>
    </row>
    <row r="197" spans="1:114" x14ac:dyDescent="0.25">
      <c r="A197" s="511"/>
      <c r="DJ197" s="2045"/>
    </row>
    <row r="198" spans="1:114" x14ac:dyDescent="0.25">
      <c r="A198" s="511"/>
      <c r="DJ198" s="2045"/>
    </row>
    <row r="199" spans="1:114" x14ac:dyDescent="0.25">
      <c r="A199" s="511"/>
      <c r="DJ199" s="2045"/>
    </row>
    <row r="200" spans="1:114" x14ac:dyDescent="0.25">
      <c r="A200" s="511"/>
      <c r="DJ200" s="2045"/>
    </row>
    <row r="201" spans="1:114" x14ac:dyDescent="0.25">
      <c r="A201" s="511"/>
      <c r="DJ201" s="2045"/>
    </row>
    <row r="202" spans="1:114" x14ac:dyDescent="0.25">
      <c r="A202" s="511"/>
      <c r="DJ202" s="2045"/>
    </row>
    <row r="203" spans="1:114" x14ac:dyDescent="0.25">
      <c r="A203" s="511"/>
      <c r="DJ203" s="2045"/>
    </row>
    <row r="204" spans="1:114" x14ac:dyDescent="0.25">
      <c r="A204" s="511"/>
      <c r="DJ204" s="2045"/>
    </row>
    <row r="205" spans="1:114" x14ac:dyDescent="0.25">
      <c r="A205" s="511"/>
      <c r="DJ205" s="2045"/>
    </row>
    <row r="206" spans="1:114" x14ac:dyDescent="0.25">
      <c r="A206" s="511"/>
      <c r="DJ206" s="2045"/>
    </row>
    <row r="207" spans="1:114" x14ac:dyDescent="0.25">
      <c r="A207" s="511"/>
      <c r="DJ207" s="2045"/>
    </row>
    <row r="208" spans="1:114" x14ac:dyDescent="0.25">
      <c r="A208" s="511"/>
      <c r="DJ208" s="2045"/>
    </row>
    <row r="209" spans="1:114" x14ac:dyDescent="0.25">
      <c r="A209" s="511"/>
      <c r="DJ209" s="2045"/>
    </row>
    <row r="210" spans="1:114" x14ac:dyDescent="0.25">
      <c r="A210" s="511"/>
      <c r="DJ210" s="2045"/>
    </row>
    <row r="211" spans="1:114" x14ac:dyDescent="0.25">
      <c r="A211" s="511"/>
      <c r="DJ211" s="2045"/>
    </row>
    <row r="212" spans="1:114" x14ac:dyDescent="0.25">
      <c r="A212" s="511"/>
      <c r="DJ212" s="2045"/>
    </row>
    <row r="213" spans="1:114" x14ac:dyDescent="0.25">
      <c r="A213" s="511"/>
      <c r="DJ213" s="2045"/>
    </row>
    <row r="214" spans="1:114" x14ac:dyDescent="0.25">
      <c r="A214" s="511"/>
      <c r="DJ214" s="2045"/>
    </row>
    <row r="215" spans="1:114" x14ac:dyDescent="0.25">
      <c r="A215" s="511"/>
      <c r="DJ215" s="2045"/>
    </row>
    <row r="216" spans="1:114" x14ac:dyDescent="0.25">
      <c r="A216" s="511"/>
      <c r="DJ216" s="2045"/>
    </row>
    <row r="217" spans="1:114" x14ac:dyDescent="0.25">
      <c r="A217" s="511"/>
      <c r="DJ217" s="2045"/>
    </row>
    <row r="218" spans="1:114" x14ac:dyDescent="0.25">
      <c r="A218" s="511"/>
      <c r="DJ218" s="2045"/>
    </row>
    <row r="219" spans="1:114" x14ac:dyDescent="0.25">
      <c r="A219" s="511"/>
      <c r="DJ219" s="2045"/>
    </row>
    <row r="220" spans="1:114" x14ac:dyDescent="0.25">
      <c r="A220" s="511"/>
      <c r="DJ220" s="2045"/>
    </row>
    <row r="221" spans="1:114" x14ac:dyDescent="0.25">
      <c r="A221" s="511"/>
      <c r="DJ221" s="2045"/>
    </row>
    <row r="222" spans="1:114" x14ac:dyDescent="0.25">
      <c r="A222" s="511"/>
      <c r="DJ222" s="2045"/>
    </row>
    <row r="223" spans="1:114" x14ac:dyDescent="0.25">
      <c r="A223" s="511"/>
      <c r="DJ223" s="2045"/>
    </row>
    <row r="224" spans="1:114" x14ac:dyDescent="0.25">
      <c r="A224" s="511"/>
      <c r="DJ224" s="2045"/>
    </row>
    <row r="225" spans="1:114" x14ac:dyDescent="0.25">
      <c r="A225" s="511"/>
      <c r="DJ225" s="2045"/>
    </row>
    <row r="226" spans="1:114" x14ac:dyDescent="0.25">
      <c r="A226" s="511"/>
      <c r="DJ226" s="2045"/>
    </row>
    <row r="227" spans="1:114" x14ac:dyDescent="0.25">
      <c r="A227" s="511"/>
      <c r="DJ227" s="2045"/>
    </row>
    <row r="228" spans="1:114" x14ac:dyDescent="0.25">
      <c r="A228" s="511"/>
      <c r="DJ228" s="2045"/>
    </row>
    <row r="229" spans="1:114" x14ac:dyDescent="0.25">
      <c r="A229" s="511"/>
      <c r="DJ229" s="2045"/>
    </row>
    <row r="230" spans="1:114" x14ac:dyDescent="0.25">
      <c r="A230" s="511"/>
      <c r="DJ230" s="2045"/>
    </row>
    <row r="231" spans="1:114" x14ac:dyDescent="0.25">
      <c r="A231" s="511"/>
      <c r="DJ231" s="2045"/>
    </row>
    <row r="232" spans="1:114" x14ac:dyDescent="0.25">
      <c r="A232" s="511"/>
      <c r="DJ232" s="2045"/>
    </row>
    <row r="233" spans="1:114" x14ac:dyDescent="0.25">
      <c r="A233" s="511"/>
      <c r="DJ233" s="2045"/>
    </row>
    <row r="234" spans="1:114" x14ac:dyDescent="0.25">
      <c r="A234" s="511"/>
      <c r="DJ234" s="2045"/>
    </row>
    <row r="235" spans="1:114" x14ac:dyDescent="0.25">
      <c r="A235" s="511"/>
      <c r="DJ235" s="2045"/>
    </row>
    <row r="236" spans="1:114" x14ac:dyDescent="0.25">
      <c r="A236" s="511"/>
      <c r="DJ236" s="2045"/>
    </row>
    <row r="237" spans="1:114" x14ac:dyDescent="0.25">
      <c r="A237" s="511"/>
      <c r="DJ237" s="2045"/>
    </row>
    <row r="238" spans="1:114" x14ac:dyDescent="0.25">
      <c r="A238" s="511"/>
      <c r="DJ238" s="2045"/>
    </row>
    <row r="239" spans="1:114" x14ac:dyDescent="0.25">
      <c r="A239" s="511"/>
      <c r="DJ239" s="2045"/>
    </row>
    <row r="240" spans="1:114" x14ac:dyDescent="0.25">
      <c r="A240" s="511"/>
      <c r="DJ240" s="2045"/>
    </row>
    <row r="241" spans="1:114" x14ac:dyDescent="0.25">
      <c r="A241" s="511"/>
      <c r="DJ241" s="2045"/>
    </row>
    <row r="242" spans="1:114" x14ac:dyDescent="0.25">
      <c r="A242" s="511"/>
      <c r="DJ242" s="2045"/>
    </row>
    <row r="243" spans="1:114" x14ac:dyDescent="0.25">
      <c r="A243" s="511"/>
      <c r="DJ243" s="2045"/>
    </row>
    <row r="244" spans="1:114" x14ac:dyDescent="0.25">
      <c r="A244" s="511"/>
      <c r="DJ244" s="2045"/>
    </row>
    <row r="245" spans="1:114" x14ac:dyDescent="0.25">
      <c r="A245" s="511"/>
      <c r="DJ245" s="2045"/>
    </row>
    <row r="246" spans="1:114" x14ac:dyDescent="0.25">
      <c r="A246" s="511"/>
      <c r="DJ246" s="2045"/>
    </row>
    <row r="247" spans="1:114" x14ac:dyDescent="0.25">
      <c r="A247" s="511"/>
      <c r="DJ247" s="2045"/>
    </row>
    <row r="248" spans="1:114" x14ac:dyDescent="0.25">
      <c r="A248" s="511"/>
      <c r="DJ248" s="2045"/>
    </row>
    <row r="249" spans="1:114" x14ac:dyDescent="0.25">
      <c r="A249" s="511"/>
      <c r="DJ249" s="2045"/>
    </row>
    <row r="250" spans="1:114" x14ac:dyDescent="0.25">
      <c r="A250" s="511"/>
    </row>
    <row r="251" spans="1:114" x14ac:dyDescent="0.25">
      <c r="A251" s="511"/>
    </row>
    <row r="252" spans="1:114" x14ac:dyDescent="0.25">
      <c r="A252" s="511"/>
    </row>
    <row r="253" spans="1:114" x14ac:dyDescent="0.25">
      <c r="A253" s="511"/>
    </row>
    <row r="254" spans="1:114" x14ac:dyDescent="0.25">
      <c r="A254" s="511"/>
    </row>
    <row r="255" spans="1:114" x14ac:dyDescent="0.25">
      <c r="A255" s="511"/>
    </row>
    <row r="256" spans="1:114" x14ac:dyDescent="0.25">
      <c r="A256" s="511"/>
    </row>
    <row r="257" spans="1:1" x14ac:dyDescent="0.25">
      <c r="A257" s="511"/>
    </row>
    <row r="258" spans="1:1" x14ac:dyDescent="0.25">
      <c r="A258" s="511"/>
    </row>
    <row r="259" spans="1:1" x14ac:dyDescent="0.25">
      <c r="A259" s="511"/>
    </row>
    <row r="260" spans="1:1" x14ac:dyDescent="0.25">
      <c r="A260" s="511"/>
    </row>
    <row r="261" spans="1:1" x14ac:dyDescent="0.25">
      <c r="A261" s="511"/>
    </row>
    <row r="262" spans="1:1" x14ac:dyDescent="0.25">
      <c r="A262" s="511"/>
    </row>
    <row r="263" spans="1:1" x14ac:dyDescent="0.25">
      <c r="A263" s="511"/>
    </row>
    <row r="264" spans="1:1" x14ac:dyDescent="0.25">
      <c r="A264" s="511"/>
    </row>
    <row r="265" spans="1:1" x14ac:dyDescent="0.25">
      <c r="A265" s="511"/>
    </row>
    <row r="266" spans="1:1" x14ac:dyDescent="0.25">
      <c r="A266" s="511"/>
    </row>
    <row r="267" spans="1:1" x14ac:dyDescent="0.25">
      <c r="A267" s="511"/>
    </row>
    <row r="268" spans="1:1" x14ac:dyDescent="0.25">
      <c r="A268" s="511"/>
    </row>
    <row r="269" spans="1:1" x14ac:dyDescent="0.25">
      <c r="A269" s="511"/>
    </row>
    <row r="270" spans="1:1" x14ac:dyDescent="0.25">
      <c r="A270" s="511"/>
    </row>
    <row r="271" spans="1:1" x14ac:dyDescent="0.25">
      <c r="A271" s="511"/>
    </row>
    <row r="272" spans="1:1" x14ac:dyDescent="0.25">
      <c r="A272" s="511"/>
    </row>
    <row r="273" spans="1:1" x14ac:dyDescent="0.25">
      <c r="A273" s="511"/>
    </row>
    <row r="274" spans="1:1" x14ac:dyDescent="0.25">
      <c r="A274" s="511"/>
    </row>
    <row r="275" spans="1:1" x14ac:dyDescent="0.25">
      <c r="A275" s="511"/>
    </row>
    <row r="276" spans="1:1" x14ac:dyDescent="0.25">
      <c r="A276" s="511"/>
    </row>
    <row r="277" spans="1:1" x14ac:dyDescent="0.25">
      <c r="A277" s="511"/>
    </row>
    <row r="278" spans="1:1" x14ac:dyDescent="0.25">
      <c r="A278" s="511"/>
    </row>
    <row r="279" spans="1:1" x14ac:dyDescent="0.25">
      <c r="A279" s="511"/>
    </row>
    <row r="280" spans="1:1" x14ac:dyDescent="0.25">
      <c r="A280" s="511"/>
    </row>
    <row r="281" spans="1:1" x14ac:dyDescent="0.25">
      <c r="A281" s="511"/>
    </row>
    <row r="282" spans="1:1" x14ac:dyDescent="0.25">
      <c r="A282" s="511"/>
    </row>
    <row r="283" spans="1:1" x14ac:dyDescent="0.25">
      <c r="A283" s="511"/>
    </row>
    <row r="284" spans="1:1" x14ac:dyDescent="0.25">
      <c r="A284" s="511"/>
    </row>
    <row r="285" spans="1:1" x14ac:dyDescent="0.25">
      <c r="A285" s="511"/>
    </row>
    <row r="286" spans="1:1" x14ac:dyDescent="0.25">
      <c r="A286" s="511"/>
    </row>
    <row r="287" spans="1:1" x14ac:dyDescent="0.25">
      <c r="A287" s="511"/>
    </row>
    <row r="288" spans="1:1" x14ac:dyDescent="0.25">
      <c r="A288" s="511"/>
    </row>
    <row r="289" spans="1:1" x14ac:dyDescent="0.25">
      <c r="A289" s="511"/>
    </row>
    <row r="290" spans="1:1" x14ac:dyDescent="0.25">
      <c r="A290" s="511"/>
    </row>
    <row r="291" spans="1:1" x14ac:dyDescent="0.25">
      <c r="A291" s="511"/>
    </row>
    <row r="292" spans="1:1" x14ac:dyDescent="0.25">
      <c r="A292" s="511"/>
    </row>
    <row r="293" spans="1:1" x14ac:dyDescent="0.25">
      <c r="A293" s="511"/>
    </row>
    <row r="294" spans="1:1" x14ac:dyDescent="0.25">
      <c r="A294" s="511"/>
    </row>
    <row r="295" spans="1:1" x14ac:dyDescent="0.25">
      <c r="A295" s="511"/>
    </row>
    <row r="296" spans="1:1" x14ac:dyDescent="0.25">
      <c r="A296" s="511"/>
    </row>
    <row r="297" spans="1:1" x14ac:dyDescent="0.25">
      <c r="A297" s="511"/>
    </row>
    <row r="298" spans="1:1" x14ac:dyDescent="0.25">
      <c r="A298" s="511"/>
    </row>
    <row r="299" spans="1:1" x14ac:dyDescent="0.25">
      <c r="A299" s="511"/>
    </row>
    <row r="300" spans="1:1" x14ac:dyDescent="0.25">
      <c r="A300" s="511"/>
    </row>
    <row r="301" spans="1:1" x14ac:dyDescent="0.25">
      <c r="A301" s="511"/>
    </row>
    <row r="302" spans="1:1" x14ac:dyDescent="0.25">
      <c r="A302" s="511"/>
    </row>
    <row r="303" spans="1:1" x14ac:dyDescent="0.25">
      <c r="A303" s="511"/>
    </row>
    <row r="304" spans="1:1" x14ac:dyDescent="0.25">
      <c r="A304" s="511"/>
    </row>
    <row r="305" spans="1:1" x14ac:dyDescent="0.25">
      <c r="A305" s="511"/>
    </row>
    <row r="306" spans="1:1" x14ac:dyDescent="0.25">
      <c r="A306" s="511"/>
    </row>
    <row r="307" spans="1:1" x14ac:dyDescent="0.25">
      <c r="A307" s="511"/>
    </row>
    <row r="308" spans="1:1" x14ac:dyDescent="0.25">
      <c r="A308" s="511"/>
    </row>
    <row r="309" spans="1:1" x14ac:dyDescent="0.25">
      <c r="A309" s="511"/>
    </row>
    <row r="310" spans="1:1" x14ac:dyDescent="0.25">
      <c r="A310" s="511"/>
    </row>
    <row r="311" spans="1:1" x14ac:dyDescent="0.25">
      <c r="A311" s="511"/>
    </row>
    <row r="312" spans="1:1" x14ac:dyDescent="0.25">
      <c r="A312" s="511"/>
    </row>
    <row r="313" spans="1:1" x14ac:dyDescent="0.25">
      <c r="A313" s="511"/>
    </row>
    <row r="314" spans="1:1" x14ac:dyDescent="0.25">
      <c r="A314" s="511"/>
    </row>
    <row r="315" spans="1:1" x14ac:dyDescent="0.25">
      <c r="A315" s="511"/>
    </row>
    <row r="316" spans="1:1" x14ac:dyDescent="0.25">
      <c r="A316" s="511"/>
    </row>
    <row r="317" spans="1:1" x14ac:dyDescent="0.25">
      <c r="A317" s="511"/>
    </row>
    <row r="318" spans="1:1" x14ac:dyDescent="0.25">
      <c r="A318" s="511"/>
    </row>
    <row r="319" spans="1:1" x14ac:dyDescent="0.25">
      <c r="A319" s="511"/>
    </row>
    <row r="320" spans="1:1" x14ac:dyDescent="0.25">
      <c r="A320" s="511"/>
    </row>
    <row r="321" spans="1:1" x14ac:dyDescent="0.25">
      <c r="A321" s="511"/>
    </row>
    <row r="322" spans="1:1" x14ac:dyDescent="0.25">
      <c r="A322" s="511"/>
    </row>
    <row r="323" spans="1:1" x14ac:dyDescent="0.25">
      <c r="A323" s="511"/>
    </row>
    <row r="324" spans="1:1" x14ac:dyDescent="0.25">
      <c r="A324" s="511"/>
    </row>
    <row r="325" spans="1:1" x14ac:dyDescent="0.25">
      <c r="A325" s="511"/>
    </row>
    <row r="326" spans="1:1" x14ac:dyDescent="0.25">
      <c r="A326" s="511"/>
    </row>
    <row r="327" spans="1:1" x14ac:dyDescent="0.25">
      <c r="A327" s="511"/>
    </row>
    <row r="328" spans="1:1" x14ac:dyDescent="0.25">
      <c r="A328" s="511"/>
    </row>
    <row r="329" spans="1:1" x14ac:dyDescent="0.25">
      <c r="A329" s="511"/>
    </row>
    <row r="330" spans="1:1" x14ac:dyDescent="0.25">
      <c r="A330" s="511"/>
    </row>
    <row r="331" spans="1:1" x14ac:dyDescent="0.25">
      <c r="A331" s="511"/>
    </row>
    <row r="332" spans="1:1" x14ac:dyDescent="0.25">
      <c r="A332" s="511"/>
    </row>
    <row r="333" spans="1:1" x14ac:dyDescent="0.25">
      <c r="A333" s="511"/>
    </row>
    <row r="334" spans="1:1" x14ac:dyDescent="0.25">
      <c r="A334" s="511"/>
    </row>
    <row r="335" spans="1:1" x14ac:dyDescent="0.25">
      <c r="A335" s="511"/>
    </row>
    <row r="336" spans="1:1" x14ac:dyDescent="0.25">
      <c r="A336" s="511"/>
    </row>
    <row r="337" spans="1:1" x14ac:dyDescent="0.25">
      <c r="A337" s="511"/>
    </row>
    <row r="338" spans="1:1" x14ac:dyDescent="0.25">
      <c r="A338" s="511"/>
    </row>
    <row r="339" spans="1:1" x14ac:dyDescent="0.25">
      <c r="A339" s="511"/>
    </row>
    <row r="340" spans="1:1" x14ac:dyDescent="0.25">
      <c r="A340" s="511"/>
    </row>
    <row r="341" spans="1:1" x14ac:dyDescent="0.25">
      <c r="A341" s="511"/>
    </row>
    <row r="342" spans="1:1" x14ac:dyDescent="0.25">
      <c r="A342" s="511"/>
    </row>
    <row r="343" spans="1:1" x14ac:dyDescent="0.25">
      <c r="A343" s="511"/>
    </row>
    <row r="344" spans="1:1" x14ac:dyDescent="0.25">
      <c r="A344" s="511"/>
    </row>
    <row r="345" spans="1:1" x14ac:dyDescent="0.25">
      <c r="A345" s="511"/>
    </row>
    <row r="346" spans="1:1" x14ac:dyDescent="0.25">
      <c r="A346" s="511"/>
    </row>
    <row r="347" spans="1:1" x14ac:dyDescent="0.25">
      <c r="A347" s="511"/>
    </row>
    <row r="348" spans="1:1" x14ac:dyDescent="0.25">
      <c r="A348" s="511"/>
    </row>
    <row r="349" spans="1:1" x14ac:dyDescent="0.25">
      <c r="A349" s="511"/>
    </row>
    <row r="350" spans="1:1" x14ac:dyDescent="0.25">
      <c r="A350" s="511"/>
    </row>
    <row r="351" spans="1:1" x14ac:dyDescent="0.25">
      <c r="A351" s="511"/>
    </row>
    <row r="352" spans="1:1" x14ac:dyDescent="0.25">
      <c r="A352" s="511"/>
    </row>
    <row r="353" spans="1:1" x14ac:dyDescent="0.25">
      <c r="A353" s="511"/>
    </row>
    <row r="354" spans="1:1" x14ac:dyDescent="0.25">
      <c r="A354" s="511"/>
    </row>
    <row r="355" spans="1:1" x14ac:dyDescent="0.25">
      <c r="A355" s="511"/>
    </row>
    <row r="356" spans="1:1" x14ac:dyDescent="0.25">
      <c r="A356" s="511"/>
    </row>
    <row r="357" spans="1:1" x14ac:dyDescent="0.25">
      <c r="A357" s="511"/>
    </row>
    <row r="358" spans="1:1" x14ac:dyDescent="0.25">
      <c r="A358" s="511"/>
    </row>
    <row r="359" spans="1:1" x14ac:dyDescent="0.25">
      <c r="A359" s="511"/>
    </row>
    <row r="360" spans="1:1" x14ac:dyDescent="0.25">
      <c r="A360" s="511"/>
    </row>
    <row r="361" spans="1:1" x14ac:dyDescent="0.25">
      <c r="A361" s="511"/>
    </row>
    <row r="362" spans="1:1" x14ac:dyDescent="0.25">
      <c r="A362" s="511"/>
    </row>
    <row r="363" spans="1:1" x14ac:dyDescent="0.25">
      <c r="A363" s="511"/>
    </row>
    <row r="364" spans="1:1" x14ac:dyDescent="0.25">
      <c r="A364" s="511"/>
    </row>
    <row r="365" spans="1:1" x14ac:dyDescent="0.25">
      <c r="A365" s="511"/>
    </row>
    <row r="366" spans="1:1" x14ac:dyDescent="0.25">
      <c r="A366" s="511"/>
    </row>
    <row r="367" spans="1:1" x14ac:dyDescent="0.25">
      <c r="A367" s="511"/>
    </row>
    <row r="368" spans="1:1" x14ac:dyDescent="0.25">
      <c r="A368" s="511"/>
    </row>
    <row r="369" spans="1:1" x14ac:dyDescent="0.25">
      <c r="A369" s="511"/>
    </row>
    <row r="370" spans="1:1" x14ac:dyDescent="0.25">
      <c r="A370" s="511"/>
    </row>
    <row r="371" spans="1:1" x14ac:dyDescent="0.25">
      <c r="A371" s="511"/>
    </row>
    <row r="372" spans="1:1" x14ac:dyDescent="0.25">
      <c r="A372" s="511"/>
    </row>
    <row r="373" spans="1:1" x14ac:dyDescent="0.25">
      <c r="A373" s="511"/>
    </row>
    <row r="374" spans="1:1" x14ac:dyDescent="0.25">
      <c r="A374" s="511"/>
    </row>
    <row r="375" spans="1:1" x14ac:dyDescent="0.25">
      <c r="A375" s="511"/>
    </row>
    <row r="376" spans="1:1" x14ac:dyDescent="0.25">
      <c r="A376" s="511"/>
    </row>
    <row r="377" spans="1:1" x14ac:dyDescent="0.25">
      <c r="A377" s="511"/>
    </row>
    <row r="378" spans="1:1" x14ac:dyDescent="0.25">
      <c r="A378" s="511"/>
    </row>
    <row r="379" spans="1:1" x14ac:dyDescent="0.25">
      <c r="A379" s="511"/>
    </row>
    <row r="380" spans="1:1" x14ac:dyDescent="0.25">
      <c r="A380" s="511"/>
    </row>
    <row r="381" spans="1:1" x14ac:dyDescent="0.25">
      <c r="A381" s="511"/>
    </row>
    <row r="382" spans="1:1" x14ac:dyDescent="0.25">
      <c r="A382" s="511"/>
    </row>
    <row r="383" spans="1:1" x14ac:dyDescent="0.25">
      <c r="A383" s="511"/>
    </row>
    <row r="384" spans="1:1" x14ac:dyDescent="0.25">
      <c r="A384" s="511"/>
    </row>
    <row r="385" spans="1:1" x14ac:dyDescent="0.25">
      <c r="A385" s="511"/>
    </row>
    <row r="386" spans="1:1" x14ac:dyDescent="0.25">
      <c r="A386" s="511"/>
    </row>
    <row r="387" spans="1:1" x14ac:dyDescent="0.25">
      <c r="A387" s="511"/>
    </row>
    <row r="388" spans="1:1" x14ac:dyDescent="0.25">
      <c r="A388" s="511"/>
    </row>
    <row r="389" spans="1:1" x14ac:dyDescent="0.25">
      <c r="A389" s="511"/>
    </row>
    <row r="390" spans="1:1" x14ac:dyDescent="0.25">
      <c r="A390" s="511"/>
    </row>
    <row r="391" spans="1:1" x14ac:dyDescent="0.25">
      <c r="A391" s="511"/>
    </row>
    <row r="392" spans="1:1" x14ac:dyDescent="0.25">
      <c r="A392" s="511"/>
    </row>
    <row r="393" spans="1:1" x14ac:dyDescent="0.25">
      <c r="A393" s="511"/>
    </row>
    <row r="394" spans="1:1" x14ac:dyDescent="0.25">
      <c r="A394" s="511"/>
    </row>
    <row r="395" spans="1:1" x14ac:dyDescent="0.25">
      <c r="A395" s="511"/>
    </row>
    <row r="396" spans="1:1" x14ac:dyDescent="0.25">
      <c r="A396" s="511"/>
    </row>
    <row r="397" spans="1:1" x14ac:dyDescent="0.25">
      <c r="A397" s="511"/>
    </row>
    <row r="398" spans="1:1" x14ac:dyDescent="0.25">
      <c r="A398" s="511"/>
    </row>
    <row r="399" spans="1:1" x14ac:dyDescent="0.25">
      <c r="A399" s="511"/>
    </row>
    <row r="400" spans="1:1" x14ac:dyDescent="0.25">
      <c r="A400" s="511"/>
    </row>
    <row r="401" spans="1:1" x14ac:dyDescent="0.25">
      <c r="A401" s="511"/>
    </row>
    <row r="402" spans="1:1" x14ac:dyDescent="0.25">
      <c r="A402" s="511"/>
    </row>
    <row r="403" spans="1:1" x14ac:dyDescent="0.25">
      <c r="A403" s="511"/>
    </row>
    <row r="404" spans="1:1" x14ac:dyDescent="0.25">
      <c r="A404" s="511"/>
    </row>
    <row r="405" spans="1:1" x14ac:dyDescent="0.25">
      <c r="A405" s="511"/>
    </row>
    <row r="406" spans="1:1" x14ac:dyDescent="0.25">
      <c r="A406" s="511"/>
    </row>
    <row r="407" spans="1:1" x14ac:dyDescent="0.25">
      <c r="A407" s="511"/>
    </row>
    <row r="408" spans="1:1" x14ac:dyDescent="0.25">
      <c r="A408" s="511"/>
    </row>
    <row r="409" spans="1:1" x14ac:dyDescent="0.25">
      <c r="A409" s="511"/>
    </row>
    <row r="410" spans="1:1" x14ac:dyDescent="0.25">
      <c r="A410" s="511"/>
    </row>
    <row r="411" spans="1:1" x14ac:dyDescent="0.25">
      <c r="A411" s="511"/>
    </row>
    <row r="412" spans="1:1" x14ac:dyDescent="0.25">
      <c r="A412" s="511"/>
    </row>
    <row r="413" spans="1:1" x14ac:dyDescent="0.25">
      <c r="A413" s="511"/>
    </row>
    <row r="414" spans="1:1" x14ac:dyDescent="0.25">
      <c r="A414" s="511"/>
    </row>
    <row r="415" spans="1:1" x14ac:dyDescent="0.25">
      <c r="A415" s="511"/>
    </row>
    <row r="416" spans="1:1" x14ac:dyDescent="0.25">
      <c r="A416" s="511"/>
    </row>
    <row r="417" spans="1:1" x14ac:dyDescent="0.25">
      <c r="A417" s="511"/>
    </row>
    <row r="418" spans="1:1" x14ac:dyDescent="0.25">
      <c r="A418" s="511"/>
    </row>
    <row r="419" spans="1:1" x14ac:dyDescent="0.25">
      <c r="A419" s="511"/>
    </row>
    <row r="420" spans="1:1" x14ac:dyDescent="0.25">
      <c r="A420" s="511"/>
    </row>
    <row r="421" spans="1:1" x14ac:dyDescent="0.25">
      <c r="A421" s="511"/>
    </row>
    <row r="422" spans="1:1" x14ac:dyDescent="0.25">
      <c r="A422" s="511"/>
    </row>
    <row r="423" spans="1:1" x14ac:dyDescent="0.25">
      <c r="A423" s="511"/>
    </row>
    <row r="424" spans="1:1" x14ac:dyDescent="0.25">
      <c r="A424" s="511"/>
    </row>
    <row r="425" spans="1:1" x14ac:dyDescent="0.25">
      <c r="A425" s="511"/>
    </row>
    <row r="426" spans="1:1" x14ac:dyDescent="0.25">
      <c r="A426" s="511"/>
    </row>
    <row r="427" spans="1:1" x14ac:dyDescent="0.25">
      <c r="A427" s="511"/>
    </row>
    <row r="428" spans="1:1" x14ac:dyDescent="0.25">
      <c r="A428" s="511"/>
    </row>
    <row r="429" spans="1:1" x14ac:dyDescent="0.25">
      <c r="A429" s="511"/>
    </row>
    <row r="430" spans="1:1" x14ac:dyDescent="0.25">
      <c r="A430" s="511"/>
    </row>
    <row r="431" spans="1:1" x14ac:dyDescent="0.25">
      <c r="A431" s="511"/>
    </row>
    <row r="432" spans="1:1" x14ac:dyDescent="0.25">
      <c r="A432" s="511"/>
    </row>
    <row r="433" spans="1:1" x14ac:dyDescent="0.25">
      <c r="A433" s="511"/>
    </row>
    <row r="434" spans="1:1" x14ac:dyDescent="0.25">
      <c r="A434" s="511"/>
    </row>
    <row r="435" spans="1:1" x14ac:dyDescent="0.25">
      <c r="A435" s="511"/>
    </row>
    <row r="436" spans="1:1" x14ac:dyDescent="0.25">
      <c r="A436" s="511"/>
    </row>
    <row r="437" spans="1:1" x14ac:dyDescent="0.25">
      <c r="A437" s="511"/>
    </row>
    <row r="438" spans="1:1" x14ac:dyDescent="0.25">
      <c r="A438" s="511"/>
    </row>
    <row r="439" spans="1:1" x14ac:dyDescent="0.25">
      <c r="A439" s="511"/>
    </row>
    <row r="440" spans="1:1" x14ac:dyDescent="0.25">
      <c r="A440" s="511"/>
    </row>
    <row r="441" spans="1:1" x14ac:dyDescent="0.25">
      <c r="A441" s="511"/>
    </row>
    <row r="442" spans="1:1" x14ac:dyDescent="0.25">
      <c r="A442" s="511"/>
    </row>
    <row r="443" spans="1:1" x14ac:dyDescent="0.25">
      <c r="A443" s="511"/>
    </row>
    <row r="444" spans="1:1" x14ac:dyDescent="0.25">
      <c r="A444" s="511"/>
    </row>
    <row r="445" spans="1:1" x14ac:dyDescent="0.25">
      <c r="A445" s="511"/>
    </row>
    <row r="446" spans="1:1" x14ac:dyDescent="0.25">
      <c r="A446" s="511"/>
    </row>
    <row r="447" spans="1:1" x14ac:dyDescent="0.25">
      <c r="A447" s="511"/>
    </row>
    <row r="448" spans="1:1" x14ac:dyDescent="0.25">
      <c r="A448" s="511"/>
    </row>
    <row r="449" spans="1:1" x14ac:dyDescent="0.25">
      <c r="A449" s="511"/>
    </row>
    <row r="450" spans="1:1" x14ac:dyDescent="0.25">
      <c r="A450" s="511"/>
    </row>
    <row r="451" spans="1:1" x14ac:dyDescent="0.25">
      <c r="A451" s="511"/>
    </row>
    <row r="452" spans="1:1" x14ac:dyDescent="0.25">
      <c r="A452" s="511"/>
    </row>
    <row r="453" spans="1:1" x14ac:dyDescent="0.25">
      <c r="A453" s="511"/>
    </row>
    <row r="454" spans="1:1" x14ac:dyDescent="0.25">
      <c r="A454" s="511"/>
    </row>
    <row r="455" spans="1:1" x14ac:dyDescent="0.25">
      <c r="A455" s="511"/>
    </row>
    <row r="456" spans="1:1" x14ac:dyDescent="0.25">
      <c r="A456" s="511"/>
    </row>
    <row r="457" spans="1:1" x14ac:dyDescent="0.25">
      <c r="A457" s="511"/>
    </row>
    <row r="458" spans="1:1" x14ac:dyDescent="0.25">
      <c r="A458" s="511"/>
    </row>
    <row r="459" spans="1:1" x14ac:dyDescent="0.25">
      <c r="A459" s="511"/>
    </row>
    <row r="460" spans="1:1" x14ac:dyDescent="0.25">
      <c r="A460" s="511"/>
    </row>
    <row r="461" spans="1:1" x14ac:dyDescent="0.25">
      <c r="A461" s="511"/>
    </row>
    <row r="462" spans="1:1" x14ac:dyDescent="0.25">
      <c r="A462" s="511"/>
    </row>
    <row r="463" spans="1:1" x14ac:dyDescent="0.25">
      <c r="A463" s="511"/>
    </row>
    <row r="464" spans="1:1" x14ac:dyDescent="0.25">
      <c r="A464" s="511"/>
    </row>
    <row r="465" spans="1:1" x14ac:dyDescent="0.25">
      <c r="A465" s="511"/>
    </row>
    <row r="466" spans="1:1" x14ac:dyDescent="0.25">
      <c r="A466" s="511"/>
    </row>
    <row r="467" spans="1:1" x14ac:dyDescent="0.25">
      <c r="A467" s="511"/>
    </row>
    <row r="468" spans="1:1" x14ac:dyDescent="0.25">
      <c r="A468" s="511"/>
    </row>
    <row r="469" spans="1:1" x14ac:dyDescent="0.25">
      <c r="A469" s="511"/>
    </row>
    <row r="470" spans="1:1" x14ac:dyDescent="0.25">
      <c r="A470" s="511"/>
    </row>
    <row r="471" spans="1:1" x14ac:dyDescent="0.25">
      <c r="A471" s="511"/>
    </row>
    <row r="472" spans="1:1" x14ac:dyDescent="0.25">
      <c r="A472" s="511"/>
    </row>
    <row r="473" spans="1:1" x14ac:dyDescent="0.25">
      <c r="A473" s="511"/>
    </row>
    <row r="474" spans="1:1" x14ac:dyDescent="0.25">
      <c r="A474" s="511"/>
    </row>
    <row r="475" spans="1:1" x14ac:dyDescent="0.25">
      <c r="A475" s="511"/>
    </row>
    <row r="476" spans="1:1" x14ac:dyDescent="0.25">
      <c r="A476" s="511"/>
    </row>
    <row r="477" spans="1:1" x14ac:dyDescent="0.25">
      <c r="A477" s="511"/>
    </row>
    <row r="478" spans="1:1" x14ac:dyDescent="0.25">
      <c r="A478" s="511"/>
    </row>
    <row r="479" spans="1:1" x14ac:dyDescent="0.25">
      <c r="A479" s="511"/>
    </row>
    <row r="480" spans="1:1" x14ac:dyDescent="0.25">
      <c r="A480" s="511"/>
    </row>
    <row r="481" spans="1:1" x14ac:dyDescent="0.25">
      <c r="A481" s="511"/>
    </row>
    <row r="482" spans="1:1" x14ac:dyDescent="0.25">
      <c r="A482" s="511"/>
    </row>
    <row r="483" spans="1:1" x14ac:dyDescent="0.25">
      <c r="A483" s="511"/>
    </row>
    <row r="484" spans="1:1" x14ac:dyDescent="0.25">
      <c r="A484" s="511"/>
    </row>
    <row r="485" spans="1:1" x14ac:dyDescent="0.25">
      <c r="A485" s="511"/>
    </row>
    <row r="486" spans="1:1" x14ac:dyDescent="0.25">
      <c r="A486" s="511"/>
    </row>
    <row r="487" spans="1:1" x14ac:dyDescent="0.25">
      <c r="A487" s="511"/>
    </row>
    <row r="488" spans="1:1" x14ac:dyDescent="0.25">
      <c r="A488" s="511"/>
    </row>
    <row r="489" spans="1:1" x14ac:dyDescent="0.25">
      <c r="A489" s="511"/>
    </row>
    <row r="490" spans="1:1" x14ac:dyDescent="0.25">
      <c r="A490" s="511"/>
    </row>
    <row r="491" spans="1:1" x14ac:dyDescent="0.25">
      <c r="A491" s="511"/>
    </row>
    <row r="492" spans="1:1" x14ac:dyDescent="0.25">
      <c r="A492" s="511"/>
    </row>
    <row r="493" spans="1:1" x14ac:dyDescent="0.25">
      <c r="A493" s="511"/>
    </row>
    <row r="494" spans="1:1" x14ac:dyDescent="0.25">
      <c r="A494" s="511"/>
    </row>
    <row r="495" spans="1:1" x14ac:dyDescent="0.25">
      <c r="A495" s="511"/>
    </row>
    <row r="496" spans="1:1" x14ac:dyDescent="0.25">
      <c r="A496" s="511"/>
    </row>
    <row r="497" spans="1:1" x14ac:dyDescent="0.25">
      <c r="A497" s="511"/>
    </row>
    <row r="498" spans="1:1" x14ac:dyDescent="0.25">
      <c r="A498" s="511"/>
    </row>
    <row r="499" spans="1:1" x14ac:dyDescent="0.25">
      <c r="A499" s="511"/>
    </row>
    <row r="500" spans="1:1" x14ac:dyDescent="0.25">
      <c r="A500" s="511"/>
    </row>
    <row r="501" spans="1:1" x14ac:dyDescent="0.25">
      <c r="A501" s="511"/>
    </row>
    <row r="502" spans="1:1" x14ac:dyDescent="0.25">
      <c r="A502" s="511"/>
    </row>
    <row r="503" spans="1:1" x14ac:dyDescent="0.25">
      <c r="A503" s="511"/>
    </row>
    <row r="504" spans="1:1" x14ac:dyDescent="0.25">
      <c r="A504" s="511"/>
    </row>
    <row r="505" spans="1:1" x14ac:dyDescent="0.25">
      <c r="A505" s="511"/>
    </row>
    <row r="506" spans="1:1" x14ac:dyDescent="0.25">
      <c r="A506" s="511"/>
    </row>
    <row r="507" spans="1:1" x14ac:dyDescent="0.25">
      <c r="A507" s="511"/>
    </row>
    <row r="508" spans="1:1" x14ac:dyDescent="0.25">
      <c r="A508" s="511"/>
    </row>
    <row r="509" spans="1:1" x14ac:dyDescent="0.25">
      <c r="A509" s="511"/>
    </row>
    <row r="510" spans="1:1" x14ac:dyDescent="0.25">
      <c r="A510" s="511"/>
    </row>
    <row r="511" spans="1:1" x14ac:dyDescent="0.25">
      <c r="A511" s="511"/>
    </row>
    <row r="512" spans="1:1" x14ac:dyDescent="0.25">
      <c r="A512" s="511"/>
    </row>
    <row r="513" spans="1:1" x14ac:dyDescent="0.25">
      <c r="A513" s="511"/>
    </row>
    <row r="514" spans="1:1" x14ac:dyDescent="0.25">
      <c r="A514" s="511"/>
    </row>
    <row r="515" spans="1:1" x14ac:dyDescent="0.25">
      <c r="A515" s="511"/>
    </row>
    <row r="516" spans="1:1" x14ac:dyDescent="0.25">
      <c r="A516" s="511"/>
    </row>
    <row r="517" spans="1:1" x14ac:dyDescent="0.25">
      <c r="A517" s="511"/>
    </row>
    <row r="518" spans="1:1" x14ac:dyDescent="0.25">
      <c r="A518" s="511"/>
    </row>
    <row r="519" spans="1:1" x14ac:dyDescent="0.25">
      <c r="A519" s="511"/>
    </row>
    <row r="520" spans="1:1" x14ac:dyDescent="0.25">
      <c r="A520" s="511"/>
    </row>
    <row r="521" spans="1:1" x14ac:dyDescent="0.25">
      <c r="A521" s="511"/>
    </row>
    <row r="522" spans="1:1" x14ac:dyDescent="0.25">
      <c r="A522" s="511"/>
    </row>
    <row r="523" spans="1:1" x14ac:dyDescent="0.25">
      <c r="A523" s="511"/>
    </row>
    <row r="524" spans="1:1" x14ac:dyDescent="0.25">
      <c r="A524" s="511"/>
    </row>
    <row r="525" spans="1:1" x14ac:dyDescent="0.25">
      <c r="A525" s="511"/>
    </row>
    <row r="526" spans="1:1" x14ac:dyDescent="0.25">
      <c r="A526" s="511"/>
    </row>
    <row r="527" spans="1:1" x14ac:dyDescent="0.25">
      <c r="A527" s="511"/>
    </row>
    <row r="528" spans="1:1" x14ac:dyDescent="0.25">
      <c r="A528" s="511"/>
    </row>
    <row r="529" spans="1:1" x14ac:dyDescent="0.25">
      <c r="A529" s="511"/>
    </row>
    <row r="530" spans="1:1" x14ac:dyDescent="0.25">
      <c r="A530" s="511"/>
    </row>
    <row r="531" spans="1:1" x14ac:dyDescent="0.25">
      <c r="A531" s="511"/>
    </row>
    <row r="532" spans="1:1" x14ac:dyDescent="0.25">
      <c r="A532" s="511"/>
    </row>
    <row r="533" spans="1:1" x14ac:dyDescent="0.25">
      <c r="A533" s="511"/>
    </row>
    <row r="534" spans="1:1" x14ac:dyDescent="0.25">
      <c r="A534" s="511"/>
    </row>
    <row r="535" spans="1:1" x14ac:dyDescent="0.25">
      <c r="A535" s="511"/>
    </row>
    <row r="536" spans="1:1" x14ac:dyDescent="0.25">
      <c r="A536" s="511"/>
    </row>
    <row r="537" spans="1:1" x14ac:dyDescent="0.25">
      <c r="A537" s="511"/>
    </row>
    <row r="538" spans="1:1" x14ac:dyDescent="0.25">
      <c r="A538" s="511"/>
    </row>
    <row r="539" spans="1:1" x14ac:dyDescent="0.25">
      <c r="A539" s="511"/>
    </row>
    <row r="540" spans="1:1" x14ac:dyDescent="0.25">
      <c r="A540" s="511"/>
    </row>
    <row r="541" spans="1:1" x14ac:dyDescent="0.25">
      <c r="A541" s="511"/>
    </row>
    <row r="542" spans="1:1" x14ac:dyDescent="0.25">
      <c r="A542" s="511"/>
    </row>
    <row r="543" spans="1:1" x14ac:dyDescent="0.25">
      <c r="A543" s="511"/>
    </row>
    <row r="544" spans="1:1" x14ac:dyDescent="0.25">
      <c r="A544" s="511"/>
    </row>
    <row r="545" spans="1:1" x14ac:dyDescent="0.25">
      <c r="A545" s="511"/>
    </row>
    <row r="546" spans="1:1" x14ac:dyDescent="0.25">
      <c r="A546" s="511"/>
    </row>
    <row r="547" spans="1:1" x14ac:dyDescent="0.25">
      <c r="A547" s="511"/>
    </row>
    <row r="548" spans="1:1" x14ac:dyDescent="0.25">
      <c r="A548" s="511"/>
    </row>
    <row r="549" spans="1:1" x14ac:dyDescent="0.25">
      <c r="A549" s="511"/>
    </row>
    <row r="550" spans="1:1" x14ac:dyDescent="0.25">
      <c r="A550" s="511"/>
    </row>
    <row r="551" spans="1:1" x14ac:dyDescent="0.25">
      <c r="A551" s="511"/>
    </row>
    <row r="552" spans="1:1" x14ac:dyDescent="0.25">
      <c r="A552" s="511"/>
    </row>
    <row r="553" spans="1:1" x14ac:dyDescent="0.25">
      <c r="A553" s="511"/>
    </row>
    <row r="554" spans="1:1" x14ac:dyDescent="0.25">
      <c r="A554" s="511"/>
    </row>
    <row r="555" spans="1:1" x14ac:dyDescent="0.25">
      <c r="A555" s="511"/>
    </row>
    <row r="556" spans="1:1" x14ac:dyDescent="0.25">
      <c r="A556" s="511"/>
    </row>
    <row r="557" spans="1:1" x14ac:dyDescent="0.25">
      <c r="A557" s="511"/>
    </row>
    <row r="558" spans="1:1" x14ac:dyDescent="0.25">
      <c r="A558" s="511"/>
    </row>
    <row r="559" spans="1:1" x14ac:dyDescent="0.25">
      <c r="A559" s="511"/>
    </row>
    <row r="560" spans="1:1" x14ac:dyDescent="0.25">
      <c r="A560" s="511"/>
    </row>
    <row r="561" spans="1:1" x14ac:dyDescent="0.25">
      <c r="A561" s="511"/>
    </row>
    <row r="562" spans="1:1" x14ac:dyDescent="0.25">
      <c r="A562" s="511"/>
    </row>
    <row r="563" spans="1:1" x14ac:dyDescent="0.25">
      <c r="A563" s="511"/>
    </row>
    <row r="564" spans="1:1" x14ac:dyDescent="0.25">
      <c r="A564" s="511"/>
    </row>
    <row r="565" spans="1:1" x14ac:dyDescent="0.25">
      <c r="A565" s="511"/>
    </row>
    <row r="566" spans="1:1" x14ac:dyDescent="0.25">
      <c r="A566" s="511"/>
    </row>
    <row r="567" spans="1:1" x14ac:dyDescent="0.25">
      <c r="A567" s="511"/>
    </row>
    <row r="568" spans="1:1" x14ac:dyDescent="0.25">
      <c r="A568" s="511"/>
    </row>
    <row r="569" spans="1:1" x14ac:dyDescent="0.25">
      <c r="A569" s="511"/>
    </row>
    <row r="570" spans="1:1" x14ac:dyDescent="0.25">
      <c r="A570" s="511"/>
    </row>
    <row r="571" spans="1:1" x14ac:dyDescent="0.25">
      <c r="A571" s="511"/>
    </row>
    <row r="572" spans="1:1" x14ac:dyDescent="0.25">
      <c r="A572" s="511"/>
    </row>
    <row r="573" spans="1:1" x14ac:dyDescent="0.25">
      <c r="A573" s="511"/>
    </row>
    <row r="574" spans="1:1" x14ac:dyDescent="0.25">
      <c r="A574" s="511"/>
    </row>
    <row r="575" spans="1:1" x14ac:dyDescent="0.25">
      <c r="A575" s="511"/>
    </row>
    <row r="576" spans="1:1" x14ac:dyDescent="0.25">
      <c r="A576" s="511"/>
    </row>
    <row r="577" spans="1:1" x14ac:dyDescent="0.25">
      <c r="A577" s="511"/>
    </row>
    <row r="578" spans="1:1" x14ac:dyDescent="0.25">
      <c r="A578" s="511"/>
    </row>
    <row r="579" spans="1:1" x14ac:dyDescent="0.25">
      <c r="A579" s="511"/>
    </row>
    <row r="580" spans="1:1" x14ac:dyDescent="0.25">
      <c r="A580" s="511"/>
    </row>
    <row r="581" spans="1:1" x14ac:dyDescent="0.25">
      <c r="A581" s="511"/>
    </row>
    <row r="582" spans="1:1" x14ac:dyDescent="0.25">
      <c r="A582" s="511"/>
    </row>
    <row r="583" spans="1:1" x14ac:dyDescent="0.25">
      <c r="A583" s="511"/>
    </row>
    <row r="584" spans="1:1" x14ac:dyDescent="0.25">
      <c r="A584" s="511"/>
    </row>
    <row r="585" spans="1:1" x14ac:dyDescent="0.25">
      <c r="A585" s="511"/>
    </row>
    <row r="586" spans="1:1" x14ac:dyDescent="0.25">
      <c r="A586" s="511"/>
    </row>
    <row r="587" spans="1:1" x14ac:dyDescent="0.25">
      <c r="A587" s="511"/>
    </row>
    <row r="588" spans="1:1" x14ac:dyDescent="0.25">
      <c r="A588" s="511"/>
    </row>
    <row r="589" spans="1:1" x14ac:dyDescent="0.25">
      <c r="A589" s="511"/>
    </row>
    <row r="590" spans="1:1" x14ac:dyDescent="0.25">
      <c r="A590" s="511"/>
    </row>
    <row r="591" spans="1:1" x14ac:dyDescent="0.25">
      <c r="A591" s="511"/>
    </row>
    <row r="592" spans="1:1" x14ac:dyDescent="0.25">
      <c r="A592" s="511"/>
    </row>
    <row r="593" spans="1:1" x14ac:dyDescent="0.25">
      <c r="A593" s="511"/>
    </row>
    <row r="594" spans="1:1" x14ac:dyDescent="0.25">
      <c r="A594" s="511"/>
    </row>
    <row r="595" spans="1:1" x14ac:dyDescent="0.25">
      <c r="A595" s="511"/>
    </row>
    <row r="596" spans="1:1" x14ac:dyDescent="0.25">
      <c r="A596" s="511"/>
    </row>
    <row r="597" spans="1:1" x14ac:dyDescent="0.25">
      <c r="A597" s="511"/>
    </row>
    <row r="598" spans="1:1" x14ac:dyDescent="0.25">
      <c r="A598" s="511"/>
    </row>
    <row r="599" spans="1:1" x14ac:dyDescent="0.25">
      <c r="A599" s="511"/>
    </row>
    <row r="600" spans="1:1" x14ac:dyDescent="0.25">
      <c r="A600" s="511"/>
    </row>
    <row r="601" spans="1:1" x14ac:dyDescent="0.25">
      <c r="A601" s="511"/>
    </row>
    <row r="602" spans="1:1" x14ac:dyDescent="0.25">
      <c r="A602" s="511"/>
    </row>
    <row r="603" spans="1:1" x14ac:dyDescent="0.25">
      <c r="A603" s="511"/>
    </row>
    <row r="604" spans="1:1" x14ac:dyDescent="0.25">
      <c r="A604" s="511"/>
    </row>
    <row r="605" spans="1:1" x14ac:dyDescent="0.25">
      <c r="A605" s="511"/>
    </row>
    <row r="606" spans="1:1" x14ac:dyDescent="0.25">
      <c r="A606" s="511"/>
    </row>
    <row r="607" spans="1:1" x14ac:dyDescent="0.25">
      <c r="A607" s="511"/>
    </row>
    <row r="608" spans="1:1" x14ac:dyDescent="0.25">
      <c r="A608" s="511"/>
    </row>
    <row r="609" spans="1:1" x14ac:dyDescent="0.25">
      <c r="A609" s="511"/>
    </row>
    <row r="610" spans="1:1" x14ac:dyDescent="0.25">
      <c r="A610" s="511"/>
    </row>
    <row r="611" spans="1:1" x14ac:dyDescent="0.25">
      <c r="A611" s="511"/>
    </row>
    <row r="612" spans="1:1" x14ac:dyDescent="0.25">
      <c r="A612" s="511"/>
    </row>
    <row r="613" spans="1:1" x14ac:dyDescent="0.25">
      <c r="A613" s="511"/>
    </row>
    <row r="614" spans="1:1" x14ac:dyDescent="0.25">
      <c r="A614" s="511"/>
    </row>
    <row r="615" spans="1:1" x14ac:dyDescent="0.25">
      <c r="A615" s="511"/>
    </row>
    <row r="616" spans="1:1" x14ac:dyDescent="0.25">
      <c r="A616" s="511"/>
    </row>
    <row r="617" spans="1:1" x14ac:dyDescent="0.25">
      <c r="A617" s="511"/>
    </row>
    <row r="618" spans="1:1" x14ac:dyDescent="0.25">
      <c r="A618" s="511"/>
    </row>
    <row r="619" spans="1:1" x14ac:dyDescent="0.25">
      <c r="A619" s="511"/>
    </row>
    <row r="620" spans="1:1" x14ac:dyDescent="0.25">
      <c r="A620" s="511"/>
    </row>
    <row r="621" spans="1:1" x14ac:dyDescent="0.25">
      <c r="A621" s="511"/>
    </row>
    <row r="622" spans="1:1" x14ac:dyDescent="0.25">
      <c r="A622" s="511"/>
    </row>
    <row r="623" spans="1:1" x14ac:dyDescent="0.25">
      <c r="A623" s="511"/>
    </row>
    <row r="624" spans="1:1" x14ac:dyDescent="0.25">
      <c r="A624" s="511"/>
    </row>
    <row r="625" spans="1:1" x14ac:dyDescent="0.25">
      <c r="A625" s="511"/>
    </row>
    <row r="626" spans="1:1" x14ac:dyDescent="0.25">
      <c r="A626" s="511"/>
    </row>
    <row r="627" spans="1:1" x14ac:dyDescent="0.25">
      <c r="A627" s="511"/>
    </row>
    <row r="628" spans="1:1" x14ac:dyDescent="0.25">
      <c r="A628" s="511"/>
    </row>
    <row r="629" spans="1:1" x14ac:dyDescent="0.25">
      <c r="A629" s="511"/>
    </row>
    <row r="630" spans="1:1" x14ac:dyDescent="0.25">
      <c r="A630" s="511"/>
    </row>
    <row r="631" spans="1:1" x14ac:dyDescent="0.25">
      <c r="A631" s="511"/>
    </row>
    <row r="632" spans="1:1" x14ac:dyDescent="0.25">
      <c r="A632" s="511"/>
    </row>
    <row r="633" spans="1:1" x14ac:dyDescent="0.25">
      <c r="A633" s="511"/>
    </row>
    <row r="634" spans="1:1" x14ac:dyDescent="0.25">
      <c r="A634" s="511"/>
    </row>
    <row r="635" spans="1:1" x14ac:dyDescent="0.25">
      <c r="A635" s="511"/>
    </row>
    <row r="636" spans="1:1" x14ac:dyDescent="0.25">
      <c r="A636" s="511"/>
    </row>
    <row r="637" spans="1:1" x14ac:dyDescent="0.25">
      <c r="A637" s="511"/>
    </row>
    <row r="638" spans="1:1" x14ac:dyDescent="0.25">
      <c r="A638" s="511"/>
    </row>
    <row r="639" spans="1:1" x14ac:dyDescent="0.25">
      <c r="A639" s="511"/>
    </row>
    <row r="640" spans="1:1" x14ac:dyDescent="0.25">
      <c r="A640" s="511"/>
    </row>
    <row r="641" spans="1:1" x14ac:dyDescent="0.25">
      <c r="A641" s="511"/>
    </row>
    <row r="642" spans="1:1" x14ac:dyDescent="0.25">
      <c r="A642" s="511"/>
    </row>
    <row r="643" spans="1:1" x14ac:dyDescent="0.25">
      <c r="A643" s="511"/>
    </row>
    <row r="644" spans="1:1" x14ac:dyDescent="0.25">
      <c r="A644" s="511"/>
    </row>
    <row r="645" spans="1:1" x14ac:dyDescent="0.25">
      <c r="A645" s="511"/>
    </row>
    <row r="646" spans="1:1" x14ac:dyDescent="0.25">
      <c r="A646" s="511"/>
    </row>
    <row r="647" spans="1:1" x14ac:dyDescent="0.25">
      <c r="A647" s="511"/>
    </row>
    <row r="648" spans="1:1" x14ac:dyDescent="0.25">
      <c r="A648" s="511"/>
    </row>
    <row r="649" spans="1:1" x14ac:dyDescent="0.25">
      <c r="A649" s="511"/>
    </row>
    <row r="650" spans="1:1" x14ac:dyDescent="0.25">
      <c r="A650" s="511"/>
    </row>
    <row r="651" spans="1:1" x14ac:dyDescent="0.25">
      <c r="A651" s="511"/>
    </row>
    <row r="652" spans="1:1" x14ac:dyDescent="0.25">
      <c r="A652" s="511"/>
    </row>
    <row r="653" spans="1:1" x14ac:dyDescent="0.25">
      <c r="A653" s="511"/>
    </row>
    <row r="654" spans="1:1" x14ac:dyDescent="0.25">
      <c r="A654" s="511"/>
    </row>
    <row r="655" spans="1:1" x14ac:dyDescent="0.25">
      <c r="A655" s="511"/>
    </row>
    <row r="656" spans="1:1" x14ac:dyDescent="0.25">
      <c r="A656" s="511"/>
    </row>
    <row r="657" spans="1:1" x14ac:dyDescent="0.25">
      <c r="A657" s="511"/>
    </row>
    <row r="658" spans="1:1" x14ac:dyDescent="0.25">
      <c r="A658" s="511"/>
    </row>
    <row r="659" spans="1:1" x14ac:dyDescent="0.25">
      <c r="A659" s="511"/>
    </row>
    <row r="660" spans="1:1" x14ac:dyDescent="0.25">
      <c r="A660" s="511"/>
    </row>
    <row r="661" spans="1:1" x14ac:dyDescent="0.25">
      <c r="A661" s="511"/>
    </row>
    <row r="662" spans="1:1" x14ac:dyDescent="0.25">
      <c r="A662" s="511"/>
    </row>
    <row r="663" spans="1:1" x14ac:dyDescent="0.25">
      <c r="A663" s="511"/>
    </row>
    <row r="664" spans="1:1" x14ac:dyDescent="0.25">
      <c r="A664" s="511"/>
    </row>
    <row r="665" spans="1:1" x14ac:dyDescent="0.25">
      <c r="A665" s="511"/>
    </row>
    <row r="666" spans="1:1" x14ac:dyDescent="0.25">
      <c r="A666" s="511"/>
    </row>
    <row r="667" spans="1:1" x14ac:dyDescent="0.25">
      <c r="A667" s="511"/>
    </row>
    <row r="668" spans="1:1" x14ac:dyDescent="0.25">
      <c r="A668" s="511"/>
    </row>
    <row r="669" spans="1:1" x14ac:dyDescent="0.25">
      <c r="A669" s="511"/>
    </row>
    <row r="670" spans="1:1" x14ac:dyDescent="0.25">
      <c r="A670" s="511"/>
    </row>
    <row r="671" spans="1:1" x14ac:dyDescent="0.25">
      <c r="A671" s="511"/>
    </row>
    <row r="672" spans="1:1" x14ac:dyDescent="0.25">
      <c r="A672" s="511"/>
    </row>
    <row r="673" spans="1:1" x14ac:dyDescent="0.25">
      <c r="A673" s="511"/>
    </row>
    <row r="674" spans="1:1" x14ac:dyDescent="0.25">
      <c r="A674" s="511"/>
    </row>
    <row r="675" spans="1:1" x14ac:dyDescent="0.25">
      <c r="A675" s="511"/>
    </row>
    <row r="676" spans="1:1" x14ac:dyDescent="0.25">
      <c r="A676" s="511"/>
    </row>
    <row r="677" spans="1:1" x14ac:dyDescent="0.25">
      <c r="A677" s="511"/>
    </row>
    <row r="678" spans="1:1" x14ac:dyDescent="0.25">
      <c r="A678" s="511"/>
    </row>
    <row r="679" spans="1:1" x14ac:dyDescent="0.25">
      <c r="A679" s="511"/>
    </row>
    <row r="680" spans="1:1" x14ac:dyDescent="0.25">
      <c r="A680" s="511"/>
    </row>
    <row r="681" spans="1:1" x14ac:dyDescent="0.25">
      <c r="A681" s="511"/>
    </row>
    <row r="682" spans="1:1" x14ac:dyDescent="0.25">
      <c r="A682" s="511"/>
    </row>
    <row r="683" spans="1:1" x14ac:dyDescent="0.25">
      <c r="A683" s="511"/>
    </row>
    <row r="684" spans="1:1" x14ac:dyDescent="0.25">
      <c r="A684" s="511"/>
    </row>
    <row r="685" spans="1:1" x14ac:dyDescent="0.25">
      <c r="A685" s="511"/>
    </row>
    <row r="686" spans="1:1" x14ac:dyDescent="0.25">
      <c r="A686" s="511"/>
    </row>
    <row r="687" spans="1:1" x14ac:dyDescent="0.25">
      <c r="A687" s="511"/>
    </row>
    <row r="688" spans="1:1" x14ac:dyDescent="0.25">
      <c r="A688" s="511"/>
    </row>
    <row r="689" spans="1:1" x14ac:dyDescent="0.25">
      <c r="A689" s="511"/>
    </row>
    <row r="690" spans="1:1" x14ac:dyDescent="0.25">
      <c r="A690" s="511"/>
    </row>
    <row r="691" spans="1:1" x14ac:dyDescent="0.25">
      <c r="A691" s="511"/>
    </row>
    <row r="692" spans="1:1" x14ac:dyDescent="0.25">
      <c r="A692" s="511"/>
    </row>
    <row r="693" spans="1:1" x14ac:dyDescent="0.25">
      <c r="A693" s="511"/>
    </row>
    <row r="694" spans="1:1" x14ac:dyDescent="0.25">
      <c r="A694" s="511"/>
    </row>
    <row r="695" spans="1:1" x14ac:dyDescent="0.25">
      <c r="A695" s="511"/>
    </row>
    <row r="696" spans="1:1" x14ac:dyDescent="0.25">
      <c r="A696" s="511"/>
    </row>
    <row r="697" spans="1:1" x14ac:dyDescent="0.25">
      <c r="A697" s="511"/>
    </row>
    <row r="698" spans="1:1" x14ac:dyDescent="0.25">
      <c r="A698" s="511"/>
    </row>
    <row r="699" spans="1:1" x14ac:dyDescent="0.25">
      <c r="A699" s="511"/>
    </row>
    <row r="700" spans="1:1" x14ac:dyDescent="0.25">
      <c r="A700" s="511"/>
    </row>
    <row r="701" spans="1:1" x14ac:dyDescent="0.25">
      <c r="A701" s="511"/>
    </row>
    <row r="702" spans="1:1" x14ac:dyDescent="0.25">
      <c r="A702" s="511"/>
    </row>
    <row r="703" spans="1:1" x14ac:dyDescent="0.25">
      <c r="A703" s="511"/>
    </row>
    <row r="704" spans="1:1" x14ac:dyDescent="0.25">
      <c r="A704" s="511"/>
    </row>
    <row r="705" spans="1:1" x14ac:dyDescent="0.25">
      <c r="A705" s="511"/>
    </row>
    <row r="706" spans="1:1" x14ac:dyDescent="0.25">
      <c r="A706" s="511"/>
    </row>
    <row r="707" spans="1:1" x14ac:dyDescent="0.25">
      <c r="A707" s="511"/>
    </row>
    <row r="708" spans="1:1" x14ac:dyDescent="0.25">
      <c r="A708" s="511"/>
    </row>
    <row r="709" spans="1:1" x14ac:dyDescent="0.25">
      <c r="A709" s="511"/>
    </row>
    <row r="710" spans="1:1" x14ac:dyDescent="0.25">
      <c r="A710" s="511"/>
    </row>
    <row r="711" spans="1:1" x14ac:dyDescent="0.25">
      <c r="A711" s="511"/>
    </row>
    <row r="712" spans="1:1" x14ac:dyDescent="0.25">
      <c r="A712" s="511"/>
    </row>
    <row r="713" spans="1:1" x14ac:dyDescent="0.25">
      <c r="A713" s="511"/>
    </row>
    <row r="714" spans="1:1" x14ac:dyDescent="0.25">
      <c r="A714" s="511"/>
    </row>
    <row r="715" spans="1:1" x14ac:dyDescent="0.25">
      <c r="A715" s="511"/>
    </row>
    <row r="716" spans="1:1" x14ac:dyDescent="0.25">
      <c r="A716" s="511"/>
    </row>
    <row r="717" spans="1:1" x14ac:dyDescent="0.25">
      <c r="A717" s="511"/>
    </row>
    <row r="718" spans="1:1" x14ac:dyDescent="0.25">
      <c r="A718" s="511"/>
    </row>
    <row r="719" spans="1:1" x14ac:dyDescent="0.25">
      <c r="A719" s="511"/>
    </row>
    <row r="720" spans="1:1" x14ac:dyDescent="0.25">
      <c r="A720" s="511"/>
    </row>
    <row r="721" spans="1:1" x14ac:dyDescent="0.25">
      <c r="A721" s="511"/>
    </row>
    <row r="722" spans="1:1" x14ac:dyDescent="0.25">
      <c r="A722" s="511"/>
    </row>
    <row r="723" spans="1:1" x14ac:dyDescent="0.25">
      <c r="A723" s="511"/>
    </row>
    <row r="724" spans="1:1" x14ac:dyDescent="0.25">
      <c r="A724" s="511"/>
    </row>
    <row r="725" spans="1:1" x14ac:dyDescent="0.25">
      <c r="A725" s="511"/>
    </row>
    <row r="726" spans="1:1" x14ac:dyDescent="0.25">
      <c r="A726" s="511"/>
    </row>
    <row r="727" spans="1:1" x14ac:dyDescent="0.25">
      <c r="A727" s="511"/>
    </row>
    <row r="728" spans="1:1" x14ac:dyDescent="0.25">
      <c r="A728" s="511"/>
    </row>
    <row r="729" spans="1:1" x14ac:dyDescent="0.25">
      <c r="A729" s="511"/>
    </row>
    <row r="730" spans="1:1" x14ac:dyDescent="0.25">
      <c r="A730" s="511"/>
    </row>
    <row r="731" spans="1:1" x14ac:dyDescent="0.25">
      <c r="A731" s="511"/>
    </row>
    <row r="732" spans="1:1" x14ac:dyDescent="0.25">
      <c r="A732" s="511"/>
    </row>
    <row r="733" spans="1:1" x14ac:dyDescent="0.25">
      <c r="A733" s="511"/>
    </row>
    <row r="734" spans="1:1" x14ac:dyDescent="0.25">
      <c r="A734" s="511"/>
    </row>
    <row r="735" spans="1:1" x14ac:dyDescent="0.25">
      <c r="A735" s="511"/>
    </row>
    <row r="736" spans="1:1" x14ac:dyDescent="0.25">
      <c r="A736" s="511"/>
    </row>
    <row r="737" spans="1:1" x14ac:dyDescent="0.25">
      <c r="A737" s="511"/>
    </row>
    <row r="738" spans="1:1" x14ac:dyDescent="0.25">
      <c r="A738" s="511"/>
    </row>
    <row r="739" spans="1:1" x14ac:dyDescent="0.25">
      <c r="A739" s="511"/>
    </row>
    <row r="740" spans="1:1" x14ac:dyDescent="0.25">
      <c r="A740" s="511"/>
    </row>
    <row r="741" spans="1:1" x14ac:dyDescent="0.25">
      <c r="A741" s="511"/>
    </row>
    <row r="742" spans="1:1" x14ac:dyDescent="0.25">
      <c r="A742" s="511"/>
    </row>
    <row r="743" spans="1:1" x14ac:dyDescent="0.25">
      <c r="A743" s="511"/>
    </row>
    <row r="744" spans="1:1" x14ac:dyDescent="0.25">
      <c r="A744" s="511"/>
    </row>
    <row r="745" spans="1:1" x14ac:dyDescent="0.25">
      <c r="A745" s="511"/>
    </row>
    <row r="746" spans="1:1" x14ac:dyDescent="0.25">
      <c r="A746" s="511"/>
    </row>
    <row r="747" spans="1:1" x14ac:dyDescent="0.25">
      <c r="A747" s="511"/>
    </row>
    <row r="748" spans="1:1" x14ac:dyDescent="0.25">
      <c r="A748" s="511"/>
    </row>
    <row r="749" spans="1:1" x14ac:dyDescent="0.25">
      <c r="A749" s="511"/>
    </row>
    <row r="750" spans="1:1" x14ac:dyDescent="0.25">
      <c r="A750" s="511"/>
    </row>
    <row r="751" spans="1:1" x14ac:dyDescent="0.25">
      <c r="A751" s="511"/>
    </row>
    <row r="752" spans="1:1" x14ac:dyDescent="0.25">
      <c r="A752" s="511"/>
    </row>
    <row r="753" spans="1:1" x14ac:dyDescent="0.25">
      <c r="A753" s="511"/>
    </row>
    <row r="754" spans="1:1" x14ac:dyDescent="0.25">
      <c r="A754" s="511"/>
    </row>
    <row r="755" spans="1:1" x14ac:dyDescent="0.25">
      <c r="A755" s="511"/>
    </row>
    <row r="756" spans="1:1" x14ac:dyDescent="0.25">
      <c r="A756" s="511"/>
    </row>
    <row r="757" spans="1:1" x14ac:dyDescent="0.25">
      <c r="A757" s="511"/>
    </row>
    <row r="758" spans="1:1" x14ac:dyDescent="0.25">
      <c r="A758" s="511"/>
    </row>
    <row r="759" spans="1:1" x14ac:dyDescent="0.25">
      <c r="A759" s="511"/>
    </row>
    <row r="760" spans="1:1" x14ac:dyDescent="0.25">
      <c r="A760" s="511"/>
    </row>
    <row r="761" spans="1:1" x14ac:dyDescent="0.25">
      <c r="A761" s="511"/>
    </row>
    <row r="762" spans="1:1" x14ac:dyDescent="0.25">
      <c r="A762" s="511"/>
    </row>
    <row r="763" spans="1:1" x14ac:dyDescent="0.25">
      <c r="A763" s="511"/>
    </row>
    <row r="764" spans="1:1" x14ac:dyDescent="0.25">
      <c r="A764" s="511"/>
    </row>
    <row r="765" spans="1:1" x14ac:dyDescent="0.25">
      <c r="A765" s="511"/>
    </row>
    <row r="766" spans="1:1" x14ac:dyDescent="0.25">
      <c r="A766" s="511"/>
    </row>
    <row r="767" spans="1:1" x14ac:dyDescent="0.25">
      <c r="A767" s="511"/>
    </row>
    <row r="768" spans="1:1" x14ac:dyDescent="0.25">
      <c r="A768" s="511"/>
    </row>
    <row r="769" spans="1:1" x14ac:dyDescent="0.25">
      <c r="A769" s="511"/>
    </row>
    <row r="770" spans="1:1" x14ac:dyDescent="0.25">
      <c r="A770" s="511"/>
    </row>
    <row r="771" spans="1:1" x14ac:dyDescent="0.25">
      <c r="A771" s="511"/>
    </row>
    <row r="772" spans="1:1" x14ac:dyDescent="0.25">
      <c r="A772" s="511"/>
    </row>
    <row r="773" spans="1:1" x14ac:dyDescent="0.25">
      <c r="A773" s="511"/>
    </row>
    <row r="774" spans="1:1" x14ac:dyDescent="0.25">
      <c r="A774" s="511"/>
    </row>
    <row r="775" spans="1:1" x14ac:dyDescent="0.25">
      <c r="A775" s="511"/>
    </row>
    <row r="776" spans="1:1" x14ac:dyDescent="0.25">
      <c r="A776" s="511"/>
    </row>
    <row r="777" spans="1:1" x14ac:dyDescent="0.25">
      <c r="A777" s="511"/>
    </row>
    <row r="778" spans="1:1" x14ac:dyDescent="0.25">
      <c r="A778" s="511"/>
    </row>
    <row r="779" spans="1:1" x14ac:dyDescent="0.25">
      <c r="A779" s="511"/>
    </row>
    <row r="780" spans="1:1" x14ac:dyDescent="0.25">
      <c r="A780" s="511"/>
    </row>
    <row r="781" spans="1:1" x14ac:dyDescent="0.25">
      <c r="A781" s="511"/>
    </row>
    <row r="782" spans="1:1" x14ac:dyDescent="0.25">
      <c r="A782" s="511"/>
    </row>
    <row r="783" spans="1:1" x14ac:dyDescent="0.25">
      <c r="A783" s="511"/>
    </row>
    <row r="784" spans="1:1" x14ac:dyDescent="0.25">
      <c r="A784" s="511"/>
    </row>
    <row r="785" spans="1:1" x14ac:dyDescent="0.25">
      <c r="A785" s="511"/>
    </row>
    <row r="786" spans="1:1" x14ac:dyDescent="0.25">
      <c r="A786" s="511"/>
    </row>
    <row r="787" spans="1:1" x14ac:dyDescent="0.25">
      <c r="A787" s="511"/>
    </row>
    <row r="788" spans="1:1" x14ac:dyDescent="0.25">
      <c r="A788" s="511"/>
    </row>
    <row r="789" spans="1:1" x14ac:dyDescent="0.25">
      <c r="A789" s="511"/>
    </row>
    <row r="790" spans="1:1" x14ac:dyDescent="0.25">
      <c r="A790" s="511"/>
    </row>
    <row r="791" spans="1:1" x14ac:dyDescent="0.25">
      <c r="A791" s="511"/>
    </row>
    <row r="792" spans="1:1" x14ac:dyDescent="0.25">
      <c r="A792" s="511"/>
    </row>
    <row r="793" spans="1:1" x14ac:dyDescent="0.25">
      <c r="A793" s="511"/>
    </row>
    <row r="794" spans="1:1" x14ac:dyDescent="0.25">
      <c r="A794" s="511"/>
    </row>
    <row r="795" spans="1:1" x14ac:dyDescent="0.25">
      <c r="A795" s="511"/>
    </row>
    <row r="796" spans="1:1" x14ac:dyDescent="0.25">
      <c r="A796" s="511"/>
    </row>
    <row r="797" spans="1:1" x14ac:dyDescent="0.25">
      <c r="A797" s="511"/>
    </row>
    <row r="798" spans="1:1" x14ac:dyDescent="0.25">
      <c r="A798" s="511"/>
    </row>
    <row r="799" spans="1:1" x14ac:dyDescent="0.25">
      <c r="A799" s="511"/>
    </row>
    <row r="800" spans="1:1" x14ac:dyDescent="0.25">
      <c r="A800" s="511"/>
    </row>
    <row r="801" spans="1:1" x14ac:dyDescent="0.25">
      <c r="A801" s="511"/>
    </row>
    <row r="802" spans="1:1" x14ac:dyDescent="0.25">
      <c r="A802" s="511"/>
    </row>
    <row r="803" spans="1:1" x14ac:dyDescent="0.25">
      <c r="A803" s="511"/>
    </row>
    <row r="804" spans="1:1" x14ac:dyDescent="0.25">
      <c r="A804" s="511"/>
    </row>
    <row r="805" spans="1:1" x14ac:dyDescent="0.25">
      <c r="A805" s="511"/>
    </row>
    <row r="806" spans="1:1" x14ac:dyDescent="0.25">
      <c r="A806" s="511"/>
    </row>
    <row r="807" spans="1:1" x14ac:dyDescent="0.25">
      <c r="A807" s="511"/>
    </row>
    <row r="808" spans="1:1" x14ac:dyDescent="0.25">
      <c r="A808" s="511"/>
    </row>
    <row r="809" spans="1:1" x14ac:dyDescent="0.25">
      <c r="A809" s="511"/>
    </row>
    <row r="810" spans="1:1" x14ac:dyDescent="0.25">
      <c r="A810" s="511"/>
    </row>
    <row r="811" spans="1:1" x14ac:dyDescent="0.25">
      <c r="A811" s="511"/>
    </row>
    <row r="812" spans="1:1" x14ac:dyDescent="0.25">
      <c r="A812" s="511"/>
    </row>
    <row r="813" spans="1:1" x14ac:dyDescent="0.25">
      <c r="A813" s="511"/>
    </row>
    <row r="814" spans="1:1" x14ac:dyDescent="0.25">
      <c r="A814" s="511"/>
    </row>
    <row r="815" spans="1:1" x14ac:dyDescent="0.25">
      <c r="A815" s="511"/>
    </row>
    <row r="816" spans="1:1" x14ac:dyDescent="0.25">
      <c r="A816" s="511"/>
    </row>
    <row r="817" spans="1:1" x14ac:dyDescent="0.25">
      <c r="A817" s="511"/>
    </row>
    <row r="818" spans="1:1" x14ac:dyDescent="0.25">
      <c r="A818" s="511"/>
    </row>
    <row r="819" spans="1:1" x14ac:dyDescent="0.25">
      <c r="A819" s="511"/>
    </row>
    <row r="820" spans="1:1" x14ac:dyDescent="0.25">
      <c r="A820" s="511"/>
    </row>
    <row r="821" spans="1:1" x14ac:dyDescent="0.25">
      <c r="A821" s="511"/>
    </row>
    <row r="822" spans="1:1" x14ac:dyDescent="0.25">
      <c r="A822" s="511"/>
    </row>
    <row r="823" spans="1:1" x14ac:dyDescent="0.25">
      <c r="A823" s="511"/>
    </row>
    <row r="824" spans="1:1" x14ac:dyDescent="0.25">
      <c r="A824" s="511"/>
    </row>
    <row r="825" spans="1:1" x14ac:dyDescent="0.25">
      <c r="A825" s="511"/>
    </row>
    <row r="826" spans="1:1" x14ac:dyDescent="0.25">
      <c r="A826" s="511"/>
    </row>
    <row r="827" spans="1:1" x14ac:dyDescent="0.25">
      <c r="A827" s="511"/>
    </row>
    <row r="828" spans="1:1" x14ac:dyDescent="0.25">
      <c r="A828" s="511"/>
    </row>
    <row r="829" spans="1:1" x14ac:dyDescent="0.25">
      <c r="A829" s="511"/>
    </row>
    <row r="830" spans="1:1" x14ac:dyDescent="0.25">
      <c r="A830" s="511"/>
    </row>
    <row r="831" spans="1:1" x14ac:dyDescent="0.25">
      <c r="A831" s="511"/>
    </row>
    <row r="832" spans="1:1" x14ac:dyDescent="0.25">
      <c r="A832" s="511"/>
    </row>
    <row r="833" spans="1:1" x14ac:dyDescent="0.25">
      <c r="A833" s="511"/>
    </row>
    <row r="834" spans="1:1" x14ac:dyDescent="0.25">
      <c r="A834" s="511"/>
    </row>
    <row r="835" spans="1:1" x14ac:dyDescent="0.25">
      <c r="A835" s="511"/>
    </row>
    <row r="836" spans="1:1" x14ac:dyDescent="0.25">
      <c r="A836" s="511"/>
    </row>
    <row r="837" spans="1:1" x14ac:dyDescent="0.25">
      <c r="A837" s="511"/>
    </row>
    <row r="838" spans="1:1" x14ac:dyDescent="0.25">
      <c r="A838" s="511"/>
    </row>
    <row r="839" spans="1:1" x14ac:dyDescent="0.25">
      <c r="A839" s="511"/>
    </row>
    <row r="840" spans="1:1" x14ac:dyDescent="0.25">
      <c r="A840" s="511"/>
    </row>
    <row r="841" spans="1:1" x14ac:dyDescent="0.25">
      <c r="A841" s="511"/>
    </row>
    <row r="842" spans="1:1" x14ac:dyDescent="0.25">
      <c r="A842" s="511"/>
    </row>
    <row r="843" spans="1:1" x14ac:dyDescent="0.25">
      <c r="A843" s="511"/>
    </row>
    <row r="844" spans="1:1" x14ac:dyDescent="0.25">
      <c r="A844" s="511"/>
    </row>
    <row r="845" spans="1:1" x14ac:dyDescent="0.25">
      <c r="A845" s="511"/>
    </row>
    <row r="846" spans="1:1" x14ac:dyDescent="0.25">
      <c r="A846" s="511"/>
    </row>
    <row r="847" spans="1:1" x14ac:dyDescent="0.25">
      <c r="A847" s="511"/>
    </row>
    <row r="848" spans="1:1" x14ac:dyDescent="0.25">
      <c r="A848" s="511"/>
    </row>
    <row r="849" spans="1:1" x14ac:dyDescent="0.25">
      <c r="A849" s="511"/>
    </row>
    <row r="850" spans="1:1" x14ac:dyDescent="0.25">
      <c r="A850" s="511"/>
    </row>
    <row r="851" spans="1:1" x14ac:dyDescent="0.25">
      <c r="A851" s="511"/>
    </row>
    <row r="852" spans="1:1" x14ac:dyDescent="0.25">
      <c r="A852" s="511"/>
    </row>
    <row r="853" spans="1:1" x14ac:dyDescent="0.25">
      <c r="A853" s="511"/>
    </row>
    <row r="854" spans="1:1" x14ac:dyDescent="0.25">
      <c r="A854" s="511"/>
    </row>
    <row r="855" spans="1:1" x14ac:dyDescent="0.25">
      <c r="A855" s="511"/>
    </row>
    <row r="856" spans="1:1" x14ac:dyDescent="0.25">
      <c r="A856" s="511"/>
    </row>
    <row r="857" spans="1:1" x14ac:dyDescent="0.25">
      <c r="A857" s="511"/>
    </row>
    <row r="858" spans="1:1" x14ac:dyDescent="0.25">
      <c r="A858" s="511"/>
    </row>
    <row r="859" spans="1:1" x14ac:dyDescent="0.25">
      <c r="A859" s="511"/>
    </row>
    <row r="860" spans="1:1" x14ac:dyDescent="0.25">
      <c r="A860" s="511"/>
    </row>
    <row r="861" spans="1:1" x14ac:dyDescent="0.25">
      <c r="A861" s="511"/>
    </row>
    <row r="862" spans="1:1" x14ac:dyDescent="0.25">
      <c r="A862" s="511"/>
    </row>
    <row r="863" spans="1:1" x14ac:dyDescent="0.25">
      <c r="A863" s="511"/>
    </row>
    <row r="864" spans="1:1" x14ac:dyDescent="0.25">
      <c r="A864" s="511"/>
    </row>
    <row r="865" spans="1:1" x14ac:dyDescent="0.25">
      <c r="A865" s="511"/>
    </row>
    <row r="866" spans="1:1" x14ac:dyDescent="0.25">
      <c r="A866" s="511"/>
    </row>
    <row r="867" spans="1:1" x14ac:dyDescent="0.25">
      <c r="A867" s="511"/>
    </row>
    <row r="868" spans="1:1" x14ac:dyDescent="0.25">
      <c r="A868" s="511"/>
    </row>
    <row r="869" spans="1:1" x14ac:dyDescent="0.25">
      <c r="A869" s="511"/>
    </row>
    <row r="870" spans="1:1" x14ac:dyDescent="0.25">
      <c r="A870" s="511"/>
    </row>
    <row r="871" spans="1:1" x14ac:dyDescent="0.25">
      <c r="A871" s="511"/>
    </row>
    <row r="872" spans="1:1" x14ac:dyDescent="0.25">
      <c r="A872" s="511"/>
    </row>
    <row r="873" spans="1:1" x14ac:dyDescent="0.25">
      <c r="A873" s="511"/>
    </row>
    <row r="874" spans="1:1" x14ac:dyDescent="0.25">
      <c r="A874" s="511"/>
    </row>
    <row r="875" spans="1:1" x14ac:dyDescent="0.25">
      <c r="A875" s="511"/>
    </row>
    <row r="876" spans="1:1" x14ac:dyDescent="0.25">
      <c r="A876" s="511"/>
    </row>
    <row r="877" spans="1:1" x14ac:dyDescent="0.25">
      <c r="A877" s="511"/>
    </row>
    <row r="878" spans="1:1" x14ac:dyDescent="0.25">
      <c r="A878" s="511"/>
    </row>
    <row r="879" spans="1:1" x14ac:dyDescent="0.25">
      <c r="A879" s="511"/>
    </row>
    <row r="880" spans="1:1" x14ac:dyDescent="0.25">
      <c r="A880" s="511"/>
    </row>
    <row r="881" spans="1:1" x14ac:dyDescent="0.25">
      <c r="A881" s="511"/>
    </row>
    <row r="882" spans="1:1" x14ac:dyDescent="0.25">
      <c r="A882" s="511"/>
    </row>
    <row r="883" spans="1:1" x14ac:dyDescent="0.25">
      <c r="A883" s="511"/>
    </row>
    <row r="884" spans="1:1" x14ac:dyDescent="0.25">
      <c r="A884" s="511"/>
    </row>
    <row r="885" spans="1:1" x14ac:dyDescent="0.25">
      <c r="A885" s="511"/>
    </row>
    <row r="886" spans="1:1" x14ac:dyDescent="0.25">
      <c r="A886" s="511"/>
    </row>
    <row r="887" spans="1:1" x14ac:dyDescent="0.25">
      <c r="A887" s="511"/>
    </row>
    <row r="888" spans="1:1" x14ac:dyDescent="0.25">
      <c r="A888" s="511"/>
    </row>
    <row r="889" spans="1:1" x14ac:dyDescent="0.25">
      <c r="A889" s="511"/>
    </row>
    <row r="890" spans="1:1" x14ac:dyDescent="0.25">
      <c r="A890" s="511"/>
    </row>
    <row r="891" spans="1:1" x14ac:dyDescent="0.25">
      <c r="A891" s="511"/>
    </row>
    <row r="892" spans="1:1" x14ac:dyDescent="0.25">
      <c r="A892" s="511"/>
    </row>
    <row r="893" spans="1:1" x14ac:dyDescent="0.25">
      <c r="A893" s="511"/>
    </row>
    <row r="894" spans="1:1" x14ac:dyDescent="0.25">
      <c r="A894" s="511"/>
    </row>
    <row r="895" spans="1:1" x14ac:dyDescent="0.25">
      <c r="A895" s="511"/>
    </row>
    <row r="896" spans="1:1" x14ac:dyDescent="0.25">
      <c r="A896" s="511"/>
    </row>
    <row r="897" spans="1:1" x14ac:dyDescent="0.25">
      <c r="A897" s="511"/>
    </row>
    <row r="898" spans="1:1" x14ac:dyDescent="0.25">
      <c r="A898" s="511"/>
    </row>
    <row r="899" spans="1:1" x14ac:dyDescent="0.25">
      <c r="A899" s="511"/>
    </row>
    <row r="900" spans="1:1" x14ac:dyDescent="0.25">
      <c r="A900" s="511"/>
    </row>
    <row r="901" spans="1:1" x14ac:dyDescent="0.25">
      <c r="A901" s="511"/>
    </row>
    <row r="902" spans="1:1" x14ac:dyDescent="0.25">
      <c r="A902" s="511"/>
    </row>
    <row r="903" spans="1:1" x14ac:dyDescent="0.25">
      <c r="A903" s="511"/>
    </row>
    <row r="904" spans="1:1" x14ac:dyDescent="0.25">
      <c r="A904" s="511"/>
    </row>
    <row r="905" spans="1:1" x14ac:dyDescent="0.25">
      <c r="A905" s="511"/>
    </row>
    <row r="906" spans="1:1" x14ac:dyDescent="0.25">
      <c r="A906" s="511"/>
    </row>
    <row r="907" spans="1:1" x14ac:dyDescent="0.25">
      <c r="A907" s="511"/>
    </row>
    <row r="908" spans="1:1" x14ac:dyDescent="0.25">
      <c r="A908" s="511"/>
    </row>
    <row r="909" spans="1:1" x14ac:dyDescent="0.25">
      <c r="A909" s="511"/>
    </row>
    <row r="910" spans="1:1" x14ac:dyDescent="0.25">
      <c r="A910" s="511"/>
    </row>
    <row r="911" spans="1:1" x14ac:dyDescent="0.25">
      <c r="A911" s="511"/>
    </row>
    <row r="912" spans="1:1" x14ac:dyDescent="0.25">
      <c r="A912" s="511"/>
    </row>
    <row r="913" spans="1:1" x14ac:dyDescent="0.25">
      <c r="A913" s="511"/>
    </row>
    <row r="914" spans="1:1" x14ac:dyDescent="0.25">
      <c r="A914" s="511"/>
    </row>
    <row r="915" spans="1:1" x14ac:dyDescent="0.25">
      <c r="A915" s="511"/>
    </row>
    <row r="916" spans="1:1" x14ac:dyDescent="0.25">
      <c r="A916" s="511"/>
    </row>
    <row r="917" spans="1:1" x14ac:dyDescent="0.25">
      <c r="A917" s="511"/>
    </row>
    <row r="918" spans="1:1" x14ac:dyDescent="0.25">
      <c r="A918" s="511"/>
    </row>
    <row r="919" spans="1:1" x14ac:dyDescent="0.25">
      <c r="A919" s="511"/>
    </row>
    <row r="920" spans="1:1" x14ac:dyDescent="0.25">
      <c r="A920" s="511"/>
    </row>
    <row r="921" spans="1:1" x14ac:dyDescent="0.25">
      <c r="A921" s="511"/>
    </row>
    <row r="922" spans="1:1" x14ac:dyDescent="0.25">
      <c r="A922" s="511"/>
    </row>
    <row r="923" spans="1:1" x14ac:dyDescent="0.25">
      <c r="A923" s="511"/>
    </row>
    <row r="924" spans="1:1" x14ac:dyDescent="0.25">
      <c r="A924" s="511"/>
    </row>
    <row r="925" spans="1:1" x14ac:dyDescent="0.25">
      <c r="A925" s="511"/>
    </row>
    <row r="926" spans="1:1" x14ac:dyDescent="0.25">
      <c r="A926" s="511"/>
    </row>
    <row r="927" spans="1:1" x14ac:dyDescent="0.25">
      <c r="A927" s="511"/>
    </row>
    <row r="928" spans="1:1" x14ac:dyDescent="0.25">
      <c r="A928" s="511"/>
    </row>
    <row r="929" spans="1:1" x14ac:dyDescent="0.25">
      <c r="A929" s="511"/>
    </row>
    <row r="930" spans="1:1" x14ac:dyDescent="0.25">
      <c r="A930" s="511"/>
    </row>
    <row r="931" spans="1:1" x14ac:dyDescent="0.25">
      <c r="A931" s="511"/>
    </row>
    <row r="932" spans="1:1" x14ac:dyDescent="0.25">
      <c r="A932" s="511"/>
    </row>
    <row r="933" spans="1:1" x14ac:dyDescent="0.25">
      <c r="A933" s="511"/>
    </row>
    <row r="934" spans="1:1" x14ac:dyDescent="0.25">
      <c r="A934" s="511"/>
    </row>
    <row r="935" spans="1:1" x14ac:dyDescent="0.25">
      <c r="A935" s="511"/>
    </row>
    <row r="936" spans="1:1" x14ac:dyDescent="0.25">
      <c r="A936" s="511"/>
    </row>
    <row r="937" spans="1:1" x14ac:dyDescent="0.25">
      <c r="A937" s="511"/>
    </row>
    <row r="938" spans="1:1" x14ac:dyDescent="0.25">
      <c r="A938" s="511"/>
    </row>
    <row r="939" spans="1:1" x14ac:dyDescent="0.25">
      <c r="A939" s="511"/>
    </row>
    <row r="940" spans="1:1" x14ac:dyDescent="0.25">
      <c r="A940" s="511"/>
    </row>
    <row r="941" spans="1:1" x14ac:dyDescent="0.25">
      <c r="A941" s="511"/>
    </row>
    <row r="942" spans="1:1" x14ac:dyDescent="0.25">
      <c r="A942" s="511"/>
    </row>
    <row r="943" spans="1:1" x14ac:dyDescent="0.25">
      <c r="A943" s="511"/>
    </row>
    <row r="944" spans="1:1" x14ac:dyDescent="0.25">
      <c r="A944" s="511"/>
    </row>
    <row r="945" spans="1:1" x14ac:dyDescent="0.25">
      <c r="A945" s="511"/>
    </row>
    <row r="946" spans="1:1" x14ac:dyDescent="0.25">
      <c r="A946" s="511"/>
    </row>
    <row r="947" spans="1:1" x14ac:dyDescent="0.25">
      <c r="A947" s="511"/>
    </row>
    <row r="948" spans="1:1" x14ac:dyDescent="0.25">
      <c r="A948" s="511"/>
    </row>
    <row r="949" spans="1:1" x14ac:dyDescent="0.25">
      <c r="A949" s="511"/>
    </row>
    <row r="950" spans="1:1" x14ac:dyDescent="0.25">
      <c r="A950" s="511"/>
    </row>
    <row r="951" spans="1:1" x14ac:dyDescent="0.25">
      <c r="A951" s="511"/>
    </row>
    <row r="952" spans="1:1" x14ac:dyDescent="0.25">
      <c r="A952" s="511"/>
    </row>
    <row r="953" spans="1:1" x14ac:dyDescent="0.25">
      <c r="A953" s="511"/>
    </row>
    <row r="954" spans="1:1" x14ac:dyDescent="0.25">
      <c r="A954" s="511"/>
    </row>
    <row r="955" spans="1:1" x14ac:dyDescent="0.25">
      <c r="A955" s="511"/>
    </row>
    <row r="956" spans="1:1" x14ac:dyDescent="0.25">
      <c r="A956" s="511"/>
    </row>
    <row r="957" spans="1:1" x14ac:dyDescent="0.25">
      <c r="A957" s="511"/>
    </row>
    <row r="958" spans="1:1" x14ac:dyDescent="0.25">
      <c r="A958" s="511"/>
    </row>
    <row r="959" spans="1:1" x14ac:dyDescent="0.25">
      <c r="A959" s="511"/>
    </row>
    <row r="960" spans="1:1" x14ac:dyDescent="0.25">
      <c r="A960" s="511"/>
    </row>
    <row r="961" spans="1:1" x14ac:dyDescent="0.25">
      <c r="A961" s="511"/>
    </row>
    <row r="962" spans="1:1" x14ac:dyDescent="0.25">
      <c r="A962" s="511"/>
    </row>
    <row r="963" spans="1:1" x14ac:dyDescent="0.25">
      <c r="A963" s="511"/>
    </row>
    <row r="964" spans="1:1" x14ac:dyDescent="0.25">
      <c r="A964" s="511"/>
    </row>
    <row r="965" spans="1:1" x14ac:dyDescent="0.25">
      <c r="A965" s="511"/>
    </row>
    <row r="966" spans="1:1" x14ac:dyDescent="0.25">
      <c r="A966" s="511"/>
    </row>
    <row r="967" spans="1:1" x14ac:dyDescent="0.25">
      <c r="A967" s="511"/>
    </row>
    <row r="968" spans="1:1" x14ac:dyDescent="0.25">
      <c r="A968" s="511"/>
    </row>
    <row r="969" spans="1:1" x14ac:dyDescent="0.25">
      <c r="A969" s="511"/>
    </row>
    <row r="970" spans="1:1" x14ac:dyDescent="0.25">
      <c r="A970" s="511"/>
    </row>
    <row r="971" spans="1:1" x14ac:dyDescent="0.25">
      <c r="A971" s="511"/>
    </row>
    <row r="972" spans="1:1" x14ac:dyDescent="0.25">
      <c r="A972" s="511"/>
    </row>
    <row r="973" spans="1:1" x14ac:dyDescent="0.25">
      <c r="A973" s="511"/>
    </row>
    <row r="974" spans="1:1" x14ac:dyDescent="0.25">
      <c r="A974" s="511"/>
    </row>
    <row r="975" spans="1:1" x14ac:dyDescent="0.25">
      <c r="A975" s="511"/>
    </row>
    <row r="976" spans="1:1" x14ac:dyDescent="0.25">
      <c r="A976" s="511"/>
    </row>
    <row r="977" spans="1:1" x14ac:dyDescent="0.25">
      <c r="A977" s="511"/>
    </row>
    <row r="978" spans="1:1" x14ac:dyDescent="0.25">
      <c r="A978" s="511"/>
    </row>
    <row r="979" spans="1:1" x14ac:dyDescent="0.25">
      <c r="A979" s="511"/>
    </row>
    <row r="980" spans="1:1" x14ac:dyDescent="0.25">
      <c r="A980" s="511"/>
    </row>
    <row r="981" spans="1:1" x14ac:dyDescent="0.25">
      <c r="A981" s="511"/>
    </row>
    <row r="982" spans="1:1" x14ac:dyDescent="0.25">
      <c r="A982" s="511"/>
    </row>
    <row r="983" spans="1:1" x14ac:dyDescent="0.25">
      <c r="A983" s="511"/>
    </row>
    <row r="984" spans="1:1" x14ac:dyDescent="0.25">
      <c r="A984" s="511"/>
    </row>
    <row r="985" spans="1:1" x14ac:dyDescent="0.25">
      <c r="A985" s="511"/>
    </row>
    <row r="986" spans="1:1" x14ac:dyDescent="0.25">
      <c r="A986" s="511"/>
    </row>
    <row r="987" spans="1:1" x14ac:dyDescent="0.25">
      <c r="A987" s="511"/>
    </row>
    <row r="988" spans="1:1" x14ac:dyDescent="0.25">
      <c r="A988" s="511"/>
    </row>
    <row r="989" spans="1:1" x14ac:dyDescent="0.25">
      <c r="A989" s="511"/>
    </row>
    <row r="990" spans="1:1" x14ac:dyDescent="0.25">
      <c r="A990" s="511"/>
    </row>
    <row r="991" spans="1:1" x14ac:dyDescent="0.25">
      <c r="A991" s="511"/>
    </row>
    <row r="992" spans="1:1" x14ac:dyDescent="0.25">
      <c r="A992" s="511"/>
    </row>
    <row r="993" spans="1:1" x14ac:dyDescent="0.25">
      <c r="A993" s="511"/>
    </row>
    <row r="994" spans="1:1" x14ac:dyDescent="0.25">
      <c r="A994" s="511"/>
    </row>
    <row r="995" spans="1:1" x14ac:dyDescent="0.25">
      <c r="A995" s="511"/>
    </row>
    <row r="996" spans="1:1" x14ac:dyDescent="0.25">
      <c r="A996" s="511"/>
    </row>
    <row r="997" spans="1:1" x14ac:dyDescent="0.25">
      <c r="A997" s="511"/>
    </row>
    <row r="998" spans="1:1" x14ac:dyDescent="0.25">
      <c r="A998" s="511"/>
    </row>
    <row r="999" spans="1:1" x14ac:dyDescent="0.25">
      <c r="A999" s="511"/>
    </row>
    <row r="1000" spans="1:1" x14ac:dyDescent="0.25">
      <c r="A1000" s="511"/>
    </row>
    <row r="1001" spans="1:1" x14ac:dyDescent="0.25">
      <c r="A1001" s="511"/>
    </row>
    <row r="1002" spans="1:1" x14ac:dyDescent="0.25">
      <c r="A1002" s="511"/>
    </row>
    <row r="1003" spans="1:1" x14ac:dyDescent="0.25">
      <c r="A1003" s="511"/>
    </row>
    <row r="1004" spans="1:1" x14ac:dyDescent="0.25">
      <c r="A1004" s="511"/>
    </row>
    <row r="1005" spans="1:1" x14ac:dyDescent="0.25">
      <c r="A1005" s="511"/>
    </row>
    <row r="1006" spans="1:1" x14ac:dyDescent="0.25">
      <c r="A1006" s="511"/>
    </row>
    <row r="1007" spans="1:1" x14ac:dyDescent="0.25">
      <c r="A1007" s="511"/>
    </row>
    <row r="1008" spans="1:1" x14ac:dyDescent="0.25">
      <c r="A1008" s="511"/>
    </row>
    <row r="1009" spans="1:1" x14ac:dyDescent="0.25">
      <c r="A1009" s="511"/>
    </row>
    <row r="1010" spans="1:1" x14ac:dyDescent="0.25">
      <c r="A1010" s="511"/>
    </row>
    <row r="1011" spans="1:1" x14ac:dyDescent="0.25">
      <c r="A1011" s="511"/>
    </row>
    <row r="1012" spans="1:1" x14ac:dyDescent="0.25">
      <c r="A1012" s="511"/>
    </row>
    <row r="1013" spans="1:1" x14ac:dyDescent="0.25">
      <c r="A1013" s="511"/>
    </row>
    <row r="1014" spans="1:1" x14ac:dyDescent="0.25">
      <c r="A1014" s="511"/>
    </row>
    <row r="1015" spans="1:1" x14ac:dyDescent="0.25">
      <c r="A1015" s="511"/>
    </row>
    <row r="1016" spans="1:1" x14ac:dyDescent="0.25">
      <c r="A1016" s="511"/>
    </row>
    <row r="1017" spans="1:1" x14ac:dyDescent="0.25">
      <c r="A1017" s="511"/>
    </row>
    <row r="1018" spans="1:1" x14ac:dyDescent="0.25">
      <c r="A1018" s="511"/>
    </row>
    <row r="1019" spans="1:1" x14ac:dyDescent="0.25">
      <c r="A1019" s="511"/>
    </row>
    <row r="1020" spans="1:1" x14ac:dyDescent="0.25">
      <c r="A1020" s="511"/>
    </row>
    <row r="1021" spans="1:1" x14ac:dyDescent="0.25">
      <c r="A1021" s="511"/>
    </row>
    <row r="1022" spans="1:1" x14ac:dyDescent="0.25">
      <c r="A1022" s="511"/>
    </row>
    <row r="1023" spans="1:1" x14ac:dyDescent="0.25">
      <c r="A1023" s="511"/>
    </row>
    <row r="1024" spans="1:1" x14ac:dyDescent="0.25">
      <c r="A1024" s="511"/>
    </row>
    <row r="1025" spans="1:1" x14ac:dyDescent="0.25">
      <c r="A1025" s="511"/>
    </row>
    <row r="1026" spans="1:1" x14ac:dyDescent="0.25">
      <c r="A1026" s="511"/>
    </row>
    <row r="1027" spans="1:1" x14ac:dyDescent="0.25">
      <c r="A1027" s="511"/>
    </row>
    <row r="1028" spans="1:1" x14ac:dyDescent="0.25">
      <c r="A1028" s="511"/>
    </row>
    <row r="1029" spans="1:1" x14ac:dyDescent="0.25">
      <c r="A1029" s="511"/>
    </row>
    <row r="1030" spans="1:1" x14ac:dyDescent="0.25">
      <c r="A1030" s="511"/>
    </row>
    <row r="1031" spans="1:1" x14ac:dyDescent="0.25">
      <c r="A1031" s="511"/>
    </row>
    <row r="1032" spans="1:1" x14ac:dyDescent="0.25">
      <c r="A1032" s="511"/>
    </row>
    <row r="1033" spans="1:1" x14ac:dyDescent="0.25">
      <c r="A1033" s="511"/>
    </row>
    <row r="1034" spans="1:1" x14ac:dyDescent="0.25">
      <c r="A1034" s="511"/>
    </row>
    <row r="1035" spans="1:1" x14ac:dyDescent="0.25">
      <c r="A1035" s="511"/>
    </row>
    <row r="1036" spans="1:1" x14ac:dyDescent="0.25">
      <c r="A1036" s="511"/>
    </row>
    <row r="1037" spans="1:1" x14ac:dyDescent="0.25">
      <c r="A1037" s="511"/>
    </row>
    <row r="1038" spans="1:1" x14ac:dyDescent="0.25">
      <c r="A1038" s="511"/>
    </row>
    <row r="1039" spans="1:1" x14ac:dyDescent="0.25">
      <c r="A1039" s="511"/>
    </row>
    <row r="1040" spans="1:1" x14ac:dyDescent="0.25">
      <c r="A1040" s="511"/>
    </row>
    <row r="1041" spans="1:1" x14ac:dyDescent="0.25">
      <c r="A1041" s="511"/>
    </row>
    <row r="1042" spans="1:1" x14ac:dyDescent="0.25">
      <c r="A1042" s="511"/>
    </row>
    <row r="1043" spans="1:1" x14ac:dyDescent="0.25">
      <c r="A1043" s="511"/>
    </row>
    <row r="1044" spans="1:1" x14ac:dyDescent="0.25">
      <c r="A1044" s="511"/>
    </row>
    <row r="1045" spans="1:1" x14ac:dyDescent="0.25">
      <c r="A1045" s="511"/>
    </row>
    <row r="1046" spans="1:1" x14ac:dyDescent="0.25">
      <c r="A1046" s="511"/>
    </row>
    <row r="1047" spans="1:1" x14ac:dyDescent="0.25">
      <c r="A1047" s="511"/>
    </row>
    <row r="1048" spans="1:1" x14ac:dyDescent="0.25">
      <c r="A1048" s="511"/>
    </row>
    <row r="1049" spans="1:1" x14ac:dyDescent="0.25">
      <c r="A1049" s="511"/>
    </row>
    <row r="1050" spans="1:1" x14ac:dyDescent="0.25">
      <c r="A1050" s="511"/>
    </row>
    <row r="1051" spans="1:1" x14ac:dyDescent="0.25">
      <c r="A1051" s="511"/>
    </row>
    <row r="1052" spans="1:1" x14ac:dyDescent="0.25">
      <c r="A1052" s="511"/>
    </row>
    <row r="1053" spans="1:1" x14ac:dyDescent="0.25">
      <c r="A1053" s="511"/>
    </row>
    <row r="1054" spans="1:1" x14ac:dyDescent="0.25">
      <c r="A1054" s="511"/>
    </row>
    <row r="1055" spans="1:1" x14ac:dyDescent="0.25">
      <c r="A1055" s="511"/>
    </row>
    <row r="1056" spans="1:1" x14ac:dyDescent="0.25">
      <c r="A1056" s="511"/>
    </row>
    <row r="1057" spans="1:1" x14ac:dyDescent="0.25">
      <c r="A1057" s="511"/>
    </row>
    <row r="1058" spans="1:1" x14ac:dyDescent="0.25">
      <c r="A1058" s="511"/>
    </row>
    <row r="1059" spans="1:1" x14ac:dyDescent="0.25">
      <c r="A1059" s="511"/>
    </row>
    <row r="1060" spans="1:1" x14ac:dyDescent="0.25">
      <c r="A1060" s="511"/>
    </row>
    <row r="1061" spans="1:1" x14ac:dyDescent="0.25">
      <c r="A1061" s="511"/>
    </row>
    <row r="1062" spans="1:1" x14ac:dyDescent="0.25">
      <c r="A1062" s="511"/>
    </row>
    <row r="1063" spans="1:1" x14ac:dyDescent="0.25">
      <c r="A1063" s="511"/>
    </row>
    <row r="1064" spans="1:1" x14ac:dyDescent="0.25">
      <c r="A1064" s="511"/>
    </row>
    <row r="1065" spans="1:1" x14ac:dyDescent="0.25">
      <c r="A1065" s="511"/>
    </row>
    <row r="1066" spans="1:1" x14ac:dyDescent="0.25">
      <c r="A1066" s="511"/>
    </row>
    <row r="1067" spans="1:1" x14ac:dyDescent="0.25">
      <c r="A1067" s="511"/>
    </row>
    <row r="1068" spans="1:1" x14ac:dyDescent="0.25">
      <c r="A1068" s="511"/>
    </row>
    <row r="1069" spans="1:1" x14ac:dyDescent="0.25">
      <c r="A1069" s="511"/>
    </row>
    <row r="1070" spans="1:1" x14ac:dyDescent="0.25">
      <c r="A1070" s="511"/>
    </row>
    <row r="1071" spans="1:1" x14ac:dyDescent="0.25">
      <c r="A1071" s="511"/>
    </row>
    <row r="1072" spans="1:1" x14ac:dyDescent="0.25">
      <c r="A1072" s="511"/>
    </row>
    <row r="1073" spans="1:1" x14ac:dyDescent="0.25">
      <c r="A1073" s="511"/>
    </row>
    <row r="1074" spans="1:1" x14ac:dyDescent="0.25">
      <c r="A1074" s="511"/>
    </row>
    <row r="1075" spans="1:1" x14ac:dyDescent="0.25">
      <c r="A1075" s="511"/>
    </row>
    <row r="1076" spans="1:1" x14ac:dyDescent="0.25">
      <c r="A1076" s="511"/>
    </row>
    <row r="1077" spans="1:1" x14ac:dyDescent="0.25">
      <c r="A1077" s="511"/>
    </row>
    <row r="1078" spans="1:1" x14ac:dyDescent="0.25">
      <c r="A1078" s="511"/>
    </row>
    <row r="1079" spans="1:1" x14ac:dyDescent="0.25">
      <c r="A1079" s="511"/>
    </row>
    <row r="1080" spans="1:1" x14ac:dyDescent="0.25">
      <c r="A1080" s="511"/>
    </row>
    <row r="1081" spans="1:1" x14ac:dyDescent="0.25">
      <c r="A1081" s="511"/>
    </row>
    <row r="1082" spans="1:1" x14ac:dyDescent="0.25">
      <c r="A1082" s="511"/>
    </row>
    <row r="1083" spans="1:1" x14ac:dyDescent="0.25">
      <c r="A1083" s="511"/>
    </row>
    <row r="1084" spans="1:1" x14ac:dyDescent="0.25">
      <c r="A1084" s="511"/>
    </row>
    <row r="1085" spans="1:1" x14ac:dyDescent="0.25">
      <c r="A1085" s="511"/>
    </row>
    <row r="1086" spans="1:1" x14ac:dyDescent="0.25">
      <c r="A1086" s="511"/>
    </row>
    <row r="1087" spans="1:1" x14ac:dyDescent="0.25">
      <c r="A1087" s="511"/>
    </row>
    <row r="1088" spans="1:1" x14ac:dyDescent="0.25">
      <c r="A1088" s="511"/>
    </row>
    <row r="1089" spans="1:1" x14ac:dyDescent="0.25">
      <c r="A1089" s="511"/>
    </row>
    <row r="1090" spans="1:1" x14ac:dyDescent="0.25">
      <c r="A1090" s="511"/>
    </row>
    <row r="1091" spans="1:1" x14ac:dyDescent="0.25">
      <c r="A1091" s="511"/>
    </row>
    <row r="1092" spans="1:1" x14ac:dyDescent="0.25">
      <c r="A1092" s="511"/>
    </row>
    <row r="1093" spans="1:1" x14ac:dyDescent="0.25">
      <c r="A1093" s="511"/>
    </row>
    <row r="1094" spans="1:1" x14ac:dyDescent="0.25">
      <c r="A1094" s="511"/>
    </row>
    <row r="1095" spans="1:1" x14ac:dyDescent="0.25">
      <c r="A1095" s="511"/>
    </row>
    <row r="1096" spans="1:1" x14ac:dyDescent="0.25">
      <c r="A1096" s="511"/>
    </row>
    <row r="1097" spans="1:1" x14ac:dyDescent="0.25">
      <c r="A1097" s="511"/>
    </row>
    <row r="1098" spans="1:1" x14ac:dyDescent="0.25">
      <c r="A1098" s="511"/>
    </row>
    <row r="1099" spans="1:1" x14ac:dyDescent="0.25">
      <c r="A1099" s="511"/>
    </row>
    <row r="1100" spans="1:1" x14ac:dyDescent="0.25">
      <c r="A1100" s="511"/>
    </row>
    <row r="1101" spans="1:1" x14ac:dyDescent="0.25">
      <c r="A1101" s="511"/>
    </row>
    <row r="1102" spans="1:1" x14ac:dyDescent="0.25">
      <c r="A1102" s="511"/>
    </row>
    <row r="1103" spans="1:1" x14ac:dyDescent="0.25">
      <c r="A1103" s="511"/>
    </row>
    <row r="1104" spans="1:1" x14ac:dyDescent="0.25">
      <c r="A1104" s="511"/>
    </row>
    <row r="1105" spans="1:1" x14ac:dyDescent="0.25">
      <c r="A1105" s="511"/>
    </row>
    <row r="1106" spans="1:1" x14ac:dyDescent="0.25">
      <c r="A1106" s="511"/>
    </row>
    <row r="1107" spans="1:1" x14ac:dyDescent="0.25">
      <c r="A1107" s="511"/>
    </row>
    <row r="1108" spans="1:1" x14ac:dyDescent="0.25">
      <c r="A1108" s="511"/>
    </row>
    <row r="1109" spans="1:1" x14ac:dyDescent="0.25">
      <c r="A1109" s="511"/>
    </row>
    <row r="1110" spans="1:1" x14ac:dyDescent="0.25">
      <c r="A1110" s="511"/>
    </row>
    <row r="1111" spans="1:1" x14ac:dyDescent="0.25">
      <c r="A1111" s="511"/>
    </row>
    <row r="1112" spans="1:1" x14ac:dyDescent="0.25">
      <c r="A1112" s="511"/>
    </row>
    <row r="1113" spans="1:1" x14ac:dyDescent="0.25">
      <c r="A1113" s="511"/>
    </row>
    <row r="1114" spans="1:1" x14ac:dyDescent="0.25">
      <c r="A1114" s="511"/>
    </row>
    <row r="1115" spans="1:1" x14ac:dyDescent="0.25">
      <c r="A1115" s="511"/>
    </row>
    <row r="1116" spans="1:1" x14ac:dyDescent="0.25">
      <c r="A1116" s="511"/>
    </row>
    <row r="1117" spans="1:1" x14ac:dyDescent="0.25">
      <c r="A1117" s="511"/>
    </row>
    <row r="1118" spans="1:1" x14ac:dyDescent="0.25">
      <c r="A1118" s="511"/>
    </row>
    <row r="1119" spans="1:1" x14ac:dyDescent="0.25">
      <c r="A1119" s="511"/>
    </row>
    <row r="1120" spans="1:1" x14ac:dyDescent="0.25">
      <c r="A1120" s="511"/>
    </row>
    <row r="1121" spans="1:1" x14ac:dyDescent="0.25">
      <c r="A1121" s="511"/>
    </row>
    <row r="1122" spans="1:1" x14ac:dyDescent="0.25">
      <c r="A1122" s="511"/>
    </row>
    <row r="1123" spans="1:1" x14ac:dyDescent="0.25">
      <c r="A1123" s="511"/>
    </row>
    <row r="1124" spans="1:1" x14ac:dyDescent="0.25">
      <c r="A1124" s="511"/>
    </row>
    <row r="1125" spans="1:1" x14ac:dyDescent="0.25">
      <c r="A1125" s="511"/>
    </row>
    <row r="1126" spans="1:1" x14ac:dyDescent="0.25">
      <c r="A1126" s="511"/>
    </row>
    <row r="1127" spans="1:1" x14ac:dyDescent="0.25">
      <c r="A1127" s="511"/>
    </row>
    <row r="1128" spans="1:1" x14ac:dyDescent="0.25">
      <c r="A1128" s="511"/>
    </row>
    <row r="1129" spans="1:1" x14ac:dyDescent="0.25">
      <c r="A1129" s="511"/>
    </row>
    <row r="1130" spans="1:1" x14ac:dyDescent="0.25">
      <c r="A1130" s="511"/>
    </row>
    <row r="1131" spans="1:1" x14ac:dyDescent="0.25">
      <c r="A1131" s="511"/>
    </row>
    <row r="1132" spans="1:1" x14ac:dyDescent="0.25">
      <c r="A1132" s="511"/>
    </row>
    <row r="1133" spans="1:1" x14ac:dyDescent="0.25">
      <c r="A1133" s="511"/>
    </row>
    <row r="1134" spans="1:1" x14ac:dyDescent="0.25">
      <c r="A1134" s="511"/>
    </row>
    <row r="1135" spans="1:1" x14ac:dyDescent="0.25">
      <c r="A1135" s="511"/>
    </row>
    <row r="1136" spans="1:1" x14ac:dyDescent="0.25">
      <c r="A1136" s="511"/>
    </row>
    <row r="1137" spans="1:1" x14ac:dyDescent="0.25">
      <c r="A1137" s="511"/>
    </row>
    <row r="1138" spans="1:1" x14ac:dyDescent="0.25">
      <c r="A1138" s="511"/>
    </row>
    <row r="1139" spans="1:1" x14ac:dyDescent="0.25">
      <c r="A1139" s="511"/>
    </row>
    <row r="1140" spans="1:1" x14ac:dyDescent="0.25">
      <c r="A1140" s="511"/>
    </row>
    <row r="1141" spans="1:1" x14ac:dyDescent="0.25">
      <c r="A1141" s="511"/>
    </row>
    <row r="1142" spans="1:1" x14ac:dyDescent="0.25">
      <c r="A1142" s="511"/>
    </row>
    <row r="1143" spans="1:1" x14ac:dyDescent="0.25">
      <c r="A1143" s="511"/>
    </row>
    <row r="1144" spans="1:1" x14ac:dyDescent="0.25">
      <c r="A1144" s="511"/>
    </row>
    <row r="1145" spans="1:1" x14ac:dyDescent="0.25">
      <c r="A1145" s="511"/>
    </row>
    <row r="1146" spans="1:1" x14ac:dyDescent="0.25">
      <c r="A1146" s="511"/>
    </row>
    <row r="1147" spans="1:1" x14ac:dyDescent="0.25">
      <c r="A1147" s="511"/>
    </row>
    <row r="1148" spans="1:1" x14ac:dyDescent="0.25">
      <c r="A1148" s="511"/>
    </row>
    <row r="1149" spans="1:1" x14ac:dyDescent="0.25">
      <c r="A1149" s="511"/>
    </row>
    <row r="1150" spans="1:1" x14ac:dyDescent="0.25">
      <c r="A1150" s="511"/>
    </row>
    <row r="1151" spans="1:1" x14ac:dyDescent="0.25">
      <c r="A1151" s="511"/>
    </row>
    <row r="1152" spans="1:1" x14ac:dyDescent="0.25">
      <c r="A1152" s="511"/>
    </row>
    <row r="1153" spans="1:1" x14ac:dyDescent="0.25">
      <c r="A1153" s="511"/>
    </row>
    <row r="1154" spans="1:1" x14ac:dyDescent="0.25">
      <c r="A1154" s="511"/>
    </row>
    <row r="1155" spans="1:1" x14ac:dyDescent="0.25">
      <c r="A1155" s="511"/>
    </row>
    <row r="1156" spans="1:1" x14ac:dyDescent="0.25">
      <c r="A1156" s="511"/>
    </row>
    <row r="1157" spans="1:1" x14ac:dyDescent="0.25">
      <c r="A1157" s="511"/>
    </row>
    <row r="1158" spans="1:1" x14ac:dyDescent="0.25">
      <c r="A1158" s="511"/>
    </row>
    <row r="1159" spans="1:1" x14ac:dyDescent="0.25">
      <c r="A1159" s="511"/>
    </row>
    <row r="1160" spans="1:1" x14ac:dyDescent="0.25">
      <c r="A1160" s="511"/>
    </row>
    <row r="1161" spans="1:1" x14ac:dyDescent="0.25">
      <c r="A1161" s="511"/>
    </row>
    <row r="1162" spans="1:1" x14ac:dyDescent="0.25">
      <c r="A1162" s="511"/>
    </row>
    <row r="1163" spans="1:1" x14ac:dyDescent="0.25">
      <c r="A1163" s="511"/>
    </row>
    <row r="1164" spans="1:1" x14ac:dyDescent="0.25">
      <c r="A1164" s="511"/>
    </row>
    <row r="1165" spans="1:1" x14ac:dyDescent="0.25">
      <c r="A1165" s="511"/>
    </row>
    <row r="1166" spans="1:1" x14ac:dyDescent="0.25">
      <c r="A1166" s="511"/>
    </row>
    <row r="1167" spans="1:1" x14ac:dyDescent="0.25">
      <c r="A1167" s="511"/>
    </row>
    <row r="1168" spans="1:1" x14ac:dyDescent="0.25">
      <c r="A1168" s="511"/>
    </row>
    <row r="1169" spans="1:1" x14ac:dyDescent="0.25">
      <c r="A1169" s="511"/>
    </row>
    <row r="1170" spans="1:1" x14ac:dyDescent="0.25">
      <c r="A1170" s="511"/>
    </row>
    <row r="1171" spans="1:1" x14ac:dyDescent="0.25">
      <c r="A1171" s="511"/>
    </row>
    <row r="1172" spans="1:1" x14ac:dyDescent="0.25">
      <c r="A1172" s="511"/>
    </row>
    <row r="1173" spans="1:1" x14ac:dyDescent="0.25">
      <c r="A1173" s="511"/>
    </row>
    <row r="1174" spans="1:1" x14ac:dyDescent="0.25">
      <c r="A1174" s="511"/>
    </row>
    <row r="1175" spans="1:1" x14ac:dyDescent="0.25">
      <c r="A1175" s="511"/>
    </row>
    <row r="1176" spans="1:1" x14ac:dyDescent="0.25">
      <c r="A1176" s="511"/>
    </row>
    <row r="1177" spans="1:1" x14ac:dyDescent="0.25">
      <c r="A1177" s="511"/>
    </row>
    <row r="1178" spans="1:1" x14ac:dyDescent="0.25">
      <c r="A1178" s="511"/>
    </row>
    <row r="1179" spans="1:1" x14ac:dyDescent="0.25">
      <c r="A1179" s="511"/>
    </row>
    <row r="1180" spans="1:1" x14ac:dyDescent="0.25">
      <c r="A1180" s="511"/>
    </row>
    <row r="1181" spans="1:1" x14ac:dyDescent="0.25">
      <c r="A1181" s="511"/>
    </row>
    <row r="1182" spans="1:1" x14ac:dyDescent="0.25">
      <c r="A1182" s="511"/>
    </row>
    <row r="1183" spans="1:1" x14ac:dyDescent="0.25">
      <c r="A1183" s="511"/>
    </row>
    <row r="1184" spans="1:1" x14ac:dyDescent="0.25">
      <c r="A1184" s="511"/>
    </row>
    <row r="1185" spans="1:1" x14ac:dyDescent="0.25">
      <c r="A1185" s="511"/>
    </row>
    <row r="1186" spans="1:1" x14ac:dyDescent="0.25">
      <c r="A1186" s="511"/>
    </row>
    <row r="1187" spans="1:1" x14ac:dyDescent="0.25">
      <c r="A1187" s="511"/>
    </row>
    <row r="1188" spans="1:1" x14ac:dyDescent="0.25">
      <c r="A1188" s="511"/>
    </row>
    <row r="1189" spans="1:1" x14ac:dyDescent="0.25">
      <c r="A1189" s="511"/>
    </row>
    <row r="1190" spans="1:1" x14ac:dyDescent="0.25">
      <c r="A1190" s="511"/>
    </row>
    <row r="1191" spans="1:1" x14ac:dyDescent="0.25">
      <c r="A1191" s="511"/>
    </row>
    <row r="1192" spans="1:1" x14ac:dyDescent="0.25">
      <c r="A1192" s="511"/>
    </row>
    <row r="1193" spans="1:1" x14ac:dyDescent="0.25">
      <c r="A1193" s="511"/>
    </row>
    <row r="1194" spans="1:1" x14ac:dyDescent="0.25">
      <c r="A1194" s="511"/>
    </row>
    <row r="1195" spans="1:1" x14ac:dyDescent="0.25">
      <c r="A1195" s="511"/>
    </row>
    <row r="1196" spans="1:1" x14ac:dyDescent="0.25">
      <c r="A1196" s="511"/>
    </row>
    <row r="1197" spans="1:1" x14ac:dyDescent="0.25">
      <c r="A1197" s="511"/>
    </row>
    <row r="1198" spans="1:1" x14ac:dyDescent="0.25">
      <c r="A1198" s="511"/>
    </row>
    <row r="1199" spans="1:1" x14ac:dyDescent="0.25">
      <c r="A1199" s="511"/>
    </row>
    <row r="1200" spans="1:1" x14ac:dyDescent="0.25">
      <c r="A1200" s="511"/>
    </row>
    <row r="1201" spans="1:1" x14ac:dyDescent="0.25">
      <c r="A1201" s="511"/>
    </row>
    <row r="1202" spans="1:1" x14ac:dyDescent="0.25">
      <c r="A1202" s="511"/>
    </row>
    <row r="1203" spans="1:1" x14ac:dyDescent="0.25">
      <c r="A1203" s="511"/>
    </row>
    <row r="1204" spans="1:1" x14ac:dyDescent="0.25">
      <c r="A1204" s="511"/>
    </row>
    <row r="1205" spans="1:1" x14ac:dyDescent="0.25">
      <c r="A1205" s="511"/>
    </row>
    <row r="1206" spans="1:1" x14ac:dyDescent="0.25">
      <c r="A1206" s="511"/>
    </row>
    <row r="1207" spans="1:1" x14ac:dyDescent="0.25">
      <c r="A1207" s="511"/>
    </row>
    <row r="1208" spans="1:1" x14ac:dyDescent="0.25">
      <c r="A1208" s="511"/>
    </row>
    <row r="1209" spans="1:1" x14ac:dyDescent="0.25">
      <c r="A1209" s="511"/>
    </row>
    <row r="1210" spans="1:1" x14ac:dyDescent="0.25">
      <c r="A1210" s="511"/>
    </row>
    <row r="1211" spans="1:1" x14ac:dyDescent="0.25">
      <c r="A1211" s="511"/>
    </row>
    <row r="1212" spans="1:1" x14ac:dyDescent="0.25">
      <c r="A1212" s="511"/>
    </row>
    <row r="1213" spans="1:1" x14ac:dyDescent="0.25">
      <c r="A1213" s="511"/>
    </row>
    <row r="1214" spans="1:1" x14ac:dyDescent="0.25">
      <c r="A1214" s="511"/>
    </row>
    <row r="1215" spans="1:1" x14ac:dyDescent="0.25">
      <c r="A1215" s="511"/>
    </row>
    <row r="1216" spans="1:1" x14ac:dyDescent="0.25">
      <c r="A1216" s="511"/>
    </row>
    <row r="1217" spans="1:1" x14ac:dyDescent="0.25">
      <c r="A1217" s="511"/>
    </row>
    <row r="1218" spans="1:1" x14ac:dyDescent="0.25">
      <c r="A1218" s="511"/>
    </row>
    <row r="1219" spans="1:1" x14ac:dyDescent="0.25">
      <c r="A1219" s="511"/>
    </row>
    <row r="1220" spans="1:1" x14ac:dyDescent="0.25">
      <c r="A1220" s="511"/>
    </row>
    <row r="1221" spans="1:1" x14ac:dyDescent="0.25">
      <c r="A1221" s="511"/>
    </row>
    <row r="1222" spans="1:1" x14ac:dyDescent="0.25">
      <c r="A1222" s="511"/>
    </row>
    <row r="1223" spans="1:1" x14ac:dyDescent="0.25">
      <c r="A1223" s="511"/>
    </row>
    <row r="1224" spans="1:1" x14ac:dyDescent="0.25">
      <c r="A1224" s="511"/>
    </row>
    <row r="1225" spans="1:1" x14ac:dyDescent="0.25">
      <c r="A1225" s="511"/>
    </row>
    <row r="1226" spans="1:1" x14ac:dyDescent="0.25">
      <c r="A1226" s="511"/>
    </row>
    <row r="1227" spans="1:1" x14ac:dyDescent="0.25">
      <c r="A1227" s="511"/>
    </row>
    <row r="1228" spans="1:1" x14ac:dyDescent="0.25">
      <c r="A1228" s="511"/>
    </row>
    <row r="1229" spans="1:1" x14ac:dyDescent="0.25">
      <c r="A1229" s="511"/>
    </row>
    <row r="1230" spans="1:1" x14ac:dyDescent="0.25">
      <c r="A1230" s="511"/>
    </row>
    <row r="1231" spans="1:1" x14ac:dyDescent="0.25">
      <c r="A1231" s="511"/>
    </row>
    <row r="1232" spans="1:1" x14ac:dyDescent="0.25">
      <c r="A1232" s="511"/>
    </row>
    <row r="1233" spans="1:1" x14ac:dyDescent="0.25">
      <c r="A1233" s="511"/>
    </row>
    <row r="1234" spans="1:1" x14ac:dyDescent="0.25">
      <c r="A1234" s="511"/>
    </row>
    <row r="1235" spans="1:1" x14ac:dyDescent="0.25">
      <c r="A1235" s="511"/>
    </row>
    <row r="1236" spans="1:1" x14ac:dyDescent="0.25">
      <c r="A1236" s="511"/>
    </row>
    <row r="1237" spans="1:1" x14ac:dyDescent="0.25">
      <c r="A1237" s="511"/>
    </row>
    <row r="1238" spans="1:1" x14ac:dyDescent="0.25">
      <c r="A1238" s="511"/>
    </row>
    <row r="1239" spans="1:1" x14ac:dyDescent="0.25">
      <c r="A1239" s="511"/>
    </row>
    <row r="1240" spans="1:1" x14ac:dyDescent="0.25">
      <c r="A1240" s="511"/>
    </row>
    <row r="1241" spans="1:1" x14ac:dyDescent="0.25">
      <c r="A1241" s="511"/>
    </row>
    <row r="1242" spans="1:1" x14ac:dyDescent="0.25">
      <c r="A1242" s="511"/>
    </row>
    <row r="1243" spans="1:1" x14ac:dyDescent="0.25">
      <c r="A1243" s="511"/>
    </row>
    <row r="1244" spans="1:1" x14ac:dyDescent="0.25">
      <c r="A1244" s="511"/>
    </row>
    <row r="1245" spans="1:1" x14ac:dyDescent="0.25">
      <c r="A1245" s="511"/>
    </row>
    <row r="1246" spans="1:1" x14ac:dyDescent="0.25">
      <c r="A1246" s="511"/>
    </row>
    <row r="1247" spans="1:1" x14ac:dyDescent="0.25">
      <c r="A1247" s="511"/>
    </row>
    <row r="1248" spans="1:1" x14ac:dyDescent="0.25">
      <c r="A1248" s="511"/>
    </row>
    <row r="1249" spans="1:1" x14ac:dyDescent="0.25">
      <c r="A1249" s="511"/>
    </row>
    <row r="1250" spans="1:1" x14ac:dyDescent="0.25">
      <c r="A1250" s="511"/>
    </row>
    <row r="1251" spans="1:1" x14ac:dyDescent="0.25">
      <c r="A1251" s="511"/>
    </row>
    <row r="1252" spans="1:1" x14ac:dyDescent="0.25">
      <c r="A1252" s="511"/>
    </row>
    <row r="1253" spans="1:1" x14ac:dyDescent="0.25">
      <c r="A1253" s="511"/>
    </row>
    <row r="1254" spans="1:1" x14ac:dyDescent="0.25">
      <c r="A1254" s="511"/>
    </row>
    <row r="1255" spans="1:1" x14ac:dyDescent="0.25">
      <c r="A1255" s="511"/>
    </row>
    <row r="1256" spans="1:1" x14ac:dyDescent="0.25">
      <c r="A1256" s="511"/>
    </row>
    <row r="1257" spans="1:1" x14ac:dyDescent="0.25">
      <c r="A1257" s="511"/>
    </row>
    <row r="1258" spans="1:1" x14ac:dyDescent="0.25">
      <c r="A1258" s="511"/>
    </row>
    <row r="1259" spans="1:1" x14ac:dyDescent="0.25">
      <c r="A1259" s="511"/>
    </row>
    <row r="1260" spans="1:1" x14ac:dyDescent="0.25">
      <c r="A1260" s="511"/>
    </row>
    <row r="1261" spans="1:1" x14ac:dyDescent="0.25">
      <c r="A1261" s="511"/>
    </row>
    <row r="1262" spans="1:1" x14ac:dyDescent="0.25">
      <c r="A1262" s="511"/>
    </row>
    <row r="1263" spans="1:1" x14ac:dyDescent="0.25">
      <c r="A1263" s="511"/>
    </row>
    <row r="1264" spans="1:1" x14ac:dyDescent="0.25">
      <c r="A1264" s="511"/>
    </row>
    <row r="1265" spans="1:1" x14ac:dyDescent="0.25">
      <c r="A1265" s="511"/>
    </row>
    <row r="1266" spans="1:1" x14ac:dyDescent="0.25">
      <c r="A1266" s="511"/>
    </row>
    <row r="1267" spans="1:1" x14ac:dyDescent="0.25">
      <c r="A1267" s="511"/>
    </row>
    <row r="1268" spans="1:1" x14ac:dyDescent="0.25">
      <c r="A1268" s="511"/>
    </row>
    <row r="1269" spans="1:1" x14ac:dyDescent="0.25">
      <c r="A1269" s="511"/>
    </row>
    <row r="1270" spans="1:1" x14ac:dyDescent="0.25">
      <c r="A1270" s="511"/>
    </row>
    <row r="1271" spans="1:1" x14ac:dyDescent="0.25">
      <c r="A1271" s="511"/>
    </row>
    <row r="1272" spans="1:1" x14ac:dyDescent="0.25">
      <c r="A1272" s="511"/>
    </row>
    <row r="1273" spans="1:1" x14ac:dyDescent="0.25">
      <c r="A1273" s="511"/>
    </row>
    <row r="1274" spans="1:1" x14ac:dyDescent="0.25">
      <c r="A1274" s="511"/>
    </row>
    <row r="1275" spans="1:1" x14ac:dyDescent="0.25">
      <c r="A1275" s="511"/>
    </row>
    <row r="1276" spans="1:1" x14ac:dyDescent="0.25">
      <c r="A1276" s="511"/>
    </row>
    <row r="1277" spans="1:1" x14ac:dyDescent="0.25">
      <c r="A1277" s="511"/>
    </row>
    <row r="1278" spans="1:1" x14ac:dyDescent="0.25">
      <c r="A1278" s="511"/>
    </row>
    <row r="1279" spans="1:1" x14ac:dyDescent="0.25">
      <c r="A1279" s="511"/>
    </row>
    <row r="1280" spans="1:1" x14ac:dyDescent="0.25">
      <c r="A1280" s="511"/>
    </row>
    <row r="1281" spans="1:1" x14ac:dyDescent="0.25">
      <c r="A1281" s="511"/>
    </row>
    <row r="1282" spans="1:1" x14ac:dyDescent="0.25">
      <c r="A1282" s="511"/>
    </row>
    <row r="1283" spans="1:1" x14ac:dyDescent="0.25">
      <c r="A1283" s="511"/>
    </row>
    <row r="1284" spans="1:1" x14ac:dyDescent="0.25">
      <c r="A1284" s="511"/>
    </row>
    <row r="1285" spans="1:1" x14ac:dyDescent="0.25">
      <c r="A1285" s="511"/>
    </row>
    <row r="1286" spans="1:1" x14ac:dyDescent="0.25">
      <c r="A1286" s="511"/>
    </row>
    <row r="1287" spans="1:1" x14ac:dyDescent="0.25">
      <c r="A1287" s="511"/>
    </row>
    <row r="1288" spans="1:1" x14ac:dyDescent="0.25">
      <c r="A1288" s="511"/>
    </row>
    <row r="1289" spans="1:1" x14ac:dyDescent="0.25">
      <c r="A1289" s="511"/>
    </row>
    <row r="1290" spans="1:1" x14ac:dyDescent="0.25">
      <c r="A1290" s="511"/>
    </row>
    <row r="1291" spans="1:1" x14ac:dyDescent="0.25">
      <c r="A1291" s="511"/>
    </row>
    <row r="1292" spans="1:1" x14ac:dyDescent="0.25">
      <c r="A1292" s="511"/>
    </row>
    <row r="1293" spans="1:1" x14ac:dyDescent="0.25">
      <c r="A1293" s="511"/>
    </row>
    <row r="1294" spans="1:1" x14ac:dyDescent="0.25">
      <c r="A1294" s="511"/>
    </row>
    <row r="1295" spans="1:1" x14ac:dyDescent="0.25">
      <c r="A1295" s="511"/>
    </row>
    <row r="1296" spans="1:1" x14ac:dyDescent="0.25">
      <c r="A1296" s="511"/>
    </row>
    <row r="1297" spans="1:1" x14ac:dyDescent="0.25">
      <c r="A1297" s="511"/>
    </row>
    <row r="1298" spans="1:1" x14ac:dyDescent="0.25">
      <c r="A1298" s="511"/>
    </row>
    <row r="1299" spans="1:1" x14ac:dyDescent="0.25">
      <c r="A1299" s="511"/>
    </row>
    <row r="1300" spans="1:1" x14ac:dyDescent="0.25">
      <c r="A1300" s="511"/>
    </row>
    <row r="1301" spans="1:1" x14ac:dyDescent="0.25">
      <c r="A1301" s="511"/>
    </row>
    <row r="1302" spans="1:1" x14ac:dyDescent="0.25">
      <c r="A1302" s="511"/>
    </row>
    <row r="1303" spans="1:1" x14ac:dyDescent="0.25">
      <c r="A1303" s="511"/>
    </row>
    <row r="1304" spans="1:1" x14ac:dyDescent="0.25">
      <c r="A1304" s="511"/>
    </row>
    <row r="1305" spans="1:1" x14ac:dyDescent="0.25">
      <c r="A1305" s="511"/>
    </row>
    <row r="1306" spans="1:1" x14ac:dyDescent="0.25">
      <c r="A1306" s="511"/>
    </row>
    <row r="1307" spans="1:1" x14ac:dyDescent="0.25">
      <c r="A1307" s="511"/>
    </row>
    <row r="1308" spans="1:1" x14ac:dyDescent="0.25">
      <c r="A1308" s="511"/>
    </row>
    <row r="1309" spans="1:1" x14ac:dyDescent="0.25">
      <c r="A1309" s="511"/>
    </row>
    <row r="1310" spans="1:1" x14ac:dyDescent="0.25">
      <c r="A1310" s="511"/>
    </row>
    <row r="1311" spans="1:1" x14ac:dyDescent="0.25">
      <c r="A1311" s="511"/>
    </row>
    <row r="1312" spans="1:1" x14ac:dyDescent="0.25">
      <c r="A1312" s="511"/>
    </row>
    <row r="1313" spans="1:1" x14ac:dyDescent="0.25">
      <c r="A1313" s="511"/>
    </row>
    <row r="1314" spans="1:1" x14ac:dyDescent="0.25">
      <c r="A1314" s="511"/>
    </row>
    <row r="1315" spans="1:1" x14ac:dyDescent="0.25">
      <c r="A1315" s="511"/>
    </row>
    <row r="1316" spans="1:1" x14ac:dyDescent="0.25">
      <c r="A1316" s="511"/>
    </row>
    <row r="1317" spans="1:1" x14ac:dyDescent="0.25">
      <c r="A1317" s="511"/>
    </row>
    <row r="1318" spans="1:1" x14ac:dyDescent="0.25">
      <c r="A1318" s="511"/>
    </row>
    <row r="1319" spans="1:1" x14ac:dyDescent="0.25">
      <c r="A1319" s="511"/>
    </row>
    <row r="1320" spans="1:1" x14ac:dyDescent="0.25">
      <c r="A1320" s="511"/>
    </row>
    <row r="1321" spans="1:1" x14ac:dyDescent="0.25">
      <c r="A1321" s="511"/>
    </row>
    <row r="1322" spans="1:1" x14ac:dyDescent="0.25">
      <c r="A1322" s="511"/>
    </row>
    <row r="1323" spans="1:1" x14ac:dyDescent="0.25">
      <c r="A1323" s="511"/>
    </row>
    <row r="1324" spans="1:1" x14ac:dyDescent="0.25">
      <c r="A1324" s="511"/>
    </row>
    <row r="1325" spans="1:1" x14ac:dyDescent="0.25">
      <c r="A1325" s="511"/>
    </row>
    <row r="1326" spans="1:1" x14ac:dyDescent="0.25">
      <c r="A1326" s="511"/>
    </row>
    <row r="1327" spans="1:1" x14ac:dyDescent="0.25">
      <c r="A1327" s="511"/>
    </row>
    <row r="1328" spans="1:1" x14ac:dyDescent="0.25">
      <c r="A1328" s="511"/>
    </row>
    <row r="1329" spans="1:1" x14ac:dyDescent="0.25">
      <c r="A1329" s="511"/>
    </row>
    <row r="1330" spans="1:1" x14ac:dyDescent="0.25">
      <c r="A1330" s="511"/>
    </row>
    <row r="1331" spans="1:1" x14ac:dyDescent="0.25">
      <c r="A1331" s="511"/>
    </row>
    <row r="1332" spans="1:1" x14ac:dyDescent="0.25">
      <c r="A1332" s="511"/>
    </row>
    <row r="1333" spans="1:1" x14ac:dyDescent="0.25">
      <c r="A1333" s="511"/>
    </row>
    <row r="1334" spans="1:1" x14ac:dyDescent="0.25">
      <c r="A1334" s="511"/>
    </row>
    <row r="1335" spans="1:1" x14ac:dyDescent="0.25">
      <c r="A1335" s="511"/>
    </row>
    <row r="1336" spans="1:1" x14ac:dyDescent="0.25">
      <c r="A1336" s="511"/>
    </row>
    <row r="1337" spans="1:1" x14ac:dyDescent="0.25">
      <c r="A1337" s="511"/>
    </row>
    <row r="1338" spans="1:1" x14ac:dyDescent="0.25">
      <c r="A1338" s="511"/>
    </row>
    <row r="1339" spans="1:1" x14ac:dyDescent="0.25">
      <c r="A1339" s="511"/>
    </row>
    <row r="1340" spans="1:1" x14ac:dyDescent="0.25">
      <c r="A1340" s="511"/>
    </row>
    <row r="1341" spans="1:1" x14ac:dyDescent="0.25">
      <c r="A1341" s="511"/>
    </row>
    <row r="1342" spans="1:1" x14ac:dyDescent="0.25">
      <c r="A1342" s="511"/>
    </row>
    <row r="1343" spans="1:1" x14ac:dyDescent="0.25">
      <c r="A1343" s="511"/>
    </row>
    <row r="1344" spans="1:1" x14ac:dyDescent="0.25">
      <c r="A1344" s="511"/>
    </row>
    <row r="1345" spans="1:1" x14ac:dyDescent="0.25">
      <c r="A1345" s="511"/>
    </row>
    <row r="1346" spans="1:1" x14ac:dyDescent="0.25">
      <c r="A1346" s="511"/>
    </row>
    <row r="1347" spans="1:1" x14ac:dyDescent="0.25">
      <c r="A1347" s="511"/>
    </row>
    <row r="1348" spans="1:1" x14ac:dyDescent="0.25">
      <c r="A1348" s="511"/>
    </row>
    <row r="1349" spans="1:1" x14ac:dyDescent="0.25">
      <c r="A1349" s="511"/>
    </row>
    <row r="1350" spans="1:1" x14ac:dyDescent="0.25">
      <c r="A1350" s="511"/>
    </row>
    <row r="1351" spans="1:1" x14ac:dyDescent="0.25">
      <c r="A1351" s="511"/>
    </row>
    <row r="1352" spans="1:1" x14ac:dyDescent="0.25">
      <c r="A1352" s="511"/>
    </row>
    <row r="1353" spans="1:1" x14ac:dyDescent="0.25">
      <c r="A1353" s="511"/>
    </row>
    <row r="1354" spans="1:1" x14ac:dyDescent="0.25">
      <c r="A1354" s="511"/>
    </row>
    <row r="1355" spans="1:1" x14ac:dyDescent="0.25">
      <c r="A1355" s="511"/>
    </row>
    <row r="1356" spans="1:1" x14ac:dyDescent="0.25">
      <c r="A1356" s="511"/>
    </row>
    <row r="1357" spans="1:1" x14ac:dyDescent="0.25">
      <c r="A1357" s="511"/>
    </row>
    <row r="1358" spans="1:1" x14ac:dyDescent="0.25">
      <c r="A1358" s="511"/>
    </row>
    <row r="1359" spans="1:1" x14ac:dyDescent="0.25">
      <c r="A1359" s="511"/>
    </row>
    <row r="1360" spans="1:1" x14ac:dyDescent="0.25">
      <c r="A1360" s="511"/>
    </row>
    <row r="1361" spans="1:1" x14ac:dyDescent="0.25">
      <c r="A1361" s="511"/>
    </row>
    <row r="1362" spans="1:1" x14ac:dyDescent="0.25">
      <c r="A1362" s="511"/>
    </row>
    <row r="1363" spans="1:1" x14ac:dyDescent="0.25">
      <c r="A1363" s="511"/>
    </row>
    <row r="1364" spans="1:1" x14ac:dyDescent="0.25">
      <c r="A1364" s="511"/>
    </row>
    <row r="1365" spans="1:1" x14ac:dyDescent="0.25">
      <c r="A1365" s="511"/>
    </row>
    <row r="1366" spans="1:1" x14ac:dyDescent="0.25">
      <c r="A1366" s="511"/>
    </row>
    <row r="1367" spans="1:1" x14ac:dyDescent="0.25">
      <c r="A1367" s="511"/>
    </row>
    <row r="1368" spans="1:1" x14ac:dyDescent="0.25">
      <c r="A1368" s="511"/>
    </row>
    <row r="1369" spans="1:1" x14ac:dyDescent="0.25">
      <c r="A1369" s="511"/>
    </row>
    <row r="1370" spans="1:1" x14ac:dyDescent="0.25">
      <c r="A1370" s="511"/>
    </row>
    <row r="1371" spans="1:1" x14ac:dyDescent="0.25">
      <c r="A1371" s="511"/>
    </row>
    <row r="1372" spans="1:1" x14ac:dyDescent="0.25">
      <c r="A1372" s="511"/>
    </row>
    <row r="1373" spans="1:1" x14ac:dyDescent="0.25">
      <c r="A1373" s="511"/>
    </row>
    <row r="1374" spans="1:1" x14ac:dyDescent="0.25">
      <c r="A1374" s="511"/>
    </row>
    <row r="1375" spans="1:1" x14ac:dyDescent="0.25">
      <c r="A1375" s="511"/>
    </row>
    <row r="1376" spans="1:1" x14ac:dyDescent="0.25">
      <c r="A1376" s="511"/>
    </row>
    <row r="1377" spans="1:1" x14ac:dyDescent="0.25">
      <c r="A1377" s="511"/>
    </row>
    <row r="1378" spans="1:1" x14ac:dyDescent="0.25">
      <c r="A1378" s="511"/>
    </row>
    <row r="1379" spans="1:1" x14ac:dyDescent="0.25">
      <c r="A1379" s="511"/>
    </row>
    <row r="1380" spans="1:1" x14ac:dyDescent="0.25">
      <c r="A1380" s="511"/>
    </row>
    <row r="1381" spans="1:1" x14ac:dyDescent="0.25">
      <c r="A1381" s="511"/>
    </row>
    <row r="1382" spans="1:1" x14ac:dyDescent="0.25">
      <c r="A1382" s="511"/>
    </row>
    <row r="1383" spans="1:1" x14ac:dyDescent="0.25">
      <c r="A1383" s="511"/>
    </row>
    <row r="1384" spans="1:1" x14ac:dyDescent="0.25">
      <c r="A1384" s="511"/>
    </row>
    <row r="1385" spans="1:1" x14ac:dyDescent="0.25">
      <c r="A1385" s="511"/>
    </row>
    <row r="1386" spans="1:1" x14ac:dyDescent="0.25">
      <c r="A1386" s="511"/>
    </row>
    <row r="1387" spans="1:1" x14ac:dyDescent="0.25">
      <c r="A1387" s="511"/>
    </row>
    <row r="1388" spans="1:1" x14ac:dyDescent="0.25">
      <c r="A1388" s="511"/>
    </row>
    <row r="1389" spans="1:1" x14ac:dyDescent="0.25">
      <c r="A1389" s="511"/>
    </row>
    <row r="1390" spans="1:1" x14ac:dyDescent="0.25">
      <c r="A1390" s="511"/>
    </row>
    <row r="1391" spans="1:1" x14ac:dyDescent="0.25">
      <c r="A1391" s="511"/>
    </row>
    <row r="1392" spans="1:1" x14ac:dyDescent="0.25">
      <c r="A1392" s="511"/>
    </row>
    <row r="1393" spans="1:1" x14ac:dyDescent="0.25">
      <c r="A1393" s="511"/>
    </row>
    <row r="1394" spans="1:1" x14ac:dyDescent="0.25">
      <c r="A1394" s="511"/>
    </row>
    <row r="1395" spans="1:1" x14ac:dyDescent="0.25">
      <c r="A1395" s="511"/>
    </row>
    <row r="1396" spans="1:1" x14ac:dyDescent="0.25">
      <c r="A1396" s="511"/>
    </row>
    <row r="1397" spans="1:1" x14ac:dyDescent="0.25">
      <c r="A1397" s="511"/>
    </row>
    <row r="1398" spans="1:1" x14ac:dyDescent="0.25">
      <c r="A1398" s="511"/>
    </row>
    <row r="1399" spans="1:1" x14ac:dyDescent="0.25">
      <c r="A1399" s="511"/>
    </row>
    <row r="1400" spans="1:1" x14ac:dyDescent="0.25">
      <c r="A1400" s="511"/>
    </row>
    <row r="1401" spans="1:1" x14ac:dyDescent="0.25">
      <c r="A1401" s="511"/>
    </row>
    <row r="1402" spans="1:1" x14ac:dyDescent="0.25">
      <c r="A1402" s="511"/>
    </row>
    <row r="1403" spans="1:1" x14ac:dyDescent="0.25">
      <c r="A1403" s="511"/>
    </row>
    <row r="1404" spans="1:1" x14ac:dyDescent="0.25">
      <c r="A1404" s="511"/>
    </row>
    <row r="1405" spans="1:1" x14ac:dyDescent="0.25">
      <c r="A1405" s="511"/>
    </row>
    <row r="1406" spans="1:1" x14ac:dyDescent="0.25">
      <c r="A1406" s="511"/>
    </row>
    <row r="1407" spans="1:1" x14ac:dyDescent="0.25">
      <c r="A1407" s="511"/>
    </row>
    <row r="1408" spans="1:1" x14ac:dyDescent="0.25">
      <c r="A1408" s="511"/>
    </row>
    <row r="1409" spans="1:1" x14ac:dyDescent="0.25">
      <c r="A1409" s="511"/>
    </row>
    <row r="1410" spans="1:1" x14ac:dyDescent="0.25">
      <c r="A1410" s="511"/>
    </row>
    <row r="1411" spans="1:1" x14ac:dyDescent="0.25">
      <c r="A1411" s="511"/>
    </row>
    <row r="1412" spans="1:1" x14ac:dyDescent="0.25">
      <c r="A1412" s="511"/>
    </row>
    <row r="1413" spans="1:1" x14ac:dyDescent="0.25">
      <c r="A1413" s="511"/>
    </row>
    <row r="1414" spans="1:1" x14ac:dyDescent="0.25">
      <c r="A1414" s="511"/>
    </row>
    <row r="1415" spans="1:1" x14ac:dyDescent="0.25">
      <c r="A1415" s="511"/>
    </row>
    <row r="1416" spans="1:1" x14ac:dyDescent="0.25">
      <c r="A1416" s="511"/>
    </row>
    <row r="1417" spans="1:1" x14ac:dyDescent="0.25">
      <c r="A1417" s="511"/>
    </row>
    <row r="1418" spans="1:1" x14ac:dyDescent="0.25">
      <c r="A1418" s="511"/>
    </row>
    <row r="1419" spans="1:1" x14ac:dyDescent="0.25">
      <c r="A1419" s="511"/>
    </row>
    <row r="1420" spans="1:1" x14ac:dyDescent="0.25">
      <c r="A1420" s="511"/>
    </row>
    <row r="1421" spans="1:1" x14ac:dyDescent="0.25">
      <c r="A1421" s="511"/>
    </row>
    <row r="1422" spans="1:1" x14ac:dyDescent="0.25">
      <c r="A1422" s="511"/>
    </row>
    <row r="1423" spans="1:1" x14ac:dyDescent="0.25">
      <c r="A1423" s="511"/>
    </row>
    <row r="1424" spans="1:1" x14ac:dyDescent="0.25">
      <c r="A1424" s="511"/>
    </row>
    <row r="1425" spans="1:1" x14ac:dyDescent="0.25">
      <c r="A1425" s="511"/>
    </row>
    <row r="1426" spans="1:1" x14ac:dyDescent="0.25">
      <c r="A1426" s="511"/>
    </row>
    <row r="1427" spans="1:1" x14ac:dyDescent="0.25">
      <c r="A1427" s="511"/>
    </row>
    <row r="1428" spans="1:1" x14ac:dyDescent="0.25">
      <c r="A1428" s="511"/>
    </row>
    <row r="1429" spans="1:1" x14ac:dyDescent="0.25">
      <c r="A1429" s="511"/>
    </row>
    <row r="1430" spans="1:1" x14ac:dyDescent="0.25">
      <c r="A1430" s="511"/>
    </row>
    <row r="1431" spans="1:1" x14ac:dyDescent="0.25">
      <c r="A1431" s="511"/>
    </row>
    <row r="1432" spans="1:1" x14ac:dyDescent="0.25">
      <c r="A1432" s="511"/>
    </row>
    <row r="1433" spans="1:1" x14ac:dyDescent="0.25">
      <c r="A1433" s="511"/>
    </row>
    <row r="1434" spans="1:1" x14ac:dyDescent="0.25">
      <c r="A1434" s="511"/>
    </row>
    <row r="1435" spans="1:1" x14ac:dyDescent="0.25">
      <c r="A1435" s="511"/>
    </row>
    <row r="1436" spans="1:1" x14ac:dyDescent="0.25">
      <c r="A1436" s="511"/>
    </row>
    <row r="1437" spans="1:1" x14ac:dyDescent="0.25">
      <c r="A1437" s="511"/>
    </row>
    <row r="1438" spans="1:1" x14ac:dyDescent="0.25">
      <c r="A1438" s="511"/>
    </row>
    <row r="1439" spans="1:1" x14ac:dyDescent="0.25">
      <c r="A1439" s="511"/>
    </row>
    <row r="1440" spans="1:1" x14ac:dyDescent="0.25">
      <c r="A1440" s="511"/>
    </row>
    <row r="1441" spans="1:1" x14ac:dyDescent="0.25">
      <c r="A1441" s="511"/>
    </row>
    <row r="1442" spans="1:1" x14ac:dyDescent="0.25">
      <c r="A1442" s="511"/>
    </row>
    <row r="1443" spans="1:1" x14ac:dyDescent="0.25">
      <c r="A1443" s="511"/>
    </row>
    <row r="1444" spans="1:1" x14ac:dyDescent="0.25">
      <c r="A1444" s="511"/>
    </row>
    <row r="1445" spans="1:1" x14ac:dyDescent="0.25">
      <c r="A1445" s="511"/>
    </row>
    <row r="1446" spans="1:1" x14ac:dyDescent="0.25">
      <c r="A1446" s="511"/>
    </row>
    <row r="1447" spans="1:1" x14ac:dyDescent="0.25">
      <c r="A1447" s="511"/>
    </row>
    <row r="1448" spans="1:1" x14ac:dyDescent="0.25">
      <c r="A1448" s="511"/>
    </row>
    <row r="1449" spans="1:1" x14ac:dyDescent="0.25">
      <c r="A1449" s="511"/>
    </row>
    <row r="1450" spans="1:1" x14ac:dyDescent="0.25">
      <c r="A1450" s="511"/>
    </row>
    <row r="1451" spans="1:1" x14ac:dyDescent="0.25">
      <c r="A1451" s="511"/>
    </row>
    <row r="1452" spans="1:1" x14ac:dyDescent="0.25">
      <c r="A1452" s="511"/>
    </row>
    <row r="1453" spans="1:1" x14ac:dyDescent="0.25">
      <c r="A1453" s="511"/>
    </row>
    <row r="1454" spans="1:1" x14ac:dyDescent="0.25">
      <c r="A1454" s="511"/>
    </row>
    <row r="1455" spans="1:1" x14ac:dyDescent="0.25">
      <c r="A1455" s="511"/>
    </row>
    <row r="1456" spans="1:1" x14ac:dyDescent="0.25">
      <c r="A1456" s="511"/>
    </row>
    <row r="1457" spans="1:1" x14ac:dyDescent="0.25">
      <c r="A1457" s="511"/>
    </row>
    <row r="1458" spans="1:1" x14ac:dyDescent="0.25">
      <c r="A1458" s="511"/>
    </row>
    <row r="1459" spans="1:1" x14ac:dyDescent="0.25">
      <c r="A1459" s="511"/>
    </row>
    <row r="1460" spans="1:1" x14ac:dyDescent="0.25">
      <c r="A1460" s="511"/>
    </row>
    <row r="1461" spans="1:1" x14ac:dyDescent="0.25">
      <c r="A1461" s="511"/>
    </row>
    <row r="1462" spans="1:1" x14ac:dyDescent="0.25">
      <c r="A1462" s="511"/>
    </row>
    <row r="1463" spans="1:1" x14ac:dyDescent="0.25">
      <c r="A1463" s="511"/>
    </row>
    <row r="1464" spans="1:1" x14ac:dyDescent="0.25">
      <c r="A1464" s="511"/>
    </row>
    <row r="1465" spans="1:1" x14ac:dyDescent="0.25">
      <c r="A1465" s="511"/>
    </row>
    <row r="1466" spans="1:1" x14ac:dyDescent="0.25">
      <c r="A1466" s="511"/>
    </row>
    <row r="1467" spans="1:1" x14ac:dyDescent="0.25">
      <c r="A1467" s="511"/>
    </row>
    <row r="1468" spans="1:1" x14ac:dyDescent="0.25">
      <c r="A1468" s="511"/>
    </row>
    <row r="1469" spans="1:1" x14ac:dyDescent="0.25">
      <c r="A1469" s="511"/>
    </row>
    <row r="1470" spans="1:1" x14ac:dyDescent="0.25">
      <c r="A1470" s="511"/>
    </row>
    <row r="1471" spans="1:1" x14ac:dyDescent="0.25">
      <c r="A1471" s="511"/>
    </row>
    <row r="1472" spans="1:1" x14ac:dyDescent="0.25">
      <c r="A1472" s="511"/>
    </row>
    <row r="1473" spans="1:1" x14ac:dyDescent="0.25">
      <c r="A1473" s="511"/>
    </row>
    <row r="1474" spans="1:1" x14ac:dyDescent="0.25">
      <c r="A1474" s="511"/>
    </row>
    <row r="1475" spans="1:1" x14ac:dyDescent="0.25">
      <c r="A1475" s="511"/>
    </row>
    <row r="1476" spans="1:1" x14ac:dyDescent="0.25">
      <c r="A1476" s="511"/>
    </row>
    <row r="1477" spans="1:1" x14ac:dyDescent="0.25">
      <c r="A1477" s="511"/>
    </row>
    <row r="1478" spans="1:1" x14ac:dyDescent="0.25">
      <c r="A1478" s="511"/>
    </row>
    <row r="1479" spans="1:1" x14ac:dyDescent="0.25">
      <c r="A1479" s="511"/>
    </row>
    <row r="1480" spans="1:1" x14ac:dyDescent="0.25">
      <c r="A1480" s="511"/>
    </row>
    <row r="1481" spans="1:1" x14ac:dyDescent="0.25">
      <c r="A1481" s="511"/>
    </row>
    <row r="1482" spans="1:1" x14ac:dyDescent="0.25">
      <c r="A1482" s="511"/>
    </row>
    <row r="1483" spans="1:1" x14ac:dyDescent="0.25">
      <c r="A1483" s="511"/>
    </row>
    <row r="1484" spans="1:1" x14ac:dyDescent="0.25">
      <c r="A1484" s="511"/>
    </row>
    <row r="1485" spans="1:1" x14ac:dyDescent="0.25">
      <c r="A1485" s="511"/>
    </row>
    <row r="1486" spans="1:1" x14ac:dyDescent="0.25">
      <c r="A1486" s="511"/>
    </row>
    <row r="1487" spans="1:1" x14ac:dyDescent="0.25">
      <c r="A1487" s="511"/>
    </row>
    <row r="1488" spans="1:1" x14ac:dyDescent="0.25">
      <c r="A1488" s="511"/>
    </row>
    <row r="1489" spans="1:1" x14ac:dyDescent="0.25">
      <c r="A1489" s="511"/>
    </row>
    <row r="1490" spans="1:1" x14ac:dyDescent="0.25">
      <c r="A1490" s="511"/>
    </row>
    <row r="1491" spans="1:1" x14ac:dyDescent="0.25">
      <c r="A1491" s="511"/>
    </row>
    <row r="1492" spans="1:1" x14ac:dyDescent="0.25">
      <c r="A1492" s="511"/>
    </row>
    <row r="1493" spans="1:1" x14ac:dyDescent="0.25">
      <c r="A1493" s="511"/>
    </row>
    <row r="1494" spans="1:1" x14ac:dyDescent="0.25">
      <c r="A1494" s="511"/>
    </row>
    <row r="1495" spans="1:1" x14ac:dyDescent="0.25">
      <c r="A1495" s="511"/>
    </row>
    <row r="1496" spans="1:1" x14ac:dyDescent="0.25">
      <c r="A1496" s="511"/>
    </row>
    <row r="1497" spans="1:1" x14ac:dyDescent="0.25">
      <c r="A1497" s="511"/>
    </row>
    <row r="1498" spans="1:1" x14ac:dyDescent="0.25">
      <c r="A1498" s="511"/>
    </row>
    <row r="1499" spans="1:1" x14ac:dyDescent="0.25">
      <c r="A1499" s="511"/>
    </row>
    <row r="1500" spans="1:1" x14ac:dyDescent="0.25">
      <c r="A1500" s="511"/>
    </row>
    <row r="1501" spans="1:1" x14ac:dyDescent="0.25">
      <c r="A1501" s="511"/>
    </row>
    <row r="1502" spans="1:1" x14ac:dyDescent="0.25">
      <c r="A1502" s="511"/>
    </row>
    <row r="1503" spans="1:1" x14ac:dyDescent="0.25">
      <c r="A1503" s="511"/>
    </row>
    <row r="1504" spans="1:1" x14ac:dyDescent="0.25">
      <c r="A1504" s="511"/>
    </row>
    <row r="1505" spans="1:1" x14ac:dyDescent="0.25">
      <c r="A1505" s="511"/>
    </row>
    <row r="1506" spans="1:1" x14ac:dyDescent="0.25">
      <c r="A1506" s="511"/>
    </row>
    <row r="1507" spans="1:1" x14ac:dyDescent="0.25">
      <c r="A1507" s="511"/>
    </row>
    <row r="1508" spans="1:1" x14ac:dyDescent="0.25">
      <c r="A1508" s="511"/>
    </row>
    <row r="1509" spans="1:1" x14ac:dyDescent="0.25">
      <c r="A1509" s="511"/>
    </row>
    <row r="1510" spans="1:1" x14ac:dyDescent="0.25">
      <c r="A1510" s="511"/>
    </row>
    <row r="1511" spans="1:1" x14ac:dyDescent="0.25">
      <c r="A1511" s="511"/>
    </row>
    <row r="1512" spans="1:1" x14ac:dyDescent="0.25">
      <c r="A1512" s="511"/>
    </row>
    <row r="1513" spans="1:1" x14ac:dyDescent="0.25">
      <c r="A1513" s="511"/>
    </row>
    <row r="1514" spans="1:1" x14ac:dyDescent="0.25">
      <c r="A1514" s="511"/>
    </row>
    <row r="1515" spans="1:1" x14ac:dyDescent="0.25">
      <c r="A1515" s="511"/>
    </row>
    <row r="1516" spans="1:1" x14ac:dyDescent="0.25">
      <c r="A1516" s="511"/>
    </row>
    <row r="1517" spans="1:1" x14ac:dyDescent="0.25">
      <c r="A1517" s="511"/>
    </row>
    <row r="1518" spans="1:1" x14ac:dyDescent="0.25">
      <c r="A1518" s="511"/>
    </row>
    <row r="1519" spans="1:1" x14ac:dyDescent="0.25">
      <c r="A1519" s="511"/>
    </row>
    <row r="1520" spans="1:1" x14ac:dyDescent="0.25">
      <c r="A1520" s="511"/>
    </row>
    <row r="1521" spans="1:1" x14ac:dyDescent="0.25">
      <c r="A1521" s="511"/>
    </row>
    <row r="1522" spans="1:1" x14ac:dyDescent="0.25">
      <c r="A1522" s="511"/>
    </row>
    <row r="1523" spans="1:1" x14ac:dyDescent="0.25">
      <c r="A1523" s="511"/>
    </row>
    <row r="1524" spans="1:1" x14ac:dyDescent="0.25">
      <c r="A1524" s="511"/>
    </row>
    <row r="1525" spans="1:1" x14ac:dyDescent="0.25">
      <c r="A1525" s="511"/>
    </row>
    <row r="1526" spans="1:1" x14ac:dyDescent="0.25">
      <c r="A1526" s="511"/>
    </row>
    <row r="1527" spans="1:1" x14ac:dyDescent="0.25">
      <c r="A1527" s="511"/>
    </row>
    <row r="1528" spans="1:1" x14ac:dyDescent="0.25">
      <c r="A1528" s="511"/>
    </row>
    <row r="1529" spans="1:1" x14ac:dyDescent="0.25">
      <c r="A1529" s="511"/>
    </row>
    <row r="1530" spans="1:1" x14ac:dyDescent="0.25">
      <c r="A1530" s="511"/>
    </row>
    <row r="1531" spans="1:1" x14ac:dyDescent="0.25">
      <c r="A1531" s="511"/>
    </row>
    <row r="1532" spans="1:1" x14ac:dyDescent="0.25">
      <c r="A1532" s="511"/>
    </row>
    <row r="1533" spans="1:1" x14ac:dyDescent="0.25">
      <c r="A1533" s="511"/>
    </row>
    <row r="1534" spans="1:1" x14ac:dyDescent="0.25">
      <c r="A1534" s="511"/>
    </row>
    <row r="1535" spans="1:1" x14ac:dyDescent="0.25">
      <c r="A1535" s="511"/>
    </row>
    <row r="1536" spans="1:1" x14ac:dyDescent="0.25">
      <c r="A1536" s="511"/>
    </row>
    <row r="1537" spans="1:1" x14ac:dyDescent="0.25">
      <c r="A1537" s="511"/>
    </row>
    <row r="1538" spans="1:1" x14ac:dyDescent="0.25">
      <c r="A1538" s="511"/>
    </row>
    <row r="1539" spans="1:1" x14ac:dyDescent="0.25">
      <c r="A1539" s="511"/>
    </row>
    <row r="1540" spans="1:1" x14ac:dyDescent="0.25">
      <c r="A1540" s="511"/>
    </row>
    <row r="1541" spans="1:1" x14ac:dyDescent="0.25">
      <c r="A1541" s="511"/>
    </row>
    <row r="1542" spans="1:1" x14ac:dyDescent="0.25">
      <c r="A1542" s="511"/>
    </row>
    <row r="1543" spans="1:1" x14ac:dyDescent="0.25">
      <c r="A1543" s="511"/>
    </row>
    <row r="1544" spans="1:1" x14ac:dyDescent="0.25">
      <c r="A1544" s="511"/>
    </row>
    <row r="1545" spans="1:1" x14ac:dyDescent="0.25">
      <c r="A1545" s="511"/>
    </row>
    <row r="1546" spans="1:1" x14ac:dyDescent="0.25">
      <c r="A1546" s="511"/>
    </row>
    <row r="1547" spans="1:1" x14ac:dyDescent="0.25">
      <c r="A1547" s="511"/>
    </row>
    <row r="1548" spans="1:1" x14ac:dyDescent="0.25">
      <c r="A1548" s="511"/>
    </row>
    <row r="1549" spans="1:1" x14ac:dyDescent="0.25">
      <c r="A1549" s="511"/>
    </row>
    <row r="1550" spans="1:1" x14ac:dyDescent="0.25">
      <c r="A1550" s="511"/>
    </row>
    <row r="1551" spans="1:1" x14ac:dyDescent="0.25">
      <c r="A1551" s="511"/>
    </row>
    <row r="1552" spans="1:1" x14ac:dyDescent="0.25">
      <c r="A1552" s="511"/>
    </row>
    <row r="1553" spans="1:1" x14ac:dyDescent="0.25">
      <c r="A1553" s="511"/>
    </row>
    <row r="1554" spans="1:1" x14ac:dyDescent="0.25">
      <c r="A1554" s="511"/>
    </row>
    <row r="1555" spans="1:1" x14ac:dyDescent="0.25">
      <c r="A1555" s="511"/>
    </row>
    <row r="1556" spans="1:1" x14ac:dyDescent="0.25">
      <c r="A1556" s="511"/>
    </row>
    <row r="1557" spans="1:1" x14ac:dyDescent="0.25">
      <c r="A1557" s="511"/>
    </row>
    <row r="1558" spans="1:1" x14ac:dyDescent="0.25">
      <c r="A1558" s="511"/>
    </row>
    <row r="1559" spans="1:1" x14ac:dyDescent="0.25">
      <c r="A1559" s="511"/>
    </row>
    <row r="1560" spans="1:1" x14ac:dyDescent="0.25">
      <c r="A1560" s="511"/>
    </row>
    <row r="1561" spans="1:1" x14ac:dyDescent="0.25">
      <c r="A1561" s="511"/>
    </row>
    <row r="1562" spans="1:1" x14ac:dyDescent="0.25">
      <c r="A1562" s="511"/>
    </row>
    <row r="1563" spans="1:1" x14ac:dyDescent="0.25">
      <c r="A1563" s="511"/>
    </row>
    <row r="1564" spans="1:1" x14ac:dyDescent="0.25">
      <c r="A1564" s="511"/>
    </row>
    <row r="1565" spans="1:1" x14ac:dyDescent="0.25">
      <c r="A1565" s="511"/>
    </row>
    <row r="1566" spans="1:1" x14ac:dyDescent="0.25">
      <c r="A1566" s="511"/>
    </row>
    <row r="1567" spans="1:1" x14ac:dyDescent="0.25">
      <c r="A1567" s="511"/>
    </row>
    <row r="1568" spans="1:1" x14ac:dyDescent="0.25">
      <c r="A1568" s="511"/>
    </row>
    <row r="1569" spans="1:1" x14ac:dyDescent="0.25">
      <c r="A1569" s="511"/>
    </row>
    <row r="1570" spans="1:1" x14ac:dyDescent="0.25">
      <c r="A1570" s="511"/>
    </row>
    <row r="1571" spans="1:1" x14ac:dyDescent="0.25">
      <c r="A1571" s="511"/>
    </row>
    <row r="1572" spans="1:1" x14ac:dyDescent="0.25">
      <c r="A1572" s="511"/>
    </row>
    <row r="1573" spans="1:1" x14ac:dyDescent="0.25">
      <c r="A1573" s="511"/>
    </row>
    <row r="1574" spans="1:1" x14ac:dyDescent="0.25">
      <c r="A1574" s="511"/>
    </row>
    <row r="1575" spans="1:1" x14ac:dyDescent="0.25">
      <c r="A1575" s="511"/>
    </row>
    <row r="1576" spans="1:1" x14ac:dyDescent="0.25">
      <c r="A1576" s="511"/>
    </row>
    <row r="1577" spans="1:1" x14ac:dyDescent="0.25">
      <c r="A1577" s="511"/>
    </row>
    <row r="1578" spans="1:1" x14ac:dyDescent="0.25">
      <c r="A1578" s="511"/>
    </row>
    <row r="1579" spans="1:1" x14ac:dyDescent="0.25">
      <c r="A1579" s="511"/>
    </row>
    <row r="1580" spans="1:1" x14ac:dyDescent="0.25">
      <c r="A1580" s="511"/>
    </row>
    <row r="1581" spans="1:1" x14ac:dyDescent="0.25">
      <c r="A1581" s="511"/>
    </row>
    <row r="1582" spans="1:1" x14ac:dyDescent="0.25">
      <c r="A1582" s="511"/>
    </row>
    <row r="1583" spans="1:1" x14ac:dyDescent="0.25">
      <c r="A1583" s="511"/>
    </row>
    <row r="1584" spans="1:1" x14ac:dyDescent="0.25">
      <c r="A1584" s="511"/>
    </row>
    <row r="1585" spans="1:1" x14ac:dyDescent="0.25">
      <c r="A1585" s="511"/>
    </row>
    <row r="1586" spans="1:1" x14ac:dyDescent="0.25">
      <c r="A1586" s="511"/>
    </row>
    <row r="1587" spans="1:1" x14ac:dyDescent="0.25">
      <c r="A1587" s="511"/>
    </row>
    <row r="1588" spans="1:1" x14ac:dyDescent="0.25">
      <c r="A1588" s="511"/>
    </row>
    <row r="1589" spans="1:1" x14ac:dyDescent="0.25">
      <c r="A1589" s="511"/>
    </row>
    <row r="1590" spans="1:1" x14ac:dyDescent="0.25">
      <c r="A1590" s="511"/>
    </row>
    <row r="1591" spans="1:1" x14ac:dyDescent="0.25">
      <c r="A1591" s="511"/>
    </row>
    <row r="1592" spans="1:1" x14ac:dyDescent="0.25">
      <c r="A1592" s="511"/>
    </row>
    <row r="1593" spans="1:1" x14ac:dyDescent="0.25">
      <c r="A1593" s="511"/>
    </row>
    <row r="1594" spans="1:1" x14ac:dyDescent="0.25">
      <c r="A1594" s="511"/>
    </row>
    <row r="1595" spans="1:1" x14ac:dyDescent="0.25">
      <c r="A1595" s="511"/>
    </row>
    <row r="1596" spans="1:1" x14ac:dyDescent="0.25">
      <c r="A1596" s="511"/>
    </row>
    <row r="1597" spans="1:1" x14ac:dyDescent="0.25">
      <c r="A1597" s="511"/>
    </row>
    <row r="1598" spans="1:1" x14ac:dyDescent="0.25">
      <c r="A1598" s="511"/>
    </row>
    <row r="1599" spans="1:1" x14ac:dyDescent="0.25">
      <c r="A1599" s="511"/>
    </row>
    <row r="1600" spans="1:1" x14ac:dyDescent="0.25">
      <c r="A1600" s="511"/>
    </row>
    <row r="1601" spans="1:1" x14ac:dyDescent="0.25">
      <c r="A1601" s="511"/>
    </row>
    <row r="1602" spans="1:1" x14ac:dyDescent="0.25">
      <c r="A1602" s="511"/>
    </row>
    <row r="1603" spans="1:1" x14ac:dyDescent="0.25">
      <c r="A1603" s="511"/>
    </row>
    <row r="1604" spans="1:1" x14ac:dyDescent="0.25">
      <c r="A1604" s="511"/>
    </row>
    <row r="1605" spans="1:1" x14ac:dyDescent="0.25">
      <c r="A1605" s="511"/>
    </row>
    <row r="1606" spans="1:1" x14ac:dyDescent="0.25">
      <c r="A1606" s="511"/>
    </row>
    <row r="1607" spans="1:1" x14ac:dyDescent="0.25">
      <c r="A1607" s="511"/>
    </row>
    <row r="1608" spans="1:1" x14ac:dyDescent="0.25">
      <c r="A1608" s="511"/>
    </row>
    <row r="1609" spans="1:1" x14ac:dyDescent="0.25">
      <c r="A1609" s="511"/>
    </row>
    <row r="1610" spans="1:1" x14ac:dyDescent="0.25">
      <c r="A1610" s="511"/>
    </row>
    <row r="1611" spans="1:1" x14ac:dyDescent="0.25">
      <c r="A1611" s="511"/>
    </row>
    <row r="1612" spans="1:1" x14ac:dyDescent="0.25">
      <c r="A1612" s="511"/>
    </row>
    <row r="1613" spans="1:1" x14ac:dyDescent="0.25">
      <c r="A1613" s="511"/>
    </row>
    <row r="1614" spans="1:1" x14ac:dyDescent="0.25">
      <c r="A1614" s="511"/>
    </row>
    <row r="1615" spans="1:1" x14ac:dyDescent="0.25">
      <c r="A1615" s="511"/>
    </row>
    <row r="1616" spans="1:1" x14ac:dyDescent="0.25">
      <c r="A1616" s="511"/>
    </row>
    <row r="1617" spans="1:1" x14ac:dyDescent="0.25">
      <c r="A1617" s="511"/>
    </row>
    <row r="1618" spans="1:1" x14ac:dyDescent="0.25">
      <c r="A1618" s="511"/>
    </row>
    <row r="1619" spans="1:1" x14ac:dyDescent="0.25">
      <c r="A1619" s="511"/>
    </row>
    <row r="1620" spans="1:1" x14ac:dyDescent="0.25">
      <c r="A1620" s="511"/>
    </row>
    <row r="1621" spans="1:1" x14ac:dyDescent="0.25">
      <c r="A1621" s="511"/>
    </row>
    <row r="1622" spans="1:1" x14ac:dyDescent="0.25">
      <c r="A1622" s="511"/>
    </row>
    <row r="1623" spans="1:1" x14ac:dyDescent="0.25">
      <c r="A1623" s="511"/>
    </row>
    <row r="1624" spans="1:1" x14ac:dyDescent="0.25">
      <c r="A1624" s="511"/>
    </row>
    <row r="1625" spans="1:1" x14ac:dyDescent="0.25">
      <c r="A1625" s="511"/>
    </row>
    <row r="1626" spans="1:1" x14ac:dyDescent="0.25">
      <c r="A1626" s="511"/>
    </row>
    <row r="1627" spans="1:1" x14ac:dyDescent="0.25">
      <c r="A1627" s="511"/>
    </row>
    <row r="1628" spans="1:1" x14ac:dyDescent="0.25">
      <c r="A1628" s="511"/>
    </row>
    <row r="1629" spans="1:1" x14ac:dyDescent="0.25">
      <c r="A1629" s="511"/>
    </row>
    <row r="1630" spans="1:1" x14ac:dyDescent="0.25">
      <c r="A1630" s="511"/>
    </row>
    <row r="1631" spans="1:1" x14ac:dyDescent="0.25">
      <c r="A1631" s="511"/>
    </row>
    <row r="1632" spans="1:1" x14ac:dyDescent="0.25">
      <c r="A1632" s="511"/>
    </row>
    <row r="1633" spans="1:1" x14ac:dyDescent="0.25">
      <c r="A1633" s="511"/>
    </row>
    <row r="1634" spans="1:1" x14ac:dyDescent="0.25">
      <c r="A1634" s="511"/>
    </row>
    <row r="1635" spans="1:1" x14ac:dyDescent="0.25">
      <c r="A1635" s="511"/>
    </row>
    <row r="1636" spans="1:1" x14ac:dyDescent="0.25">
      <c r="A1636" s="511"/>
    </row>
    <row r="1637" spans="1:1" x14ac:dyDescent="0.25">
      <c r="A1637" s="511"/>
    </row>
    <row r="1638" spans="1:1" x14ac:dyDescent="0.25">
      <c r="A1638" s="511"/>
    </row>
    <row r="1639" spans="1:1" x14ac:dyDescent="0.25">
      <c r="A1639" s="511"/>
    </row>
    <row r="1640" spans="1:1" x14ac:dyDescent="0.25">
      <c r="A1640" s="511"/>
    </row>
    <row r="1641" spans="1:1" x14ac:dyDescent="0.25">
      <c r="A1641" s="511"/>
    </row>
    <row r="1642" spans="1:1" x14ac:dyDescent="0.25">
      <c r="A1642" s="511"/>
    </row>
    <row r="1643" spans="1:1" x14ac:dyDescent="0.25">
      <c r="A1643" s="511"/>
    </row>
    <row r="1644" spans="1:1" x14ac:dyDescent="0.25">
      <c r="A1644" s="511"/>
    </row>
    <row r="1645" spans="1:1" x14ac:dyDescent="0.25">
      <c r="A1645" s="511"/>
    </row>
    <row r="1646" spans="1:1" x14ac:dyDescent="0.25">
      <c r="A1646" s="511"/>
    </row>
    <row r="1647" spans="1:1" x14ac:dyDescent="0.25">
      <c r="A1647" s="511"/>
    </row>
    <row r="1648" spans="1:1" x14ac:dyDescent="0.25">
      <c r="A1648" s="511"/>
    </row>
    <row r="1649" spans="1:1" x14ac:dyDescent="0.25">
      <c r="A1649" s="511"/>
    </row>
    <row r="1650" spans="1:1" x14ac:dyDescent="0.25">
      <c r="A1650" s="511"/>
    </row>
    <row r="1651" spans="1:1" x14ac:dyDescent="0.25">
      <c r="A1651" s="511"/>
    </row>
    <row r="1652" spans="1:1" x14ac:dyDescent="0.25">
      <c r="A1652" s="511"/>
    </row>
    <row r="1653" spans="1:1" x14ac:dyDescent="0.25">
      <c r="A1653" s="511"/>
    </row>
    <row r="1654" spans="1:1" x14ac:dyDescent="0.25">
      <c r="A1654" s="511"/>
    </row>
    <row r="1655" spans="1:1" x14ac:dyDescent="0.25">
      <c r="A1655" s="511"/>
    </row>
    <row r="1656" spans="1:1" x14ac:dyDescent="0.25">
      <c r="A1656" s="511"/>
    </row>
    <row r="1657" spans="1:1" x14ac:dyDescent="0.25">
      <c r="A1657" s="511"/>
    </row>
    <row r="1658" spans="1:1" x14ac:dyDescent="0.25">
      <c r="A1658" s="511"/>
    </row>
    <row r="1659" spans="1:1" x14ac:dyDescent="0.25">
      <c r="A1659" s="511"/>
    </row>
    <row r="1660" spans="1:1" x14ac:dyDescent="0.25">
      <c r="A1660" s="511"/>
    </row>
    <row r="1661" spans="1:1" x14ac:dyDescent="0.25">
      <c r="A1661" s="511"/>
    </row>
    <row r="1662" spans="1:1" x14ac:dyDescent="0.25">
      <c r="A1662" s="511"/>
    </row>
    <row r="1663" spans="1:1" x14ac:dyDescent="0.25">
      <c r="A1663" s="511"/>
    </row>
    <row r="1664" spans="1:1" x14ac:dyDescent="0.25">
      <c r="A1664" s="511"/>
    </row>
    <row r="1665" spans="1:1" x14ac:dyDescent="0.25">
      <c r="A1665" s="511"/>
    </row>
    <row r="1666" spans="1:1" x14ac:dyDescent="0.25">
      <c r="A1666" s="511"/>
    </row>
    <row r="1667" spans="1:1" x14ac:dyDescent="0.25">
      <c r="A1667" s="511"/>
    </row>
    <row r="1668" spans="1:1" x14ac:dyDescent="0.25">
      <c r="A1668" s="511"/>
    </row>
    <row r="1669" spans="1:1" x14ac:dyDescent="0.25">
      <c r="A1669" s="511"/>
    </row>
    <row r="1670" spans="1:1" x14ac:dyDescent="0.25">
      <c r="A1670" s="511"/>
    </row>
    <row r="1671" spans="1:1" x14ac:dyDescent="0.25">
      <c r="A1671" s="511"/>
    </row>
    <row r="1672" spans="1:1" x14ac:dyDescent="0.25">
      <c r="A1672" s="511"/>
    </row>
    <row r="1673" spans="1:1" x14ac:dyDescent="0.25">
      <c r="A1673" s="511"/>
    </row>
    <row r="1674" spans="1:1" x14ac:dyDescent="0.25">
      <c r="A1674" s="511"/>
    </row>
    <row r="1675" spans="1:1" x14ac:dyDescent="0.25">
      <c r="A1675" s="511"/>
    </row>
    <row r="1676" spans="1:1" x14ac:dyDescent="0.25">
      <c r="A1676" s="511"/>
    </row>
    <row r="1677" spans="1:1" x14ac:dyDescent="0.25">
      <c r="A1677" s="511"/>
    </row>
    <row r="1678" spans="1:1" x14ac:dyDescent="0.25">
      <c r="A1678" s="511"/>
    </row>
    <row r="1679" spans="1:1" x14ac:dyDescent="0.25">
      <c r="A1679" s="511"/>
    </row>
    <row r="1680" spans="1:1" x14ac:dyDescent="0.25">
      <c r="A1680" s="511"/>
    </row>
    <row r="1681" spans="1:1" x14ac:dyDescent="0.25">
      <c r="A1681" s="511"/>
    </row>
    <row r="1682" spans="1:1" x14ac:dyDescent="0.25">
      <c r="A1682" s="511"/>
    </row>
    <row r="1683" spans="1:1" x14ac:dyDescent="0.25">
      <c r="A1683" s="511"/>
    </row>
    <row r="1684" spans="1:1" x14ac:dyDescent="0.25">
      <c r="A1684" s="511"/>
    </row>
    <row r="1685" spans="1:1" x14ac:dyDescent="0.25">
      <c r="A1685" s="511"/>
    </row>
    <row r="1686" spans="1:1" x14ac:dyDescent="0.25">
      <c r="A1686" s="511"/>
    </row>
    <row r="1687" spans="1:1" x14ac:dyDescent="0.25">
      <c r="A1687" s="511"/>
    </row>
    <row r="1688" spans="1:1" x14ac:dyDescent="0.25">
      <c r="A1688" s="511"/>
    </row>
    <row r="1689" spans="1:1" x14ac:dyDescent="0.25">
      <c r="A1689" s="511"/>
    </row>
    <row r="1690" spans="1:1" x14ac:dyDescent="0.25">
      <c r="A1690" s="511"/>
    </row>
    <row r="1691" spans="1:1" x14ac:dyDescent="0.25">
      <c r="A1691" s="511"/>
    </row>
    <row r="1692" spans="1:1" x14ac:dyDescent="0.25">
      <c r="A1692" s="511"/>
    </row>
    <row r="1693" spans="1:1" x14ac:dyDescent="0.25">
      <c r="A1693" s="511"/>
    </row>
    <row r="1694" spans="1:1" x14ac:dyDescent="0.25">
      <c r="A1694" s="511"/>
    </row>
    <row r="1695" spans="1:1" x14ac:dyDescent="0.25">
      <c r="A1695" s="511"/>
    </row>
    <row r="1696" spans="1:1" x14ac:dyDescent="0.25">
      <c r="A1696" s="511"/>
    </row>
    <row r="1697" spans="1:1" x14ac:dyDescent="0.25">
      <c r="A1697" s="511"/>
    </row>
    <row r="1698" spans="1:1" x14ac:dyDescent="0.25">
      <c r="A1698" s="511"/>
    </row>
    <row r="1699" spans="1:1" x14ac:dyDescent="0.25">
      <c r="A1699" s="511"/>
    </row>
    <row r="1700" spans="1:1" x14ac:dyDescent="0.25">
      <c r="A1700" s="511"/>
    </row>
    <row r="1701" spans="1:1" x14ac:dyDescent="0.25">
      <c r="A1701" s="511"/>
    </row>
    <row r="1702" spans="1:1" x14ac:dyDescent="0.25">
      <c r="A1702" s="511"/>
    </row>
    <row r="1703" spans="1:1" x14ac:dyDescent="0.25">
      <c r="A1703" s="511"/>
    </row>
    <row r="1704" spans="1:1" x14ac:dyDescent="0.25">
      <c r="A1704" s="511"/>
    </row>
    <row r="1705" spans="1:1" x14ac:dyDescent="0.25">
      <c r="A1705" s="511"/>
    </row>
    <row r="1706" spans="1:1" x14ac:dyDescent="0.25">
      <c r="A1706" s="511"/>
    </row>
    <row r="1707" spans="1:1" x14ac:dyDescent="0.25">
      <c r="A1707" s="511"/>
    </row>
    <row r="1708" spans="1:1" x14ac:dyDescent="0.25">
      <c r="A1708" s="511"/>
    </row>
    <row r="1709" spans="1:1" x14ac:dyDescent="0.25">
      <c r="A1709" s="511"/>
    </row>
    <row r="1710" spans="1:1" x14ac:dyDescent="0.25">
      <c r="A1710" s="511"/>
    </row>
    <row r="1711" spans="1:1" x14ac:dyDescent="0.25">
      <c r="A1711" s="511"/>
    </row>
    <row r="1712" spans="1:1" x14ac:dyDescent="0.25">
      <c r="A1712" s="511"/>
    </row>
    <row r="1713" spans="1:1" x14ac:dyDescent="0.25">
      <c r="A1713" s="511"/>
    </row>
    <row r="1714" spans="1:1" x14ac:dyDescent="0.25">
      <c r="A1714" s="511"/>
    </row>
    <row r="1715" spans="1:1" x14ac:dyDescent="0.25">
      <c r="A1715" s="511"/>
    </row>
    <row r="1716" spans="1:1" x14ac:dyDescent="0.25">
      <c r="A1716" s="511"/>
    </row>
    <row r="1717" spans="1:1" x14ac:dyDescent="0.25">
      <c r="A1717" s="511"/>
    </row>
    <row r="1718" spans="1:1" x14ac:dyDescent="0.25">
      <c r="A1718" s="511"/>
    </row>
    <row r="1719" spans="1:1" x14ac:dyDescent="0.25">
      <c r="A1719" s="511"/>
    </row>
    <row r="1720" spans="1:1" x14ac:dyDescent="0.25">
      <c r="A1720" s="511"/>
    </row>
    <row r="1721" spans="1:1" x14ac:dyDescent="0.25">
      <c r="A1721" s="511"/>
    </row>
    <row r="1722" spans="1:1" x14ac:dyDescent="0.25">
      <c r="A1722" s="511"/>
    </row>
    <row r="1723" spans="1:1" x14ac:dyDescent="0.25">
      <c r="A1723" s="511"/>
    </row>
    <row r="1724" spans="1:1" x14ac:dyDescent="0.25">
      <c r="A1724" s="511"/>
    </row>
    <row r="1725" spans="1:1" x14ac:dyDescent="0.25">
      <c r="A1725" s="511"/>
    </row>
    <row r="1726" spans="1:1" x14ac:dyDescent="0.25">
      <c r="A1726" s="511"/>
    </row>
    <row r="1727" spans="1:1" x14ac:dyDescent="0.25">
      <c r="A1727" s="511"/>
    </row>
    <row r="1728" spans="1:1" x14ac:dyDescent="0.25">
      <c r="A1728" s="511"/>
    </row>
    <row r="1729" spans="1:1" x14ac:dyDescent="0.25">
      <c r="A1729" s="511"/>
    </row>
    <row r="1730" spans="1:1" x14ac:dyDescent="0.25">
      <c r="A1730" s="511"/>
    </row>
    <row r="1731" spans="1:1" x14ac:dyDescent="0.25">
      <c r="A1731" s="511"/>
    </row>
    <row r="1732" spans="1:1" x14ac:dyDescent="0.25">
      <c r="A1732" s="511"/>
    </row>
    <row r="1733" spans="1:1" x14ac:dyDescent="0.25">
      <c r="A1733" s="511"/>
    </row>
    <row r="1734" spans="1:1" x14ac:dyDescent="0.25">
      <c r="A1734" s="511"/>
    </row>
    <row r="1735" spans="1:1" x14ac:dyDescent="0.25">
      <c r="A1735" s="511"/>
    </row>
    <row r="1736" spans="1:1" x14ac:dyDescent="0.25">
      <c r="A1736" s="511"/>
    </row>
    <row r="1737" spans="1:1" x14ac:dyDescent="0.25">
      <c r="A1737" s="511"/>
    </row>
    <row r="1738" spans="1:1" x14ac:dyDescent="0.25">
      <c r="A1738" s="511"/>
    </row>
    <row r="1739" spans="1:1" x14ac:dyDescent="0.25">
      <c r="A1739" s="511"/>
    </row>
    <row r="1740" spans="1:1" x14ac:dyDescent="0.25">
      <c r="A1740" s="511"/>
    </row>
    <row r="1741" spans="1:1" x14ac:dyDescent="0.25">
      <c r="A1741" s="511"/>
    </row>
    <row r="1742" spans="1:1" x14ac:dyDescent="0.25">
      <c r="A1742" s="511"/>
    </row>
    <row r="1743" spans="1:1" x14ac:dyDescent="0.25">
      <c r="A1743" s="511"/>
    </row>
    <row r="1744" spans="1:1" x14ac:dyDescent="0.25">
      <c r="A1744" s="511"/>
    </row>
    <row r="1745" spans="1:1" x14ac:dyDescent="0.25">
      <c r="A1745" s="511"/>
    </row>
    <row r="1746" spans="1:1" x14ac:dyDescent="0.25">
      <c r="A1746" s="511"/>
    </row>
    <row r="1747" spans="1:1" x14ac:dyDescent="0.25">
      <c r="A1747" s="511"/>
    </row>
    <row r="1748" spans="1:1" x14ac:dyDescent="0.25">
      <c r="A1748" s="511"/>
    </row>
    <row r="1749" spans="1:1" x14ac:dyDescent="0.25">
      <c r="A1749" s="511"/>
    </row>
    <row r="1750" spans="1:1" x14ac:dyDescent="0.25">
      <c r="A1750" s="511"/>
    </row>
    <row r="1751" spans="1:1" x14ac:dyDescent="0.25">
      <c r="A1751" s="511"/>
    </row>
    <row r="1752" spans="1:1" x14ac:dyDescent="0.25">
      <c r="A1752" s="511"/>
    </row>
    <row r="1753" spans="1:1" x14ac:dyDescent="0.25">
      <c r="A1753" s="511"/>
    </row>
    <row r="1754" spans="1:1" x14ac:dyDescent="0.25">
      <c r="A1754" s="511"/>
    </row>
    <row r="1755" spans="1:1" x14ac:dyDescent="0.25">
      <c r="A1755" s="511"/>
    </row>
    <row r="1756" spans="1:1" x14ac:dyDescent="0.25">
      <c r="A1756" s="511"/>
    </row>
    <row r="1757" spans="1:1" x14ac:dyDescent="0.25">
      <c r="A1757" s="511"/>
    </row>
    <row r="1758" spans="1:1" x14ac:dyDescent="0.25">
      <c r="A1758" s="511"/>
    </row>
    <row r="1759" spans="1:1" x14ac:dyDescent="0.25">
      <c r="A1759" s="511"/>
    </row>
    <row r="1760" spans="1:1" x14ac:dyDescent="0.25">
      <c r="A1760" s="511"/>
    </row>
    <row r="1761" spans="1:1" x14ac:dyDescent="0.25">
      <c r="A1761" s="511"/>
    </row>
    <row r="1762" spans="1:1" x14ac:dyDescent="0.25">
      <c r="A1762" s="511"/>
    </row>
    <row r="1763" spans="1:1" x14ac:dyDescent="0.25">
      <c r="A1763" s="511"/>
    </row>
    <row r="1764" spans="1:1" x14ac:dyDescent="0.25">
      <c r="A1764" s="511"/>
    </row>
    <row r="1765" spans="1:1" x14ac:dyDescent="0.25">
      <c r="A1765" s="511"/>
    </row>
    <row r="1766" spans="1:1" x14ac:dyDescent="0.25">
      <c r="A1766" s="511"/>
    </row>
    <row r="1767" spans="1:1" x14ac:dyDescent="0.25">
      <c r="A1767" s="511"/>
    </row>
    <row r="1768" spans="1:1" x14ac:dyDescent="0.25">
      <c r="A1768" s="511"/>
    </row>
    <row r="1769" spans="1:1" x14ac:dyDescent="0.25">
      <c r="A1769" s="511"/>
    </row>
    <row r="1770" spans="1:1" x14ac:dyDescent="0.25">
      <c r="A1770" s="511"/>
    </row>
    <row r="1771" spans="1:1" x14ac:dyDescent="0.25">
      <c r="A1771" s="511"/>
    </row>
    <row r="1772" spans="1:1" x14ac:dyDescent="0.25">
      <c r="A1772" s="511"/>
    </row>
    <row r="1773" spans="1:1" x14ac:dyDescent="0.25">
      <c r="A1773" s="511"/>
    </row>
    <row r="1774" spans="1:1" x14ac:dyDescent="0.25">
      <c r="A1774" s="511"/>
    </row>
    <row r="1775" spans="1:1" x14ac:dyDescent="0.25">
      <c r="A1775" s="511"/>
    </row>
    <row r="1776" spans="1:1" x14ac:dyDescent="0.25">
      <c r="A1776" s="511"/>
    </row>
    <row r="1777" spans="1:1" x14ac:dyDescent="0.25">
      <c r="A1777" s="511"/>
    </row>
    <row r="1778" spans="1:1" x14ac:dyDescent="0.25">
      <c r="A1778" s="511"/>
    </row>
    <row r="1779" spans="1:1" x14ac:dyDescent="0.25">
      <c r="A1779" s="511"/>
    </row>
    <row r="1780" spans="1:1" x14ac:dyDescent="0.25">
      <c r="A1780" s="511"/>
    </row>
    <row r="1781" spans="1:1" x14ac:dyDescent="0.25">
      <c r="A1781" s="511"/>
    </row>
    <row r="1782" spans="1:1" x14ac:dyDescent="0.25">
      <c r="A1782" s="511"/>
    </row>
    <row r="1783" spans="1:1" x14ac:dyDescent="0.25">
      <c r="A1783" s="511"/>
    </row>
    <row r="1784" spans="1:1" x14ac:dyDescent="0.25">
      <c r="A1784" s="511"/>
    </row>
    <row r="1785" spans="1:1" x14ac:dyDescent="0.25">
      <c r="A1785" s="511"/>
    </row>
    <row r="1786" spans="1:1" x14ac:dyDescent="0.25">
      <c r="A1786" s="511"/>
    </row>
    <row r="1787" spans="1:1" x14ac:dyDescent="0.25">
      <c r="A1787" s="511"/>
    </row>
    <row r="1788" spans="1:1" x14ac:dyDescent="0.25">
      <c r="A1788" s="511"/>
    </row>
    <row r="1789" spans="1:1" x14ac:dyDescent="0.25">
      <c r="A1789" s="511"/>
    </row>
    <row r="1790" spans="1:1" x14ac:dyDescent="0.25">
      <c r="A1790" s="511"/>
    </row>
    <row r="1791" spans="1:1" x14ac:dyDescent="0.25">
      <c r="A1791" s="511"/>
    </row>
    <row r="1792" spans="1:1" x14ac:dyDescent="0.25">
      <c r="A1792" s="511"/>
    </row>
    <row r="1793" spans="1:1" x14ac:dyDescent="0.25">
      <c r="A1793" s="511"/>
    </row>
    <row r="1794" spans="1:1" x14ac:dyDescent="0.25">
      <c r="A1794" s="511"/>
    </row>
    <row r="1795" spans="1:1" x14ac:dyDescent="0.25">
      <c r="A1795" s="511"/>
    </row>
    <row r="1796" spans="1:1" x14ac:dyDescent="0.25">
      <c r="A1796" s="511"/>
    </row>
    <row r="1797" spans="1:1" x14ac:dyDescent="0.25">
      <c r="A1797" s="511"/>
    </row>
    <row r="1798" spans="1:1" x14ac:dyDescent="0.25">
      <c r="A1798" s="511"/>
    </row>
    <row r="1799" spans="1:1" x14ac:dyDescent="0.25">
      <c r="A1799" s="511"/>
    </row>
    <row r="1800" spans="1:1" x14ac:dyDescent="0.25">
      <c r="A1800" s="511"/>
    </row>
    <row r="1801" spans="1:1" x14ac:dyDescent="0.25">
      <c r="A1801" s="511"/>
    </row>
    <row r="1802" spans="1:1" x14ac:dyDescent="0.25">
      <c r="A1802" s="511"/>
    </row>
    <row r="1803" spans="1:1" x14ac:dyDescent="0.25">
      <c r="A1803" s="511"/>
    </row>
    <row r="1804" spans="1:1" x14ac:dyDescent="0.25">
      <c r="A1804" s="511"/>
    </row>
    <row r="1805" spans="1:1" x14ac:dyDescent="0.25">
      <c r="A1805" s="511"/>
    </row>
    <row r="1806" spans="1:1" x14ac:dyDescent="0.25">
      <c r="A1806" s="511"/>
    </row>
    <row r="1807" spans="1:1" x14ac:dyDescent="0.25">
      <c r="A1807" s="511"/>
    </row>
    <row r="1808" spans="1:1" x14ac:dyDescent="0.25">
      <c r="A1808" s="511"/>
    </row>
    <row r="1809" spans="1:1" x14ac:dyDescent="0.25">
      <c r="A1809" s="511"/>
    </row>
    <row r="1810" spans="1:1" x14ac:dyDescent="0.25">
      <c r="A1810" s="511"/>
    </row>
    <row r="1811" spans="1:1" x14ac:dyDescent="0.25">
      <c r="A1811" s="511"/>
    </row>
    <row r="1812" spans="1:1" x14ac:dyDescent="0.25">
      <c r="A1812" s="511"/>
    </row>
    <row r="1813" spans="1:1" x14ac:dyDescent="0.25">
      <c r="A1813" s="511"/>
    </row>
    <row r="1814" spans="1:1" x14ac:dyDescent="0.25">
      <c r="A1814" s="511"/>
    </row>
    <row r="1815" spans="1:1" x14ac:dyDescent="0.25">
      <c r="A1815" s="511"/>
    </row>
    <row r="1816" spans="1:1" x14ac:dyDescent="0.25">
      <c r="A1816" s="511"/>
    </row>
    <row r="1817" spans="1:1" x14ac:dyDescent="0.25">
      <c r="A1817" s="511"/>
    </row>
    <row r="1818" spans="1:1" x14ac:dyDescent="0.25">
      <c r="A1818" s="511"/>
    </row>
    <row r="1819" spans="1:1" x14ac:dyDescent="0.25">
      <c r="A1819" s="511"/>
    </row>
    <row r="1820" spans="1:1" x14ac:dyDescent="0.25">
      <c r="A1820" s="511"/>
    </row>
    <row r="1821" spans="1:1" x14ac:dyDescent="0.25">
      <c r="A1821" s="511"/>
    </row>
    <row r="1822" spans="1:1" x14ac:dyDescent="0.25">
      <c r="A1822" s="511"/>
    </row>
    <row r="1823" spans="1:1" x14ac:dyDescent="0.25">
      <c r="A1823" s="511"/>
    </row>
    <row r="1824" spans="1:1" x14ac:dyDescent="0.25">
      <c r="A1824" s="511"/>
    </row>
    <row r="1825" spans="1:1" x14ac:dyDescent="0.25">
      <c r="A1825" s="511"/>
    </row>
    <row r="1826" spans="1:1" x14ac:dyDescent="0.25">
      <c r="A1826" s="511"/>
    </row>
    <row r="1827" spans="1:1" x14ac:dyDescent="0.25">
      <c r="A1827" s="511"/>
    </row>
    <row r="1828" spans="1:1" x14ac:dyDescent="0.25">
      <c r="A1828" s="511"/>
    </row>
    <row r="1829" spans="1:1" x14ac:dyDescent="0.25">
      <c r="A1829" s="511"/>
    </row>
    <row r="1830" spans="1:1" x14ac:dyDescent="0.25">
      <c r="A1830" s="511"/>
    </row>
    <row r="1831" spans="1:1" x14ac:dyDescent="0.25">
      <c r="A1831" s="511"/>
    </row>
    <row r="1832" spans="1:1" x14ac:dyDescent="0.25">
      <c r="A1832" s="511"/>
    </row>
    <row r="1833" spans="1:1" x14ac:dyDescent="0.25">
      <c r="A1833" s="511"/>
    </row>
    <row r="1834" spans="1:1" x14ac:dyDescent="0.25">
      <c r="A1834" s="511"/>
    </row>
    <row r="1835" spans="1:1" x14ac:dyDescent="0.25">
      <c r="A1835" s="511"/>
    </row>
    <row r="1836" spans="1:1" x14ac:dyDescent="0.25">
      <c r="A1836" s="511"/>
    </row>
    <row r="1837" spans="1:1" x14ac:dyDescent="0.25">
      <c r="A1837" s="511"/>
    </row>
    <row r="1838" spans="1:1" x14ac:dyDescent="0.25">
      <c r="A1838" s="511"/>
    </row>
    <row r="1839" spans="1:1" x14ac:dyDescent="0.25">
      <c r="A1839" s="511"/>
    </row>
    <row r="1840" spans="1:1" x14ac:dyDescent="0.25">
      <c r="A1840" s="511"/>
    </row>
    <row r="1841" spans="1:1" x14ac:dyDescent="0.25">
      <c r="A1841" s="511"/>
    </row>
    <row r="1842" spans="1:1" x14ac:dyDescent="0.25">
      <c r="A1842" s="511"/>
    </row>
    <row r="1843" spans="1:1" x14ac:dyDescent="0.25">
      <c r="A1843" s="511"/>
    </row>
    <row r="1844" spans="1:1" x14ac:dyDescent="0.25">
      <c r="A1844" s="511"/>
    </row>
    <row r="1845" spans="1:1" x14ac:dyDescent="0.25">
      <c r="A1845" s="511"/>
    </row>
    <row r="1846" spans="1:1" x14ac:dyDescent="0.25">
      <c r="A1846" s="511"/>
    </row>
    <row r="1847" spans="1:1" x14ac:dyDescent="0.25">
      <c r="A1847" s="511"/>
    </row>
    <row r="1848" spans="1:1" x14ac:dyDescent="0.25">
      <c r="A1848" s="511"/>
    </row>
    <row r="1849" spans="1:1" x14ac:dyDescent="0.25">
      <c r="A1849" s="511"/>
    </row>
    <row r="1850" spans="1:1" x14ac:dyDescent="0.25">
      <c r="A1850" s="511"/>
    </row>
    <row r="1851" spans="1:1" x14ac:dyDescent="0.25">
      <c r="A1851" s="511"/>
    </row>
    <row r="1852" spans="1:1" x14ac:dyDescent="0.25">
      <c r="A1852" s="511"/>
    </row>
    <row r="1853" spans="1:1" x14ac:dyDescent="0.25">
      <c r="A1853" s="511"/>
    </row>
    <row r="1854" spans="1:1" x14ac:dyDescent="0.25">
      <c r="A1854" s="511"/>
    </row>
    <row r="1855" spans="1:1" x14ac:dyDescent="0.25">
      <c r="A1855" s="511"/>
    </row>
    <row r="1856" spans="1:1" x14ac:dyDescent="0.25">
      <c r="A1856" s="511"/>
    </row>
    <row r="1857" spans="1:1" x14ac:dyDescent="0.25">
      <c r="A1857" s="511"/>
    </row>
    <row r="1858" spans="1:1" x14ac:dyDescent="0.25">
      <c r="A1858" s="511"/>
    </row>
    <row r="1859" spans="1:1" x14ac:dyDescent="0.25">
      <c r="A1859" s="511"/>
    </row>
    <row r="1860" spans="1:1" x14ac:dyDescent="0.25">
      <c r="A1860" s="511"/>
    </row>
    <row r="1861" spans="1:1" x14ac:dyDescent="0.25">
      <c r="A1861" s="511"/>
    </row>
    <row r="1862" spans="1:1" x14ac:dyDescent="0.25">
      <c r="A1862" s="511"/>
    </row>
    <row r="1863" spans="1:1" x14ac:dyDescent="0.25">
      <c r="A1863" s="511"/>
    </row>
    <row r="1864" spans="1:1" x14ac:dyDescent="0.25">
      <c r="A1864" s="511"/>
    </row>
    <row r="1865" spans="1:1" x14ac:dyDescent="0.25">
      <c r="A1865" s="511"/>
    </row>
    <row r="1866" spans="1:1" x14ac:dyDescent="0.25">
      <c r="A1866" s="511"/>
    </row>
    <row r="1867" spans="1:1" x14ac:dyDescent="0.25">
      <c r="A1867" s="511"/>
    </row>
    <row r="1868" spans="1:1" x14ac:dyDescent="0.25">
      <c r="A1868" s="511"/>
    </row>
    <row r="1869" spans="1:1" x14ac:dyDescent="0.25">
      <c r="A1869" s="511"/>
    </row>
    <row r="1870" spans="1:1" x14ac:dyDescent="0.25">
      <c r="A1870" s="511"/>
    </row>
    <row r="1871" spans="1:1" x14ac:dyDescent="0.25">
      <c r="A1871" s="511"/>
    </row>
    <row r="1872" spans="1:1" x14ac:dyDescent="0.25">
      <c r="A1872" s="511"/>
    </row>
    <row r="1873" spans="1:1" x14ac:dyDescent="0.25">
      <c r="A1873" s="511"/>
    </row>
    <row r="1874" spans="1:1" x14ac:dyDescent="0.25">
      <c r="A1874" s="511"/>
    </row>
    <row r="1875" spans="1:1" x14ac:dyDescent="0.25">
      <c r="A1875" s="511"/>
    </row>
    <row r="1876" spans="1:1" x14ac:dyDescent="0.25">
      <c r="A1876" s="511"/>
    </row>
    <row r="1877" spans="1:1" x14ac:dyDescent="0.25">
      <c r="A1877" s="511"/>
    </row>
    <row r="1878" spans="1:1" x14ac:dyDescent="0.25">
      <c r="A1878" s="511"/>
    </row>
    <row r="1879" spans="1:1" x14ac:dyDescent="0.25">
      <c r="A1879" s="511"/>
    </row>
    <row r="1880" spans="1:1" x14ac:dyDescent="0.25">
      <c r="A1880" s="511"/>
    </row>
    <row r="1881" spans="1:1" x14ac:dyDescent="0.25">
      <c r="A1881" s="511"/>
    </row>
    <row r="1882" spans="1:1" x14ac:dyDescent="0.25">
      <c r="A1882" s="511"/>
    </row>
    <row r="1883" spans="1:1" x14ac:dyDescent="0.25">
      <c r="A1883" s="511"/>
    </row>
    <row r="1884" spans="1:1" x14ac:dyDescent="0.25">
      <c r="A1884" s="511"/>
    </row>
    <row r="1885" spans="1:1" x14ac:dyDescent="0.25">
      <c r="A1885" s="511"/>
    </row>
    <row r="1886" spans="1:1" x14ac:dyDescent="0.25">
      <c r="A1886" s="511"/>
    </row>
    <row r="1887" spans="1:1" x14ac:dyDescent="0.25">
      <c r="A1887" s="511"/>
    </row>
    <row r="1888" spans="1:1" x14ac:dyDescent="0.25">
      <c r="A1888" s="511"/>
    </row>
    <row r="1889" spans="1:1" x14ac:dyDescent="0.25">
      <c r="A1889" s="511"/>
    </row>
    <row r="1890" spans="1:1" x14ac:dyDescent="0.25">
      <c r="A1890" s="511"/>
    </row>
    <row r="1891" spans="1:1" x14ac:dyDescent="0.25">
      <c r="A1891" s="511"/>
    </row>
    <row r="1892" spans="1:1" x14ac:dyDescent="0.25">
      <c r="A1892" s="511"/>
    </row>
    <row r="1893" spans="1:1" x14ac:dyDescent="0.25">
      <c r="A1893" s="511"/>
    </row>
    <row r="1894" spans="1:1" x14ac:dyDescent="0.25">
      <c r="A1894" s="511"/>
    </row>
    <row r="1895" spans="1:1" x14ac:dyDescent="0.25">
      <c r="A1895" s="511"/>
    </row>
    <row r="1896" spans="1:1" x14ac:dyDescent="0.25">
      <c r="A1896" s="511"/>
    </row>
    <row r="1897" spans="1:1" x14ac:dyDescent="0.25">
      <c r="A1897" s="511"/>
    </row>
    <row r="1898" spans="1:1" x14ac:dyDescent="0.25">
      <c r="A1898" s="511"/>
    </row>
    <row r="1899" spans="1:1" x14ac:dyDescent="0.25">
      <c r="A1899" s="511"/>
    </row>
    <row r="1900" spans="1:1" x14ac:dyDescent="0.25">
      <c r="A1900" s="511"/>
    </row>
    <row r="1901" spans="1:1" x14ac:dyDescent="0.25">
      <c r="A1901" s="511"/>
    </row>
    <row r="1902" spans="1:1" x14ac:dyDescent="0.25">
      <c r="A1902" s="511"/>
    </row>
    <row r="1903" spans="1:1" x14ac:dyDescent="0.25">
      <c r="A1903" s="511"/>
    </row>
    <row r="1904" spans="1:1" x14ac:dyDescent="0.25">
      <c r="A1904" s="511"/>
    </row>
    <row r="1905" spans="1:1" x14ac:dyDescent="0.25">
      <c r="A1905" s="511"/>
    </row>
    <row r="1906" spans="1:1" x14ac:dyDescent="0.25">
      <c r="A1906" s="511"/>
    </row>
    <row r="1907" spans="1:1" x14ac:dyDescent="0.25">
      <c r="A1907" s="511"/>
    </row>
    <row r="1908" spans="1:1" x14ac:dyDescent="0.25">
      <c r="A1908" s="511"/>
    </row>
    <row r="1909" spans="1:1" x14ac:dyDescent="0.25">
      <c r="A1909" s="511"/>
    </row>
    <row r="1910" spans="1:1" x14ac:dyDescent="0.25">
      <c r="A1910" s="511"/>
    </row>
    <row r="1911" spans="1:1" x14ac:dyDescent="0.25">
      <c r="A1911" s="511"/>
    </row>
    <row r="1912" spans="1:1" x14ac:dyDescent="0.25">
      <c r="A1912" s="511"/>
    </row>
    <row r="1913" spans="1:1" x14ac:dyDescent="0.25">
      <c r="A1913" s="511"/>
    </row>
    <row r="1914" spans="1:1" x14ac:dyDescent="0.25">
      <c r="A1914" s="511"/>
    </row>
    <row r="1915" spans="1:1" x14ac:dyDescent="0.25">
      <c r="A1915" s="511"/>
    </row>
    <row r="1916" spans="1:1" x14ac:dyDescent="0.25">
      <c r="A1916" s="511"/>
    </row>
    <row r="1917" spans="1:1" x14ac:dyDescent="0.25">
      <c r="A1917" s="511"/>
    </row>
    <row r="1918" spans="1:1" x14ac:dyDescent="0.25">
      <c r="A1918" s="511"/>
    </row>
    <row r="1919" spans="1:1" x14ac:dyDescent="0.25">
      <c r="A1919" s="511"/>
    </row>
    <row r="1920" spans="1:1" x14ac:dyDescent="0.25">
      <c r="A1920" s="511"/>
    </row>
    <row r="1921" spans="1:1" x14ac:dyDescent="0.25">
      <c r="A1921" s="511"/>
    </row>
    <row r="1922" spans="1:1" x14ac:dyDescent="0.25">
      <c r="A1922" s="511"/>
    </row>
    <row r="1923" spans="1:1" x14ac:dyDescent="0.25">
      <c r="A1923" s="511"/>
    </row>
    <row r="1924" spans="1:1" x14ac:dyDescent="0.25">
      <c r="A1924" s="511"/>
    </row>
    <row r="1925" spans="1:1" x14ac:dyDescent="0.25">
      <c r="A1925" s="511"/>
    </row>
    <row r="1926" spans="1:1" x14ac:dyDescent="0.25">
      <c r="A1926" s="511"/>
    </row>
    <row r="1927" spans="1:1" x14ac:dyDescent="0.25">
      <c r="A1927" s="511"/>
    </row>
    <row r="1928" spans="1:1" x14ac:dyDescent="0.25">
      <c r="A1928" s="511"/>
    </row>
    <row r="1929" spans="1:1" x14ac:dyDescent="0.25">
      <c r="A1929" s="511"/>
    </row>
    <row r="1930" spans="1:1" x14ac:dyDescent="0.25">
      <c r="A1930" s="511"/>
    </row>
    <row r="1931" spans="1:1" x14ac:dyDescent="0.25">
      <c r="A1931" s="511"/>
    </row>
    <row r="1932" spans="1:1" x14ac:dyDescent="0.25">
      <c r="A1932" s="511"/>
    </row>
    <row r="1933" spans="1:1" x14ac:dyDescent="0.25">
      <c r="A1933" s="511"/>
    </row>
    <row r="1934" spans="1:1" x14ac:dyDescent="0.25">
      <c r="A1934" s="511"/>
    </row>
    <row r="1935" spans="1:1" x14ac:dyDescent="0.25">
      <c r="A1935" s="511"/>
    </row>
    <row r="1936" spans="1:1" x14ac:dyDescent="0.25">
      <c r="A1936" s="511"/>
    </row>
    <row r="1937" spans="1:1" x14ac:dyDescent="0.25">
      <c r="A1937" s="511"/>
    </row>
    <row r="1938" spans="1:1" x14ac:dyDescent="0.25">
      <c r="A1938" s="511"/>
    </row>
    <row r="1939" spans="1:1" x14ac:dyDescent="0.25">
      <c r="A1939" s="511"/>
    </row>
    <row r="1940" spans="1:1" x14ac:dyDescent="0.25">
      <c r="A1940" s="511"/>
    </row>
    <row r="1941" spans="1:1" x14ac:dyDescent="0.25">
      <c r="A1941" s="511"/>
    </row>
    <row r="1942" spans="1:1" x14ac:dyDescent="0.25">
      <c r="A1942" s="511"/>
    </row>
    <row r="1943" spans="1:1" x14ac:dyDescent="0.25">
      <c r="A1943" s="511"/>
    </row>
    <row r="1944" spans="1:1" x14ac:dyDescent="0.25">
      <c r="A1944" s="511"/>
    </row>
    <row r="1945" spans="1:1" x14ac:dyDescent="0.25">
      <c r="A1945" s="511"/>
    </row>
    <row r="1946" spans="1:1" x14ac:dyDescent="0.25">
      <c r="A1946" s="511"/>
    </row>
    <row r="1947" spans="1:1" x14ac:dyDescent="0.25">
      <c r="A1947" s="511"/>
    </row>
    <row r="1948" spans="1:1" x14ac:dyDescent="0.25">
      <c r="A1948" s="511"/>
    </row>
    <row r="1949" spans="1:1" x14ac:dyDescent="0.25">
      <c r="A1949" s="511"/>
    </row>
    <row r="1950" spans="1:1" x14ac:dyDescent="0.25">
      <c r="A1950" s="511"/>
    </row>
    <row r="1951" spans="1:1" x14ac:dyDescent="0.25">
      <c r="A1951" s="511"/>
    </row>
    <row r="1952" spans="1:1" x14ac:dyDescent="0.25">
      <c r="A1952" s="511"/>
    </row>
    <row r="1953" spans="1:1" x14ac:dyDescent="0.25">
      <c r="A1953" s="511"/>
    </row>
    <row r="1954" spans="1:1" x14ac:dyDescent="0.25">
      <c r="A1954" s="511"/>
    </row>
    <row r="1955" spans="1:1" x14ac:dyDescent="0.25">
      <c r="A1955" s="511"/>
    </row>
    <row r="1956" spans="1:1" x14ac:dyDescent="0.25">
      <c r="A1956" s="511"/>
    </row>
    <row r="1957" spans="1:1" x14ac:dyDescent="0.25">
      <c r="A1957" s="511"/>
    </row>
    <row r="1958" spans="1:1" x14ac:dyDescent="0.25">
      <c r="A1958" s="511"/>
    </row>
    <row r="1959" spans="1:1" x14ac:dyDescent="0.25">
      <c r="A1959" s="511"/>
    </row>
    <row r="1960" spans="1:1" x14ac:dyDescent="0.25">
      <c r="A1960" s="511"/>
    </row>
    <row r="1961" spans="1:1" x14ac:dyDescent="0.25">
      <c r="A1961" s="511"/>
    </row>
    <row r="1962" spans="1:1" x14ac:dyDescent="0.25">
      <c r="A1962" s="511"/>
    </row>
    <row r="1963" spans="1:1" x14ac:dyDescent="0.25">
      <c r="A1963" s="511"/>
    </row>
    <row r="1964" spans="1:1" x14ac:dyDescent="0.25">
      <c r="A1964" s="511"/>
    </row>
    <row r="1965" spans="1:1" x14ac:dyDescent="0.25">
      <c r="A1965" s="511"/>
    </row>
    <row r="1966" spans="1:1" x14ac:dyDescent="0.25">
      <c r="A1966" s="511"/>
    </row>
    <row r="1967" spans="1:1" x14ac:dyDescent="0.25">
      <c r="A1967" s="511"/>
    </row>
    <row r="1968" spans="1:1" x14ac:dyDescent="0.25">
      <c r="A1968" s="511"/>
    </row>
    <row r="1969" spans="1:1" x14ac:dyDescent="0.25">
      <c r="A1969" s="511"/>
    </row>
    <row r="1970" spans="1:1" x14ac:dyDescent="0.25">
      <c r="A1970" s="511"/>
    </row>
    <row r="1971" spans="1:1" x14ac:dyDescent="0.25">
      <c r="A1971" s="511"/>
    </row>
    <row r="1972" spans="1:1" x14ac:dyDescent="0.25">
      <c r="A1972" s="511"/>
    </row>
    <row r="1973" spans="1:1" x14ac:dyDescent="0.25">
      <c r="A1973" s="511"/>
    </row>
    <row r="1974" spans="1:1" x14ac:dyDescent="0.25">
      <c r="A1974" s="511"/>
    </row>
    <row r="1975" spans="1:1" x14ac:dyDescent="0.25">
      <c r="A1975" s="511"/>
    </row>
    <row r="1976" spans="1:1" x14ac:dyDescent="0.25">
      <c r="A1976" s="511"/>
    </row>
    <row r="1977" spans="1:1" x14ac:dyDescent="0.25">
      <c r="A1977" s="511"/>
    </row>
    <row r="1978" spans="1:1" x14ac:dyDescent="0.25">
      <c r="A1978" s="511"/>
    </row>
    <row r="1979" spans="1:1" x14ac:dyDescent="0.25">
      <c r="A1979" s="511"/>
    </row>
    <row r="1980" spans="1:1" x14ac:dyDescent="0.25">
      <c r="A1980" s="511"/>
    </row>
    <row r="1981" spans="1:1" x14ac:dyDescent="0.25">
      <c r="A1981" s="511"/>
    </row>
    <row r="1982" spans="1:1" x14ac:dyDescent="0.25">
      <c r="A1982" s="511"/>
    </row>
    <row r="1983" spans="1:1" x14ac:dyDescent="0.25">
      <c r="A1983" s="511"/>
    </row>
    <row r="1984" spans="1:1" x14ac:dyDescent="0.25">
      <c r="A1984" s="511"/>
    </row>
    <row r="1985" spans="1:1" x14ac:dyDescent="0.25">
      <c r="A1985" s="511"/>
    </row>
    <row r="1986" spans="1:1" x14ac:dyDescent="0.25">
      <c r="A1986" s="511"/>
    </row>
    <row r="1987" spans="1:1" x14ac:dyDescent="0.25">
      <c r="A1987" s="511"/>
    </row>
    <row r="1988" spans="1:1" x14ac:dyDescent="0.25">
      <c r="A1988" s="511"/>
    </row>
    <row r="1989" spans="1:1" x14ac:dyDescent="0.25">
      <c r="A1989" s="511"/>
    </row>
    <row r="1990" spans="1:1" x14ac:dyDescent="0.25">
      <c r="A1990" s="511"/>
    </row>
    <row r="1991" spans="1:1" x14ac:dyDescent="0.25">
      <c r="A1991" s="511"/>
    </row>
    <row r="1992" spans="1:1" x14ac:dyDescent="0.25">
      <c r="A1992" s="511"/>
    </row>
    <row r="1993" spans="1:1" x14ac:dyDescent="0.25">
      <c r="A1993" s="511"/>
    </row>
    <row r="1994" spans="1:1" x14ac:dyDescent="0.25">
      <c r="A1994" s="511"/>
    </row>
    <row r="1995" spans="1:1" x14ac:dyDescent="0.25">
      <c r="A1995" s="511"/>
    </row>
    <row r="1996" spans="1:1" x14ac:dyDescent="0.25">
      <c r="A1996" s="511"/>
    </row>
    <row r="1997" spans="1:1" x14ac:dyDescent="0.25">
      <c r="A1997" s="511"/>
    </row>
    <row r="1998" spans="1:1" x14ac:dyDescent="0.25">
      <c r="A1998" s="511"/>
    </row>
    <row r="1999" spans="1:1" x14ac:dyDescent="0.25">
      <c r="A1999" s="511"/>
    </row>
    <row r="2000" spans="1:1" x14ac:dyDescent="0.25">
      <c r="A2000" s="511"/>
    </row>
    <row r="2001" spans="1:1" x14ac:dyDescent="0.25">
      <c r="A2001" s="511"/>
    </row>
    <row r="2002" spans="1:1" x14ac:dyDescent="0.25">
      <c r="A2002" s="511"/>
    </row>
    <row r="2003" spans="1:1" x14ac:dyDescent="0.25">
      <c r="A2003" s="511"/>
    </row>
    <row r="2004" spans="1:1" x14ac:dyDescent="0.25">
      <c r="A2004" s="511"/>
    </row>
    <row r="2005" spans="1:1" x14ac:dyDescent="0.25">
      <c r="A2005" s="511"/>
    </row>
    <row r="2006" spans="1:1" x14ac:dyDescent="0.25">
      <c r="A2006" s="511"/>
    </row>
    <row r="2007" spans="1:1" x14ac:dyDescent="0.25">
      <c r="A2007" s="511"/>
    </row>
    <row r="2008" spans="1:1" x14ac:dyDescent="0.25">
      <c r="A2008" s="511"/>
    </row>
    <row r="2009" spans="1:1" x14ac:dyDescent="0.25">
      <c r="A2009" s="511"/>
    </row>
    <row r="2010" spans="1:1" x14ac:dyDescent="0.25">
      <c r="A2010" s="511"/>
    </row>
    <row r="2011" spans="1:1" x14ac:dyDescent="0.25">
      <c r="A2011" s="511"/>
    </row>
    <row r="2012" spans="1:1" x14ac:dyDescent="0.25">
      <c r="A2012" s="511"/>
    </row>
    <row r="2013" spans="1:1" x14ac:dyDescent="0.25">
      <c r="A2013" s="511"/>
    </row>
    <row r="2014" spans="1:1" x14ac:dyDescent="0.25">
      <c r="A2014" s="511"/>
    </row>
    <row r="2015" spans="1:1" x14ac:dyDescent="0.25">
      <c r="A2015" s="511"/>
    </row>
    <row r="2016" spans="1:1" x14ac:dyDescent="0.25">
      <c r="A2016" s="511"/>
    </row>
    <row r="2017" spans="1:1" x14ac:dyDescent="0.25">
      <c r="A2017" s="511"/>
    </row>
    <row r="2018" spans="1:1" x14ac:dyDescent="0.25">
      <c r="A2018" s="511"/>
    </row>
    <row r="2019" spans="1:1" x14ac:dyDescent="0.25">
      <c r="A2019" s="511"/>
    </row>
    <row r="2020" spans="1:1" x14ac:dyDescent="0.25">
      <c r="A2020" s="511"/>
    </row>
    <row r="2021" spans="1:1" x14ac:dyDescent="0.25">
      <c r="A2021" s="511"/>
    </row>
    <row r="2022" spans="1:1" x14ac:dyDescent="0.25">
      <c r="A2022" s="511"/>
    </row>
    <row r="2023" spans="1:1" x14ac:dyDescent="0.25">
      <c r="A2023" s="511"/>
    </row>
    <row r="2024" spans="1:1" x14ac:dyDescent="0.25">
      <c r="A2024" s="511"/>
    </row>
    <row r="2025" spans="1:1" x14ac:dyDescent="0.25">
      <c r="A2025" s="511"/>
    </row>
    <row r="2026" spans="1:1" x14ac:dyDescent="0.25">
      <c r="A2026" s="511"/>
    </row>
    <row r="2027" spans="1:1" x14ac:dyDescent="0.25">
      <c r="A2027" s="511"/>
    </row>
    <row r="2028" spans="1:1" x14ac:dyDescent="0.25">
      <c r="A2028" s="511"/>
    </row>
    <row r="2029" spans="1:1" x14ac:dyDescent="0.25">
      <c r="A2029" s="511"/>
    </row>
    <row r="2030" spans="1:1" x14ac:dyDescent="0.25">
      <c r="A2030" s="511"/>
    </row>
    <row r="2031" spans="1:1" x14ac:dyDescent="0.25">
      <c r="A2031" s="511"/>
    </row>
    <row r="2032" spans="1:1" x14ac:dyDescent="0.25">
      <c r="A2032" s="511"/>
    </row>
    <row r="2033" spans="1:1" x14ac:dyDescent="0.25">
      <c r="A2033" s="511"/>
    </row>
    <row r="2034" spans="1:1" x14ac:dyDescent="0.25">
      <c r="A2034" s="511"/>
    </row>
    <row r="2035" spans="1:1" x14ac:dyDescent="0.25">
      <c r="A2035" s="511"/>
    </row>
    <row r="2036" spans="1:1" x14ac:dyDescent="0.25">
      <c r="A2036" s="511"/>
    </row>
    <row r="2037" spans="1:1" x14ac:dyDescent="0.25">
      <c r="A2037" s="511"/>
    </row>
    <row r="2038" spans="1:1" x14ac:dyDescent="0.25">
      <c r="A2038" s="511"/>
    </row>
    <row r="2039" spans="1:1" x14ac:dyDescent="0.25">
      <c r="A2039" s="511"/>
    </row>
    <row r="2040" spans="1:1" x14ac:dyDescent="0.25">
      <c r="A2040" s="511"/>
    </row>
    <row r="2041" spans="1:1" x14ac:dyDescent="0.25">
      <c r="A2041" s="511"/>
    </row>
    <row r="2042" spans="1:1" x14ac:dyDescent="0.25">
      <c r="A2042" s="511"/>
    </row>
    <row r="2043" spans="1:1" x14ac:dyDescent="0.25">
      <c r="A2043" s="511"/>
    </row>
    <row r="2044" spans="1:1" x14ac:dyDescent="0.25">
      <c r="A2044" s="511"/>
    </row>
    <row r="2045" spans="1:1" x14ac:dyDescent="0.25">
      <c r="A2045" s="511"/>
    </row>
    <row r="2046" spans="1:1" x14ac:dyDescent="0.25">
      <c r="A2046" s="511"/>
    </row>
    <row r="2047" spans="1:1" x14ac:dyDescent="0.25">
      <c r="A2047" s="511"/>
    </row>
    <row r="2048" spans="1:1" x14ac:dyDescent="0.25">
      <c r="A2048" s="511"/>
    </row>
    <row r="2049" spans="1:1" x14ac:dyDescent="0.25">
      <c r="A2049" s="511"/>
    </row>
    <row r="2050" spans="1:1" x14ac:dyDescent="0.25">
      <c r="A2050" s="511"/>
    </row>
    <row r="2051" spans="1:1" x14ac:dyDescent="0.25">
      <c r="A2051" s="511"/>
    </row>
    <row r="2052" spans="1:1" x14ac:dyDescent="0.25">
      <c r="A2052" s="511"/>
    </row>
    <row r="2053" spans="1:1" x14ac:dyDescent="0.25">
      <c r="A2053" s="511"/>
    </row>
    <row r="2054" spans="1:1" x14ac:dyDescent="0.25">
      <c r="A2054" s="511"/>
    </row>
    <row r="2055" spans="1:1" x14ac:dyDescent="0.25">
      <c r="A2055" s="511"/>
    </row>
    <row r="2056" spans="1:1" x14ac:dyDescent="0.25">
      <c r="A2056" s="511"/>
    </row>
    <row r="2057" spans="1:1" x14ac:dyDescent="0.25">
      <c r="A2057" s="511"/>
    </row>
    <row r="2058" spans="1:1" x14ac:dyDescent="0.25">
      <c r="A2058" s="511"/>
    </row>
    <row r="2059" spans="1:1" x14ac:dyDescent="0.25">
      <c r="A2059" s="511"/>
    </row>
    <row r="2060" spans="1:1" x14ac:dyDescent="0.25">
      <c r="A2060" s="511"/>
    </row>
    <row r="2061" spans="1:1" x14ac:dyDescent="0.25">
      <c r="A2061" s="511"/>
    </row>
    <row r="2062" spans="1:1" x14ac:dyDescent="0.25">
      <c r="A2062" s="511"/>
    </row>
    <row r="2063" spans="1:1" x14ac:dyDescent="0.25">
      <c r="A2063" s="511"/>
    </row>
    <row r="2064" spans="1:1" x14ac:dyDescent="0.25">
      <c r="A2064" s="511"/>
    </row>
    <row r="2065" spans="1:1" x14ac:dyDescent="0.25">
      <c r="A2065" s="511"/>
    </row>
    <row r="2066" spans="1:1" x14ac:dyDescent="0.25">
      <c r="A2066" s="511"/>
    </row>
    <row r="2067" spans="1:1" x14ac:dyDescent="0.25">
      <c r="A2067" s="511"/>
    </row>
    <row r="2068" spans="1:1" x14ac:dyDescent="0.25">
      <c r="A2068" s="511"/>
    </row>
    <row r="2069" spans="1:1" x14ac:dyDescent="0.25">
      <c r="A2069" s="511"/>
    </row>
    <row r="2070" spans="1:1" x14ac:dyDescent="0.25">
      <c r="A2070" s="511"/>
    </row>
    <row r="2071" spans="1:1" x14ac:dyDescent="0.25">
      <c r="A2071" s="511"/>
    </row>
    <row r="2072" spans="1:1" x14ac:dyDescent="0.25">
      <c r="A2072" s="511"/>
    </row>
    <row r="2073" spans="1:1" x14ac:dyDescent="0.25">
      <c r="A2073" s="511"/>
    </row>
    <row r="2074" spans="1:1" x14ac:dyDescent="0.25">
      <c r="A2074" s="511"/>
    </row>
    <row r="2075" spans="1:1" x14ac:dyDescent="0.25">
      <c r="A2075" s="511"/>
    </row>
    <row r="2076" spans="1:1" x14ac:dyDescent="0.25">
      <c r="A2076" s="511"/>
    </row>
    <row r="2077" spans="1:1" x14ac:dyDescent="0.25">
      <c r="A2077" s="511"/>
    </row>
    <row r="2078" spans="1:1" x14ac:dyDescent="0.25">
      <c r="A2078" s="511"/>
    </row>
    <row r="2079" spans="1:1" x14ac:dyDescent="0.25">
      <c r="A2079" s="511"/>
    </row>
    <row r="2080" spans="1:1" x14ac:dyDescent="0.25">
      <c r="A2080" s="511"/>
    </row>
    <row r="2081" spans="1:1" x14ac:dyDescent="0.25">
      <c r="A2081" s="511"/>
    </row>
    <row r="2082" spans="1:1" x14ac:dyDescent="0.25">
      <c r="A2082" s="511"/>
    </row>
    <row r="2083" spans="1:1" x14ac:dyDescent="0.25">
      <c r="A2083" s="511"/>
    </row>
    <row r="2084" spans="1:1" x14ac:dyDescent="0.25">
      <c r="A2084" s="511"/>
    </row>
    <row r="2085" spans="1:1" x14ac:dyDescent="0.25">
      <c r="A2085" s="511"/>
    </row>
    <row r="2086" spans="1:1" x14ac:dyDescent="0.25">
      <c r="A2086" s="511"/>
    </row>
    <row r="2087" spans="1:1" x14ac:dyDescent="0.25">
      <c r="A2087" s="511"/>
    </row>
    <row r="2088" spans="1:1" x14ac:dyDescent="0.25">
      <c r="A2088" s="511"/>
    </row>
    <row r="2089" spans="1:1" x14ac:dyDescent="0.25">
      <c r="A2089" s="511"/>
    </row>
    <row r="2090" spans="1:1" x14ac:dyDescent="0.25">
      <c r="A2090" s="511"/>
    </row>
    <row r="2091" spans="1:1" x14ac:dyDescent="0.25">
      <c r="A2091" s="511"/>
    </row>
    <row r="2092" spans="1:1" x14ac:dyDescent="0.25">
      <c r="A2092" s="511"/>
    </row>
    <row r="2093" spans="1:1" x14ac:dyDescent="0.25">
      <c r="A2093" s="511"/>
    </row>
    <row r="2094" spans="1:1" x14ac:dyDescent="0.25">
      <c r="A2094" s="511"/>
    </row>
    <row r="2095" spans="1:1" x14ac:dyDescent="0.25">
      <c r="A2095" s="511"/>
    </row>
    <row r="2096" spans="1:1" x14ac:dyDescent="0.25">
      <c r="A2096" s="511"/>
    </row>
    <row r="2097" spans="1:1" x14ac:dyDescent="0.25">
      <c r="A2097" s="511"/>
    </row>
    <row r="2098" spans="1:1" x14ac:dyDescent="0.25">
      <c r="A2098" s="511"/>
    </row>
    <row r="2099" spans="1:1" x14ac:dyDescent="0.25">
      <c r="A2099" s="511"/>
    </row>
    <row r="2100" spans="1:1" x14ac:dyDescent="0.25">
      <c r="A2100" s="511"/>
    </row>
    <row r="2101" spans="1:1" x14ac:dyDescent="0.25">
      <c r="A2101" s="511"/>
    </row>
    <row r="2102" spans="1:1" x14ac:dyDescent="0.25">
      <c r="A2102" s="511"/>
    </row>
    <row r="2103" spans="1:1" x14ac:dyDescent="0.25">
      <c r="A2103" s="511"/>
    </row>
    <row r="2104" spans="1:1" x14ac:dyDescent="0.25">
      <c r="A2104" s="511"/>
    </row>
    <row r="2105" spans="1:1" x14ac:dyDescent="0.25">
      <c r="A2105" s="511"/>
    </row>
    <row r="2106" spans="1:1" x14ac:dyDescent="0.25">
      <c r="A2106" s="511"/>
    </row>
    <row r="2107" spans="1:1" x14ac:dyDescent="0.25">
      <c r="A2107" s="511"/>
    </row>
    <row r="2108" spans="1:1" x14ac:dyDescent="0.25">
      <c r="A2108" s="511"/>
    </row>
    <row r="2109" spans="1:1" x14ac:dyDescent="0.25">
      <c r="A2109" s="511"/>
    </row>
    <row r="2110" spans="1:1" x14ac:dyDescent="0.25">
      <c r="A2110" s="511"/>
    </row>
    <row r="2111" spans="1:1" x14ac:dyDescent="0.25">
      <c r="A2111" s="511"/>
    </row>
    <row r="2112" spans="1:1" x14ac:dyDescent="0.25">
      <c r="A2112" s="511"/>
    </row>
    <row r="2113" spans="1:1" x14ac:dyDescent="0.25">
      <c r="A2113" s="511"/>
    </row>
    <row r="2114" spans="1:1" x14ac:dyDescent="0.25">
      <c r="A2114" s="511"/>
    </row>
    <row r="2115" spans="1:1" x14ac:dyDescent="0.25">
      <c r="A2115" s="511"/>
    </row>
    <row r="2116" spans="1:1" x14ac:dyDescent="0.25">
      <c r="A2116" s="511"/>
    </row>
    <row r="2117" spans="1:1" x14ac:dyDescent="0.25">
      <c r="A2117" s="511"/>
    </row>
    <row r="2118" spans="1:1" x14ac:dyDescent="0.25">
      <c r="A2118" s="511"/>
    </row>
    <row r="2119" spans="1:1" x14ac:dyDescent="0.25">
      <c r="A2119" s="511"/>
    </row>
    <row r="2120" spans="1:1" x14ac:dyDescent="0.25">
      <c r="A2120" s="511"/>
    </row>
    <row r="2121" spans="1:1" x14ac:dyDescent="0.25">
      <c r="A2121" s="511"/>
    </row>
    <row r="2122" spans="1:1" x14ac:dyDescent="0.25">
      <c r="A2122" s="511"/>
    </row>
    <row r="2123" spans="1:1" x14ac:dyDescent="0.25">
      <c r="A2123" s="511"/>
    </row>
    <row r="2124" spans="1:1" x14ac:dyDescent="0.25">
      <c r="A2124" s="511"/>
    </row>
    <row r="2125" spans="1:1" x14ac:dyDescent="0.25">
      <c r="A2125" s="511"/>
    </row>
    <row r="2126" spans="1:1" x14ac:dyDescent="0.25">
      <c r="A2126" s="511"/>
    </row>
    <row r="2127" spans="1:1" x14ac:dyDescent="0.25">
      <c r="A2127" s="511"/>
    </row>
    <row r="2128" spans="1:1" x14ac:dyDescent="0.25">
      <c r="A2128" s="511"/>
    </row>
    <row r="2129" spans="1:1" x14ac:dyDescent="0.25">
      <c r="A2129" s="511"/>
    </row>
    <row r="2130" spans="1:1" x14ac:dyDescent="0.25">
      <c r="A2130" s="511"/>
    </row>
    <row r="2131" spans="1:1" x14ac:dyDescent="0.25">
      <c r="A2131" s="511"/>
    </row>
    <row r="2132" spans="1:1" x14ac:dyDescent="0.25">
      <c r="A2132" s="511"/>
    </row>
    <row r="2133" spans="1:1" x14ac:dyDescent="0.25">
      <c r="A2133" s="511"/>
    </row>
    <row r="2134" spans="1:1" x14ac:dyDescent="0.25">
      <c r="A2134" s="511"/>
    </row>
    <row r="2135" spans="1:1" x14ac:dyDescent="0.25">
      <c r="A2135" s="511"/>
    </row>
    <row r="2136" spans="1:1" x14ac:dyDescent="0.25">
      <c r="A2136" s="511"/>
    </row>
    <row r="2137" spans="1:1" x14ac:dyDescent="0.25">
      <c r="A2137" s="511"/>
    </row>
    <row r="2138" spans="1:1" x14ac:dyDescent="0.25">
      <c r="A2138" s="511"/>
    </row>
    <row r="2139" spans="1:1" x14ac:dyDescent="0.25">
      <c r="A2139" s="511"/>
    </row>
    <row r="2140" spans="1:1" x14ac:dyDescent="0.25">
      <c r="A2140" s="511"/>
    </row>
    <row r="2141" spans="1:1" x14ac:dyDescent="0.25">
      <c r="A2141" s="511"/>
    </row>
    <row r="2142" spans="1:1" x14ac:dyDescent="0.25">
      <c r="A2142" s="511"/>
    </row>
    <row r="2143" spans="1:1" x14ac:dyDescent="0.25">
      <c r="A2143" s="511"/>
    </row>
    <row r="2144" spans="1:1" x14ac:dyDescent="0.25">
      <c r="A2144" s="511"/>
    </row>
    <row r="2145" spans="1:1" x14ac:dyDescent="0.25">
      <c r="A2145" s="511"/>
    </row>
    <row r="2146" spans="1:1" x14ac:dyDescent="0.25">
      <c r="A2146" s="511"/>
    </row>
    <row r="2147" spans="1:1" x14ac:dyDescent="0.25">
      <c r="A2147" s="511"/>
    </row>
    <row r="2148" spans="1:1" x14ac:dyDescent="0.25">
      <c r="A2148" s="511"/>
    </row>
    <row r="2149" spans="1:1" x14ac:dyDescent="0.25">
      <c r="A2149" s="511"/>
    </row>
    <row r="2150" spans="1:1" x14ac:dyDescent="0.25">
      <c r="A2150" s="511"/>
    </row>
    <row r="2151" spans="1:1" x14ac:dyDescent="0.25">
      <c r="A2151" s="511"/>
    </row>
    <row r="2152" spans="1:1" x14ac:dyDescent="0.25">
      <c r="A2152" s="511"/>
    </row>
    <row r="2153" spans="1:1" x14ac:dyDescent="0.25">
      <c r="A2153" s="511"/>
    </row>
    <row r="2154" spans="1:1" x14ac:dyDescent="0.25">
      <c r="A2154" s="511"/>
    </row>
    <row r="2155" spans="1:1" x14ac:dyDescent="0.25">
      <c r="A2155" s="511"/>
    </row>
    <row r="2156" spans="1:1" x14ac:dyDescent="0.25">
      <c r="A2156" s="511"/>
    </row>
    <row r="2157" spans="1:1" x14ac:dyDescent="0.25">
      <c r="A2157" s="511"/>
    </row>
    <row r="2158" spans="1:1" x14ac:dyDescent="0.25">
      <c r="A2158" s="511"/>
    </row>
    <row r="2159" spans="1:1" x14ac:dyDescent="0.25">
      <c r="A2159" s="511"/>
    </row>
    <row r="2160" spans="1:1" x14ac:dyDescent="0.25">
      <c r="A2160" s="511"/>
    </row>
    <row r="2161" spans="1:1" x14ac:dyDescent="0.25">
      <c r="A2161" s="511"/>
    </row>
    <row r="2162" spans="1:1" x14ac:dyDescent="0.25">
      <c r="A2162" s="511"/>
    </row>
    <row r="2163" spans="1:1" x14ac:dyDescent="0.25">
      <c r="A2163" s="511"/>
    </row>
    <row r="2164" spans="1:1" x14ac:dyDescent="0.25">
      <c r="A2164" s="511"/>
    </row>
    <row r="2165" spans="1:1" x14ac:dyDescent="0.25">
      <c r="A2165" s="511"/>
    </row>
    <row r="2166" spans="1:1" x14ac:dyDescent="0.25">
      <c r="A2166" s="511"/>
    </row>
    <row r="2167" spans="1:1" x14ac:dyDescent="0.25">
      <c r="A2167" s="511"/>
    </row>
    <row r="2168" spans="1:1" x14ac:dyDescent="0.25">
      <c r="A2168" s="511"/>
    </row>
    <row r="2169" spans="1:1" x14ac:dyDescent="0.25">
      <c r="A2169" s="511"/>
    </row>
    <row r="2170" spans="1:1" x14ac:dyDescent="0.25">
      <c r="A2170" s="511"/>
    </row>
    <row r="2171" spans="1:1" x14ac:dyDescent="0.25">
      <c r="A2171" s="511"/>
    </row>
    <row r="2172" spans="1:1" x14ac:dyDescent="0.25">
      <c r="A2172" s="511"/>
    </row>
    <row r="2173" spans="1:1" x14ac:dyDescent="0.25">
      <c r="A2173" s="511"/>
    </row>
    <row r="2174" spans="1:1" x14ac:dyDescent="0.25">
      <c r="A2174" s="511"/>
    </row>
    <row r="2175" spans="1:1" x14ac:dyDescent="0.25">
      <c r="A2175" s="511"/>
    </row>
    <row r="2176" spans="1:1" x14ac:dyDescent="0.25">
      <c r="A2176" s="511"/>
    </row>
    <row r="2177" spans="1:1" x14ac:dyDescent="0.25">
      <c r="A2177" s="511"/>
    </row>
    <row r="2178" spans="1:1" x14ac:dyDescent="0.25">
      <c r="A2178" s="511"/>
    </row>
    <row r="2179" spans="1:1" x14ac:dyDescent="0.25">
      <c r="A2179" s="511"/>
    </row>
    <row r="2180" spans="1:1" x14ac:dyDescent="0.25">
      <c r="A2180" s="511"/>
    </row>
    <row r="2181" spans="1:1" x14ac:dyDescent="0.25">
      <c r="A2181" s="511"/>
    </row>
    <row r="2182" spans="1:1" x14ac:dyDescent="0.25">
      <c r="A2182" s="511"/>
    </row>
    <row r="2183" spans="1:1" x14ac:dyDescent="0.25">
      <c r="A2183" s="511"/>
    </row>
    <row r="2184" spans="1:1" x14ac:dyDescent="0.25">
      <c r="A2184" s="511"/>
    </row>
    <row r="2185" spans="1:1" x14ac:dyDescent="0.25">
      <c r="A2185" s="511"/>
    </row>
    <row r="2186" spans="1:1" x14ac:dyDescent="0.25">
      <c r="A2186" s="511"/>
    </row>
    <row r="2187" spans="1:1" x14ac:dyDescent="0.25">
      <c r="A2187" s="511"/>
    </row>
    <row r="2188" spans="1:1" x14ac:dyDescent="0.25">
      <c r="A2188" s="511"/>
    </row>
    <row r="2189" spans="1:1" x14ac:dyDescent="0.25">
      <c r="A2189" s="511"/>
    </row>
    <row r="2190" spans="1:1" x14ac:dyDescent="0.25">
      <c r="A2190" s="511"/>
    </row>
    <row r="2191" spans="1:1" x14ac:dyDescent="0.25">
      <c r="A2191" s="511"/>
    </row>
    <row r="2192" spans="1:1" x14ac:dyDescent="0.25">
      <c r="A2192" s="511"/>
    </row>
    <row r="2193" spans="1:1" x14ac:dyDescent="0.25">
      <c r="A2193" s="511"/>
    </row>
    <row r="2194" spans="1:1" x14ac:dyDescent="0.25">
      <c r="A2194" s="511"/>
    </row>
    <row r="2195" spans="1:1" x14ac:dyDescent="0.25">
      <c r="A2195" s="511"/>
    </row>
    <row r="2196" spans="1:1" x14ac:dyDescent="0.25">
      <c r="A2196" s="511"/>
    </row>
    <row r="2197" spans="1:1" x14ac:dyDescent="0.25">
      <c r="A2197" s="511"/>
    </row>
    <row r="2198" spans="1:1" x14ac:dyDescent="0.25">
      <c r="A2198" s="511"/>
    </row>
    <row r="2199" spans="1:1" x14ac:dyDescent="0.25">
      <c r="A2199" s="511"/>
    </row>
    <row r="2200" spans="1:1" x14ac:dyDescent="0.25">
      <c r="A2200" s="511"/>
    </row>
    <row r="2201" spans="1:1" x14ac:dyDescent="0.25">
      <c r="A2201" s="511"/>
    </row>
    <row r="2202" spans="1:1" x14ac:dyDescent="0.25">
      <c r="A2202" s="511"/>
    </row>
    <row r="2203" spans="1:1" x14ac:dyDescent="0.25">
      <c r="A2203" s="511"/>
    </row>
    <row r="2204" spans="1:1" x14ac:dyDescent="0.25">
      <c r="A2204" s="511"/>
    </row>
    <row r="2205" spans="1:1" x14ac:dyDescent="0.25">
      <c r="A2205" s="511"/>
    </row>
    <row r="2206" spans="1:1" x14ac:dyDescent="0.25">
      <c r="A2206" s="511"/>
    </row>
    <row r="2207" spans="1:1" x14ac:dyDescent="0.25">
      <c r="A2207" s="511"/>
    </row>
    <row r="2208" spans="1:1" x14ac:dyDescent="0.25">
      <c r="A2208" s="511"/>
    </row>
    <row r="2209" spans="1:1" x14ac:dyDescent="0.25">
      <c r="A2209" s="511"/>
    </row>
    <row r="2210" spans="1:1" x14ac:dyDescent="0.25">
      <c r="A2210" s="511"/>
    </row>
    <row r="2211" spans="1:1" x14ac:dyDescent="0.25">
      <c r="A2211" s="511"/>
    </row>
    <row r="2212" spans="1:1" x14ac:dyDescent="0.25">
      <c r="A2212" s="511"/>
    </row>
    <row r="2213" spans="1:1" x14ac:dyDescent="0.25">
      <c r="A2213" s="511"/>
    </row>
    <row r="2214" spans="1:1" x14ac:dyDescent="0.25">
      <c r="A2214" s="511"/>
    </row>
    <row r="2215" spans="1:1" x14ac:dyDescent="0.25">
      <c r="A2215" s="511"/>
    </row>
    <row r="2216" spans="1:1" x14ac:dyDescent="0.25">
      <c r="A2216" s="511"/>
    </row>
    <row r="2217" spans="1:1" x14ac:dyDescent="0.25">
      <c r="A2217" s="511"/>
    </row>
    <row r="2218" spans="1:1" x14ac:dyDescent="0.25">
      <c r="A2218" s="511"/>
    </row>
    <row r="2219" spans="1:1" x14ac:dyDescent="0.25">
      <c r="A2219" s="511"/>
    </row>
    <row r="2220" spans="1:1" x14ac:dyDescent="0.25">
      <c r="A2220" s="511"/>
    </row>
    <row r="2221" spans="1:1" x14ac:dyDescent="0.25">
      <c r="A2221" s="511"/>
    </row>
    <row r="2222" spans="1:1" x14ac:dyDescent="0.25">
      <c r="A2222" s="511"/>
    </row>
    <row r="2223" spans="1:1" x14ac:dyDescent="0.25">
      <c r="A2223" s="511"/>
    </row>
    <row r="2224" spans="1:1" x14ac:dyDescent="0.25">
      <c r="A2224" s="511"/>
    </row>
    <row r="2225" spans="1:1" x14ac:dyDescent="0.25">
      <c r="A2225" s="511"/>
    </row>
    <row r="2226" spans="1:1" x14ac:dyDescent="0.25">
      <c r="A2226" s="511"/>
    </row>
    <row r="2227" spans="1:1" x14ac:dyDescent="0.25">
      <c r="A2227" s="511"/>
    </row>
    <row r="2228" spans="1:1" x14ac:dyDescent="0.25">
      <c r="A2228" s="511"/>
    </row>
    <row r="2229" spans="1:1" x14ac:dyDescent="0.25">
      <c r="A2229" s="511"/>
    </row>
    <row r="2230" spans="1:1" x14ac:dyDescent="0.25">
      <c r="A2230" s="511"/>
    </row>
    <row r="2231" spans="1:1" x14ac:dyDescent="0.25">
      <c r="A2231" s="511"/>
    </row>
    <row r="2232" spans="1:1" x14ac:dyDescent="0.25">
      <c r="A2232" s="511"/>
    </row>
    <row r="2233" spans="1:1" x14ac:dyDescent="0.25">
      <c r="A2233" s="511"/>
    </row>
    <row r="2234" spans="1:1" x14ac:dyDescent="0.25">
      <c r="A2234" s="511"/>
    </row>
    <row r="2235" spans="1:1" x14ac:dyDescent="0.25">
      <c r="A2235" s="511"/>
    </row>
    <row r="2236" spans="1:1" x14ac:dyDescent="0.25">
      <c r="A2236" s="511"/>
    </row>
    <row r="2237" spans="1:1" x14ac:dyDescent="0.25">
      <c r="A2237" s="511"/>
    </row>
    <row r="2238" spans="1:1" x14ac:dyDescent="0.25">
      <c r="A2238" s="511"/>
    </row>
    <row r="2239" spans="1:1" x14ac:dyDescent="0.25">
      <c r="A2239" s="511"/>
    </row>
    <row r="2240" spans="1:1" x14ac:dyDescent="0.25">
      <c r="A2240" s="511"/>
    </row>
    <row r="2241" spans="1:1" x14ac:dyDescent="0.25">
      <c r="A2241" s="511"/>
    </row>
    <row r="2242" spans="1:1" x14ac:dyDescent="0.25">
      <c r="A2242" s="511"/>
    </row>
    <row r="2243" spans="1:1" x14ac:dyDescent="0.25">
      <c r="A2243" s="511"/>
    </row>
    <row r="2244" spans="1:1" x14ac:dyDescent="0.25">
      <c r="A2244" s="511"/>
    </row>
    <row r="2245" spans="1:1" x14ac:dyDescent="0.25">
      <c r="A2245" s="511"/>
    </row>
    <row r="2246" spans="1:1" x14ac:dyDescent="0.25">
      <c r="A2246" s="511"/>
    </row>
    <row r="2247" spans="1:1" x14ac:dyDescent="0.25">
      <c r="A2247" s="511"/>
    </row>
    <row r="2248" spans="1:1" x14ac:dyDescent="0.25">
      <c r="A2248" s="511"/>
    </row>
    <row r="2249" spans="1:1" x14ac:dyDescent="0.25">
      <c r="A2249" s="511"/>
    </row>
    <row r="2250" spans="1:1" x14ac:dyDescent="0.25">
      <c r="A2250" s="511"/>
    </row>
    <row r="2251" spans="1:1" x14ac:dyDescent="0.25">
      <c r="A2251" s="511"/>
    </row>
    <row r="2252" spans="1:1" x14ac:dyDescent="0.25">
      <c r="A2252" s="511"/>
    </row>
    <row r="2253" spans="1:1" x14ac:dyDescent="0.25">
      <c r="A2253" s="511"/>
    </row>
    <row r="2254" spans="1:1" x14ac:dyDescent="0.25">
      <c r="A2254" s="511"/>
    </row>
    <row r="2255" spans="1:1" x14ac:dyDescent="0.25">
      <c r="A2255" s="511"/>
    </row>
    <row r="2256" spans="1:1" x14ac:dyDescent="0.25">
      <c r="A2256" s="511"/>
    </row>
    <row r="2257" spans="1:1" x14ac:dyDescent="0.25">
      <c r="A2257" s="511"/>
    </row>
    <row r="2258" spans="1:1" x14ac:dyDescent="0.25">
      <c r="A2258" s="511"/>
    </row>
    <row r="2259" spans="1:1" x14ac:dyDescent="0.25">
      <c r="A2259" s="511"/>
    </row>
    <row r="2260" spans="1:1" x14ac:dyDescent="0.25">
      <c r="A2260" s="511"/>
    </row>
    <row r="2261" spans="1:1" x14ac:dyDescent="0.25">
      <c r="A2261" s="511"/>
    </row>
    <row r="2262" spans="1:1" x14ac:dyDescent="0.25">
      <c r="A2262" s="511"/>
    </row>
    <row r="2263" spans="1:1" x14ac:dyDescent="0.25">
      <c r="A2263" s="511"/>
    </row>
    <row r="2264" spans="1:1" x14ac:dyDescent="0.25">
      <c r="A2264" s="511"/>
    </row>
    <row r="2265" spans="1:1" x14ac:dyDescent="0.25">
      <c r="A2265" s="511"/>
    </row>
    <row r="2266" spans="1:1" x14ac:dyDescent="0.25">
      <c r="A2266" s="511"/>
    </row>
    <row r="2267" spans="1:1" x14ac:dyDescent="0.25">
      <c r="A2267" s="511"/>
    </row>
    <row r="2268" spans="1:1" x14ac:dyDescent="0.25">
      <c r="A2268" s="511"/>
    </row>
    <row r="2269" spans="1:1" x14ac:dyDescent="0.25">
      <c r="A2269" s="511"/>
    </row>
    <row r="2270" spans="1:1" x14ac:dyDescent="0.25">
      <c r="A2270" s="511"/>
    </row>
    <row r="2271" spans="1:1" x14ac:dyDescent="0.25">
      <c r="A2271" s="511"/>
    </row>
    <row r="2272" spans="1:1" x14ac:dyDescent="0.25">
      <c r="A2272" s="511"/>
    </row>
    <row r="2273" spans="1:1" x14ac:dyDescent="0.25">
      <c r="A2273" s="511"/>
    </row>
    <row r="2274" spans="1:1" x14ac:dyDescent="0.25">
      <c r="A2274" s="511"/>
    </row>
    <row r="2275" spans="1:1" x14ac:dyDescent="0.25">
      <c r="A2275" s="511"/>
    </row>
    <row r="2276" spans="1:1" x14ac:dyDescent="0.25">
      <c r="A2276" s="511"/>
    </row>
    <row r="2277" spans="1:1" x14ac:dyDescent="0.25">
      <c r="A2277" s="511"/>
    </row>
    <row r="2278" spans="1:1" x14ac:dyDescent="0.25">
      <c r="A2278" s="511"/>
    </row>
    <row r="2279" spans="1:1" x14ac:dyDescent="0.25">
      <c r="A2279" s="511"/>
    </row>
    <row r="2280" spans="1:1" x14ac:dyDescent="0.25">
      <c r="A2280" s="511"/>
    </row>
    <row r="2281" spans="1:1" x14ac:dyDescent="0.25">
      <c r="A2281" s="511"/>
    </row>
    <row r="2282" spans="1:1" x14ac:dyDescent="0.25">
      <c r="A2282" s="511"/>
    </row>
    <row r="2283" spans="1:1" x14ac:dyDescent="0.25">
      <c r="A2283" s="511"/>
    </row>
    <row r="2284" spans="1:1" x14ac:dyDescent="0.25">
      <c r="A2284" s="511"/>
    </row>
    <row r="2285" spans="1:1" x14ac:dyDescent="0.25">
      <c r="A2285" s="511"/>
    </row>
    <row r="2286" spans="1:1" x14ac:dyDescent="0.25">
      <c r="A2286" s="511"/>
    </row>
    <row r="2287" spans="1:1" x14ac:dyDescent="0.25">
      <c r="A2287" s="511"/>
    </row>
    <row r="2288" spans="1:1" x14ac:dyDescent="0.25">
      <c r="A2288" s="511"/>
    </row>
    <row r="2289" spans="1:1" x14ac:dyDescent="0.25">
      <c r="A2289" s="511"/>
    </row>
    <row r="2290" spans="1:1" x14ac:dyDescent="0.25">
      <c r="A2290" s="511"/>
    </row>
    <row r="2291" spans="1:1" x14ac:dyDescent="0.25">
      <c r="A2291" s="511"/>
    </row>
    <row r="2292" spans="1:1" x14ac:dyDescent="0.25">
      <c r="A2292" s="511"/>
    </row>
    <row r="2293" spans="1:1" x14ac:dyDescent="0.25">
      <c r="A2293" s="511"/>
    </row>
    <row r="2294" spans="1:1" x14ac:dyDescent="0.25">
      <c r="A2294" s="511"/>
    </row>
    <row r="2295" spans="1:1" x14ac:dyDescent="0.25">
      <c r="A2295" s="511"/>
    </row>
    <row r="2296" spans="1:1" x14ac:dyDescent="0.25">
      <c r="A2296" s="511"/>
    </row>
    <row r="2297" spans="1:1" x14ac:dyDescent="0.25">
      <c r="A2297" s="511"/>
    </row>
    <row r="2298" spans="1:1" x14ac:dyDescent="0.25">
      <c r="A2298" s="511"/>
    </row>
    <row r="2299" spans="1:1" x14ac:dyDescent="0.25">
      <c r="A2299" s="511"/>
    </row>
    <row r="2300" spans="1:1" x14ac:dyDescent="0.25">
      <c r="A2300" s="511"/>
    </row>
    <row r="2301" spans="1:1" x14ac:dyDescent="0.25">
      <c r="A2301" s="511"/>
    </row>
    <row r="2302" spans="1:1" x14ac:dyDescent="0.25">
      <c r="A2302" s="511"/>
    </row>
    <row r="2303" spans="1:1" x14ac:dyDescent="0.25">
      <c r="A2303" s="511"/>
    </row>
    <row r="2304" spans="1:1" x14ac:dyDescent="0.25">
      <c r="A2304" s="511"/>
    </row>
    <row r="2305" spans="1:1" x14ac:dyDescent="0.25">
      <c r="A2305" s="511"/>
    </row>
    <row r="2306" spans="1:1" x14ac:dyDescent="0.25">
      <c r="A2306" s="511"/>
    </row>
    <row r="2307" spans="1:1" x14ac:dyDescent="0.25">
      <c r="A2307" s="511"/>
    </row>
    <row r="2308" spans="1:1" x14ac:dyDescent="0.25">
      <c r="A2308" s="511"/>
    </row>
    <row r="2309" spans="1:1" x14ac:dyDescent="0.25">
      <c r="A2309" s="511"/>
    </row>
    <row r="2310" spans="1:1" x14ac:dyDescent="0.25">
      <c r="A2310" s="511"/>
    </row>
    <row r="2311" spans="1:1" x14ac:dyDescent="0.25">
      <c r="A2311" s="511"/>
    </row>
    <row r="2312" spans="1:1" x14ac:dyDescent="0.25">
      <c r="A2312" s="511"/>
    </row>
    <row r="2313" spans="1:1" x14ac:dyDescent="0.25">
      <c r="A2313" s="511"/>
    </row>
    <row r="2314" spans="1:1" x14ac:dyDescent="0.25">
      <c r="A2314" s="511"/>
    </row>
    <row r="2315" spans="1:1" x14ac:dyDescent="0.25">
      <c r="A2315" s="511"/>
    </row>
    <row r="2316" spans="1:1" x14ac:dyDescent="0.25">
      <c r="A2316" s="511"/>
    </row>
    <row r="2317" spans="1:1" x14ac:dyDescent="0.25">
      <c r="A2317" s="511"/>
    </row>
    <row r="2318" spans="1:1" x14ac:dyDescent="0.25">
      <c r="A2318" s="511"/>
    </row>
    <row r="2319" spans="1:1" x14ac:dyDescent="0.25">
      <c r="A2319" s="511"/>
    </row>
    <row r="2320" spans="1:1" x14ac:dyDescent="0.25">
      <c r="A2320" s="511"/>
    </row>
    <row r="2321" spans="1:1" x14ac:dyDescent="0.25">
      <c r="A2321" s="511"/>
    </row>
    <row r="2322" spans="1:1" x14ac:dyDescent="0.25">
      <c r="A2322" s="511"/>
    </row>
    <row r="2323" spans="1:1" x14ac:dyDescent="0.25">
      <c r="A2323" s="511"/>
    </row>
    <row r="2324" spans="1:1" x14ac:dyDescent="0.25">
      <c r="A2324" s="511"/>
    </row>
    <row r="2325" spans="1:1" x14ac:dyDescent="0.25">
      <c r="A2325" s="511"/>
    </row>
    <row r="2326" spans="1:1" x14ac:dyDescent="0.25">
      <c r="A2326" s="511"/>
    </row>
    <row r="2327" spans="1:1" x14ac:dyDescent="0.25">
      <c r="A2327" s="511"/>
    </row>
    <row r="2328" spans="1:1" x14ac:dyDescent="0.25">
      <c r="A2328" s="511"/>
    </row>
    <row r="2329" spans="1:1" x14ac:dyDescent="0.25">
      <c r="A2329" s="511"/>
    </row>
    <row r="2330" spans="1:1" x14ac:dyDescent="0.25">
      <c r="A2330" s="511"/>
    </row>
    <row r="2331" spans="1:1" x14ac:dyDescent="0.25">
      <c r="A2331" s="511"/>
    </row>
    <row r="2332" spans="1:1" x14ac:dyDescent="0.25">
      <c r="A2332" s="511"/>
    </row>
    <row r="2333" spans="1:1" x14ac:dyDescent="0.25">
      <c r="A2333" s="511"/>
    </row>
    <row r="2334" spans="1:1" x14ac:dyDescent="0.25">
      <c r="A2334" s="511"/>
    </row>
    <row r="2335" spans="1:1" x14ac:dyDescent="0.25">
      <c r="A2335" s="511"/>
    </row>
    <row r="2336" spans="1:1" x14ac:dyDescent="0.25">
      <c r="A2336" s="511"/>
    </row>
    <row r="2337" spans="1:1" x14ac:dyDescent="0.25">
      <c r="A2337" s="511"/>
    </row>
    <row r="2338" spans="1:1" x14ac:dyDescent="0.25">
      <c r="A2338" s="511"/>
    </row>
    <row r="2339" spans="1:1" x14ac:dyDescent="0.25">
      <c r="A2339" s="511"/>
    </row>
    <row r="2340" spans="1:1" x14ac:dyDescent="0.25">
      <c r="A2340" s="511"/>
    </row>
    <row r="2341" spans="1:1" x14ac:dyDescent="0.25">
      <c r="A2341" s="511"/>
    </row>
    <row r="2342" spans="1:1" x14ac:dyDescent="0.25">
      <c r="A2342" s="511"/>
    </row>
    <row r="2343" spans="1:1" x14ac:dyDescent="0.25">
      <c r="A2343" s="511"/>
    </row>
    <row r="2344" spans="1:1" x14ac:dyDescent="0.25">
      <c r="A2344" s="511"/>
    </row>
    <row r="2345" spans="1:1" x14ac:dyDescent="0.25">
      <c r="A2345" s="511"/>
    </row>
    <row r="2346" spans="1:1" x14ac:dyDescent="0.25">
      <c r="A2346" s="511"/>
    </row>
    <row r="2347" spans="1:1" x14ac:dyDescent="0.25">
      <c r="A2347" s="511"/>
    </row>
    <row r="2348" spans="1:1" x14ac:dyDescent="0.25">
      <c r="A2348" s="511"/>
    </row>
    <row r="2349" spans="1:1" x14ac:dyDescent="0.25">
      <c r="A2349" s="511"/>
    </row>
    <row r="2350" spans="1:1" x14ac:dyDescent="0.25">
      <c r="A2350" s="511"/>
    </row>
    <row r="2351" spans="1:1" x14ac:dyDescent="0.25">
      <c r="A2351" s="511"/>
    </row>
    <row r="2352" spans="1:1" x14ac:dyDescent="0.25">
      <c r="A2352" s="511"/>
    </row>
    <row r="2353" spans="1:1" x14ac:dyDescent="0.25">
      <c r="A2353" s="511"/>
    </row>
    <row r="2354" spans="1:1" x14ac:dyDescent="0.25">
      <c r="A2354" s="511"/>
    </row>
    <row r="2355" spans="1:1" x14ac:dyDescent="0.25">
      <c r="A2355" s="511"/>
    </row>
    <row r="2356" spans="1:1" x14ac:dyDescent="0.25">
      <c r="A2356" s="511"/>
    </row>
    <row r="2357" spans="1:1" x14ac:dyDescent="0.25">
      <c r="A2357" s="511"/>
    </row>
    <row r="2358" spans="1:1" x14ac:dyDescent="0.25">
      <c r="A2358" s="511"/>
    </row>
    <row r="2359" spans="1:1" x14ac:dyDescent="0.25">
      <c r="A2359" s="511"/>
    </row>
    <row r="2360" spans="1:1" x14ac:dyDescent="0.25">
      <c r="A2360" s="511"/>
    </row>
    <row r="2361" spans="1:1" x14ac:dyDescent="0.25">
      <c r="A2361" s="511"/>
    </row>
    <row r="2362" spans="1:1" x14ac:dyDescent="0.25">
      <c r="A2362" s="511"/>
    </row>
    <row r="2363" spans="1:1" x14ac:dyDescent="0.25">
      <c r="A2363" s="511"/>
    </row>
    <row r="2364" spans="1:1" x14ac:dyDescent="0.25">
      <c r="A2364" s="511"/>
    </row>
    <row r="2365" spans="1:1" x14ac:dyDescent="0.25">
      <c r="A2365" s="511"/>
    </row>
    <row r="2366" spans="1:1" x14ac:dyDescent="0.25">
      <c r="A2366" s="511"/>
    </row>
    <row r="2367" spans="1:1" x14ac:dyDescent="0.25">
      <c r="A2367" s="511"/>
    </row>
    <row r="2368" spans="1:1" x14ac:dyDescent="0.25">
      <c r="A2368" s="511"/>
    </row>
    <row r="2369" spans="1:1" x14ac:dyDescent="0.25">
      <c r="A2369" s="511"/>
    </row>
    <row r="2370" spans="1:1" x14ac:dyDescent="0.25">
      <c r="A2370" s="511"/>
    </row>
    <row r="2371" spans="1:1" x14ac:dyDescent="0.25">
      <c r="A2371" s="511"/>
    </row>
    <row r="2372" spans="1:1" x14ac:dyDescent="0.25">
      <c r="A2372" s="511"/>
    </row>
    <row r="2373" spans="1:1" x14ac:dyDescent="0.25">
      <c r="A2373" s="511"/>
    </row>
    <row r="2374" spans="1:1" x14ac:dyDescent="0.25">
      <c r="A2374" s="511"/>
    </row>
    <row r="2375" spans="1:1" x14ac:dyDescent="0.25">
      <c r="A2375" s="511"/>
    </row>
    <row r="2376" spans="1:1" x14ac:dyDescent="0.25">
      <c r="A2376" s="511"/>
    </row>
    <row r="2377" spans="1:1" x14ac:dyDescent="0.25">
      <c r="A2377" s="511"/>
    </row>
    <row r="2378" spans="1:1" x14ac:dyDescent="0.25">
      <c r="A2378" s="511"/>
    </row>
    <row r="2379" spans="1:1" x14ac:dyDescent="0.25">
      <c r="A2379" s="511"/>
    </row>
    <row r="2380" spans="1:1" x14ac:dyDescent="0.25">
      <c r="A2380" s="511"/>
    </row>
    <row r="2381" spans="1:1" x14ac:dyDescent="0.25">
      <c r="A2381" s="511"/>
    </row>
    <row r="2382" spans="1:1" x14ac:dyDescent="0.25">
      <c r="A2382" s="511"/>
    </row>
    <row r="2383" spans="1:1" x14ac:dyDescent="0.25">
      <c r="A2383" s="511"/>
    </row>
    <row r="2384" spans="1:1" x14ac:dyDescent="0.25">
      <c r="A2384" s="511"/>
    </row>
    <row r="2385" spans="1:1" x14ac:dyDescent="0.25">
      <c r="A2385" s="511"/>
    </row>
    <row r="2386" spans="1:1" x14ac:dyDescent="0.25">
      <c r="A2386" s="511"/>
    </row>
    <row r="2387" spans="1:1" x14ac:dyDescent="0.25">
      <c r="A2387" s="511"/>
    </row>
    <row r="2388" spans="1:1" x14ac:dyDescent="0.25">
      <c r="A2388" s="511"/>
    </row>
    <row r="2389" spans="1:1" x14ac:dyDescent="0.25">
      <c r="A2389" s="511"/>
    </row>
    <row r="2390" spans="1:1" x14ac:dyDescent="0.25">
      <c r="A2390" s="511"/>
    </row>
    <row r="2391" spans="1:1" x14ac:dyDescent="0.25">
      <c r="A2391" s="511"/>
    </row>
    <row r="2392" spans="1:1" x14ac:dyDescent="0.25">
      <c r="A2392" s="511"/>
    </row>
    <row r="2393" spans="1:1" x14ac:dyDescent="0.25">
      <c r="A2393" s="511"/>
    </row>
    <row r="2394" spans="1:1" x14ac:dyDescent="0.25">
      <c r="A2394" s="511"/>
    </row>
    <row r="2395" spans="1:1" x14ac:dyDescent="0.25">
      <c r="A2395" s="511"/>
    </row>
    <row r="2396" spans="1:1" x14ac:dyDescent="0.25">
      <c r="A2396" s="511"/>
    </row>
    <row r="2397" spans="1:1" x14ac:dyDescent="0.25">
      <c r="A2397" s="511"/>
    </row>
    <row r="2398" spans="1:1" x14ac:dyDescent="0.25">
      <c r="A2398" s="511"/>
    </row>
    <row r="2399" spans="1:1" x14ac:dyDescent="0.25">
      <c r="A2399" s="511"/>
    </row>
    <row r="2400" spans="1:1" x14ac:dyDescent="0.25">
      <c r="A2400" s="511"/>
    </row>
    <row r="2401" spans="1:1" x14ac:dyDescent="0.25">
      <c r="A2401" s="511"/>
    </row>
    <row r="2402" spans="1:1" x14ac:dyDescent="0.25">
      <c r="A2402" s="511"/>
    </row>
    <row r="2403" spans="1:1" x14ac:dyDescent="0.25">
      <c r="A2403" s="511"/>
    </row>
    <row r="2404" spans="1:1" x14ac:dyDescent="0.25">
      <c r="A2404" s="511"/>
    </row>
    <row r="2405" spans="1:1" x14ac:dyDescent="0.25">
      <c r="A2405" s="511"/>
    </row>
    <row r="2406" spans="1:1" x14ac:dyDescent="0.25">
      <c r="A2406" s="511"/>
    </row>
    <row r="2407" spans="1:1" x14ac:dyDescent="0.25">
      <c r="A2407" s="511"/>
    </row>
    <row r="2408" spans="1:1" x14ac:dyDescent="0.25">
      <c r="A2408" s="511"/>
    </row>
    <row r="2409" spans="1:1" x14ac:dyDescent="0.25">
      <c r="A2409" s="511"/>
    </row>
    <row r="2410" spans="1:1" x14ac:dyDescent="0.25">
      <c r="A2410" s="511"/>
    </row>
    <row r="2411" spans="1:1" x14ac:dyDescent="0.25">
      <c r="A2411" s="511"/>
    </row>
    <row r="2412" spans="1:1" x14ac:dyDescent="0.25">
      <c r="A2412" s="511"/>
    </row>
    <row r="2413" spans="1:1" x14ac:dyDescent="0.25">
      <c r="A2413" s="511"/>
    </row>
    <row r="2414" spans="1:1" x14ac:dyDescent="0.25">
      <c r="A2414" s="511"/>
    </row>
    <row r="2415" spans="1:1" x14ac:dyDescent="0.25">
      <c r="A2415" s="511"/>
    </row>
    <row r="2416" spans="1:1" x14ac:dyDescent="0.25">
      <c r="A2416" s="511"/>
    </row>
    <row r="2417" spans="1:1" x14ac:dyDescent="0.25">
      <c r="A2417" s="511"/>
    </row>
    <row r="2418" spans="1:1" x14ac:dyDescent="0.25">
      <c r="A2418" s="511"/>
    </row>
    <row r="2419" spans="1:1" x14ac:dyDescent="0.25">
      <c r="A2419" s="511"/>
    </row>
    <row r="2420" spans="1:1" x14ac:dyDescent="0.25">
      <c r="A2420" s="511"/>
    </row>
    <row r="2421" spans="1:1" x14ac:dyDescent="0.25">
      <c r="A2421" s="511"/>
    </row>
    <row r="2422" spans="1:1" x14ac:dyDescent="0.25">
      <c r="A2422" s="511"/>
    </row>
    <row r="2423" spans="1:1" x14ac:dyDescent="0.25">
      <c r="A2423" s="511"/>
    </row>
    <row r="2424" spans="1:1" x14ac:dyDescent="0.25">
      <c r="A2424" s="511"/>
    </row>
    <row r="2425" spans="1:1" x14ac:dyDescent="0.25">
      <c r="A2425" s="511"/>
    </row>
    <row r="2426" spans="1:1" x14ac:dyDescent="0.25">
      <c r="A2426" s="511"/>
    </row>
    <row r="2427" spans="1:1" x14ac:dyDescent="0.25">
      <c r="A2427" s="511"/>
    </row>
    <row r="2428" spans="1:1" x14ac:dyDescent="0.25">
      <c r="A2428" s="511"/>
    </row>
    <row r="2429" spans="1:1" x14ac:dyDescent="0.25">
      <c r="A2429" s="511"/>
    </row>
    <row r="2430" spans="1:1" x14ac:dyDescent="0.25">
      <c r="A2430" s="511"/>
    </row>
    <row r="2431" spans="1:1" x14ac:dyDescent="0.25">
      <c r="A2431" s="511"/>
    </row>
    <row r="2432" spans="1:1" x14ac:dyDescent="0.25">
      <c r="A2432" s="511"/>
    </row>
    <row r="2433" spans="1:1" x14ac:dyDescent="0.25">
      <c r="A2433" s="511"/>
    </row>
    <row r="2434" spans="1:1" x14ac:dyDescent="0.25">
      <c r="A2434" s="511"/>
    </row>
    <row r="2435" spans="1:1" x14ac:dyDescent="0.25">
      <c r="A2435" s="511"/>
    </row>
    <row r="2436" spans="1:1" x14ac:dyDescent="0.25">
      <c r="A2436" s="511"/>
    </row>
    <row r="2437" spans="1:1" x14ac:dyDescent="0.25">
      <c r="A2437" s="511"/>
    </row>
    <row r="2438" spans="1:1" x14ac:dyDescent="0.25">
      <c r="A2438" s="511"/>
    </row>
    <row r="2439" spans="1:1" x14ac:dyDescent="0.25">
      <c r="A2439" s="511"/>
    </row>
    <row r="2440" spans="1:1" x14ac:dyDescent="0.25">
      <c r="A2440" s="511"/>
    </row>
    <row r="2441" spans="1:1" x14ac:dyDescent="0.25">
      <c r="A2441" s="511"/>
    </row>
    <row r="2442" spans="1:1" x14ac:dyDescent="0.25">
      <c r="A2442" s="511"/>
    </row>
    <row r="2443" spans="1:1" x14ac:dyDescent="0.25">
      <c r="A2443" s="511"/>
    </row>
    <row r="2444" spans="1:1" x14ac:dyDescent="0.25">
      <c r="A2444" s="511"/>
    </row>
    <row r="2445" spans="1:1" x14ac:dyDescent="0.25">
      <c r="A2445" s="511"/>
    </row>
    <row r="2446" spans="1:1" x14ac:dyDescent="0.25">
      <c r="A2446" s="511"/>
    </row>
    <row r="2447" spans="1:1" x14ac:dyDescent="0.25">
      <c r="A2447" s="511"/>
    </row>
    <row r="2448" spans="1:1" x14ac:dyDescent="0.25">
      <c r="A2448" s="511"/>
    </row>
    <row r="2449" spans="1:1" x14ac:dyDescent="0.25">
      <c r="A2449" s="511"/>
    </row>
    <row r="2450" spans="1:1" x14ac:dyDescent="0.25">
      <c r="A2450" s="511"/>
    </row>
    <row r="2451" spans="1:1" x14ac:dyDescent="0.25">
      <c r="A2451" s="511"/>
    </row>
    <row r="2452" spans="1:1" x14ac:dyDescent="0.25">
      <c r="A2452" s="511"/>
    </row>
    <row r="2453" spans="1:1" x14ac:dyDescent="0.25">
      <c r="A2453" s="511"/>
    </row>
    <row r="2454" spans="1:1" x14ac:dyDescent="0.25">
      <c r="A2454" s="511"/>
    </row>
    <row r="2455" spans="1:1" x14ac:dyDescent="0.25">
      <c r="A2455" s="511"/>
    </row>
    <row r="2456" spans="1:1" x14ac:dyDescent="0.25">
      <c r="A2456" s="511"/>
    </row>
    <row r="2457" spans="1:1" x14ac:dyDescent="0.25">
      <c r="A2457" s="511"/>
    </row>
    <row r="2458" spans="1:1" x14ac:dyDescent="0.25">
      <c r="A2458" s="511"/>
    </row>
    <row r="2459" spans="1:1" x14ac:dyDescent="0.25">
      <c r="A2459" s="511"/>
    </row>
    <row r="2460" spans="1:1" x14ac:dyDescent="0.25">
      <c r="A2460" s="511"/>
    </row>
    <row r="2461" spans="1:1" x14ac:dyDescent="0.25">
      <c r="A2461" s="511"/>
    </row>
    <row r="2462" spans="1:1" x14ac:dyDescent="0.25">
      <c r="A2462" s="511"/>
    </row>
    <row r="2463" spans="1:1" x14ac:dyDescent="0.25">
      <c r="A2463" s="511"/>
    </row>
    <row r="2464" spans="1:1" x14ac:dyDescent="0.25">
      <c r="A2464" s="511"/>
    </row>
    <row r="2465" spans="1:1" x14ac:dyDescent="0.25">
      <c r="A2465" s="511"/>
    </row>
    <row r="2466" spans="1:1" x14ac:dyDescent="0.25">
      <c r="A2466" s="511"/>
    </row>
    <row r="2467" spans="1:1" x14ac:dyDescent="0.25">
      <c r="A2467" s="511"/>
    </row>
    <row r="2468" spans="1:1" x14ac:dyDescent="0.25">
      <c r="A2468" s="511"/>
    </row>
    <row r="2469" spans="1:1" x14ac:dyDescent="0.25">
      <c r="A2469" s="511"/>
    </row>
    <row r="2470" spans="1:1" x14ac:dyDescent="0.25">
      <c r="A2470" s="511"/>
    </row>
    <row r="2471" spans="1:1" x14ac:dyDescent="0.25">
      <c r="A2471" s="511"/>
    </row>
    <row r="2472" spans="1:1" x14ac:dyDescent="0.25">
      <c r="A2472" s="511"/>
    </row>
    <row r="2473" spans="1:1" x14ac:dyDescent="0.25">
      <c r="A2473" s="511"/>
    </row>
    <row r="2474" spans="1:1" x14ac:dyDescent="0.25">
      <c r="A2474" s="511"/>
    </row>
    <row r="2475" spans="1:1" x14ac:dyDescent="0.25">
      <c r="A2475" s="511"/>
    </row>
    <row r="2476" spans="1:1" x14ac:dyDescent="0.25">
      <c r="A2476" s="511"/>
    </row>
    <row r="2477" spans="1:1" x14ac:dyDescent="0.25">
      <c r="A2477" s="511"/>
    </row>
    <row r="2478" spans="1:1" x14ac:dyDescent="0.25">
      <c r="A2478" s="511"/>
    </row>
    <row r="2479" spans="1:1" x14ac:dyDescent="0.25">
      <c r="A2479" s="511"/>
    </row>
    <row r="2480" spans="1:1" x14ac:dyDescent="0.25">
      <c r="A2480" s="511"/>
    </row>
    <row r="2481" spans="1:1" x14ac:dyDescent="0.25">
      <c r="A2481" s="511"/>
    </row>
    <row r="2482" spans="1:1" x14ac:dyDescent="0.25">
      <c r="A2482" s="511"/>
    </row>
    <row r="2483" spans="1:1" x14ac:dyDescent="0.25">
      <c r="A2483" s="511"/>
    </row>
    <row r="2484" spans="1:1" x14ac:dyDescent="0.25">
      <c r="A2484" s="511"/>
    </row>
    <row r="2485" spans="1:1" x14ac:dyDescent="0.25">
      <c r="A2485" s="511"/>
    </row>
    <row r="2486" spans="1:1" x14ac:dyDescent="0.25">
      <c r="A2486" s="511"/>
    </row>
    <row r="2487" spans="1:1" x14ac:dyDescent="0.25">
      <c r="A2487" s="511"/>
    </row>
    <row r="2488" spans="1:1" x14ac:dyDescent="0.25">
      <c r="A2488" s="511"/>
    </row>
    <row r="2489" spans="1:1" x14ac:dyDescent="0.25">
      <c r="A2489" s="511"/>
    </row>
    <row r="2490" spans="1:1" x14ac:dyDescent="0.25">
      <c r="A2490" s="511"/>
    </row>
    <row r="2491" spans="1:1" x14ac:dyDescent="0.25">
      <c r="A2491" s="511"/>
    </row>
    <row r="2492" spans="1:1" x14ac:dyDescent="0.25">
      <c r="A2492" s="511"/>
    </row>
    <row r="2493" spans="1:1" x14ac:dyDescent="0.25">
      <c r="A2493" s="511"/>
    </row>
    <row r="2494" spans="1:1" x14ac:dyDescent="0.25">
      <c r="A2494" s="511"/>
    </row>
    <row r="2495" spans="1:1" x14ac:dyDescent="0.25">
      <c r="A2495" s="511"/>
    </row>
    <row r="2496" spans="1:1" x14ac:dyDescent="0.25">
      <c r="A2496" s="511"/>
    </row>
    <row r="2497" spans="1:1" x14ac:dyDescent="0.25">
      <c r="A2497" s="511"/>
    </row>
    <row r="2498" spans="1:1" x14ac:dyDescent="0.25">
      <c r="A2498" s="511"/>
    </row>
    <row r="2499" spans="1:1" x14ac:dyDescent="0.25">
      <c r="A2499" s="511"/>
    </row>
    <row r="2500" spans="1:1" x14ac:dyDescent="0.25">
      <c r="A2500" s="511"/>
    </row>
    <row r="2501" spans="1:1" x14ac:dyDescent="0.25">
      <c r="A2501" s="511"/>
    </row>
    <row r="2502" spans="1:1" x14ac:dyDescent="0.25">
      <c r="A2502" s="511"/>
    </row>
    <row r="2503" spans="1:1" x14ac:dyDescent="0.25">
      <c r="A2503" s="511"/>
    </row>
    <row r="2504" spans="1:1" x14ac:dyDescent="0.25">
      <c r="A2504" s="511"/>
    </row>
    <row r="2505" spans="1:1" x14ac:dyDescent="0.25">
      <c r="A2505" s="511"/>
    </row>
    <row r="2506" spans="1:1" x14ac:dyDescent="0.25">
      <c r="A2506" s="511"/>
    </row>
    <row r="2507" spans="1:1" x14ac:dyDescent="0.25">
      <c r="A2507" s="511"/>
    </row>
    <row r="2508" spans="1:1" x14ac:dyDescent="0.25">
      <c r="A2508" s="511"/>
    </row>
    <row r="2509" spans="1:1" x14ac:dyDescent="0.25">
      <c r="A2509" s="511"/>
    </row>
    <row r="2510" spans="1:1" x14ac:dyDescent="0.25">
      <c r="A2510" s="511"/>
    </row>
    <row r="2511" spans="1:1" x14ac:dyDescent="0.25">
      <c r="A2511" s="511"/>
    </row>
    <row r="2512" spans="1:1" x14ac:dyDescent="0.25">
      <c r="A2512" s="511"/>
    </row>
    <row r="2513" spans="1:1" x14ac:dyDescent="0.25">
      <c r="A2513" s="511"/>
    </row>
    <row r="2514" spans="1:1" x14ac:dyDescent="0.25">
      <c r="A2514" s="511"/>
    </row>
    <row r="2515" spans="1:1" x14ac:dyDescent="0.25">
      <c r="A2515" s="511"/>
    </row>
    <row r="2516" spans="1:1" x14ac:dyDescent="0.25">
      <c r="A2516" s="511"/>
    </row>
    <row r="2517" spans="1:1" x14ac:dyDescent="0.25">
      <c r="A2517" s="511"/>
    </row>
    <row r="2518" spans="1:1" x14ac:dyDescent="0.25">
      <c r="A2518" s="511"/>
    </row>
    <row r="2519" spans="1:1" x14ac:dyDescent="0.25">
      <c r="A2519" s="511"/>
    </row>
    <row r="2520" spans="1:1" x14ac:dyDescent="0.25">
      <c r="A2520" s="511"/>
    </row>
    <row r="2521" spans="1:1" x14ac:dyDescent="0.25">
      <c r="A2521" s="511"/>
    </row>
    <row r="2522" spans="1:1" x14ac:dyDescent="0.25">
      <c r="A2522" s="511"/>
    </row>
    <row r="2523" spans="1:1" x14ac:dyDescent="0.25">
      <c r="A2523" s="511"/>
    </row>
    <row r="2524" spans="1:1" x14ac:dyDescent="0.25">
      <c r="A2524" s="511"/>
    </row>
    <row r="2525" spans="1:1" x14ac:dyDescent="0.25">
      <c r="A2525" s="511"/>
    </row>
    <row r="2526" spans="1:1" x14ac:dyDescent="0.25">
      <c r="A2526" s="511"/>
    </row>
    <row r="2527" spans="1:1" x14ac:dyDescent="0.25">
      <c r="A2527" s="511"/>
    </row>
    <row r="2528" spans="1:1" x14ac:dyDescent="0.25">
      <c r="A2528" s="511"/>
    </row>
    <row r="2529" spans="1:1" x14ac:dyDescent="0.25">
      <c r="A2529" s="511"/>
    </row>
    <row r="2530" spans="1:1" x14ac:dyDescent="0.25">
      <c r="A2530" s="511"/>
    </row>
    <row r="2531" spans="1:1" x14ac:dyDescent="0.25">
      <c r="A2531" s="511"/>
    </row>
    <row r="2532" spans="1:1" x14ac:dyDescent="0.25">
      <c r="A2532" s="511"/>
    </row>
    <row r="2533" spans="1:1" x14ac:dyDescent="0.25">
      <c r="A2533" s="511"/>
    </row>
    <row r="2534" spans="1:1" x14ac:dyDescent="0.25">
      <c r="A2534" s="511"/>
    </row>
    <row r="2535" spans="1:1" x14ac:dyDescent="0.25">
      <c r="A2535" s="511"/>
    </row>
    <row r="2536" spans="1:1" x14ac:dyDescent="0.25">
      <c r="A2536" s="511"/>
    </row>
    <row r="2537" spans="1:1" x14ac:dyDescent="0.25">
      <c r="A2537" s="511"/>
    </row>
    <row r="2538" spans="1:1" x14ac:dyDescent="0.25">
      <c r="A2538" s="511"/>
    </row>
    <row r="2539" spans="1:1" x14ac:dyDescent="0.25">
      <c r="A2539" s="511"/>
    </row>
    <row r="2540" spans="1:1" x14ac:dyDescent="0.25">
      <c r="A2540" s="511"/>
    </row>
    <row r="2541" spans="1:1" x14ac:dyDescent="0.25">
      <c r="A2541" s="511"/>
    </row>
    <row r="2542" spans="1:1" x14ac:dyDescent="0.25">
      <c r="A2542" s="511"/>
    </row>
    <row r="2543" spans="1:1" x14ac:dyDescent="0.25">
      <c r="A2543" s="511"/>
    </row>
    <row r="2544" spans="1:1" x14ac:dyDescent="0.25">
      <c r="A2544" s="511"/>
    </row>
    <row r="2545" spans="1:1" x14ac:dyDescent="0.25">
      <c r="A2545" s="511"/>
    </row>
    <row r="2546" spans="1:1" x14ac:dyDescent="0.25">
      <c r="A2546" s="511"/>
    </row>
    <row r="2547" spans="1:1" x14ac:dyDescent="0.25">
      <c r="A2547" s="511"/>
    </row>
    <row r="2548" spans="1:1" x14ac:dyDescent="0.25">
      <c r="A2548" s="511"/>
    </row>
    <row r="2549" spans="1:1" x14ac:dyDescent="0.25">
      <c r="A2549" s="511"/>
    </row>
    <row r="2550" spans="1:1" x14ac:dyDescent="0.25">
      <c r="A2550" s="511"/>
    </row>
    <row r="2551" spans="1:1" x14ac:dyDescent="0.25">
      <c r="A2551" s="511"/>
    </row>
    <row r="2552" spans="1:1" x14ac:dyDescent="0.25">
      <c r="A2552" s="511"/>
    </row>
    <row r="2553" spans="1:1" x14ac:dyDescent="0.25">
      <c r="A2553" s="511"/>
    </row>
    <row r="2554" spans="1:1" x14ac:dyDescent="0.25">
      <c r="A2554" s="511"/>
    </row>
    <row r="2555" spans="1:1" x14ac:dyDescent="0.25">
      <c r="A2555" s="511"/>
    </row>
    <row r="2556" spans="1:1" x14ac:dyDescent="0.25">
      <c r="A2556" s="511"/>
    </row>
    <row r="2557" spans="1:1" x14ac:dyDescent="0.25">
      <c r="A2557" s="511"/>
    </row>
    <row r="2558" spans="1:1" x14ac:dyDescent="0.25">
      <c r="A2558" s="511"/>
    </row>
    <row r="2559" spans="1:1" x14ac:dyDescent="0.25">
      <c r="A2559" s="511"/>
    </row>
    <row r="2560" spans="1:1" x14ac:dyDescent="0.25">
      <c r="A2560" s="511"/>
    </row>
    <row r="2561" spans="1:1" x14ac:dyDescent="0.25">
      <c r="A2561" s="511"/>
    </row>
    <row r="2562" spans="1:1" x14ac:dyDescent="0.25">
      <c r="A2562" s="511"/>
    </row>
    <row r="2563" spans="1:1" x14ac:dyDescent="0.25">
      <c r="A2563" s="511"/>
    </row>
    <row r="2564" spans="1:1" x14ac:dyDescent="0.25">
      <c r="A2564" s="511"/>
    </row>
    <row r="2565" spans="1:1" x14ac:dyDescent="0.25">
      <c r="A2565" s="511"/>
    </row>
    <row r="2566" spans="1:1" x14ac:dyDescent="0.25">
      <c r="A2566" s="511"/>
    </row>
    <row r="2567" spans="1:1" x14ac:dyDescent="0.25">
      <c r="A2567" s="511"/>
    </row>
    <row r="2568" spans="1:1" x14ac:dyDescent="0.25">
      <c r="A2568" s="511"/>
    </row>
    <row r="2569" spans="1:1" x14ac:dyDescent="0.25">
      <c r="A2569" s="511"/>
    </row>
    <row r="2570" spans="1:1" x14ac:dyDescent="0.25">
      <c r="A2570" s="511"/>
    </row>
    <row r="2571" spans="1:1" x14ac:dyDescent="0.25">
      <c r="A2571" s="511"/>
    </row>
    <row r="2572" spans="1:1" x14ac:dyDescent="0.25">
      <c r="A2572" s="511"/>
    </row>
    <row r="2573" spans="1:1" x14ac:dyDescent="0.25">
      <c r="A2573" s="511"/>
    </row>
    <row r="2574" spans="1:1" x14ac:dyDescent="0.25">
      <c r="A2574" s="511"/>
    </row>
    <row r="2575" spans="1:1" x14ac:dyDescent="0.25">
      <c r="A2575" s="511"/>
    </row>
    <row r="2576" spans="1:1" x14ac:dyDescent="0.25">
      <c r="A2576" s="511"/>
    </row>
    <row r="2577" spans="1:1" x14ac:dyDescent="0.25">
      <c r="A2577" s="511"/>
    </row>
    <row r="2578" spans="1:1" x14ac:dyDescent="0.25">
      <c r="A2578" s="511"/>
    </row>
    <row r="2579" spans="1:1" x14ac:dyDescent="0.25">
      <c r="A2579" s="511"/>
    </row>
    <row r="2580" spans="1:1" x14ac:dyDescent="0.25">
      <c r="A2580" s="511"/>
    </row>
    <row r="2581" spans="1:1" x14ac:dyDescent="0.25">
      <c r="A2581" s="511"/>
    </row>
    <row r="2582" spans="1:1" x14ac:dyDescent="0.25">
      <c r="A2582" s="511"/>
    </row>
    <row r="2583" spans="1:1" x14ac:dyDescent="0.25">
      <c r="A2583" s="511"/>
    </row>
    <row r="2584" spans="1:1" x14ac:dyDescent="0.25">
      <c r="A2584" s="511"/>
    </row>
    <row r="2585" spans="1:1" x14ac:dyDescent="0.25">
      <c r="A2585" s="511"/>
    </row>
    <row r="2586" spans="1:1" x14ac:dyDescent="0.25">
      <c r="A2586" s="511"/>
    </row>
    <row r="2587" spans="1:1" x14ac:dyDescent="0.25">
      <c r="A2587" s="511"/>
    </row>
    <row r="2588" spans="1:1" x14ac:dyDescent="0.25">
      <c r="A2588" s="511"/>
    </row>
    <row r="2589" spans="1:1" x14ac:dyDescent="0.25">
      <c r="A2589" s="511"/>
    </row>
    <row r="2590" spans="1:1" x14ac:dyDescent="0.25">
      <c r="A2590" s="511"/>
    </row>
    <row r="2591" spans="1:1" x14ac:dyDescent="0.25">
      <c r="A2591" s="511"/>
    </row>
    <row r="2592" spans="1:1" x14ac:dyDescent="0.25">
      <c r="A2592" s="511"/>
    </row>
    <row r="2593" spans="1:1" x14ac:dyDescent="0.25">
      <c r="A2593" s="511"/>
    </row>
    <row r="2594" spans="1:1" x14ac:dyDescent="0.25">
      <c r="A2594" s="511"/>
    </row>
    <row r="2595" spans="1:1" x14ac:dyDescent="0.25">
      <c r="A2595" s="511"/>
    </row>
    <row r="2596" spans="1:1" x14ac:dyDescent="0.25">
      <c r="A2596" s="511"/>
    </row>
    <row r="2597" spans="1:1" x14ac:dyDescent="0.25">
      <c r="A2597" s="511"/>
    </row>
    <row r="2598" spans="1:1" x14ac:dyDescent="0.25">
      <c r="A2598" s="511"/>
    </row>
    <row r="2599" spans="1:1" x14ac:dyDescent="0.25">
      <c r="A2599" s="511"/>
    </row>
    <row r="2600" spans="1:1" x14ac:dyDescent="0.25">
      <c r="A2600" s="511"/>
    </row>
    <row r="2601" spans="1:1" x14ac:dyDescent="0.25">
      <c r="A2601" s="511"/>
    </row>
    <row r="2602" spans="1:1" x14ac:dyDescent="0.25">
      <c r="A2602" s="511"/>
    </row>
    <row r="2603" spans="1:1" x14ac:dyDescent="0.25">
      <c r="A2603" s="511"/>
    </row>
    <row r="2604" spans="1:1" x14ac:dyDescent="0.25">
      <c r="A2604" s="511"/>
    </row>
    <row r="2605" spans="1:1" x14ac:dyDescent="0.25">
      <c r="A2605" s="511"/>
    </row>
    <row r="2606" spans="1:1" x14ac:dyDescent="0.25">
      <c r="A2606" s="511"/>
    </row>
    <row r="2607" spans="1:1" x14ac:dyDescent="0.25">
      <c r="A2607" s="511"/>
    </row>
    <row r="2608" spans="1:1" x14ac:dyDescent="0.25">
      <c r="A2608" s="511"/>
    </row>
    <row r="2609" spans="1:1" x14ac:dyDescent="0.25">
      <c r="A2609" s="511"/>
    </row>
    <row r="2610" spans="1:1" x14ac:dyDescent="0.25">
      <c r="A2610" s="511"/>
    </row>
    <row r="2611" spans="1:1" x14ac:dyDescent="0.25">
      <c r="A2611" s="511"/>
    </row>
    <row r="2612" spans="1:1" x14ac:dyDescent="0.25">
      <c r="A2612" s="511"/>
    </row>
    <row r="2613" spans="1:1" x14ac:dyDescent="0.25">
      <c r="A2613" s="511"/>
    </row>
    <row r="2614" spans="1:1" x14ac:dyDescent="0.25">
      <c r="A2614" s="511"/>
    </row>
    <row r="2615" spans="1:1" x14ac:dyDescent="0.25">
      <c r="A2615" s="511"/>
    </row>
    <row r="2616" spans="1:1" x14ac:dyDescent="0.25">
      <c r="A2616" s="511"/>
    </row>
    <row r="2617" spans="1:1" x14ac:dyDescent="0.25">
      <c r="A2617" s="511"/>
    </row>
    <row r="2618" spans="1:1" x14ac:dyDescent="0.25">
      <c r="A2618" s="511"/>
    </row>
    <row r="2619" spans="1:1" x14ac:dyDescent="0.25">
      <c r="A2619" s="511"/>
    </row>
    <row r="2620" spans="1:1" x14ac:dyDescent="0.25">
      <c r="A2620" s="511"/>
    </row>
    <row r="2621" spans="1:1" x14ac:dyDescent="0.25">
      <c r="A2621" s="511"/>
    </row>
    <row r="2622" spans="1:1" x14ac:dyDescent="0.25">
      <c r="A2622" s="511"/>
    </row>
    <row r="2623" spans="1:1" x14ac:dyDescent="0.25">
      <c r="A2623" s="511"/>
    </row>
    <row r="2624" spans="1:1" x14ac:dyDescent="0.25">
      <c r="A2624" s="511"/>
    </row>
    <row r="2625" spans="1:1" x14ac:dyDescent="0.25">
      <c r="A2625" s="511"/>
    </row>
    <row r="2626" spans="1:1" x14ac:dyDescent="0.25">
      <c r="A2626" s="511"/>
    </row>
    <row r="2627" spans="1:1" x14ac:dyDescent="0.25">
      <c r="A2627" s="511"/>
    </row>
    <row r="2628" spans="1:1" x14ac:dyDescent="0.25">
      <c r="A2628" s="511"/>
    </row>
    <row r="2629" spans="1:1" x14ac:dyDescent="0.25">
      <c r="A2629" s="511"/>
    </row>
    <row r="2630" spans="1:1" x14ac:dyDescent="0.25">
      <c r="A2630" s="511"/>
    </row>
    <row r="2631" spans="1:1" x14ac:dyDescent="0.25">
      <c r="A2631" s="511"/>
    </row>
    <row r="2632" spans="1:1" x14ac:dyDescent="0.25">
      <c r="A2632" s="511"/>
    </row>
    <row r="2633" spans="1:1" x14ac:dyDescent="0.25">
      <c r="A2633" s="511"/>
    </row>
    <row r="2634" spans="1:1" x14ac:dyDescent="0.25">
      <c r="A2634" s="511"/>
    </row>
    <row r="2635" spans="1:1" x14ac:dyDescent="0.25">
      <c r="A2635" s="511"/>
    </row>
    <row r="2636" spans="1:1" x14ac:dyDescent="0.25">
      <c r="A2636" s="511"/>
    </row>
    <row r="2637" spans="1:1" x14ac:dyDescent="0.25">
      <c r="A2637" s="511"/>
    </row>
    <row r="2638" spans="1:1" x14ac:dyDescent="0.25">
      <c r="A2638" s="511"/>
    </row>
    <row r="2639" spans="1:1" x14ac:dyDescent="0.25">
      <c r="A2639" s="511"/>
    </row>
    <row r="2640" spans="1:1" x14ac:dyDescent="0.25">
      <c r="A2640" s="511"/>
    </row>
    <row r="2641" spans="1:1" x14ac:dyDescent="0.25">
      <c r="A2641" s="511"/>
    </row>
    <row r="2642" spans="1:1" x14ac:dyDescent="0.25">
      <c r="A2642" s="511"/>
    </row>
    <row r="2643" spans="1:1" x14ac:dyDescent="0.25">
      <c r="A2643" s="511"/>
    </row>
    <row r="2644" spans="1:1" x14ac:dyDescent="0.25">
      <c r="A2644" s="511"/>
    </row>
    <row r="2645" spans="1:1" x14ac:dyDescent="0.25">
      <c r="A2645" s="511"/>
    </row>
    <row r="2646" spans="1:1" x14ac:dyDescent="0.25">
      <c r="A2646" s="511"/>
    </row>
    <row r="2647" spans="1:1" x14ac:dyDescent="0.25">
      <c r="A2647" s="511"/>
    </row>
    <row r="2648" spans="1:1" x14ac:dyDescent="0.25">
      <c r="A2648" s="511"/>
    </row>
    <row r="2649" spans="1:1" x14ac:dyDescent="0.25">
      <c r="A2649" s="511"/>
    </row>
    <row r="2650" spans="1:1" x14ac:dyDescent="0.25">
      <c r="A2650" s="511"/>
    </row>
    <row r="2651" spans="1:1" x14ac:dyDescent="0.25">
      <c r="A2651" s="511"/>
    </row>
    <row r="2652" spans="1:1" x14ac:dyDescent="0.25">
      <c r="A2652" s="511"/>
    </row>
    <row r="2653" spans="1:1" x14ac:dyDescent="0.25">
      <c r="A2653" s="511"/>
    </row>
    <row r="2654" spans="1:1" x14ac:dyDescent="0.25">
      <c r="A2654" s="511"/>
    </row>
    <row r="2655" spans="1:1" x14ac:dyDescent="0.25">
      <c r="A2655" s="511"/>
    </row>
    <row r="2656" spans="1:1" x14ac:dyDescent="0.25">
      <c r="A2656" s="511"/>
    </row>
    <row r="2657" spans="1:1" x14ac:dyDescent="0.25">
      <c r="A2657" s="511"/>
    </row>
    <row r="2658" spans="1:1" x14ac:dyDescent="0.25">
      <c r="A2658" s="511"/>
    </row>
    <row r="2659" spans="1:1" x14ac:dyDescent="0.25">
      <c r="A2659" s="511"/>
    </row>
    <row r="2660" spans="1:1" x14ac:dyDescent="0.25">
      <c r="A2660" s="511"/>
    </row>
    <row r="2661" spans="1:1" x14ac:dyDescent="0.25">
      <c r="A2661" s="511"/>
    </row>
    <row r="2662" spans="1:1" x14ac:dyDescent="0.25">
      <c r="A2662" s="511"/>
    </row>
    <row r="2663" spans="1:1" x14ac:dyDescent="0.25">
      <c r="A2663" s="511"/>
    </row>
    <row r="2664" spans="1:1" x14ac:dyDescent="0.25">
      <c r="A2664" s="511"/>
    </row>
    <row r="2665" spans="1:1" x14ac:dyDescent="0.25">
      <c r="A2665" s="511"/>
    </row>
    <row r="2666" spans="1:1" x14ac:dyDescent="0.25">
      <c r="A2666" s="511"/>
    </row>
    <row r="2667" spans="1:1" x14ac:dyDescent="0.25">
      <c r="A2667" s="511"/>
    </row>
    <row r="2668" spans="1:1" x14ac:dyDescent="0.25">
      <c r="A2668" s="511"/>
    </row>
    <row r="2669" spans="1:1" x14ac:dyDescent="0.25">
      <c r="A2669" s="511"/>
    </row>
    <row r="2670" spans="1:1" x14ac:dyDescent="0.25">
      <c r="A2670" s="511"/>
    </row>
    <row r="2671" spans="1:1" x14ac:dyDescent="0.25">
      <c r="A2671" s="511"/>
    </row>
    <row r="2672" spans="1:1" x14ac:dyDescent="0.25">
      <c r="A2672" s="511"/>
    </row>
    <row r="2673" spans="1:1" x14ac:dyDescent="0.25">
      <c r="A2673" s="511"/>
    </row>
    <row r="2674" spans="1:1" x14ac:dyDescent="0.25">
      <c r="A2674" s="511"/>
    </row>
    <row r="2675" spans="1:1" x14ac:dyDescent="0.25">
      <c r="A2675" s="511"/>
    </row>
    <row r="2676" spans="1:1" x14ac:dyDescent="0.25">
      <c r="A2676" s="511"/>
    </row>
    <row r="2677" spans="1:1" x14ac:dyDescent="0.25">
      <c r="A2677" s="511"/>
    </row>
    <row r="2678" spans="1:1" x14ac:dyDescent="0.25">
      <c r="A2678" s="511"/>
    </row>
    <row r="2679" spans="1:1" x14ac:dyDescent="0.25">
      <c r="A2679" s="511"/>
    </row>
    <row r="2680" spans="1:1" x14ac:dyDescent="0.25">
      <c r="A2680" s="511"/>
    </row>
    <row r="2681" spans="1:1" x14ac:dyDescent="0.25">
      <c r="A2681" s="511"/>
    </row>
    <row r="2682" spans="1:1" x14ac:dyDescent="0.25">
      <c r="A2682" s="511"/>
    </row>
    <row r="2683" spans="1:1" x14ac:dyDescent="0.25">
      <c r="A2683" s="511"/>
    </row>
    <row r="2684" spans="1:1" x14ac:dyDescent="0.25">
      <c r="A2684" s="511"/>
    </row>
    <row r="2685" spans="1:1" x14ac:dyDescent="0.25">
      <c r="A2685" s="511"/>
    </row>
    <row r="2686" spans="1:1" x14ac:dyDescent="0.25">
      <c r="A2686" s="511"/>
    </row>
    <row r="2687" spans="1:1" x14ac:dyDescent="0.25">
      <c r="A2687" s="511"/>
    </row>
    <row r="2688" spans="1:1" x14ac:dyDescent="0.25">
      <c r="A2688" s="511"/>
    </row>
    <row r="2689" spans="1:1" x14ac:dyDescent="0.25">
      <c r="A2689" s="511"/>
    </row>
    <row r="2690" spans="1:1" x14ac:dyDescent="0.25">
      <c r="A2690" s="511"/>
    </row>
    <row r="2691" spans="1:1" x14ac:dyDescent="0.25">
      <c r="A2691" s="511"/>
    </row>
    <row r="2692" spans="1:1" x14ac:dyDescent="0.25">
      <c r="A2692" s="511"/>
    </row>
    <row r="2693" spans="1:1" x14ac:dyDescent="0.25">
      <c r="A2693" s="511"/>
    </row>
    <row r="2694" spans="1:1" x14ac:dyDescent="0.25">
      <c r="A2694" s="511"/>
    </row>
    <row r="2695" spans="1:1" x14ac:dyDescent="0.25">
      <c r="A2695" s="511"/>
    </row>
    <row r="2696" spans="1:1" x14ac:dyDescent="0.25">
      <c r="A2696" s="511"/>
    </row>
    <row r="2697" spans="1:1" x14ac:dyDescent="0.25">
      <c r="A2697" s="511"/>
    </row>
    <row r="2698" spans="1:1" x14ac:dyDescent="0.25">
      <c r="A2698" s="511"/>
    </row>
    <row r="2699" spans="1:1" x14ac:dyDescent="0.25">
      <c r="A2699" s="511"/>
    </row>
    <row r="2700" spans="1:1" x14ac:dyDescent="0.25">
      <c r="A2700" s="511"/>
    </row>
    <row r="2701" spans="1:1" x14ac:dyDescent="0.25">
      <c r="A2701" s="511"/>
    </row>
    <row r="2702" spans="1:1" x14ac:dyDescent="0.25">
      <c r="A2702" s="511"/>
    </row>
    <row r="2703" spans="1:1" x14ac:dyDescent="0.25">
      <c r="A2703" s="511"/>
    </row>
    <row r="2704" spans="1:1" x14ac:dyDescent="0.25">
      <c r="A2704" s="511"/>
    </row>
    <row r="2705" spans="1:1" x14ac:dyDescent="0.25">
      <c r="A2705" s="511"/>
    </row>
    <row r="2706" spans="1:1" x14ac:dyDescent="0.25">
      <c r="A2706" s="511"/>
    </row>
    <row r="2707" spans="1:1" x14ac:dyDescent="0.25">
      <c r="A2707" s="511"/>
    </row>
    <row r="2708" spans="1:1" x14ac:dyDescent="0.25">
      <c r="A2708" s="511"/>
    </row>
    <row r="2709" spans="1:1" x14ac:dyDescent="0.25">
      <c r="A2709" s="511"/>
    </row>
    <row r="2710" spans="1:1" x14ac:dyDescent="0.25">
      <c r="A2710" s="511"/>
    </row>
    <row r="2711" spans="1:1" x14ac:dyDescent="0.25">
      <c r="A2711" s="511"/>
    </row>
    <row r="2712" spans="1:1" x14ac:dyDescent="0.25">
      <c r="A2712" s="511"/>
    </row>
    <row r="2713" spans="1:1" x14ac:dyDescent="0.25">
      <c r="A2713" s="511"/>
    </row>
    <row r="2714" spans="1:1" x14ac:dyDescent="0.25">
      <c r="A2714" s="511"/>
    </row>
    <row r="2715" spans="1:1" x14ac:dyDescent="0.25">
      <c r="A2715" s="511"/>
    </row>
    <row r="2716" spans="1:1" x14ac:dyDescent="0.25">
      <c r="A2716" s="511"/>
    </row>
    <row r="2717" spans="1:1" x14ac:dyDescent="0.25">
      <c r="A2717" s="511"/>
    </row>
    <row r="2718" spans="1:1" x14ac:dyDescent="0.25">
      <c r="A2718" s="511"/>
    </row>
    <row r="2719" spans="1:1" x14ac:dyDescent="0.25">
      <c r="A2719" s="511"/>
    </row>
    <row r="2720" spans="1:1" x14ac:dyDescent="0.25">
      <c r="A2720" s="511"/>
    </row>
    <row r="2721" spans="1:1" x14ac:dyDescent="0.25">
      <c r="A2721" s="511"/>
    </row>
    <row r="2722" spans="1:1" x14ac:dyDescent="0.25">
      <c r="A2722" s="511"/>
    </row>
    <row r="2723" spans="1:1" x14ac:dyDescent="0.25">
      <c r="A2723" s="511"/>
    </row>
    <row r="2724" spans="1:1" x14ac:dyDescent="0.25">
      <c r="A2724" s="511"/>
    </row>
    <row r="2725" spans="1:1" x14ac:dyDescent="0.25">
      <c r="A2725" s="511"/>
    </row>
    <row r="2726" spans="1:1" x14ac:dyDescent="0.25">
      <c r="A2726" s="511"/>
    </row>
    <row r="2727" spans="1:1" x14ac:dyDescent="0.25">
      <c r="A2727" s="511"/>
    </row>
    <row r="2728" spans="1:1" x14ac:dyDescent="0.25">
      <c r="A2728" s="511"/>
    </row>
    <row r="2729" spans="1:1" x14ac:dyDescent="0.25">
      <c r="A2729" s="511"/>
    </row>
    <row r="2730" spans="1:1" x14ac:dyDescent="0.25">
      <c r="A2730" s="511"/>
    </row>
    <row r="2731" spans="1:1" x14ac:dyDescent="0.25">
      <c r="A2731" s="511"/>
    </row>
    <row r="2732" spans="1:1" x14ac:dyDescent="0.25">
      <c r="A2732" s="511"/>
    </row>
    <row r="2733" spans="1:1" x14ac:dyDescent="0.25">
      <c r="A2733" s="511"/>
    </row>
    <row r="2734" spans="1:1" x14ac:dyDescent="0.25">
      <c r="A2734" s="511"/>
    </row>
    <row r="2735" spans="1:1" x14ac:dyDescent="0.25">
      <c r="A2735" s="511"/>
    </row>
    <row r="2736" spans="1:1" x14ac:dyDescent="0.25">
      <c r="A2736" s="511"/>
    </row>
    <row r="2737" spans="1:1" x14ac:dyDescent="0.25">
      <c r="A2737" s="511"/>
    </row>
    <row r="2738" spans="1:1" x14ac:dyDescent="0.25">
      <c r="A2738" s="511"/>
    </row>
    <row r="2739" spans="1:1" x14ac:dyDescent="0.25">
      <c r="A2739" s="511"/>
    </row>
    <row r="2740" spans="1:1" x14ac:dyDescent="0.25">
      <c r="A2740" s="511"/>
    </row>
    <row r="2741" spans="1:1" x14ac:dyDescent="0.25">
      <c r="A2741" s="511"/>
    </row>
    <row r="2742" spans="1:1" x14ac:dyDescent="0.25">
      <c r="A2742" s="511"/>
    </row>
    <row r="2743" spans="1:1" x14ac:dyDescent="0.25">
      <c r="A2743" s="511"/>
    </row>
    <row r="2744" spans="1:1" x14ac:dyDescent="0.25">
      <c r="A2744" s="511"/>
    </row>
    <row r="2745" spans="1:1" x14ac:dyDescent="0.25">
      <c r="A2745" s="511"/>
    </row>
    <row r="2746" spans="1:1" x14ac:dyDescent="0.25">
      <c r="A2746" s="511"/>
    </row>
    <row r="2747" spans="1:1" x14ac:dyDescent="0.25">
      <c r="A2747" s="511"/>
    </row>
    <row r="2748" spans="1:1" x14ac:dyDescent="0.25">
      <c r="A2748" s="511"/>
    </row>
    <row r="2749" spans="1:1" x14ac:dyDescent="0.25">
      <c r="A2749" s="511"/>
    </row>
    <row r="2750" spans="1:1" x14ac:dyDescent="0.25">
      <c r="A2750" s="511"/>
    </row>
    <row r="2751" spans="1:1" x14ac:dyDescent="0.25">
      <c r="A2751" s="511"/>
    </row>
    <row r="2752" spans="1:1" x14ac:dyDescent="0.25">
      <c r="A2752" s="511"/>
    </row>
    <row r="2753" spans="1:1" x14ac:dyDescent="0.25">
      <c r="A2753" s="511"/>
    </row>
    <row r="2754" spans="1:1" x14ac:dyDescent="0.25">
      <c r="A2754" s="511"/>
    </row>
    <row r="2755" spans="1:1" x14ac:dyDescent="0.25">
      <c r="A2755" s="511"/>
    </row>
    <row r="2756" spans="1:1" x14ac:dyDescent="0.25">
      <c r="A2756" s="511"/>
    </row>
    <row r="2757" spans="1:1" x14ac:dyDescent="0.25">
      <c r="A2757" s="511"/>
    </row>
    <row r="2758" spans="1:1" x14ac:dyDescent="0.25">
      <c r="A2758" s="511"/>
    </row>
    <row r="2759" spans="1:1" x14ac:dyDescent="0.25">
      <c r="A2759" s="511"/>
    </row>
    <row r="2760" spans="1:1" x14ac:dyDescent="0.25">
      <c r="A2760" s="511"/>
    </row>
    <row r="2761" spans="1:1" x14ac:dyDescent="0.25">
      <c r="A2761" s="511"/>
    </row>
    <row r="2762" spans="1:1" x14ac:dyDescent="0.25">
      <c r="A2762" s="511"/>
    </row>
    <row r="2763" spans="1:1" x14ac:dyDescent="0.25">
      <c r="A2763" s="511"/>
    </row>
    <row r="2764" spans="1:1" x14ac:dyDescent="0.25">
      <c r="A2764" s="511"/>
    </row>
    <row r="2765" spans="1:1" x14ac:dyDescent="0.25">
      <c r="A2765" s="511"/>
    </row>
    <row r="2766" spans="1:1" x14ac:dyDescent="0.25">
      <c r="A2766" s="511"/>
    </row>
    <row r="2767" spans="1:1" x14ac:dyDescent="0.25">
      <c r="A2767" s="511"/>
    </row>
    <row r="2768" spans="1:1" x14ac:dyDescent="0.25">
      <c r="A2768" s="511"/>
    </row>
    <row r="2769" spans="1:1" x14ac:dyDescent="0.25">
      <c r="A2769" s="511"/>
    </row>
    <row r="2770" spans="1:1" x14ac:dyDescent="0.25">
      <c r="A2770" s="511"/>
    </row>
    <row r="2771" spans="1:1" x14ac:dyDescent="0.25">
      <c r="A2771" s="511"/>
    </row>
    <row r="2772" spans="1:1" x14ac:dyDescent="0.25">
      <c r="A2772" s="511"/>
    </row>
    <row r="2773" spans="1:1" x14ac:dyDescent="0.25">
      <c r="A2773" s="511"/>
    </row>
    <row r="2774" spans="1:1" x14ac:dyDescent="0.25">
      <c r="A2774" s="511"/>
    </row>
    <row r="2775" spans="1:1" x14ac:dyDescent="0.25">
      <c r="A2775" s="511"/>
    </row>
    <row r="2776" spans="1:1" x14ac:dyDescent="0.25">
      <c r="A2776" s="511"/>
    </row>
    <row r="2777" spans="1:1" x14ac:dyDescent="0.25">
      <c r="A2777" s="511"/>
    </row>
    <row r="2778" spans="1:1" x14ac:dyDescent="0.25">
      <c r="A2778" s="511"/>
    </row>
    <row r="2779" spans="1:1" x14ac:dyDescent="0.25">
      <c r="A2779" s="511"/>
    </row>
    <row r="2780" spans="1:1" x14ac:dyDescent="0.25">
      <c r="A2780" s="511"/>
    </row>
    <row r="2781" spans="1:1" x14ac:dyDescent="0.25">
      <c r="A2781" s="511"/>
    </row>
    <row r="2782" spans="1:1" x14ac:dyDescent="0.25">
      <c r="A2782" s="511"/>
    </row>
    <row r="2783" spans="1:1" x14ac:dyDescent="0.25">
      <c r="A2783" s="511"/>
    </row>
    <row r="2784" spans="1:1" x14ac:dyDescent="0.25">
      <c r="A2784" s="511"/>
    </row>
    <row r="2785" spans="1:1" x14ac:dyDescent="0.25">
      <c r="A2785" s="511"/>
    </row>
    <row r="2786" spans="1:1" x14ac:dyDescent="0.25">
      <c r="A2786" s="511"/>
    </row>
    <row r="2787" spans="1:1" x14ac:dyDescent="0.25">
      <c r="A2787" s="511"/>
    </row>
    <row r="2788" spans="1:1" x14ac:dyDescent="0.25">
      <c r="A2788" s="511"/>
    </row>
    <row r="2789" spans="1:1" x14ac:dyDescent="0.25">
      <c r="A2789" s="511"/>
    </row>
    <row r="2790" spans="1:1" x14ac:dyDescent="0.25">
      <c r="A2790" s="511"/>
    </row>
    <row r="2791" spans="1:1" x14ac:dyDescent="0.25">
      <c r="A2791" s="511"/>
    </row>
    <row r="2792" spans="1:1" x14ac:dyDescent="0.25">
      <c r="A2792" s="511"/>
    </row>
    <row r="2793" spans="1:1" x14ac:dyDescent="0.25">
      <c r="A2793" s="511"/>
    </row>
    <row r="2794" spans="1:1" x14ac:dyDescent="0.25">
      <c r="A2794" s="511"/>
    </row>
    <row r="2795" spans="1:1" x14ac:dyDescent="0.25">
      <c r="A2795" s="511"/>
    </row>
    <row r="2796" spans="1:1" x14ac:dyDescent="0.25">
      <c r="A2796" s="511"/>
    </row>
    <row r="2797" spans="1:1" x14ac:dyDescent="0.25">
      <c r="A2797" s="511"/>
    </row>
    <row r="2798" spans="1:1" x14ac:dyDescent="0.25">
      <c r="A2798" s="511"/>
    </row>
    <row r="2799" spans="1:1" x14ac:dyDescent="0.25">
      <c r="A2799" s="511"/>
    </row>
    <row r="2800" spans="1:1" x14ac:dyDescent="0.25">
      <c r="A2800" s="511"/>
    </row>
    <row r="2801" spans="1:1" x14ac:dyDescent="0.25">
      <c r="A2801" s="511"/>
    </row>
    <row r="2802" spans="1:1" x14ac:dyDescent="0.25">
      <c r="A2802" s="511"/>
    </row>
    <row r="2803" spans="1:1" x14ac:dyDescent="0.25">
      <c r="A2803" s="511"/>
    </row>
    <row r="2804" spans="1:1" x14ac:dyDescent="0.25">
      <c r="A2804" s="511"/>
    </row>
    <row r="2805" spans="1:1" x14ac:dyDescent="0.25">
      <c r="A2805" s="511"/>
    </row>
    <row r="2806" spans="1:1" x14ac:dyDescent="0.25">
      <c r="A2806" s="511"/>
    </row>
    <row r="2807" spans="1:1" x14ac:dyDescent="0.25">
      <c r="A2807" s="511"/>
    </row>
    <row r="2808" spans="1:1" x14ac:dyDescent="0.25">
      <c r="A2808" s="511"/>
    </row>
    <row r="2809" spans="1:1" x14ac:dyDescent="0.25">
      <c r="A2809" s="511"/>
    </row>
    <row r="2810" spans="1:1" x14ac:dyDescent="0.25">
      <c r="A2810" s="511"/>
    </row>
    <row r="2811" spans="1:1" x14ac:dyDescent="0.25">
      <c r="A2811" s="511"/>
    </row>
    <row r="2812" spans="1:1" x14ac:dyDescent="0.25">
      <c r="A2812" s="511"/>
    </row>
    <row r="2813" spans="1:1" x14ac:dyDescent="0.25">
      <c r="A2813" s="511"/>
    </row>
    <row r="2814" spans="1:1" x14ac:dyDescent="0.25">
      <c r="A2814" s="511"/>
    </row>
    <row r="2815" spans="1:1" x14ac:dyDescent="0.25">
      <c r="A2815" s="511"/>
    </row>
    <row r="2816" spans="1:1" x14ac:dyDescent="0.25">
      <c r="A2816" s="511"/>
    </row>
    <row r="2817" spans="1:1" x14ac:dyDescent="0.25">
      <c r="A2817" s="511"/>
    </row>
    <row r="2818" spans="1:1" x14ac:dyDescent="0.25">
      <c r="A2818" s="511"/>
    </row>
    <row r="2819" spans="1:1" x14ac:dyDescent="0.25">
      <c r="A2819" s="511"/>
    </row>
    <row r="2820" spans="1:1" x14ac:dyDescent="0.25">
      <c r="A2820" s="511"/>
    </row>
    <row r="2821" spans="1:1" x14ac:dyDescent="0.25">
      <c r="A2821" s="511"/>
    </row>
    <row r="2822" spans="1:1" x14ac:dyDescent="0.25">
      <c r="A2822" s="511"/>
    </row>
    <row r="2823" spans="1:1" x14ac:dyDescent="0.25">
      <c r="A2823" s="511"/>
    </row>
    <row r="2824" spans="1:1" x14ac:dyDescent="0.25">
      <c r="A2824" s="511"/>
    </row>
    <row r="2825" spans="1:1" x14ac:dyDescent="0.25">
      <c r="A2825" s="511"/>
    </row>
    <row r="2826" spans="1:1" x14ac:dyDescent="0.25">
      <c r="A2826" s="511"/>
    </row>
    <row r="2827" spans="1:1" x14ac:dyDescent="0.25">
      <c r="A2827" s="511"/>
    </row>
    <row r="2828" spans="1:1" x14ac:dyDescent="0.25">
      <c r="A2828" s="511"/>
    </row>
    <row r="2829" spans="1:1" x14ac:dyDescent="0.25">
      <c r="A2829" s="511"/>
    </row>
    <row r="2830" spans="1:1" x14ac:dyDescent="0.25">
      <c r="A2830" s="511"/>
    </row>
    <row r="2831" spans="1:1" x14ac:dyDescent="0.25">
      <c r="A2831" s="511"/>
    </row>
    <row r="2832" spans="1:1" x14ac:dyDescent="0.25">
      <c r="A2832" s="511"/>
    </row>
    <row r="2833" spans="1:1" x14ac:dyDescent="0.25">
      <c r="A2833" s="511"/>
    </row>
    <row r="2834" spans="1:1" x14ac:dyDescent="0.25">
      <c r="A2834" s="511"/>
    </row>
    <row r="2835" spans="1:1" x14ac:dyDescent="0.25">
      <c r="A2835" s="511"/>
    </row>
    <row r="2836" spans="1:1" x14ac:dyDescent="0.25">
      <c r="A2836" s="511"/>
    </row>
    <row r="2837" spans="1:1" x14ac:dyDescent="0.25">
      <c r="A2837" s="511"/>
    </row>
    <row r="2838" spans="1:1" x14ac:dyDescent="0.25">
      <c r="A2838" s="511"/>
    </row>
    <row r="2839" spans="1:1" x14ac:dyDescent="0.25">
      <c r="A2839" s="511"/>
    </row>
    <row r="2840" spans="1:1" x14ac:dyDescent="0.25">
      <c r="A2840" s="511"/>
    </row>
    <row r="2841" spans="1:1" x14ac:dyDescent="0.25">
      <c r="A2841" s="511"/>
    </row>
    <row r="2842" spans="1:1" x14ac:dyDescent="0.25">
      <c r="A2842" s="511"/>
    </row>
    <row r="2843" spans="1:1" x14ac:dyDescent="0.25">
      <c r="A2843" s="511"/>
    </row>
    <row r="2844" spans="1:1" x14ac:dyDescent="0.25">
      <c r="A2844" s="511"/>
    </row>
    <row r="2845" spans="1:1" x14ac:dyDescent="0.25">
      <c r="A2845" s="511"/>
    </row>
    <row r="2846" spans="1:1" x14ac:dyDescent="0.25">
      <c r="A2846" s="511"/>
    </row>
    <row r="2847" spans="1:1" x14ac:dyDescent="0.25">
      <c r="A2847" s="511"/>
    </row>
    <row r="2848" spans="1:1" x14ac:dyDescent="0.25">
      <c r="A2848" s="511"/>
    </row>
    <row r="2849" spans="1:1" x14ac:dyDescent="0.25">
      <c r="A2849" s="511"/>
    </row>
    <row r="2850" spans="1:1" x14ac:dyDescent="0.25">
      <c r="A2850" s="511"/>
    </row>
    <row r="2851" spans="1:1" x14ac:dyDescent="0.25">
      <c r="A2851" s="511"/>
    </row>
    <row r="2852" spans="1:1" x14ac:dyDescent="0.25">
      <c r="A2852" s="511"/>
    </row>
    <row r="2853" spans="1:1" x14ac:dyDescent="0.25">
      <c r="A2853" s="511"/>
    </row>
    <row r="2854" spans="1:1" x14ac:dyDescent="0.25">
      <c r="A2854" s="511"/>
    </row>
    <row r="2855" spans="1:1" x14ac:dyDescent="0.25">
      <c r="A2855" s="511"/>
    </row>
    <row r="2856" spans="1:1" x14ac:dyDescent="0.25">
      <c r="A2856" s="511"/>
    </row>
    <row r="2857" spans="1:1" x14ac:dyDescent="0.25">
      <c r="A2857" s="511"/>
    </row>
    <row r="2858" spans="1:1" x14ac:dyDescent="0.25">
      <c r="A2858" s="511"/>
    </row>
    <row r="2859" spans="1:1" x14ac:dyDescent="0.25">
      <c r="A2859" s="511"/>
    </row>
    <row r="2860" spans="1:1" x14ac:dyDescent="0.25">
      <c r="A2860" s="511"/>
    </row>
    <row r="2861" spans="1:1" x14ac:dyDescent="0.25">
      <c r="A2861" s="511"/>
    </row>
    <row r="2862" spans="1:1" x14ac:dyDescent="0.25">
      <c r="A2862" s="511"/>
    </row>
    <row r="2863" spans="1:1" x14ac:dyDescent="0.25">
      <c r="A2863" s="511"/>
    </row>
    <row r="2864" spans="1:1" x14ac:dyDescent="0.25">
      <c r="A2864" s="511"/>
    </row>
    <row r="2865" spans="1:1" x14ac:dyDescent="0.25">
      <c r="A2865" s="511"/>
    </row>
    <row r="2866" spans="1:1" x14ac:dyDescent="0.25">
      <c r="A2866" s="511"/>
    </row>
    <row r="2867" spans="1:1" x14ac:dyDescent="0.25">
      <c r="A2867" s="511"/>
    </row>
    <row r="2868" spans="1:1" x14ac:dyDescent="0.25">
      <c r="A2868" s="511"/>
    </row>
    <row r="2869" spans="1:1" x14ac:dyDescent="0.25">
      <c r="A2869" s="511"/>
    </row>
    <row r="2870" spans="1:1" x14ac:dyDescent="0.25">
      <c r="A2870" s="511"/>
    </row>
    <row r="2871" spans="1:1" x14ac:dyDescent="0.25">
      <c r="A2871" s="511"/>
    </row>
    <row r="2872" spans="1:1" x14ac:dyDescent="0.25">
      <c r="A2872" s="511"/>
    </row>
    <row r="2873" spans="1:1" x14ac:dyDescent="0.25">
      <c r="A2873" s="511"/>
    </row>
    <row r="2874" spans="1:1" x14ac:dyDescent="0.25">
      <c r="A2874" s="511"/>
    </row>
    <row r="2875" spans="1:1" x14ac:dyDescent="0.25">
      <c r="A2875" s="511"/>
    </row>
    <row r="2876" spans="1:1" x14ac:dyDescent="0.25">
      <c r="A2876" s="511"/>
    </row>
    <row r="2877" spans="1:1" x14ac:dyDescent="0.25">
      <c r="A2877" s="511"/>
    </row>
    <row r="2878" spans="1:1" x14ac:dyDescent="0.25">
      <c r="A2878" s="511"/>
    </row>
    <row r="2879" spans="1:1" x14ac:dyDescent="0.25">
      <c r="A2879" s="511"/>
    </row>
    <row r="2880" spans="1:1" x14ac:dyDescent="0.25">
      <c r="A2880" s="511"/>
    </row>
    <row r="2881" spans="1:1" x14ac:dyDescent="0.25">
      <c r="A2881" s="511"/>
    </row>
    <row r="2882" spans="1:1" x14ac:dyDescent="0.25">
      <c r="A2882" s="511"/>
    </row>
    <row r="2883" spans="1:1" x14ac:dyDescent="0.25">
      <c r="A2883" s="511"/>
    </row>
    <row r="2884" spans="1:1" x14ac:dyDescent="0.25">
      <c r="A2884" s="511"/>
    </row>
    <row r="2885" spans="1:1" x14ac:dyDescent="0.25">
      <c r="A2885" s="511"/>
    </row>
    <row r="2886" spans="1:1" x14ac:dyDescent="0.25">
      <c r="A2886" s="511"/>
    </row>
    <row r="2887" spans="1:1" x14ac:dyDescent="0.25">
      <c r="A2887" s="511"/>
    </row>
    <row r="2888" spans="1:1" x14ac:dyDescent="0.25">
      <c r="A2888" s="511"/>
    </row>
    <row r="2889" spans="1:1" x14ac:dyDescent="0.25">
      <c r="A2889" s="511"/>
    </row>
    <row r="2890" spans="1:1" x14ac:dyDescent="0.25">
      <c r="A2890" s="511"/>
    </row>
    <row r="2891" spans="1:1" x14ac:dyDescent="0.25">
      <c r="A2891" s="511"/>
    </row>
    <row r="2892" spans="1:1" x14ac:dyDescent="0.25">
      <c r="A2892" s="511"/>
    </row>
    <row r="2893" spans="1:1" x14ac:dyDescent="0.25">
      <c r="A2893" s="511"/>
    </row>
    <row r="2894" spans="1:1" x14ac:dyDescent="0.25">
      <c r="A2894" s="511"/>
    </row>
    <row r="2895" spans="1:1" x14ac:dyDescent="0.25">
      <c r="A2895" s="511"/>
    </row>
    <row r="2896" spans="1:1" x14ac:dyDescent="0.25">
      <c r="A2896" s="511"/>
    </row>
    <row r="2897" spans="1:1" x14ac:dyDescent="0.25">
      <c r="A2897" s="511"/>
    </row>
    <row r="2898" spans="1:1" x14ac:dyDescent="0.25">
      <c r="A2898" s="511"/>
    </row>
    <row r="2899" spans="1:1" x14ac:dyDescent="0.25">
      <c r="A2899" s="511"/>
    </row>
    <row r="2900" spans="1:1" x14ac:dyDescent="0.25">
      <c r="A2900" s="511"/>
    </row>
    <row r="2901" spans="1:1" x14ac:dyDescent="0.25">
      <c r="A2901" s="511"/>
    </row>
    <row r="2902" spans="1:1" x14ac:dyDescent="0.25">
      <c r="A2902" s="511"/>
    </row>
    <row r="2903" spans="1:1" x14ac:dyDescent="0.25">
      <c r="A2903" s="511"/>
    </row>
    <row r="2904" spans="1:1" x14ac:dyDescent="0.25">
      <c r="A2904" s="511"/>
    </row>
    <row r="2905" spans="1:1" x14ac:dyDescent="0.25">
      <c r="A2905" s="511"/>
    </row>
    <row r="2906" spans="1:1" x14ac:dyDescent="0.25">
      <c r="A2906" s="511"/>
    </row>
    <row r="2907" spans="1:1" x14ac:dyDescent="0.25">
      <c r="A2907" s="511"/>
    </row>
    <row r="2908" spans="1:1" x14ac:dyDescent="0.25">
      <c r="A2908" s="511"/>
    </row>
    <row r="2909" spans="1:1" x14ac:dyDescent="0.25">
      <c r="A2909" s="511"/>
    </row>
    <row r="2910" spans="1:1" x14ac:dyDescent="0.25">
      <c r="A2910" s="511"/>
    </row>
    <row r="2911" spans="1:1" x14ac:dyDescent="0.25">
      <c r="A2911" s="511"/>
    </row>
    <row r="2912" spans="1:1" x14ac:dyDescent="0.25">
      <c r="A2912" s="511"/>
    </row>
    <row r="2913" spans="1:1" x14ac:dyDescent="0.25">
      <c r="A2913" s="511"/>
    </row>
    <row r="2914" spans="1:1" x14ac:dyDescent="0.25">
      <c r="A2914" s="511"/>
    </row>
    <row r="2915" spans="1:1" x14ac:dyDescent="0.25">
      <c r="A2915" s="511"/>
    </row>
    <row r="2916" spans="1:1" x14ac:dyDescent="0.25">
      <c r="A2916" s="511"/>
    </row>
    <row r="2917" spans="1:1" x14ac:dyDescent="0.25">
      <c r="A2917" s="511"/>
    </row>
    <row r="2918" spans="1:1" x14ac:dyDescent="0.25">
      <c r="A2918" s="511"/>
    </row>
    <row r="2919" spans="1:1" x14ac:dyDescent="0.25">
      <c r="A2919" s="511"/>
    </row>
    <row r="2920" spans="1:1" x14ac:dyDescent="0.25">
      <c r="A2920" s="511"/>
    </row>
    <row r="2921" spans="1:1" x14ac:dyDescent="0.25">
      <c r="A2921" s="511"/>
    </row>
    <row r="2922" spans="1:1" x14ac:dyDescent="0.25">
      <c r="A2922" s="511"/>
    </row>
    <row r="2923" spans="1:1" x14ac:dyDescent="0.25">
      <c r="A2923" s="511"/>
    </row>
    <row r="2924" spans="1:1" x14ac:dyDescent="0.25">
      <c r="A2924" s="511"/>
    </row>
    <row r="2925" spans="1:1" x14ac:dyDescent="0.25">
      <c r="A2925" s="511"/>
    </row>
    <row r="2926" spans="1:1" x14ac:dyDescent="0.25">
      <c r="A2926" s="511"/>
    </row>
    <row r="2927" spans="1:1" x14ac:dyDescent="0.25">
      <c r="A2927" s="511"/>
    </row>
    <row r="2928" spans="1:1" x14ac:dyDescent="0.25">
      <c r="A2928" s="511"/>
    </row>
    <row r="2929" spans="1:1" x14ac:dyDescent="0.25">
      <c r="A2929" s="511"/>
    </row>
    <row r="2930" spans="1:1" x14ac:dyDescent="0.25">
      <c r="A2930" s="511"/>
    </row>
    <row r="2931" spans="1:1" x14ac:dyDescent="0.25">
      <c r="A2931" s="511"/>
    </row>
    <row r="2932" spans="1:1" x14ac:dyDescent="0.25">
      <c r="A2932" s="511"/>
    </row>
    <row r="2933" spans="1:1" x14ac:dyDescent="0.25">
      <c r="A2933" s="511"/>
    </row>
    <row r="2934" spans="1:1" x14ac:dyDescent="0.25">
      <c r="A2934" s="511"/>
    </row>
    <row r="2935" spans="1:1" x14ac:dyDescent="0.25">
      <c r="A2935" s="511"/>
    </row>
    <row r="2936" spans="1:1" x14ac:dyDescent="0.25">
      <c r="A2936" s="511"/>
    </row>
    <row r="2937" spans="1:1" x14ac:dyDescent="0.25">
      <c r="A2937" s="511"/>
    </row>
    <row r="2938" spans="1:1" x14ac:dyDescent="0.25">
      <c r="A2938" s="511"/>
    </row>
    <row r="2939" spans="1:1" x14ac:dyDescent="0.25">
      <c r="A2939" s="511"/>
    </row>
    <row r="2940" spans="1:1" x14ac:dyDescent="0.25">
      <c r="A2940" s="511"/>
    </row>
    <row r="2941" spans="1:1" x14ac:dyDescent="0.25">
      <c r="A2941" s="511"/>
    </row>
    <row r="2942" spans="1:1" x14ac:dyDescent="0.25">
      <c r="A2942" s="511"/>
    </row>
    <row r="2943" spans="1:1" x14ac:dyDescent="0.25">
      <c r="A2943" s="511"/>
    </row>
    <row r="2944" spans="1:1" x14ac:dyDescent="0.25">
      <c r="A2944" s="511"/>
    </row>
    <row r="2945" spans="1:1" x14ac:dyDescent="0.25">
      <c r="A2945" s="511"/>
    </row>
    <row r="2946" spans="1:1" x14ac:dyDescent="0.25">
      <c r="A2946" s="511"/>
    </row>
    <row r="2947" spans="1:1" x14ac:dyDescent="0.25">
      <c r="A2947" s="511"/>
    </row>
    <row r="2948" spans="1:1" x14ac:dyDescent="0.25">
      <c r="A2948" s="511"/>
    </row>
    <row r="2949" spans="1:1" x14ac:dyDescent="0.25">
      <c r="A2949" s="511"/>
    </row>
    <row r="2950" spans="1:1" x14ac:dyDescent="0.25">
      <c r="A2950" s="511"/>
    </row>
    <row r="2951" spans="1:1" x14ac:dyDescent="0.25">
      <c r="A2951" s="511"/>
    </row>
    <row r="2952" spans="1:1" x14ac:dyDescent="0.25">
      <c r="A2952" s="511"/>
    </row>
    <row r="2953" spans="1:1" x14ac:dyDescent="0.25">
      <c r="A2953" s="511"/>
    </row>
    <row r="2954" spans="1:1" x14ac:dyDescent="0.25">
      <c r="A2954" s="511"/>
    </row>
    <row r="2955" spans="1:1" x14ac:dyDescent="0.25">
      <c r="A2955" s="511"/>
    </row>
    <row r="2956" spans="1:1" x14ac:dyDescent="0.25">
      <c r="A2956" s="511"/>
    </row>
    <row r="2957" spans="1:1" x14ac:dyDescent="0.25">
      <c r="A2957" s="511"/>
    </row>
    <row r="2958" spans="1:1" x14ac:dyDescent="0.25">
      <c r="A2958" s="511"/>
    </row>
    <row r="2959" spans="1:1" x14ac:dyDescent="0.25">
      <c r="A2959" s="511"/>
    </row>
    <row r="2960" spans="1:1" x14ac:dyDescent="0.25">
      <c r="A2960" s="511"/>
    </row>
    <row r="2961" spans="1:1" x14ac:dyDescent="0.25">
      <c r="A2961" s="511"/>
    </row>
    <row r="2962" spans="1:1" x14ac:dyDescent="0.25">
      <c r="A2962" s="511"/>
    </row>
    <row r="2963" spans="1:1" x14ac:dyDescent="0.25">
      <c r="A2963" s="511"/>
    </row>
    <row r="2964" spans="1:1" x14ac:dyDescent="0.25">
      <c r="A2964" s="511"/>
    </row>
    <row r="2965" spans="1:1" x14ac:dyDescent="0.25">
      <c r="A2965" s="511"/>
    </row>
    <row r="2966" spans="1:1" x14ac:dyDescent="0.25">
      <c r="A2966" s="511"/>
    </row>
    <row r="2967" spans="1:1" x14ac:dyDescent="0.25">
      <c r="A2967" s="511"/>
    </row>
    <row r="2968" spans="1:1" x14ac:dyDescent="0.25">
      <c r="A2968" s="511"/>
    </row>
    <row r="2969" spans="1:1" x14ac:dyDescent="0.25">
      <c r="A2969" s="511"/>
    </row>
    <row r="2970" spans="1:1" x14ac:dyDescent="0.25">
      <c r="A2970" s="511"/>
    </row>
    <row r="2971" spans="1:1" x14ac:dyDescent="0.25">
      <c r="A2971" s="511"/>
    </row>
    <row r="2972" spans="1:1" x14ac:dyDescent="0.25">
      <c r="A2972" s="511"/>
    </row>
    <row r="2973" spans="1:1" x14ac:dyDescent="0.25">
      <c r="A2973" s="511"/>
    </row>
    <row r="2974" spans="1:1" x14ac:dyDescent="0.25">
      <c r="A2974" s="511"/>
    </row>
    <row r="2975" spans="1:1" x14ac:dyDescent="0.25">
      <c r="A2975" s="511"/>
    </row>
    <row r="2976" spans="1:1" x14ac:dyDescent="0.25">
      <c r="A2976" s="511"/>
    </row>
    <row r="2977" spans="1:1" x14ac:dyDescent="0.25">
      <c r="A2977" s="511"/>
    </row>
    <row r="2978" spans="1:1" x14ac:dyDescent="0.25">
      <c r="A2978" s="511"/>
    </row>
    <row r="2979" spans="1:1" x14ac:dyDescent="0.25">
      <c r="A2979" s="511"/>
    </row>
    <row r="2980" spans="1:1" x14ac:dyDescent="0.25">
      <c r="A2980" s="511"/>
    </row>
    <row r="2981" spans="1:1" x14ac:dyDescent="0.25">
      <c r="A2981" s="511"/>
    </row>
    <row r="2982" spans="1:1" x14ac:dyDescent="0.25">
      <c r="A2982" s="511"/>
    </row>
    <row r="2983" spans="1:1" x14ac:dyDescent="0.25">
      <c r="A2983" s="511"/>
    </row>
    <row r="2984" spans="1:1" x14ac:dyDescent="0.25">
      <c r="A2984" s="511"/>
    </row>
    <row r="2985" spans="1:1" x14ac:dyDescent="0.25">
      <c r="A2985" s="511"/>
    </row>
    <row r="2986" spans="1:1" x14ac:dyDescent="0.25">
      <c r="A2986" s="511"/>
    </row>
    <row r="2987" spans="1:1" x14ac:dyDescent="0.25">
      <c r="A2987" s="511"/>
    </row>
    <row r="2988" spans="1:1" x14ac:dyDescent="0.25">
      <c r="A2988" s="511"/>
    </row>
    <row r="2989" spans="1:1" x14ac:dyDescent="0.25">
      <c r="A2989" s="511"/>
    </row>
    <row r="2990" spans="1:1" x14ac:dyDescent="0.25">
      <c r="A2990" s="511"/>
    </row>
    <row r="2991" spans="1:1" x14ac:dyDescent="0.25">
      <c r="A2991" s="511"/>
    </row>
    <row r="2992" spans="1:1" x14ac:dyDescent="0.25">
      <c r="A2992" s="511"/>
    </row>
    <row r="2993" spans="1:1" x14ac:dyDescent="0.25">
      <c r="A2993" s="511"/>
    </row>
    <row r="2994" spans="1:1" x14ac:dyDescent="0.25">
      <c r="A2994" s="511"/>
    </row>
    <row r="2995" spans="1:1" x14ac:dyDescent="0.25">
      <c r="A2995" s="511"/>
    </row>
    <row r="2996" spans="1:1" x14ac:dyDescent="0.25">
      <c r="A2996" s="511"/>
    </row>
    <row r="2997" spans="1:1" x14ac:dyDescent="0.25">
      <c r="A2997" s="511"/>
    </row>
    <row r="2998" spans="1:1" x14ac:dyDescent="0.25">
      <c r="A2998" s="511"/>
    </row>
    <row r="2999" spans="1:1" x14ac:dyDescent="0.25">
      <c r="A2999" s="511"/>
    </row>
    <row r="3000" spans="1:1" x14ac:dyDescent="0.25">
      <c r="A3000" s="511"/>
    </row>
    <row r="3001" spans="1:1" x14ac:dyDescent="0.25">
      <c r="A3001" s="511"/>
    </row>
    <row r="3002" spans="1:1" x14ac:dyDescent="0.25">
      <c r="A3002" s="511"/>
    </row>
    <row r="3003" spans="1:1" x14ac:dyDescent="0.25">
      <c r="A3003" s="511"/>
    </row>
    <row r="3004" spans="1:1" x14ac:dyDescent="0.25">
      <c r="A3004" s="511"/>
    </row>
    <row r="3005" spans="1:1" x14ac:dyDescent="0.25">
      <c r="A3005" s="511"/>
    </row>
    <row r="3006" spans="1:1" x14ac:dyDescent="0.25">
      <c r="A3006" s="511"/>
    </row>
    <row r="3007" spans="1:1" x14ac:dyDescent="0.25">
      <c r="A3007" s="511"/>
    </row>
    <row r="3008" spans="1:1" x14ac:dyDescent="0.25">
      <c r="A3008" s="511"/>
    </row>
    <row r="3009" spans="1:1" x14ac:dyDescent="0.25">
      <c r="A3009" s="511"/>
    </row>
    <row r="3010" spans="1:1" x14ac:dyDescent="0.25">
      <c r="A3010" s="511"/>
    </row>
    <row r="3011" spans="1:1" x14ac:dyDescent="0.25">
      <c r="A3011" s="511"/>
    </row>
    <row r="3012" spans="1:1" x14ac:dyDescent="0.25">
      <c r="A3012" s="511"/>
    </row>
    <row r="3013" spans="1:1" x14ac:dyDescent="0.25">
      <c r="A3013" s="511"/>
    </row>
    <row r="3014" spans="1:1" x14ac:dyDescent="0.25">
      <c r="A3014" s="511"/>
    </row>
    <row r="3015" spans="1:1" x14ac:dyDescent="0.25">
      <c r="A3015" s="511"/>
    </row>
    <row r="3016" spans="1:1" x14ac:dyDescent="0.25">
      <c r="A3016" s="511"/>
    </row>
    <row r="3017" spans="1:1" x14ac:dyDescent="0.25">
      <c r="A3017" s="511"/>
    </row>
    <row r="3018" spans="1:1" x14ac:dyDescent="0.25">
      <c r="A3018" s="511"/>
    </row>
    <row r="3019" spans="1:1" x14ac:dyDescent="0.25">
      <c r="A3019" s="511"/>
    </row>
    <row r="3020" spans="1:1" x14ac:dyDescent="0.25">
      <c r="A3020" s="511"/>
    </row>
    <row r="3021" spans="1:1" x14ac:dyDescent="0.25">
      <c r="A3021" s="511"/>
    </row>
    <row r="3022" spans="1:1" x14ac:dyDescent="0.25">
      <c r="A3022" s="511"/>
    </row>
    <row r="3023" spans="1:1" x14ac:dyDescent="0.25">
      <c r="A3023" s="511"/>
    </row>
    <row r="3024" spans="1:1" x14ac:dyDescent="0.25">
      <c r="A3024" s="511"/>
    </row>
    <row r="3025" spans="1:1" x14ac:dyDescent="0.25">
      <c r="A3025" s="511"/>
    </row>
    <row r="3026" spans="1:1" x14ac:dyDescent="0.25">
      <c r="A3026" s="511"/>
    </row>
    <row r="3027" spans="1:1" x14ac:dyDescent="0.25">
      <c r="A3027" s="511"/>
    </row>
    <row r="3028" spans="1:1" x14ac:dyDescent="0.25">
      <c r="A3028" s="511"/>
    </row>
    <row r="3029" spans="1:1" x14ac:dyDescent="0.25">
      <c r="A3029" s="511"/>
    </row>
    <row r="3030" spans="1:1" x14ac:dyDescent="0.25">
      <c r="A3030" s="511"/>
    </row>
    <row r="3031" spans="1:1" x14ac:dyDescent="0.25">
      <c r="A3031" s="511"/>
    </row>
    <row r="3032" spans="1:1" x14ac:dyDescent="0.25">
      <c r="A3032" s="511"/>
    </row>
    <row r="3033" spans="1:1" x14ac:dyDescent="0.25">
      <c r="A3033" s="511"/>
    </row>
    <row r="3034" spans="1:1" x14ac:dyDescent="0.25">
      <c r="A3034" s="511"/>
    </row>
    <row r="3035" spans="1:1" x14ac:dyDescent="0.25">
      <c r="A3035" s="511"/>
    </row>
    <row r="3036" spans="1:1" x14ac:dyDescent="0.25">
      <c r="A3036" s="511"/>
    </row>
    <row r="3037" spans="1:1" x14ac:dyDescent="0.25">
      <c r="A3037" s="511"/>
    </row>
    <row r="3038" spans="1:1" x14ac:dyDescent="0.25">
      <c r="A3038" s="511"/>
    </row>
    <row r="3039" spans="1:1" x14ac:dyDescent="0.25">
      <c r="A3039" s="511"/>
    </row>
    <row r="3040" spans="1:1" x14ac:dyDescent="0.25">
      <c r="A3040" s="511"/>
    </row>
    <row r="3041" spans="1:1" x14ac:dyDescent="0.25">
      <c r="A3041" s="511"/>
    </row>
    <row r="3042" spans="1:1" x14ac:dyDescent="0.25">
      <c r="A3042" s="511"/>
    </row>
    <row r="3043" spans="1:1" x14ac:dyDescent="0.25">
      <c r="A3043" s="511"/>
    </row>
    <row r="3044" spans="1:1" x14ac:dyDescent="0.25">
      <c r="A3044" s="511"/>
    </row>
    <row r="3045" spans="1:1" x14ac:dyDescent="0.25">
      <c r="A3045" s="511"/>
    </row>
    <row r="3046" spans="1:1" x14ac:dyDescent="0.25">
      <c r="A3046" s="511"/>
    </row>
    <row r="3047" spans="1:1" x14ac:dyDescent="0.25">
      <c r="A3047" s="511"/>
    </row>
    <row r="3048" spans="1:1" x14ac:dyDescent="0.25">
      <c r="A3048" s="511"/>
    </row>
    <row r="3049" spans="1:1" x14ac:dyDescent="0.25">
      <c r="A3049" s="511"/>
    </row>
    <row r="3050" spans="1:1" x14ac:dyDescent="0.25">
      <c r="A3050" s="511"/>
    </row>
    <row r="3051" spans="1:1" x14ac:dyDescent="0.25">
      <c r="A3051" s="511"/>
    </row>
    <row r="3052" spans="1:1" x14ac:dyDescent="0.25">
      <c r="A3052" s="511"/>
    </row>
    <row r="3053" spans="1:1" x14ac:dyDescent="0.25">
      <c r="A3053" s="511"/>
    </row>
    <row r="3054" spans="1:1" x14ac:dyDescent="0.25">
      <c r="A3054" s="511"/>
    </row>
    <row r="3055" spans="1:1" x14ac:dyDescent="0.25">
      <c r="A3055" s="511"/>
    </row>
    <row r="3056" spans="1:1" x14ac:dyDescent="0.25">
      <c r="A3056" s="511"/>
    </row>
    <row r="3057" spans="1:1" x14ac:dyDescent="0.25">
      <c r="A3057" s="511"/>
    </row>
    <row r="3058" spans="1:1" x14ac:dyDescent="0.25">
      <c r="A3058" s="511"/>
    </row>
    <row r="3059" spans="1:1" x14ac:dyDescent="0.25">
      <c r="A3059" s="511"/>
    </row>
    <row r="3060" spans="1:1" x14ac:dyDescent="0.25">
      <c r="A3060" s="511"/>
    </row>
    <row r="3061" spans="1:1" x14ac:dyDescent="0.25">
      <c r="A3061" s="511"/>
    </row>
    <row r="3062" spans="1:1" x14ac:dyDescent="0.25">
      <c r="A3062" s="511"/>
    </row>
    <row r="3063" spans="1:1" x14ac:dyDescent="0.25">
      <c r="A3063" s="511"/>
    </row>
    <row r="3064" spans="1:1" x14ac:dyDescent="0.25">
      <c r="A3064" s="511"/>
    </row>
    <row r="3065" spans="1:1" x14ac:dyDescent="0.25">
      <c r="A3065" s="511"/>
    </row>
    <row r="3066" spans="1:1" x14ac:dyDescent="0.25">
      <c r="A3066" s="511"/>
    </row>
    <row r="3067" spans="1:1" x14ac:dyDescent="0.25">
      <c r="A3067" s="511"/>
    </row>
    <row r="3068" spans="1:1" x14ac:dyDescent="0.25">
      <c r="A3068" s="511"/>
    </row>
    <row r="3069" spans="1:1" x14ac:dyDescent="0.25">
      <c r="A3069" s="511"/>
    </row>
    <row r="3070" spans="1:1" x14ac:dyDescent="0.25">
      <c r="A3070" s="511"/>
    </row>
    <row r="3071" spans="1:1" x14ac:dyDescent="0.25">
      <c r="A3071" s="511"/>
    </row>
    <row r="3072" spans="1:1" x14ac:dyDescent="0.25">
      <c r="A3072" s="511"/>
    </row>
    <row r="3073" spans="1:1" x14ac:dyDescent="0.25">
      <c r="A3073" s="511"/>
    </row>
    <row r="3074" spans="1:1" x14ac:dyDescent="0.25">
      <c r="A3074" s="511"/>
    </row>
    <row r="3075" spans="1:1" x14ac:dyDescent="0.25">
      <c r="A3075" s="511"/>
    </row>
    <row r="3076" spans="1:1" x14ac:dyDescent="0.25">
      <c r="A3076" s="511"/>
    </row>
    <row r="3077" spans="1:1" x14ac:dyDescent="0.25">
      <c r="A3077" s="511"/>
    </row>
    <row r="3078" spans="1:1" x14ac:dyDescent="0.25">
      <c r="A3078" s="511"/>
    </row>
    <row r="3079" spans="1:1" x14ac:dyDescent="0.25">
      <c r="A3079" s="511"/>
    </row>
    <row r="3080" spans="1:1" x14ac:dyDescent="0.25">
      <c r="A3080" s="511"/>
    </row>
    <row r="3081" spans="1:1" x14ac:dyDescent="0.25">
      <c r="A3081" s="511"/>
    </row>
    <row r="3082" spans="1:1" x14ac:dyDescent="0.25">
      <c r="A3082" s="511"/>
    </row>
    <row r="3083" spans="1:1" x14ac:dyDescent="0.25">
      <c r="A3083" s="511"/>
    </row>
    <row r="3084" spans="1:1" x14ac:dyDescent="0.25">
      <c r="A3084" s="511"/>
    </row>
    <row r="3085" spans="1:1" x14ac:dyDescent="0.25">
      <c r="A3085" s="511"/>
    </row>
    <row r="3086" spans="1:1" x14ac:dyDescent="0.25">
      <c r="A3086" s="511"/>
    </row>
    <row r="3087" spans="1:1" x14ac:dyDescent="0.25">
      <c r="A3087" s="511"/>
    </row>
    <row r="3088" spans="1:1" x14ac:dyDescent="0.25">
      <c r="A3088" s="511"/>
    </row>
    <row r="3089" spans="1:1" x14ac:dyDescent="0.25">
      <c r="A3089" s="511"/>
    </row>
    <row r="3090" spans="1:1" x14ac:dyDescent="0.25">
      <c r="A3090" s="511"/>
    </row>
    <row r="3091" spans="1:1" x14ac:dyDescent="0.25">
      <c r="A3091" s="511"/>
    </row>
    <row r="3092" spans="1:1" x14ac:dyDescent="0.25">
      <c r="A3092" s="511"/>
    </row>
    <row r="3093" spans="1:1" x14ac:dyDescent="0.25">
      <c r="A3093" s="511"/>
    </row>
    <row r="3094" spans="1:1" x14ac:dyDescent="0.25">
      <c r="A3094" s="511"/>
    </row>
    <row r="3095" spans="1:1" x14ac:dyDescent="0.25">
      <c r="A3095" s="511"/>
    </row>
    <row r="3096" spans="1:1" x14ac:dyDescent="0.25">
      <c r="A3096" s="511"/>
    </row>
    <row r="3097" spans="1:1" x14ac:dyDescent="0.25">
      <c r="A3097" s="511"/>
    </row>
    <row r="3098" spans="1:1" x14ac:dyDescent="0.25">
      <c r="A3098" s="511"/>
    </row>
    <row r="3099" spans="1:1" x14ac:dyDescent="0.25">
      <c r="A3099" s="511"/>
    </row>
    <row r="3100" spans="1:1" x14ac:dyDescent="0.25">
      <c r="A3100" s="511"/>
    </row>
    <row r="3101" spans="1:1" x14ac:dyDescent="0.25">
      <c r="A3101" s="511"/>
    </row>
    <row r="3102" spans="1:1" x14ac:dyDescent="0.25">
      <c r="A3102" s="511"/>
    </row>
    <row r="3103" spans="1:1" x14ac:dyDescent="0.25">
      <c r="A3103" s="511"/>
    </row>
    <row r="3104" spans="1:1" x14ac:dyDescent="0.25">
      <c r="A3104" s="511"/>
    </row>
    <row r="3105" spans="1:1" x14ac:dyDescent="0.25">
      <c r="A3105" s="511"/>
    </row>
    <row r="3106" spans="1:1" x14ac:dyDescent="0.25">
      <c r="A3106" s="511"/>
    </row>
    <row r="3107" spans="1:1" x14ac:dyDescent="0.25">
      <c r="A3107" s="511"/>
    </row>
    <row r="3108" spans="1:1" x14ac:dyDescent="0.25">
      <c r="A3108" s="511"/>
    </row>
    <row r="3109" spans="1:1" x14ac:dyDescent="0.25">
      <c r="A3109" s="511"/>
    </row>
    <row r="3110" spans="1:1" x14ac:dyDescent="0.25">
      <c r="A3110" s="511"/>
    </row>
    <row r="3111" spans="1:1" x14ac:dyDescent="0.25">
      <c r="A3111" s="511"/>
    </row>
    <row r="3112" spans="1:1" x14ac:dyDescent="0.25">
      <c r="A3112" s="511"/>
    </row>
    <row r="3113" spans="1:1" x14ac:dyDescent="0.25">
      <c r="A3113" s="511"/>
    </row>
    <row r="3114" spans="1:1" x14ac:dyDescent="0.25">
      <c r="A3114" s="511"/>
    </row>
    <row r="3115" spans="1:1" x14ac:dyDescent="0.25">
      <c r="A3115" s="511"/>
    </row>
    <row r="3116" spans="1:1" x14ac:dyDescent="0.25">
      <c r="A3116" s="511"/>
    </row>
    <row r="3117" spans="1:1" x14ac:dyDescent="0.25">
      <c r="A3117" s="511"/>
    </row>
    <row r="3118" spans="1:1" x14ac:dyDescent="0.25">
      <c r="A3118" s="511"/>
    </row>
    <row r="3119" spans="1:1" x14ac:dyDescent="0.25">
      <c r="A3119" s="511"/>
    </row>
    <row r="3120" spans="1:1" x14ac:dyDescent="0.25">
      <c r="A3120" s="511"/>
    </row>
    <row r="3121" spans="1:1" x14ac:dyDescent="0.25">
      <c r="A3121" s="511"/>
    </row>
    <row r="3122" spans="1:1" x14ac:dyDescent="0.25">
      <c r="A3122" s="511"/>
    </row>
    <row r="3123" spans="1:1" x14ac:dyDescent="0.25">
      <c r="A3123" s="511"/>
    </row>
    <row r="3124" spans="1:1" x14ac:dyDescent="0.25">
      <c r="A3124" s="511"/>
    </row>
    <row r="3125" spans="1:1" x14ac:dyDescent="0.25">
      <c r="A3125" s="511"/>
    </row>
    <row r="3126" spans="1:1" x14ac:dyDescent="0.25">
      <c r="A3126" s="511"/>
    </row>
    <row r="3127" spans="1:1" x14ac:dyDescent="0.25">
      <c r="A3127" s="511"/>
    </row>
    <row r="3128" spans="1:1" x14ac:dyDescent="0.25">
      <c r="A3128" s="511"/>
    </row>
    <row r="3129" spans="1:1" x14ac:dyDescent="0.25">
      <c r="A3129" s="511"/>
    </row>
    <row r="3130" spans="1:1" x14ac:dyDescent="0.25">
      <c r="A3130" s="511"/>
    </row>
    <row r="3131" spans="1:1" x14ac:dyDescent="0.25">
      <c r="A3131" s="511"/>
    </row>
    <row r="3132" spans="1:1" x14ac:dyDescent="0.25">
      <c r="A3132" s="511"/>
    </row>
    <row r="3133" spans="1:1" x14ac:dyDescent="0.25">
      <c r="A3133" s="511"/>
    </row>
    <row r="3134" spans="1:1" x14ac:dyDescent="0.25">
      <c r="A3134" s="511"/>
    </row>
    <row r="3135" spans="1:1" x14ac:dyDescent="0.25">
      <c r="A3135" s="511"/>
    </row>
    <row r="3136" spans="1:1" x14ac:dyDescent="0.25">
      <c r="A3136" s="511"/>
    </row>
    <row r="3137" spans="1:1" x14ac:dyDescent="0.25">
      <c r="A3137" s="511"/>
    </row>
    <row r="3138" spans="1:1" x14ac:dyDescent="0.25">
      <c r="A3138" s="511"/>
    </row>
    <row r="3139" spans="1:1" x14ac:dyDescent="0.25">
      <c r="A3139" s="511"/>
    </row>
    <row r="3140" spans="1:1" x14ac:dyDescent="0.25">
      <c r="A3140" s="511"/>
    </row>
    <row r="3141" spans="1:1" x14ac:dyDescent="0.25">
      <c r="A3141" s="511"/>
    </row>
    <row r="3142" spans="1:1" x14ac:dyDescent="0.25">
      <c r="A3142" s="511"/>
    </row>
    <row r="3143" spans="1:1" x14ac:dyDescent="0.25">
      <c r="A3143" s="511"/>
    </row>
    <row r="3144" spans="1:1" x14ac:dyDescent="0.25">
      <c r="A3144" s="511"/>
    </row>
    <row r="3145" spans="1:1" x14ac:dyDescent="0.25">
      <c r="A3145" s="511"/>
    </row>
    <row r="3146" spans="1:1" x14ac:dyDescent="0.25">
      <c r="A3146" s="511"/>
    </row>
    <row r="3147" spans="1:1" x14ac:dyDescent="0.25">
      <c r="A3147" s="511"/>
    </row>
    <row r="3148" spans="1:1" x14ac:dyDescent="0.25">
      <c r="A3148" s="511"/>
    </row>
    <row r="3149" spans="1:1" x14ac:dyDescent="0.25">
      <c r="A3149" s="511"/>
    </row>
    <row r="3150" spans="1:1" x14ac:dyDescent="0.25">
      <c r="A3150" s="511"/>
    </row>
    <row r="3151" spans="1:1" x14ac:dyDescent="0.25">
      <c r="A3151" s="511"/>
    </row>
    <row r="3152" spans="1:1" x14ac:dyDescent="0.25">
      <c r="A3152" s="511"/>
    </row>
    <row r="3153" spans="1:1" x14ac:dyDescent="0.25">
      <c r="A3153" s="511"/>
    </row>
    <row r="3154" spans="1:1" x14ac:dyDescent="0.25">
      <c r="A3154" s="511"/>
    </row>
    <row r="3155" spans="1:1" x14ac:dyDescent="0.25">
      <c r="A3155" s="511"/>
    </row>
    <row r="3156" spans="1:1" x14ac:dyDescent="0.25">
      <c r="A3156" s="511"/>
    </row>
    <row r="3157" spans="1:1" x14ac:dyDescent="0.25">
      <c r="A3157" s="511"/>
    </row>
    <row r="3158" spans="1:1" x14ac:dyDescent="0.25">
      <c r="A3158" s="511"/>
    </row>
    <row r="3159" spans="1:1" x14ac:dyDescent="0.25">
      <c r="A3159" s="511"/>
    </row>
    <row r="3160" spans="1:1" x14ac:dyDescent="0.25">
      <c r="A3160" s="511"/>
    </row>
    <row r="3161" spans="1:1" x14ac:dyDescent="0.25">
      <c r="A3161" s="511"/>
    </row>
    <row r="3162" spans="1:1" x14ac:dyDescent="0.25">
      <c r="A3162" s="511"/>
    </row>
    <row r="3163" spans="1:1" x14ac:dyDescent="0.25">
      <c r="A3163" s="511"/>
    </row>
    <row r="3164" spans="1:1" x14ac:dyDescent="0.25">
      <c r="A3164" s="511"/>
    </row>
    <row r="3165" spans="1:1" x14ac:dyDescent="0.25">
      <c r="A3165" s="511"/>
    </row>
    <row r="3166" spans="1:1" x14ac:dyDescent="0.25">
      <c r="A3166" s="511"/>
    </row>
    <row r="3167" spans="1:1" x14ac:dyDescent="0.25">
      <c r="A3167" s="511"/>
    </row>
    <row r="3168" spans="1:1" x14ac:dyDescent="0.25">
      <c r="A3168" s="511"/>
    </row>
    <row r="3169" spans="1:1" x14ac:dyDescent="0.25">
      <c r="A3169" s="511"/>
    </row>
    <row r="3170" spans="1:1" x14ac:dyDescent="0.25">
      <c r="A3170" s="511"/>
    </row>
    <row r="3171" spans="1:1" x14ac:dyDescent="0.25">
      <c r="A3171" s="511"/>
    </row>
    <row r="3172" spans="1:1" x14ac:dyDescent="0.25">
      <c r="A3172" s="511"/>
    </row>
    <row r="3173" spans="1:1" x14ac:dyDescent="0.25">
      <c r="A3173" s="511"/>
    </row>
    <row r="3174" spans="1:1" x14ac:dyDescent="0.25">
      <c r="A3174" s="511"/>
    </row>
    <row r="3175" spans="1:1" x14ac:dyDescent="0.25">
      <c r="A3175" s="511"/>
    </row>
    <row r="3176" spans="1:1" x14ac:dyDescent="0.25">
      <c r="A3176" s="511"/>
    </row>
    <row r="3177" spans="1:1" x14ac:dyDescent="0.25">
      <c r="A3177" s="511"/>
    </row>
    <row r="3178" spans="1:1" x14ac:dyDescent="0.25">
      <c r="A3178" s="511"/>
    </row>
    <row r="3179" spans="1:1" x14ac:dyDescent="0.25">
      <c r="A3179" s="511"/>
    </row>
    <row r="3180" spans="1:1" x14ac:dyDescent="0.25">
      <c r="A3180" s="511"/>
    </row>
    <row r="3181" spans="1:1" x14ac:dyDescent="0.25">
      <c r="A3181" s="511"/>
    </row>
    <row r="3182" spans="1:1" x14ac:dyDescent="0.25">
      <c r="A3182" s="511"/>
    </row>
    <row r="3183" spans="1:1" x14ac:dyDescent="0.25">
      <c r="A3183" s="511"/>
    </row>
    <row r="3184" spans="1:1" x14ac:dyDescent="0.25">
      <c r="A3184" s="511"/>
    </row>
    <row r="3185" spans="1:1" x14ac:dyDescent="0.25">
      <c r="A3185" s="511"/>
    </row>
    <row r="3186" spans="1:1" x14ac:dyDescent="0.25">
      <c r="A3186" s="511"/>
    </row>
    <row r="3187" spans="1:1" x14ac:dyDescent="0.25">
      <c r="A3187" s="511"/>
    </row>
    <row r="3188" spans="1:1" x14ac:dyDescent="0.25">
      <c r="A3188" s="511"/>
    </row>
    <row r="3189" spans="1:1" x14ac:dyDescent="0.25">
      <c r="A3189" s="511"/>
    </row>
    <row r="3190" spans="1:1" x14ac:dyDescent="0.25">
      <c r="A3190" s="511"/>
    </row>
    <row r="3191" spans="1:1" x14ac:dyDescent="0.25">
      <c r="A3191" s="511"/>
    </row>
    <row r="3192" spans="1:1" x14ac:dyDescent="0.25">
      <c r="A3192" s="511"/>
    </row>
    <row r="3193" spans="1:1" x14ac:dyDescent="0.25">
      <c r="A3193" s="511"/>
    </row>
    <row r="3194" spans="1:1" x14ac:dyDescent="0.25">
      <c r="A3194" s="511"/>
    </row>
    <row r="3195" spans="1:1" x14ac:dyDescent="0.25">
      <c r="A3195" s="511"/>
    </row>
    <row r="3196" spans="1:1" x14ac:dyDescent="0.25">
      <c r="A3196" s="511"/>
    </row>
    <row r="3197" spans="1:1" x14ac:dyDescent="0.25">
      <c r="A3197" s="511"/>
    </row>
    <row r="3198" spans="1:1" x14ac:dyDescent="0.25">
      <c r="A3198" s="511"/>
    </row>
    <row r="3199" spans="1:1" x14ac:dyDescent="0.25">
      <c r="A3199" s="511"/>
    </row>
    <row r="3200" spans="1:1" x14ac:dyDescent="0.25">
      <c r="A3200" s="511"/>
    </row>
    <row r="3201" spans="1:1" x14ac:dyDescent="0.25">
      <c r="A3201" s="511"/>
    </row>
    <row r="3202" spans="1:1" x14ac:dyDescent="0.25">
      <c r="A3202" s="511"/>
    </row>
    <row r="3203" spans="1:1" x14ac:dyDescent="0.25">
      <c r="A3203" s="511"/>
    </row>
    <row r="3204" spans="1:1" x14ac:dyDescent="0.25">
      <c r="A3204" s="511"/>
    </row>
    <row r="3205" spans="1:1" x14ac:dyDescent="0.25">
      <c r="A3205" s="511"/>
    </row>
    <row r="3206" spans="1:1" x14ac:dyDescent="0.25">
      <c r="A3206" s="511"/>
    </row>
    <row r="3207" spans="1:1" x14ac:dyDescent="0.25">
      <c r="A3207" s="511"/>
    </row>
    <row r="3208" spans="1:1" x14ac:dyDescent="0.25">
      <c r="A3208" s="511"/>
    </row>
    <row r="3209" spans="1:1" x14ac:dyDescent="0.25">
      <c r="A3209" s="511"/>
    </row>
    <row r="3210" spans="1:1" x14ac:dyDescent="0.25">
      <c r="A3210" s="511"/>
    </row>
    <row r="3211" spans="1:1" x14ac:dyDescent="0.25">
      <c r="A3211" s="511"/>
    </row>
    <row r="3212" spans="1:1" x14ac:dyDescent="0.25">
      <c r="A3212" s="511"/>
    </row>
    <row r="3213" spans="1:1" x14ac:dyDescent="0.25">
      <c r="A3213" s="511"/>
    </row>
    <row r="3214" spans="1:1" x14ac:dyDescent="0.25">
      <c r="A3214" s="511"/>
    </row>
    <row r="3215" spans="1:1" x14ac:dyDescent="0.25">
      <c r="A3215" s="511"/>
    </row>
    <row r="3216" spans="1:1" x14ac:dyDescent="0.25">
      <c r="A3216" s="511"/>
    </row>
    <row r="3217" spans="1:1" x14ac:dyDescent="0.25">
      <c r="A3217" s="511"/>
    </row>
    <row r="3218" spans="1:1" x14ac:dyDescent="0.25">
      <c r="A3218" s="511"/>
    </row>
    <row r="3219" spans="1:1" x14ac:dyDescent="0.25">
      <c r="A3219" s="511"/>
    </row>
    <row r="3220" spans="1:1" x14ac:dyDescent="0.25">
      <c r="A3220" s="511"/>
    </row>
    <row r="3221" spans="1:1" x14ac:dyDescent="0.25">
      <c r="A3221" s="511"/>
    </row>
    <row r="3222" spans="1:1" x14ac:dyDescent="0.25">
      <c r="A3222" s="511"/>
    </row>
    <row r="3223" spans="1:1" x14ac:dyDescent="0.25">
      <c r="A3223" s="511"/>
    </row>
    <row r="3224" spans="1:1" x14ac:dyDescent="0.25">
      <c r="A3224" s="511"/>
    </row>
    <row r="3225" spans="1:1" x14ac:dyDescent="0.25">
      <c r="A3225" s="511"/>
    </row>
    <row r="3226" spans="1:1" x14ac:dyDescent="0.25">
      <c r="A3226" s="511"/>
    </row>
    <row r="3227" spans="1:1" x14ac:dyDescent="0.25">
      <c r="A3227" s="511"/>
    </row>
    <row r="3228" spans="1:1" x14ac:dyDescent="0.25">
      <c r="A3228" s="511"/>
    </row>
    <row r="3229" spans="1:1" x14ac:dyDescent="0.25">
      <c r="A3229" s="511"/>
    </row>
    <row r="3230" spans="1:1" x14ac:dyDescent="0.25">
      <c r="A3230" s="511"/>
    </row>
    <row r="3231" spans="1:1" x14ac:dyDescent="0.25">
      <c r="A3231" s="511"/>
    </row>
    <row r="3232" spans="1:1" x14ac:dyDescent="0.25">
      <c r="A3232" s="511"/>
    </row>
    <row r="3233" spans="1:1" x14ac:dyDescent="0.25">
      <c r="A3233" s="511"/>
    </row>
    <row r="3234" spans="1:1" x14ac:dyDescent="0.25">
      <c r="A3234" s="511"/>
    </row>
    <row r="3235" spans="1:1" x14ac:dyDescent="0.25">
      <c r="A3235" s="511"/>
    </row>
    <row r="3236" spans="1:1" x14ac:dyDescent="0.25">
      <c r="A3236" s="511"/>
    </row>
    <row r="3237" spans="1:1" x14ac:dyDescent="0.25">
      <c r="A3237" s="511"/>
    </row>
    <row r="3238" spans="1:1" x14ac:dyDescent="0.25">
      <c r="A3238" s="511"/>
    </row>
    <row r="3239" spans="1:1" x14ac:dyDescent="0.25">
      <c r="A3239" s="511"/>
    </row>
    <row r="3240" spans="1:1" x14ac:dyDescent="0.25">
      <c r="A3240" s="511"/>
    </row>
    <row r="3241" spans="1:1" x14ac:dyDescent="0.25">
      <c r="A3241" s="511"/>
    </row>
    <row r="3242" spans="1:1" x14ac:dyDescent="0.25">
      <c r="A3242" s="511"/>
    </row>
    <row r="3243" spans="1:1" x14ac:dyDescent="0.25">
      <c r="A3243" s="511"/>
    </row>
    <row r="3244" spans="1:1" x14ac:dyDescent="0.25">
      <c r="A3244" s="511"/>
    </row>
    <row r="3245" spans="1:1" x14ac:dyDescent="0.25">
      <c r="A3245" s="511"/>
    </row>
    <row r="3246" spans="1:1" x14ac:dyDescent="0.25">
      <c r="A3246" s="511"/>
    </row>
    <row r="3247" spans="1:1" x14ac:dyDescent="0.25">
      <c r="A3247" s="511"/>
    </row>
    <row r="3248" spans="1:1" x14ac:dyDescent="0.25">
      <c r="A3248" s="511"/>
    </row>
    <row r="3249" spans="1:1" x14ac:dyDescent="0.25">
      <c r="A3249" s="511"/>
    </row>
    <row r="3250" spans="1:1" x14ac:dyDescent="0.25">
      <c r="A3250" s="511"/>
    </row>
    <row r="3251" spans="1:1" x14ac:dyDescent="0.25">
      <c r="A3251" s="511"/>
    </row>
    <row r="3252" spans="1:1" x14ac:dyDescent="0.25">
      <c r="A3252" s="511"/>
    </row>
    <row r="3253" spans="1:1" x14ac:dyDescent="0.25">
      <c r="A3253" s="511"/>
    </row>
    <row r="3254" spans="1:1" x14ac:dyDescent="0.25">
      <c r="A3254" s="511"/>
    </row>
    <row r="3255" spans="1:1" x14ac:dyDescent="0.25">
      <c r="A3255" s="511"/>
    </row>
    <row r="3256" spans="1:1" x14ac:dyDescent="0.25">
      <c r="A3256" s="511"/>
    </row>
    <row r="3257" spans="1:1" x14ac:dyDescent="0.25">
      <c r="A3257" s="511"/>
    </row>
    <row r="3258" spans="1:1" x14ac:dyDescent="0.25">
      <c r="A3258" s="511"/>
    </row>
    <row r="3259" spans="1:1" x14ac:dyDescent="0.25">
      <c r="A3259" s="511"/>
    </row>
    <row r="3260" spans="1:1" x14ac:dyDescent="0.25">
      <c r="A3260" s="511"/>
    </row>
    <row r="3261" spans="1:1" x14ac:dyDescent="0.25">
      <c r="A3261" s="511"/>
    </row>
    <row r="3262" spans="1:1" x14ac:dyDescent="0.25">
      <c r="A3262" s="511"/>
    </row>
    <row r="3263" spans="1:1" x14ac:dyDescent="0.25">
      <c r="A3263" s="511"/>
    </row>
    <row r="3264" spans="1:1" x14ac:dyDescent="0.25">
      <c r="A3264" s="511"/>
    </row>
    <row r="3265" spans="1:1" x14ac:dyDescent="0.25">
      <c r="A3265" s="511"/>
    </row>
    <row r="3266" spans="1:1" x14ac:dyDescent="0.25">
      <c r="A3266" s="511"/>
    </row>
    <row r="3267" spans="1:1" x14ac:dyDescent="0.25">
      <c r="A3267" s="511"/>
    </row>
    <row r="3268" spans="1:1" x14ac:dyDescent="0.25">
      <c r="A3268" s="511"/>
    </row>
    <row r="3269" spans="1:1" x14ac:dyDescent="0.25">
      <c r="A3269" s="511"/>
    </row>
    <row r="3270" spans="1:1" x14ac:dyDescent="0.25">
      <c r="A3270" s="511"/>
    </row>
    <row r="3271" spans="1:1" x14ac:dyDescent="0.25">
      <c r="A3271" s="511"/>
    </row>
    <row r="3272" spans="1:1" x14ac:dyDescent="0.25">
      <c r="A3272" s="511"/>
    </row>
    <row r="3273" spans="1:1" x14ac:dyDescent="0.25">
      <c r="A3273" s="511"/>
    </row>
    <row r="3274" spans="1:1" x14ac:dyDescent="0.25">
      <c r="A3274" s="511"/>
    </row>
    <row r="3275" spans="1:1" x14ac:dyDescent="0.25">
      <c r="A3275" s="511"/>
    </row>
    <row r="3276" spans="1:1" x14ac:dyDescent="0.25">
      <c r="A3276" s="511"/>
    </row>
    <row r="3277" spans="1:1" x14ac:dyDescent="0.25">
      <c r="A3277" s="511"/>
    </row>
    <row r="3278" spans="1:1" x14ac:dyDescent="0.25">
      <c r="A3278" s="511"/>
    </row>
    <row r="3279" spans="1:1" x14ac:dyDescent="0.25">
      <c r="A3279" s="511"/>
    </row>
    <row r="3280" spans="1:1" x14ac:dyDescent="0.25">
      <c r="A3280" s="511"/>
    </row>
    <row r="3281" spans="1:1" x14ac:dyDescent="0.25">
      <c r="A3281" s="511"/>
    </row>
    <row r="3282" spans="1:1" x14ac:dyDescent="0.25">
      <c r="A3282" s="511"/>
    </row>
    <row r="3283" spans="1:1" x14ac:dyDescent="0.25">
      <c r="A3283" s="511"/>
    </row>
    <row r="3284" spans="1:1" x14ac:dyDescent="0.25">
      <c r="A3284" s="511"/>
    </row>
    <row r="3285" spans="1:1" x14ac:dyDescent="0.25">
      <c r="A3285" s="511"/>
    </row>
    <row r="3286" spans="1:1" x14ac:dyDescent="0.25">
      <c r="A3286" s="511"/>
    </row>
    <row r="3287" spans="1:1" x14ac:dyDescent="0.25">
      <c r="A3287" s="511"/>
    </row>
    <row r="3288" spans="1:1" x14ac:dyDescent="0.25">
      <c r="A3288" s="511"/>
    </row>
    <row r="3289" spans="1:1" x14ac:dyDescent="0.25">
      <c r="A3289" s="511"/>
    </row>
    <row r="3290" spans="1:1" x14ac:dyDescent="0.25">
      <c r="A3290" s="511"/>
    </row>
    <row r="3291" spans="1:1" x14ac:dyDescent="0.25">
      <c r="A3291" s="511"/>
    </row>
    <row r="3292" spans="1:1" x14ac:dyDescent="0.25">
      <c r="A3292" s="511"/>
    </row>
    <row r="3293" spans="1:1" x14ac:dyDescent="0.25">
      <c r="A3293" s="511"/>
    </row>
    <row r="3294" spans="1:1" x14ac:dyDescent="0.25">
      <c r="A3294" s="511"/>
    </row>
    <row r="3295" spans="1:1" x14ac:dyDescent="0.25">
      <c r="A3295" s="511"/>
    </row>
    <row r="3296" spans="1:1" x14ac:dyDescent="0.25">
      <c r="A3296" s="511"/>
    </row>
    <row r="3297" spans="1:1" x14ac:dyDescent="0.25">
      <c r="A3297" s="511"/>
    </row>
    <row r="3298" spans="1:1" x14ac:dyDescent="0.25">
      <c r="A3298" s="511"/>
    </row>
    <row r="3299" spans="1:1" x14ac:dyDescent="0.25">
      <c r="A3299" s="511"/>
    </row>
    <row r="3300" spans="1:1" x14ac:dyDescent="0.25">
      <c r="A3300" s="511"/>
    </row>
    <row r="3301" spans="1:1" x14ac:dyDescent="0.25">
      <c r="A3301" s="511"/>
    </row>
    <row r="3302" spans="1:1" x14ac:dyDescent="0.25">
      <c r="A3302" s="511"/>
    </row>
    <row r="3303" spans="1:1" x14ac:dyDescent="0.25">
      <c r="A3303" s="511"/>
    </row>
    <row r="3304" spans="1:1" x14ac:dyDescent="0.25">
      <c r="A3304" s="511"/>
    </row>
    <row r="3305" spans="1:1" x14ac:dyDescent="0.25">
      <c r="A3305" s="511"/>
    </row>
    <row r="3306" spans="1:1" x14ac:dyDescent="0.25">
      <c r="A3306" s="511"/>
    </row>
    <row r="3307" spans="1:1" x14ac:dyDescent="0.25">
      <c r="A3307" s="511"/>
    </row>
    <row r="3308" spans="1:1" x14ac:dyDescent="0.25">
      <c r="A3308" s="511"/>
    </row>
    <row r="3309" spans="1:1" x14ac:dyDescent="0.25">
      <c r="A3309" s="511"/>
    </row>
    <row r="3310" spans="1:1" x14ac:dyDescent="0.25">
      <c r="A3310" s="511"/>
    </row>
    <row r="3311" spans="1:1" x14ac:dyDescent="0.25">
      <c r="A3311" s="511"/>
    </row>
    <row r="3312" spans="1:1" x14ac:dyDescent="0.25">
      <c r="A3312" s="511"/>
    </row>
    <row r="3313" spans="1:1" x14ac:dyDescent="0.25">
      <c r="A3313" s="511"/>
    </row>
    <row r="3314" spans="1:1" x14ac:dyDescent="0.25">
      <c r="A3314" s="511"/>
    </row>
    <row r="3315" spans="1:1" x14ac:dyDescent="0.25">
      <c r="A3315" s="511"/>
    </row>
    <row r="3316" spans="1:1" x14ac:dyDescent="0.25">
      <c r="A3316" s="511"/>
    </row>
    <row r="3317" spans="1:1" x14ac:dyDescent="0.25">
      <c r="A3317" s="511"/>
    </row>
    <row r="3318" spans="1:1" x14ac:dyDescent="0.25">
      <c r="A3318" s="511"/>
    </row>
    <row r="3319" spans="1:1" x14ac:dyDescent="0.25">
      <c r="A3319" s="511"/>
    </row>
    <row r="3320" spans="1:1" x14ac:dyDescent="0.25">
      <c r="A3320" s="511"/>
    </row>
    <row r="3321" spans="1:1" x14ac:dyDescent="0.25">
      <c r="A3321" s="511"/>
    </row>
    <row r="3322" spans="1:1" x14ac:dyDescent="0.25">
      <c r="A3322" s="511"/>
    </row>
    <row r="3323" spans="1:1" x14ac:dyDescent="0.25">
      <c r="A3323" s="511"/>
    </row>
    <row r="3324" spans="1:1" x14ac:dyDescent="0.25">
      <c r="A3324" s="511"/>
    </row>
    <row r="3325" spans="1:1" x14ac:dyDescent="0.25">
      <c r="A3325" s="511"/>
    </row>
    <row r="3326" spans="1:1" x14ac:dyDescent="0.25">
      <c r="A3326" s="511"/>
    </row>
    <row r="3327" spans="1:1" x14ac:dyDescent="0.25">
      <c r="A3327" s="511"/>
    </row>
    <row r="3328" spans="1:1" x14ac:dyDescent="0.25">
      <c r="A3328" s="511"/>
    </row>
    <row r="3329" spans="1:1" x14ac:dyDescent="0.25">
      <c r="A3329" s="511"/>
    </row>
    <row r="3330" spans="1:1" x14ac:dyDescent="0.25">
      <c r="A3330" s="511"/>
    </row>
    <row r="3331" spans="1:1" x14ac:dyDescent="0.25">
      <c r="A3331" s="511"/>
    </row>
    <row r="3332" spans="1:1" x14ac:dyDescent="0.25">
      <c r="A3332" s="511"/>
    </row>
    <row r="3333" spans="1:1" x14ac:dyDescent="0.25">
      <c r="A3333" s="511"/>
    </row>
    <row r="3334" spans="1:1" x14ac:dyDescent="0.25">
      <c r="A3334" s="511"/>
    </row>
    <row r="3335" spans="1:1" x14ac:dyDescent="0.25">
      <c r="A3335" s="511"/>
    </row>
    <row r="3336" spans="1:1" x14ac:dyDescent="0.25">
      <c r="A3336" s="511"/>
    </row>
    <row r="3337" spans="1:1" x14ac:dyDescent="0.25">
      <c r="A3337" s="511"/>
    </row>
    <row r="3338" spans="1:1" x14ac:dyDescent="0.25">
      <c r="A3338" s="511"/>
    </row>
    <row r="3339" spans="1:1" x14ac:dyDescent="0.25">
      <c r="A3339" s="511"/>
    </row>
    <row r="3340" spans="1:1" x14ac:dyDescent="0.25">
      <c r="A3340" s="511"/>
    </row>
    <row r="3341" spans="1:1" x14ac:dyDescent="0.25">
      <c r="A3341" s="511"/>
    </row>
    <row r="3342" spans="1:1" x14ac:dyDescent="0.25">
      <c r="A3342" s="511"/>
    </row>
    <row r="3343" spans="1:1" x14ac:dyDescent="0.25">
      <c r="A3343" s="511"/>
    </row>
    <row r="3344" spans="1:1" x14ac:dyDescent="0.25">
      <c r="A3344" s="511"/>
    </row>
    <row r="3345" spans="1:1" x14ac:dyDescent="0.25">
      <c r="A3345" s="511"/>
    </row>
    <row r="3346" spans="1:1" x14ac:dyDescent="0.25">
      <c r="A3346" s="511"/>
    </row>
    <row r="3347" spans="1:1" x14ac:dyDescent="0.25">
      <c r="A3347" s="511"/>
    </row>
    <row r="3348" spans="1:1" x14ac:dyDescent="0.25">
      <c r="A3348" s="511"/>
    </row>
    <row r="3349" spans="1:1" x14ac:dyDescent="0.25">
      <c r="A3349" s="511"/>
    </row>
    <row r="3350" spans="1:1" x14ac:dyDescent="0.25">
      <c r="A3350" s="511"/>
    </row>
    <row r="3351" spans="1:1" x14ac:dyDescent="0.25">
      <c r="A3351" s="511"/>
    </row>
    <row r="3352" spans="1:1" x14ac:dyDescent="0.25">
      <c r="A3352" s="511"/>
    </row>
    <row r="3353" spans="1:1" x14ac:dyDescent="0.25">
      <c r="A3353" s="511"/>
    </row>
    <row r="3354" spans="1:1" x14ac:dyDescent="0.25">
      <c r="A3354" s="511"/>
    </row>
    <row r="3355" spans="1:1" x14ac:dyDescent="0.25">
      <c r="A3355" s="511"/>
    </row>
    <row r="3356" spans="1:1" x14ac:dyDescent="0.25">
      <c r="A3356" s="511"/>
    </row>
    <row r="3357" spans="1:1" x14ac:dyDescent="0.25">
      <c r="A3357" s="511"/>
    </row>
    <row r="3358" spans="1:1" x14ac:dyDescent="0.25">
      <c r="A3358" s="511"/>
    </row>
    <row r="3359" spans="1:1" x14ac:dyDescent="0.25">
      <c r="A3359" s="511"/>
    </row>
    <row r="3360" spans="1:1" x14ac:dyDescent="0.25">
      <c r="A3360" s="511"/>
    </row>
    <row r="3361" spans="1:1" x14ac:dyDescent="0.25">
      <c r="A3361" s="511"/>
    </row>
    <row r="3362" spans="1:1" x14ac:dyDescent="0.25">
      <c r="A3362" s="511"/>
    </row>
    <row r="3363" spans="1:1" x14ac:dyDescent="0.25">
      <c r="A3363" s="511"/>
    </row>
    <row r="3364" spans="1:1" x14ac:dyDescent="0.25">
      <c r="A3364" s="511"/>
    </row>
    <row r="3365" spans="1:1" x14ac:dyDescent="0.25">
      <c r="A3365" s="511"/>
    </row>
    <row r="3366" spans="1:1" x14ac:dyDescent="0.25">
      <c r="A3366" s="511"/>
    </row>
    <row r="3367" spans="1:1" x14ac:dyDescent="0.25">
      <c r="A3367" s="511"/>
    </row>
    <row r="3368" spans="1:1" x14ac:dyDescent="0.25">
      <c r="A3368" s="511"/>
    </row>
    <row r="3369" spans="1:1" x14ac:dyDescent="0.25">
      <c r="A3369" s="511"/>
    </row>
    <row r="3370" spans="1:1" x14ac:dyDescent="0.25">
      <c r="A3370" s="511"/>
    </row>
    <row r="3371" spans="1:1" x14ac:dyDescent="0.25">
      <c r="A3371" s="511"/>
    </row>
    <row r="3372" spans="1:1" x14ac:dyDescent="0.25">
      <c r="A3372" s="511"/>
    </row>
    <row r="3373" spans="1:1" x14ac:dyDescent="0.25">
      <c r="A3373" s="511"/>
    </row>
    <row r="3374" spans="1:1" x14ac:dyDescent="0.25">
      <c r="A3374" s="511"/>
    </row>
    <row r="3375" spans="1:1" x14ac:dyDescent="0.25">
      <c r="A3375" s="511"/>
    </row>
    <row r="3376" spans="1:1" x14ac:dyDescent="0.25">
      <c r="A3376" s="511"/>
    </row>
    <row r="3377" spans="1:1" x14ac:dyDescent="0.25">
      <c r="A3377" s="511"/>
    </row>
    <row r="3378" spans="1:1" x14ac:dyDescent="0.25">
      <c r="A3378" s="511"/>
    </row>
    <row r="3379" spans="1:1" x14ac:dyDescent="0.25">
      <c r="A3379" s="511"/>
    </row>
    <row r="3380" spans="1:1" x14ac:dyDescent="0.25">
      <c r="A3380" s="511"/>
    </row>
    <row r="3381" spans="1:1" x14ac:dyDescent="0.25">
      <c r="A3381" s="511"/>
    </row>
    <row r="3382" spans="1:1" x14ac:dyDescent="0.25">
      <c r="A3382" s="511"/>
    </row>
    <row r="3383" spans="1:1" x14ac:dyDescent="0.25">
      <c r="A3383" s="511"/>
    </row>
    <row r="3384" spans="1:1" x14ac:dyDescent="0.25">
      <c r="A3384" s="511"/>
    </row>
    <row r="3385" spans="1:1" x14ac:dyDescent="0.25">
      <c r="A3385" s="511"/>
    </row>
    <row r="3386" spans="1:1" x14ac:dyDescent="0.25">
      <c r="A3386" s="511"/>
    </row>
    <row r="3387" spans="1:1" x14ac:dyDescent="0.25">
      <c r="A3387" s="511"/>
    </row>
    <row r="3388" spans="1:1" x14ac:dyDescent="0.25">
      <c r="A3388" s="511"/>
    </row>
    <row r="3389" spans="1:1" x14ac:dyDescent="0.25">
      <c r="A3389" s="511"/>
    </row>
    <row r="3390" spans="1:1" x14ac:dyDescent="0.25">
      <c r="A3390" s="511"/>
    </row>
    <row r="3391" spans="1:1" x14ac:dyDescent="0.25">
      <c r="A3391" s="511"/>
    </row>
    <row r="3392" spans="1:1" x14ac:dyDescent="0.25">
      <c r="A3392" s="511"/>
    </row>
    <row r="3393" spans="1:1" x14ac:dyDescent="0.25">
      <c r="A3393" s="511"/>
    </row>
    <row r="3394" spans="1:1" x14ac:dyDescent="0.25">
      <c r="A3394" s="511"/>
    </row>
    <row r="3395" spans="1:1" x14ac:dyDescent="0.25">
      <c r="A3395" s="511"/>
    </row>
    <row r="3396" spans="1:1" x14ac:dyDescent="0.25">
      <c r="A3396" s="511"/>
    </row>
    <row r="3397" spans="1:1" x14ac:dyDescent="0.25">
      <c r="A3397" s="511"/>
    </row>
    <row r="3398" spans="1:1" x14ac:dyDescent="0.25">
      <c r="A3398" s="511"/>
    </row>
    <row r="3399" spans="1:1" x14ac:dyDescent="0.25">
      <c r="A3399" s="511"/>
    </row>
    <row r="3400" spans="1:1" x14ac:dyDescent="0.25">
      <c r="A3400" s="511"/>
    </row>
    <row r="3401" spans="1:1" x14ac:dyDescent="0.25">
      <c r="A3401" s="511"/>
    </row>
    <row r="3402" spans="1:1" x14ac:dyDescent="0.25">
      <c r="A3402" s="511"/>
    </row>
    <row r="3403" spans="1:1" x14ac:dyDescent="0.25">
      <c r="A3403" s="511"/>
    </row>
    <row r="3404" spans="1:1" x14ac:dyDescent="0.25">
      <c r="A3404" s="511"/>
    </row>
    <row r="3405" spans="1:1" x14ac:dyDescent="0.25">
      <c r="A3405" s="511"/>
    </row>
    <row r="3406" spans="1:1" x14ac:dyDescent="0.25">
      <c r="A3406" s="511"/>
    </row>
    <row r="3407" spans="1:1" x14ac:dyDescent="0.25">
      <c r="A3407" s="511"/>
    </row>
    <row r="3408" spans="1:1" x14ac:dyDescent="0.25">
      <c r="A3408" s="511"/>
    </row>
    <row r="3409" spans="1:1" x14ac:dyDescent="0.25">
      <c r="A3409" s="511"/>
    </row>
    <row r="3410" spans="1:1" x14ac:dyDescent="0.25">
      <c r="A3410" s="511"/>
    </row>
    <row r="3411" spans="1:1" x14ac:dyDescent="0.25">
      <c r="A3411" s="511"/>
    </row>
    <row r="3412" spans="1:1" x14ac:dyDescent="0.25">
      <c r="A3412" s="511"/>
    </row>
    <row r="3413" spans="1:1" x14ac:dyDescent="0.25">
      <c r="A3413" s="511"/>
    </row>
    <row r="3414" spans="1:1" x14ac:dyDescent="0.25">
      <c r="A3414" s="511"/>
    </row>
    <row r="3415" spans="1:1" x14ac:dyDescent="0.25">
      <c r="A3415" s="511"/>
    </row>
    <row r="3416" spans="1:1" x14ac:dyDescent="0.25">
      <c r="A3416" s="511"/>
    </row>
    <row r="3417" spans="1:1" x14ac:dyDescent="0.25">
      <c r="A3417" s="511"/>
    </row>
    <row r="3418" spans="1:1" x14ac:dyDescent="0.25">
      <c r="A3418" s="511"/>
    </row>
    <row r="3419" spans="1:1" x14ac:dyDescent="0.25">
      <c r="A3419" s="511"/>
    </row>
    <row r="3420" spans="1:1" x14ac:dyDescent="0.25">
      <c r="A3420" s="511"/>
    </row>
    <row r="3421" spans="1:1" x14ac:dyDescent="0.25">
      <c r="A3421" s="511"/>
    </row>
    <row r="3422" spans="1:1" x14ac:dyDescent="0.25">
      <c r="A3422" s="511"/>
    </row>
    <row r="3423" spans="1:1" x14ac:dyDescent="0.25">
      <c r="A3423" s="511"/>
    </row>
    <row r="3424" spans="1:1" x14ac:dyDescent="0.25">
      <c r="A3424" s="511"/>
    </row>
    <row r="3425" spans="1:1" x14ac:dyDescent="0.25">
      <c r="A3425" s="511"/>
    </row>
    <row r="3426" spans="1:1" x14ac:dyDescent="0.25">
      <c r="A3426" s="511"/>
    </row>
    <row r="3427" spans="1:1" x14ac:dyDescent="0.25">
      <c r="A3427" s="511"/>
    </row>
    <row r="3428" spans="1:1" x14ac:dyDescent="0.25">
      <c r="A3428" s="511"/>
    </row>
    <row r="3429" spans="1:1" x14ac:dyDescent="0.25">
      <c r="A3429" s="511"/>
    </row>
    <row r="3430" spans="1:1" x14ac:dyDescent="0.25">
      <c r="A3430" s="511"/>
    </row>
    <row r="3431" spans="1:1" x14ac:dyDescent="0.25">
      <c r="A3431" s="511"/>
    </row>
    <row r="3432" spans="1:1" x14ac:dyDescent="0.25">
      <c r="A3432" s="511"/>
    </row>
    <row r="3433" spans="1:1" x14ac:dyDescent="0.25">
      <c r="A3433" s="511"/>
    </row>
    <row r="3434" spans="1:1" x14ac:dyDescent="0.25">
      <c r="A3434" s="511"/>
    </row>
    <row r="3435" spans="1:1" x14ac:dyDescent="0.25">
      <c r="A3435" s="511"/>
    </row>
    <row r="3436" spans="1:1" x14ac:dyDescent="0.25">
      <c r="A3436" s="511"/>
    </row>
    <row r="3437" spans="1:1" x14ac:dyDescent="0.25">
      <c r="A3437" s="511"/>
    </row>
    <row r="3438" spans="1:1" x14ac:dyDescent="0.25">
      <c r="A3438" s="511"/>
    </row>
    <row r="3439" spans="1:1" x14ac:dyDescent="0.25">
      <c r="A3439" s="511"/>
    </row>
    <row r="3440" spans="1:1" x14ac:dyDescent="0.25">
      <c r="A3440" s="511"/>
    </row>
    <row r="3441" spans="1:1" x14ac:dyDescent="0.25">
      <c r="A3441" s="511"/>
    </row>
    <row r="3442" spans="1:1" x14ac:dyDescent="0.25">
      <c r="A3442" s="511"/>
    </row>
    <row r="3443" spans="1:1" x14ac:dyDescent="0.25">
      <c r="A3443" s="511"/>
    </row>
    <row r="3444" spans="1:1" x14ac:dyDescent="0.25">
      <c r="A3444" s="511"/>
    </row>
    <row r="3445" spans="1:1" x14ac:dyDescent="0.25">
      <c r="A3445" s="511"/>
    </row>
    <row r="3446" spans="1:1" x14ac:dyDescent="0.25">
      <c r="A3446" s="511"/>
    </row>
    <row r="3447" spans="1:1" x14ac:dyDescent="0.25">
      <c r="A3447" s="511"/>
    </row>
    <row r="3448" spans="1:1" x14ac:dyDescent="0.25">
      <c r="A3448" s="511"/>
    </row>
    <row r="3449" spans="1:1" x14ac:dyDescent="0.25">
      <c r="A3449" s="511"/>
    </row>
    <row r="3450" spans="1:1" x14ac:dyDescent="0.25">
      <c r="A3450" s="511"/>
    </row>
    <row r="3451" spans="1:1" x14ac:dyDescent="0.25">
      <c r="A3451" s="511"/>
    </row>
    <row r="3452" spans="1:1" x14ac:dyDescent="0.25">
      <c r="A3452" s="511"/>
    </row>
    <row r="3453" spans="1:1" x14ac:dyDescent="0.25">
      <c r="A3453" s="511"/>
    </row>
    <row r="3454" spans="1:1" x14ac:dyDescent="0.25">
      <c r="A3454" s="511"/>
    </row>
    <row r="3455" spans="1:1" x14ac:dyDescent="0.25">
      <c r="A3455" s="511"/>
    </row>
    <row r="3456" spans="1:1" x14ac:dyDescent="0.25">
      <c r="A3456" s="511"/>
    </row>
    <row r="3457" spans="1:1" x14ac:dyDescent="0.25">
      <c r="A3457" s="511"/>
    </row>
    <row r="3458" spans="1:1" x14ac:dyDescent="0.25">
      <c r="A3458" s="511"/>
    </row>
    <row r="3459" spans="1:1" x14ac:dyDescent="0.25">
      <c r="A3459" s="511"/>
    </row>
    <row r="3460" spans="1:1" x14ac:dyDescent="0.25">
      <c r="A3460" s="511"/>
    </row>
    <row r="3461" spans="1:1" x14ac:dyDescent="0.25">
      <c r="A3461" s="511"/>
    </row>
    <row r="3462" spans="1:1" x14ac:dyDescent="0.25">
      <c r="A3462" s="511"/>
    </row>
    <row r="3463" spans="1:1" x14ac:dyDescent="0.25">
      <c r="A3463" s="511"/>
    </row>
    <row r="3464" spans="1:1" x14ac:dyDescent="0.25">
      <c r="A3464" s="511"/>
    </row>
    <row r="3465" spans="1:1" x14ac:dyDescent="0.25">
      <c r="A3465" s="511"/>
    </row>
    <row r="3466" spans="1:1" x14ac:dyDescent="0.25">
      <c r="A3466" s="511"/>
    </row>
    <row r="3467" spans="1:1" x14ac:dyDescent="0.25">
      <c r="A3467" s="511"/>
    </row>
    <row r="3468" spans="1:1" x14ac:dyDescent="0.25">
      <c r="A3468" s="511"/>
    </row>
    <row r="3469" spans="1:1" x14ac:dyDescent="0.25">
      <c r="A3469" s="511"/>
    </row>
    <row r="3470" spans="1:1" x14ac:dyDescent="0.25">
      <c r="A3470" s="511"/>
    </row>
    <row r="3471" spans="1:1" x14ac:dyDescent="0.25">
      <c r="A3471" s="511"/>
    </row>
    <row r="3472" spans="1:1" x14ac:dyDescent="0.25">
      <c r="A3472" s="511"/>
    </row>
    <row r="3473" spans="1:1" x14ac:dyDescent="0.25">
      <c r="A3473" s="511"/>
    </row>
    <row r="3474" spans="1:1" x14ac:dyDescent="0.25">
      <c r="A3474" s="511"/>
    </row>
    <row r="3475" spans="1:1" x14ac:dyDescent="0.25">
      <c r="A3475" s="511"/>
    </row>
    <row r="3476" spans="1:1" x14ac:dyDescent="0.25">
      <c r="A3476" s="511"/>
    </row>
    <row r="3477" spans="1:1" x14ac:dyDescent="0.25">
      <c r="A3477" s="511"/>
    </row>
    <row r="3478" spans="1:1" x14ac:dyDescent="0.25">
      <c r="A3478" s="511"/>
    </row>
    <row r="3479" spans="1:1" x14ac:dyDescent="0.25">
      <c r="A3479" s="511"/>
    </row>
    <row r="3480" spans="1:1" x14ac:dyDescent="0.25">
      <c r="A3480" s="511"/>
    </row>
    <row r="3481" spans="1:1" x14ac:dyDescent="0.25">
      <c r="A3481" s="511"/>
    </row>
    <row r="3482" spans="1:1" x14ac:dyDescent="0.25">
      <c r="A3482" s="511"/>
    </row>
    <row r="3483" spans="1:1" x14ac:dyDescent="0.25">
      <c r="A3483" s="511"/>
    </row>
    <row r="3484" spans="1:1" x14ac:dyDescent="0.25">
      <c r="A3484" s="511"/>
    </row>
    <row r="3485" spans="1:1" x14ac:dyDescent="0.25">
      <c r="A3485" s="511"/>
    </row>
    <row r="3486" spans="1:1" x14ac:dyDescent="0.25">
      <c r="A3486" s="511"/>
    </row>
    <row r="3487" spans="1:1" x14ac:dyDescent="0.25">
      <c r="A3487" s="511"/>
    </row>
    <row r="3488" spans="1:1" x14ac:dyDescent="0.25">
      <c r="A3488" s="511"/>
    </row>
    <row r="3489" spans="1:1" x14ac:dyDescent="0.25">
      <c r="A3489" s="511"/>
    </row>
    <row r="3490" spans="1:1" x14ac:dyDescent="0.25">
      <c r="A3490" s="511"/>
    </row>
    <row r="3491" spans="1:1" x14ac:dyDescent="0.25">
      <c r="A3491" s="511"/>
    </row>
    <row r="3492" spans="1:1" x14ac:dyDescent="0.25">
      <c r="A3492" s="511"/>
    </row>
    <row r="3493" spans="1:1" x14ac:dyDescent="0.25">
      <c r="A3493" s="511"/>
    </row>
    <row r="3494" spans="1:1" x14ac:dyDescent="0.25">
      <c r="A3494" s="511"/>
    </row>
    <row r="3495" spans="1:1" x14ac:dyDescent="0.25">
      <c r="A3495" s="511"/>
    </row>
    <row r="3496" spans="1:1" x14ac:dyDescent="0.25">
      <c r="A3496" s="511"/>
    </row>
    <row r="3497" spans="1:1" x14ac:dyDescent="0.25">
      <c r="A3497" s="511"/>
    </row>
    <row r="3498" spans="1:1" x14ac:dyDescent="0.25">
      <c r="A3498" s="511"/>
    </row>
    <row r="3499" spans="1:1" x14ac:dyDescent="0.25">
      <c r="A3499" s="511"/>
    </row>
    <row r="3500" spans="1:1" x14ac:dyDescent="0.25">
      <c r="A3500" s="511"/>
    </row>
    <row r="3501" spans="1:1" x14ac:dyDescent="0.25">
      <c r="A3501" s="511"/>
    </row>
    <row r="3502" spans="1:1" x14ac:dyDescent="0.25">
      <c r="A3502" s="511"/>
    </row>
    <row r="3503" spans="1:1" x14ac:dyDescent="0.25">
      <c r="A3503" s="511"/>
    </row>
    <row r="3504" spans="1:1" x14ac:dyDescent="0.25">
      <c r="A3504" s="511"/>
    </row>
    <row r="3505" spans="1:1" x14ac:dyDescent="0.25">
      <c r="A3505" s="511"/>
    </row>
    <row r="3506" spans="1:1" x14ac:dyDescent="0.25">
      <c r="A3506" s="511"/>
    </row>
    <row r="3507" spans="1:1" x14ac:dyDescent="0.25">
      <c r="A3507" s="511"/>
    </row>
    <row r="3508" spans="1:1" x14ac:dyDescent="0.25">
      <c r="A3508" s="511"/>
    </row>
    <row r="3509" spans="1:1" x14ac:dyDescent="0.25">
      <c r="A3509" s="511"/>
    </row>
    <row r="3510" spans="1:1" x14ac:dyDescent="0.25">
      <c r="A3510" s="511"/>
    </row>
    <row r="3511" spans="1:1" x14ac:dyDescent="0.25">
      <c r="A3511" s="511"/>
    </row>
    <row r="3512" spans="1:1" x14ac:dyDescent="0.25">
      <c r="A3512" s="511"/>
    </row>
    <row r="3513" spans="1:1" x14ac:dyDescent="0.25">
      <c r="A3513" s="511"/>
    </row>
    <row r="3514" spans="1:1" x14ac:dyDescent="0.25">
      <c r="A3514" s="511"/>
    </row>
    <row r="3515" spans="1:1" x14ac:dyDescent="0.25">
      <c r="A3515" s="511"/>
    </row>
    <row r="3516" spans="1:1" x14ac:dyDescent="0.25">
      <c r="A3516" s="511"/>
    </row>
    <row r="3517" spans="1:1" x14ac:dyDescent="0.25">
      <c r="A3517" s="511"/>
    </row>
    <row r="3518" spans="1:1" x14ac:dyDescent="0.25">
      <c r="A3518" s="511"/>
    </row>
    <row r="3519" spans="1:1" x14ac:dyDescent="0.25">
      <c r="A3519" s="511"/>
    </row>
    <row r="3520" spans="1:1" x14ac:dyDescent="0.25">
      <c r="A3520" s="511"/>
    </row>
    <row r="3521" spans="1:1" x14ac:dyDescent="0.25">
      <c r="A3521" s="511"/>
    </row>
    <row r="3522" spans="1:1" x14ac:dyDescent="0.25">
      <c r="A3522" s="511"/>
    </row>
    <row r="3523" spans="1:1" x14ac:dyDescent="0.25">
      <c r="A3523" s="511"/>
    </row>
    <row r="3524" spans="1:1" x14ac:dyDescent="0.25">
      <c r="A3524" s="511"/>
    </row>
    <row r="3525" spans="1:1" x14ac:dyDescent="0.25">
      <c r="A3525" s="511"/>
    </row>
    <row r="3526" spans="1:1" x14ac:dyDescent="0.25">
      <c r="A3526" s="511"/>
    </row>
    <row r="3527" spans="1:1" x14ac:dyDescent="0.25">
      <c r="A3527" s="511"/>
    </row>
    <row r="3528" spans="1:1" x14ac:dyDescent="0.25">
      <c r="A3528" s="511"/>
    </row>
    <row r="3529" spans="1:1" x14ac:dyDescent="0.25">
      <c r="A3529" s="511"/>
    </row>
    <row r="3530" spans="1:1" x14ac:dyDescent="0.25">
      <c r="A3530" s="511"/>
    </row>
    <row r="3531" spans="1:1" x14ac:dyDescent="0.25">
      <c r="A3531" s="511"/>
    </row>
    <row r="3532" spans="1:1" x14ac:dyDescent="0.25">
      <c r="A3532" s="511"/>
    </row>
    <row r="3533" spans="1:1" x14ac:dyDescent="0.25">
      <c r="A3533" s="511"/>
    </row>
    <row r="3534" spans="1:1" x14ac:dyDescent="0.25">
      <c r="A3534" s="511"/>
    </row>
    <row r="3535" spans="1:1" x14ac:dyDescent="0.25">
      <c r="A3535" s="511"/>
    </row>
    <row r="3536" spans="1:1" x14ac:dyDescent="0.25">
      <c r="A3536" s="511"/>
    </row>
    <row r="3537" spans="1:1" x14ac:dyDescent="0.25">
      <c r="A3537" s="511"/>
    </row>
    <row r="3538" spans="1:1" x14ac:dyDescent="0.25">
      <c r="A3538" s="511"/>
    </row>
    <row r="3539" spans="1:1" x14ac:dyDescent="0.25">
      <c r="A3539" s="511"/>
    </row>
    <row r="3540" spans="1:1" x14ac:dyDescent="0.25">
      <c r="A3540" s="511"/>
    </row>
    <row r="3541" spans="1:1" x14ac:dyDescent="0.25">
      <c r="A3541" s="511"/>
    </row>
    <row r="3542" spans="1:1" x14ac:dyDescent="0.25">
      <c r="A3542" s="511"/>
    </row>
    <row r="3543" spans="1:1" x14ac:dyDescent="0.25">
      <c r="A3543" s="511"/>
    </row>
    <row r="3544" spans="1:1" x14ac:dyDescent="0.25">
      <c r="A3544" s="511"/>
    </row>
    <row r="3545" spans="1:1" x14ac:dyDescent="0.25">
      <c r="A3545" s="511"/>
    </row>
    <row r="3546" spans="1:1" x14ac:dyDescent="0.25">
      <c r="A3546" s="511"/>
    </row>
    <row r="3547" spans="1:1" x14ac:dyDescent="0.25">
      <c r="A3547" s="511"/>
    </row>
    <row r="3548" spans="1:1" x14ac:dyDescent="0.25">
      <c r="A3548" s="511"/>
    </row>
    <row r="3549" spans="1:1" x14ac:dyDescent="0.25">
      <c r="A3549" s="511"/>
    </row>
    <row r="3550" spans="1:1" x14ac:dyDescent="0.25">
      <c r="A3550" s="511"/>
    </row>
    <row r="3551" spans="1:1" x14ac:dyDescent="0.25">
      <c r="A3551" s="511"/>
    </row>
    <row r="3552" spans="1:1" x14ac:dyDescent="0.25">
      <c r="A3552" s="511"/>
    </row>
    <row r="3553" spans="1:1" x14ac:dyDescent="0.25">
      <c r="A3553" s="511"/>
    </row>
    <row r="3554" spans="1:1" x14ac:dyDescent="0.25">
      <c r="A3554" s="511"/>
    </row>
    <row r="3555" spans="1:1" x14ac:dyDescent="0.25">
      <c r="A3555" s="511"/>
    </row>
    <row r="3556" spans="1:1" x14ac:dyDescent="0.25">
      <c r="A3556" s="511"/>
    </row>
    <row r="3557" spans="1:1" x14ac:dyDescent="0.25">
      <c r="A3557" s="511"/>
    </row>
    <row r="3558" spans="1:1" x14ac:dyDescent="0.25">
      <c r="A3558" s="511"/>
    </row>
    <row r="3559" spans="1:1" x14ac:dyDescent="0.25">
      <c r="A3559" s="511"/>
    </row>
    <row r="3560" spans="1:1" x14ac:dyDescent="0.25">
      <c r="A3560" s="511"/>
    </row>
    <row r="3561" spans="1:1" x14ac:dyDescent="0.25">
      <c r="A3561" s="511"/>
    </row>
    <row r="3562" spans="1:1" x14ac:dyDescent="0.25">
      <c r="A3562" s="511"/>
    </row>
    <row r="3563" spans="1:1" x14ac:dyDescent="0.25">
      <c r="A3563" s="511"/>
    </row>
    <row r="3564" spans="1:1" x14ac:dyDescent="0.25">
      <c r="A3564" s="511"/>
    </row>
    <row r="3565" spans="1:1" x14ac:dyDescent="0.25">
      <c r="A3565" s="511"/>
    </row>
    <row r="3566" spans="1:1" x14ac:dyDescent="0.25">
      <c r="A3566" s="511"/>
    </row>
    <row r="3567" spans="1:1" x14ac:dyDescent="0.25">
      <c r="A3567" s="511"/>
    </row>
    <row r="3568" spans="1:1" x14ac:dyDescent="0.25">
      <c r="A3568" s="511"/>
    </row>
    <row r="3569" spans="1:1" x14ac:dyDescent="0.25">
      <c r="A3569" s="511"/>
    </row>
    <row r="3570" spans="1:1" x14ac:dyDescent="0.25">
      <c r="A3570" s="511"/>
    </row>
    <row r="3571" spans="1:1" x14ac:dyDescent="0.25">
      <c r="A3571" s="511"/>
    </row>
    <row r="3572" spans="1:1" x14ac:dyDescent="0.25">
      <c r="A3572" s="511"/>
    </row>
    <row r="3573" spans="1:1" x14ac:dyDescent="0.25">
      <c r="A3573" s="511"/>
    </row>
    <row r="3574" spans="1:1" x14ac:dyDescent="0.25">
      <c r="A3574" s="511"/>
    </row>
    <row r="3575" spans="1:1" x14ac:dyDescent="0.25">
      <c r="A3575" s="511"/>
    </row>
    <row r="3576" spans="1:1" x14ac:dyDescent="0.25">
      <c r="A3576" s="511"/>
    </row>
    <row r="3577" spans="1:1" x14ac:dyDescent="0.25">
      <c r="A3577" s="511"/>
    </row>
    <row r="3578" spans="1:1" x14ac:dyDescent="0.25">
      <c r="A3578" s="511"/>
    </row>
    <row r="3579" spans="1:1" x14ac:dyDescent="0.25">
      <c r="A3579" s="511"/>
    </row>
    <row r="3580" spans="1:1" x14ac:dyDescent="0.25">
      <c r="A3580" s="511"/>
    </row>
    <row r="3581" spans="1:1" x14ac:dyDescent="0.25">
      <c r="A3581" s="511"/>
    </row>
    <row r="3582" spans="1:1" x14ac:dyDescent="0.25">
      <c r="A3582" s="511"/>
    </row>
    <row r="3583" spans="1:1" x14ac:dyDescent="0.25">
      <c r="A3583" s="511"/>
    </row>
    <row r="3584" spans="1:1" x14ac:dyDescent="0.25">
      <c r="A3584" s="511"/>
    </row>
    <row r="3585" spans="1:1" x14ac:dyDescent="0.25">
      <c r="A3585" s="511"/>
    </row>
    <row r="3586" spans="1:1" x14ac:dyDescent="0.25">
      <c r="A3586" s="511"/>
    </row>
    <row r="3587" spans="1:1" x14ac:dyDescent="0.25">
      <c r="A3587" s="511"/>
    </row>
    <row r="3588" spans="1:1" x14ac:dyDescent="0.25">
      <c r="A3588" s="511"/>
    </row>
    <row r="3589" spans="1:1" x14ac:dyDescent="0.25">
      <c r="A3589" s="511"/>
    </row>
    <row r="3590" spans="1:1" x14ac:dyDescent="0.25">
      <c r="A3590" s="511"/>
    </row>
    <row r="3591" spans="1:1" x14ac:dyDescent="0.25">
      <c r="A3591" s="511"/>
    </row>
    <row r="3592" spans="1:1" x14ac:dyDescent="0.25">
      <c r="A3592" s="511"/>
    </row>
    <row r="3593" spans="1:1" x14ac:dyDescent="0.25">
      <c r="A3593" s="511"/>
    </row>
    <row r="3594" spans="1:1" x14ac:dyDescent="0.25">
      <c r="A3594" s="511"/>
    </row>
    <row r="3595" spans="1:1" x14ac:dyDescent="0.25">
      <c r="A3595" s="511"/>
    </row>
    <row r="3596" spans="1:1" x14ac:dyDescent="0.25">
      <c r="A3596" s="511"/>
    </row>
    <row r="3597" spans="1:1" x14ac:dyDescent="0.25">
      <c r="A3597" s="511"/>
    </row>
    <row r="3598" spans="1:1" x14ac:dyDescent="0.25">
      <c r="A3598" s="511"/>
    </row>
    <row r="3599" spans="1:1" x14ac:dyDescent="0.25">
      <c r="A3599" s="511"/>
    </row>
    <row r="3600" spans="1:1" x14ac:dyDescent="0.25">
      <c r="A3600" s="511"/>
    </row>
    <row r="3601" spans="1:1" x14ac:dyDescent="0.25">
      <c r="A3601" s="511"/>
    </row>
    <row r="3602" spans="1:1" x14ac:dyDescent="0.25">
      <c r="A3602" s="511"/>
    </row>
    <row r="3603" spans="1:1" x14ac:dyDescent="0.25">
      <c r="A3603" s="511"/>
    </row>
    <row r="3604" spans="1:1" x14ac:dyDescent="0.25">
      <c r="A3604" s="511"/>
    </row>
    <row r="3605" spans="1:1" x14ac:dyDescent="0.25">
      <c r="A3605" s="511"/>
    </row>
    <row r="3606" spans="1:1" x14ac:dyDescent="0.25">
      <c r="A3606" s="511"/>
    </row>
    <row r="3607" spans="1:1" x14ac:dyDescent="0.25">
      <c r="A3607" s="511"/>
    </row>
    <row r="3608" spans="1:1" x14ac:dyDescent="0.25">
      <c r="A3608" s="511"/>
    </row>
    <row r="3609" spans="1:1" x14ac:dyDescent="0.25">
      <c r="A3609" s="511"/>
    </row>
    <row r="3610" spans="1:1" x14ac:dyDescent="0.25">
      <c r="A3610" s="511"/>
    </row>
    <row r="3611" spans="1:1" x14ac:dyDescent="0.25">
      <c r="A3611" s="511"/>
    </row>
    <row r="3612" spans="1:1" x14ac:dyDescent="0.25">
      <c r="A3612" s="511"/>
    </row>
    <row r="3613" spans="1:1" x14ac:dyDescent="0.25">
      <c r="A3613" s="511"/>
    </row>
    <row r="3614" spans="1:1" x14ac:dyDescent="0.25">
      <c r="A3614" s="511"/>
    </row>
    <row r="3615" spans="1:1" x14ac:dyDescent="0.25">
      <c r="A3615" s="511"/>
    </row>
    <row r="3616" spans="1:1" x14ac:dyDescent="0.25">
      <c r="A3616" s="511"/>
    </row>
    <row r="3617" spans="1:1" x14ac:dyDescent="0.25">
      <c r="A3617" s="511"/>
    </row>
    <row r="3618" spans="1:1" x14ac:dyDescent="0.25">
      <c r="A3618" s="511"/>
    </row>
    <row r="3619" spans="1:1" x14ac:dyDescent="0.25">
      <c r="A3619" s="511"/>
    </row>
    <row r="3620" spans="1:1" x14ac:dyDescent="0.25">
      <c r="A3620" s="511"/>
    </row>
    <row r="3621" spans="1:1" x14ac:dyDescent="0.25">
      <c r="A3621" s="511"/>
    </row>
    <row r="3622" spans="1:1" x14ac:dyDescent="0.25">
      <c r="A3622" s="511"/>
    </row>
    <row r="3623" spans="1:1" x14ac:dyDescent="0.25">
      <c r="A3623" s="511"/>
    </row>
    <row r="3624" spans="1:1" x14ac:dyDescent="0.25">
      <c r="A3624" s="511"/>
    </row>
    <row r="3625" spans="1:1" x14ac:dyDescent="0.25">
      <c r="A3625" s="511"/>
    </row>
    <row r="3626" spans="1:1" x14ac:dyDescent="0.25">
      <c r="A3626" s="511"/>
    </row>
    <row r="3627" spans="1:1" x14ac:dyDescent="0.25">
      <c r="A3627" s="511"/>
    </row>
    <row r="3628" spans="1:1" x14ac:dyDescent="0.25">
      <c r="A3628" s="511"/>
    </row>
    <row r="3629" spans="1:1" x14ac:dyDescent="0.25">
      <c r="A3629" s="511"/>
    </row>
    <row r="3630" spans="1:1" x14ac:dyDescent="0.25">
      <c r="A3630" s="511"/>
    </row>
    <row r="3631" spans="1:1" x14ac:dyDescent="0.25">
      <c r="A3631" s="511"/>
    </row>
    <row r="3632" spans="1:1" x14ac:dyDescent="0.25">
      <c r="A3632" s="511"/>
    </row>
    <row r="3633" spans="1:1" x14ac:dyDescent="0.25">
      <c r="A3633" s="511"/>
    </row>
    <row r="3634" spans="1:1" x14ac:dyDescent="0.25">
      <c r="A3634" s="511"/>
    </row>
    <row r="3635" spans="1:1" x14ac:dyDescent="0.25">
      <c r="A3635" s="511"/>
    </row>
    <row r="3636" spans="1:1" x14ac:dyDescent="0.25">
      <c r="A3636" s="511"/>
    </row>
    <row r="3637" spans="1:1" x14ac:dyDescent="0.25">
      <c r="A3637" s="511"/>
    </row>
    <row r="3638" spans="1:1" x14ac:dyDescent="0.25">
      <c r="A3638" s="511"/>
    </row>
    <row r="3639" spans="1:1" x14ac:dyDescent="0.25">
      <c r="A3639" s="511"/>
    </row>
    <row r="3640" spans="1:1" x14ac:dyDescent="0.25">
      <c r="A3640" s="511"/>
    </row>
    <row r="3641" spans="1:1" x14ac:dyDescent="0.25">
      <c r="A3641" s="511"/>
    </row>
    <row r="3642" spans="1:1" x14ac:dyDescent="0.25">
      <c r="A3642" s="511"/>
    </row>
    <row r="3643" spans="1:1" x14ac:dyDescent="0.25">
      <c r="A3643" s="511"/>
    </row>
    <row r="3644" spans="1:1" x14ac:dyDescent="0.25">
      <c r="A3644" s="511"/>
    </row>
    <row r="3645" spans="1:1" x14ac:dyDescent="0.25">
      <c r="A3645" s="511"/>
    </row>
    <row r="3646" spans="1:1" x14ac:dyDescent="0.25">
      <c r="A3646" s="511"/>
    </row>
    <row r="3647" spans="1:1" x14ac:dyDescent="0.25">
      <c r="A3647" s="511"/>
    </row>
    <row r="3648" spans="1:1" x14ac:dyDescent="0.25">
      <c r="A3648" s="511"/>
    </row>
    <row r="3649" spans="1:1" x14ac:dyDescent="0.25">
      <c r="A3649" s="511"/>
    </row>
    <row r="3650" spans="1:1" x14ac:dyDescent="0.25">
      <c r="A3650" s="511"/>
    </row>
    <row r="3651" spans="1:1" x14ac:dyDescent="0.25">
      <c r="A3651" s="511"/>
    </row>
    <row r="3652" spans="1:1" x14ac:dyDescent="0.25">
      <c r="A3652" s="511"/>
    </row>
    <row r="3653" spans="1:1" x14ac:dyDescent="0.25">
      <c r="A3653" s="511"/>
    </row>
    <row r="3654" spans="1:1" x14ac:dyDescent="0.25">
      <c r="A3654" s="511"/>
    </row>
    <row r="3655" spans="1:1" x14ac:dyDescent="0.25">
      <c r="A3655" s="511"/>
    </row>
    <row r="3656" spans="1:1" x14ac:dyDescent="0.25">
      <c r="A3656" s="511"/>
    </row>
    <row r="3657" spans="1:1" x14ac:dyDescent="0.25">
      <c r="A3657" s="511"/>
    </row>
    <row r="3658" spans="1:1" x14ac:dyDescent="0.25">
      <c r="A3658" s="511"/>
    </row>
    <row r="3659" spans="1:1" x14ac:dyDescent="0.25">
      <c r="A3659" s="511"/>
    </row>
    <row r="3660" spans="1:1" x14ac:dyDescent="0.25">
      <c r="A3660" s="511"/>
    </row>
    <row r="3661" spans="1:1" x14ac:dyDescent="0.25">
      <c r="A3661" s="511"/>
    </row>
    <row r="3662" spans="1:1" x14ac:dyDescent="0.25">
      <c r="A3662" s="511"/>
    </row>
    <row r="3663" spans="1:1" x14ac:dyDescent="0.25">
      <c r="A3663" s="511"/>
    </row>
    <row r="3664" spans="1:1" x14ac:dyDescent="0.25">
      <c r="A3664" s="511"/>
    </row>
    <row r="3665" spans="1:1" x14ac:dyDescent="0.25">
      <c r="A3665" s="511"/>
    </row>
    <row r="3666" spans="1:1" x14ac:dyDescent="0.25">
      <c r="A3666" s="511"/>
    </row>
    <row r="3667" spans="1:1" x14ac:dyDescent="0.25">
      <c r="A3667" s="511"/>
    </row>
    <row r="3668" spans="1:1" x14ac:dyDescent="0.25">
      <c r="A3668" s="511"/>
    </row>
    <row r="3669" spans="1:1" x14ac:dyDescent="0.25">
      <c r="A3669" s="511"/>
    </row>
    <row r="3670" spans="1:1" x14ac:dyDescent="0.25">
      <c r="A3670" s="511"/>
    </row>
    <row r="3671" spans="1:1" x14ac:dyDescent="0.25">
      <c r="A3671" s="511"/>
    </row>
    <row r="3672" spans="1:1" x14ac:dyDescent="0.25">
      <c r="A3672" s="511"/>
    </row>
    <row r="3673" spans="1:1" x14ac:dyDescent="0.25">
      <c r="A3673" s="511"/>
    </row>
    <row r="3674" spans="1:1" x14ac:dyDescent="0.25">
      <c r="A3674" s="511"/>
    </row>
    <row r="3675" spans="1:1" x14ac:dyDescent="0.25">
      <c r="A3675" s="511"/>
    </row>
    <row r="3676" spans="1:1" x14ac:dyDescent="0.25">
      <c r="A3676" s="511"/>
    </row>
    <row r="3677" spans="1:1" x14ac:dyDescent="0.25">
      <c r="A3677" s="511"/>
    </row>
    <row r="3678" spans="1:1" x14ac:dyDescent="0.25">
      <c r="A3678" s="511"/>
    </row>
    <row r="3679" spans="1:1" x14ac:dyDescent="0.25">
      <c r="A3679" s="511"/>
    </row>
    <row r="3680" spans="1:1" x14ac:dyDescent="0.25">
      <c r="A3680" s="511"/>
    </row>
    <row r="3681" spans="1:1" x14ac:dyDescent="0.25">
      <c r="A3681" s="511"/>
    </row>
    <row r="3682" spans="1:1" x14ac:dyDescent="0.25">
      <c r="A3682" s="511"/>
    </row>
    <row r="3683" spans="1:1" x14ac:dyDescent="0.25">
      <c r="A3683" s="511"/>
    </row>
    <row r="3684" spans="1:1" x14ac:dyDescent="0.25">
      <c r="A3684" s="511"/>
    </row>
    <row r="3685" spans="1:1" x14ac:dyDescent="0.25">
      <c r="A3685" s="511"/>
    </row>
    <row r="3686" spans="1:1" x14ac:dyDescent="0.25">
      <c r="A3686" s="511"/>
    </row>
    <row r="3687" spans="1:1" x14ac:dyDescent="0.25">
      <c r="A3687" s="511"/>
    </row>
    <row r="3688" spans="1:1" x14ac:dyDescent="0.25">
      <c r="A3688" s="511"/>
    </row>
    <row r="3689" spans="1:1" x14ac:dyDescent="0.25">
      <c r="A3689" s="511"/>
    </row>
    <row r="3690" spans="1:1" x14ac:dyDescent="0.25">
      <c r="A3690" s="511"/>
    </row>
    <row r="3691" spans="1:1" x14ac:dyDescent="0.25">
      <c r="A3691" s="511"/>
    </row>
    <row r="3692" spans="1:1" x14ac:dyDescent="0.25">
      <c r="A3692" s="511"/>
    </row>
    <row r="3693" spans="1:1" x14ac:dyDescent="0.25">
      <c r="A3693" s="511"/>
    </row>
    <row r="3694" spans="1:1" x14ac:dyDescent="0.25">
      <c r="A3694" s="511"/>
    </row>
    <row r="3695" spans="1:1" x14ac:dyDescent="0.25">
      <c r="A3695" s="511"/>
    </row>
    <row r="3696" spans="1:1" x14ac:dyDescent="0.25">
      <c r="A3696" s="511"/>
    </row>
    <row r="3697" spans="1:1" x14ac:dyDescent="0.25">
      <c r="A3697" s="511"/>
    </row>
    <row r="3698" spans="1:1" x14ac:dyDescent="0.25">
      <c r="A3698" s="511"/>
    </row>
    <row r="3699" spans="1:1" x14ac:dyDescent="0.25">
      <c r="A3699" s="511"/>
    </row>
    <row r="3700" spans="1:1" x14ac:dyDescent="0.25">
      <c r="A3700" s="511"/>
    </row>
    <row r="3701" spans="1:1" x14ac:dyDescent="0.25">
      <c r="A3701" s="511"/>
    </row>
    <row r="3702" spans="1:1" x14ac:dyDescent="0.25">
      <c r="A3702" s="511"/>
    </row>
    <row r="3703" spans="1:1" x14ac:dyDescent="0.25">
      <c r="A3703" s="511"/>
    </row>
    <row r="3704" spans="1:1" x14ac:dyDescent="0.25">
      <c r="A3704" s="511"/>
    </row>
    <row r="3705" spans="1:1" x14ac:dyDescent="0.25">
      <c r="A3705" s="511"/>
    </row>
    <row r="3706" spans="1:1" x14ac:dyDescent="0.25">
      <c r="A3706" s="511"/>
    </row>
    <row r="3707" spans="1:1" x14ac:dyDescent="0.25">
      <c r="A3707" s="511"/>
    </row>
    <row r="3708" spans="1:1" x14ac:dyDescent="0.25">
      <c r="A3708" s="511"/>
    </row>
    <row r="3709" spans="1:1" x14ac:dyDescent="0.25">
      <c r="A3709" s="511"/>
    </row>
    <row r="3710" spans="1:1" x14ac:dyDescent="0.25">
      <c r="A3710" s="511"/>
    </row>
    <row r="3711" spans="1:1" x14ac:dyDescent="0.25">
      <c r="A3711" s="511"/>
    </row>
    <row r="3712" spans="1:1" x14ac:dyDescent="0.25">
      <c r="A3712" s="511"/>
    </row>
    <row r="3713" spans="1:1" x14ac:dyDescent="0.25">
      <c r="A3713" s="511"/>
    </row>
    <row r="3714" spans="1:1" x14ac:dyDescent="0.25">
      <c r="A3714" s="511"/>
    </row>
    <row r="3715" spans="1:1" x14ac:dyDescent="0.25">
      <c r="A3715" s="511"/>
    </row>
    <row r="3716" spans="1:1" x14ac:dyDescent="0.25">
      <c r="A3716" s="511"/>
    </row>
    <row r="3717" spans="1:1" x14ac:dyDescent="0.25">
      <c r="A3717" s="511"/>
    </row>
    <row r="3718" spans="1:1" x14ac:dyDescent="0.25">
      <c r="A3718" s="511"/>
    </row>
    <row r="3719" spans="1:1" x14ac:dyDescent="0.25">
      <c r="A3719" s="511"/>
    </row>
    <row r="3720" spans="1:1" x14ac:dyDescent="0.25">
      <c r="A3720" s="511"/>
    </row>
    <row r="3721" spans="1:1" x14ac:dyDescent="0.25">
      <c r="A3721" s="511"/>
    </row>
    <row r="3722" spans="1:1" x14ac:dyDescent="0.25">
      <c r="A3722" s="511"/>
    </row>
    <row r="3723" spans="1:1" x14ac:dyDescent="0.25">
      <c r="A3723" s="511"/>
    </row>
    <row r="3724" spans="1:1" x14ac:dyDescent="0.25">
      <c r="A3724" s="511"/>
    </row>
    <row r="3725" spans="1:1" x14ac:dyDescent="0.25">
      <c r="A3725" s="511"/>
    </row>
    <row r="3726" spans="1:1" x14ac:dyDescent="0.25">
      <c r="A3726" s="511"/>
    </row>
    <row r="3727" spans="1:1" x14ac:dyDescent="0.25">
      <c r="A3727" s="511"/>
    </row>
    <row r="3728" spans="1:1" x14ac:dyDescent="0.25">
      <c r="A3728" s="511"/>
    </row>
    <row r="3729" spans="1:1" x14ac:dyDescent="0.25">
      <c r="A3729" s="511"/>
    </row>
    <row r="3730" spans="1:1" x14ac:dyDescent="0.25">
      <c r="A3730" s="511"/>
    </row>
    <row r="3731" spans="1:1" x14ac:dyDescent="0.25">
      <c r="A3731" s="511"/>
    </row>
    <row r="3732" spans="1:1" x14ac:dyDescent="0.25">
      <c r="A3732" s="511"/>
    </row>
    <row r="3733" spans="1:1" x14ac:dyDescent="0.25">
      <c r="A3733" s="511"/>
    </row>
    <row r="3734" spans="1:1" x14ac:dyDescent="0.25">
      <c r="A3734" s="511"/>
    </row>
    <row r="3735" spans="1:1" x14ac:dyDescent="0.25">
      <c r="A3735" s="511"/>
    </row>
    <row r="3736" spans="1:1" x14ac:dyDescent="0.25">
      <c r="A3736" s="511"/>
    </row>
    <row r="3737" spans="1:1" x14ac:dyDescent="0.25">
      <c r="A3737" s="511"/>
    </row>
    <row r="3738" spans="1:1" x14ac:dyDescent="0.25">
      <c r="A3738" s="511"/>
    </row>
    <row r="3739" spans="1:1" x14ac:dyDescent="0.25">
      <c r="A3739" s="511"/>
    </row>
    <row r="3740" spans="1:1" x14ac:dyDescent="0.25">
      <c r="A3740" s="511"/>
    </row>
    <row r="3741" spans="1:1" x14ac:dyDescent="0.25">
      <c r="A3741" s="511"/>
    </row>
    <row r="3742" spans="1:1" x14ac:dyDescent="0.25">
      <c r="A3742" s="511"/>
    </row>
    <row r="3743" spans="1:1" x14ac:dyDescent="0.25">
      <c r="A3743" s="511"/>
    </row>
    <row r="3744" spans="1:1" x14ac:dyDescent="0.25">
      <c r="A3744" s="511"/>
    </row>
    <row r="3745" spans="1:1" x14ac:dyDescent="0.25">
      <c r="A3745" s="511"/>
    </row>
    <row r="3746" spans="1:1" x14ac:dyDescent="0.25">
      <c r="A3746" s="511"/>
    </row>
    <row r="3747" spans="1:1" x14ac:dyDescent="0.25">
      <c r="A3747" s="511"/>
    </row>
    <row r="3748" spans="1:1" x14ac:dyDescent="0.25">
      <c r="A3748" s="511"/>
    </row>
    <row r="3749" spans="1:1" x14ac:dyDescent="0.25">
      <c r="A3749" s="511"/>
    </row>
    <row r="3750" spans="1:1" x14ac:dyDescent="0.25">
      <c r="A3750" s="511"/>
    </row>
    <row r="3751" spans="1:1" x14ac:dyDescent="0.25">
      <c r="A3751" s="511"/>
    </row>
    <row r="3752" spans="1:1" x14ac:dyDescent="0.25">
      <c r="A3752" s="511"/>
    </row>
    <row r="3753" spans="1:1" x14ac:dyDescent="0.25">
      <c r="A3753" s="511"/>
    </row>
    <row r="3754" spans="1:1" x14ac:dyDescent="0.25">
      <c r="A3754" s="511"/>
    </row>
    <row r="3755" spans="1:1" x14ac:dyDescent="0.25">
      <c r="A3755" s="511"/>
    </row>
    <row r="3756" spans="1:1" x14ac:dyDescent="0.25">
      <c r="A3756" s="511"/>
    </row>
    <row r="3757" spans="1:1" x14ac:dyDescent="0.25">
      <c r="A3757" s="511"/>
    </row>
    <row r="3758" spans="1:1" x14ac:dyDescent="0.25">
      <c r="A3758" s="511"/>
    </row>
    <row r="3759" spans="1:1" x14ac:dyDescent="0.25">
      <c r="A3759" s="511"/>
    </row>
    <row r="3760" spans="1:1" x14ac:dyDescent="0.25">
      <c r="A3760" s="511"/>
    </row>
    <row r="3761" spans="1:1" x14ac:dyDescent="0.25">
      <c r="A3761" s="511"/>
    </row>
    <row r="3762" spans="1:1" x14ac:dyDescent="0.25">
      <c r="A3762" s="511"/>
    </row>
    <row r="3763" spans="1:1" x14ac:dyDescent="0.25">
      <c r="A3763" s="511"/>
    </row>
    <row r="3764" spans="1:1" x14ac:dyDescent="0.25">
      <c r="A3764" s="511"/>
    </row>
    <row r="3765" spans="1:1" x14ac:dyDescent="0.25">
      <c r="A3765" s="511"/>
    </row>
    <row r="3766" spans="1:1" x14ac:dyDescent="0.25">
      <c r="A3766" s="511"/>
    </row>
    <row r="3767" spans="1:1" x14ac:dyDescent="0.25">
      <c r="A3767" s="511"/>
    </row>
    <row r="3768" spans="1:1" x14ac:dyDescent="0.25">
      <c r="A3768" s="511"/>
    </row>
    <row r="3769" spans="1:1" x14ac:dyDescent="0.25">
      <c r="A3769" s="511"/>
    </row>
    <row r="3770" spans="1:1" x14ac:dyDescent="0.25">
      <c r="A3770" s="511"/>
    </row>
    <row r="3771" spans="1:1" x14ac:dyDescent="0.25">
      <c r="A3771" s="511"/>
    </row>
    <row r="3772" spans="1:1" x14ac:dyDescent="0.25">
      <c r="A3772" s="511"/>
    </row>
    <row r="3773" spans="1:1" x14ac:dyDescent="0.25">
      <c r="A3773" s="511"/>
    </row>
    <row r="3774" spans="1:1" x14ac:dyDescent="0.25">
      <c r="A3774" s="511"/>
    </row>
    <row r="3775" spans="1:1" x14ac:dyDescent="0.25">
      <c r="A3775" s="511"/>
    </row>
    <row r="3776" spans="1:1" x14ac:dyDescent="0.25">
      <c r="A3776" s="511"/>
    </row>
    <row r="3777" spans="1:1" x14ac:dyDescent="0.25">
      <c r="A3777" s="511"/>
    </row>
    <row r="3778" spans="1:1" x14ac:dyDescent="0.25">
      <c r="A3778" s="511"/>
    </row>
    <row r="3779" spans="1:1" x14ac:dyDescent="0.25">
      <c r="A3779" s="511"/>
    </row>
    <row r="3780" spans="1:1" x14ac:dyDescent="0.25">
      <c r="A3780" s="511"/>
    </row>
    <row r="3781" spans="1:1" x14ac:dyDescent="0.25">
      <c r="A3781" s="511"/>
    </row>
    <row r="3782" spans="1:1" x14ac:dyDescent="0.25">
      <c r="A3782" s="511"/>
    </row>
    <row r="3783" spans="1:1" x14ac:dyDescent="0.25">
      <c r="A3783" s="511"/>
    </row>
    <row r="3784" spans="1:1" x14ac:dyDescent="0.25">
      <c r="A3784" s="511"/>
    </row>
    <row r="3785" spans="1:1" x14ac:dyDescent="0.25">
      <c r="A3785" s="511"/>
    </row>
    <row r="3786" spans="1:1" x14ac:dyDescent="0.25">
      <c r="A3786" s="511"/>
    </row>
    <row r="3787" spans="1:1" x14ac:dyDescent="0.25">
      <c r="A3787" s="511"/>
    </row>
    <row r="3788" spans="1:1" x14ac:dyDescent="0.25">
      <c r="A3788" s="511"/>
    </row>
    <row r="3789" spans="1:1" x14ac:dyDescent="0.25">
      <c r="A3789" s="511"/>
    </row>
    <row r="3790" spans="1:1" x14ac:dyDescent="0.25">
      <c r="A3790" s="511"/>
    </row>
    <row r="3791" spans="1:1" x14ac:dyDescent="0.25">
      <c r="A3791" s="511"/>
    </row>
    <row r="3792" spans="1:1" x14ac:dyDescent="0.25">
      <c r="A3792" s="511"/>
    </row>
    <row r="3793" spans="1:1" x14ac:dyDescent="0.25">
      <c r="A3793" s="511"/>
    </row>
    <row r="3794" spans="1:1" x14ac:dyDescent="0.25">
      <c r="A3794" s="511"/>
    </row>
    <row r="3795" spans="1:1" x14ac:dyDescent="0.25">
      <c r="A3795" s="511"/>
    </row>
    <row r="3796" spans="1:1" x14ac:dyDescent="0.25">
      <c r="A3796" s="511"/>
    </row>
    <row r="3797" spans="1:1" x14ac:dyDescent="0.25">
      <c r="A3797" s="511"/>
    </row>
    <row r="3798" spans="1:1" x14ac:dyDescent="0.25">
      <c r="A3798" s="511"/>
    </row>
    <row r="3799" spans="1:1" x14ac:dyDescent="0.25">
      <c r="A3799" s="511"/>
    </row>
    <row r="3800" spans="1:1" x14ac:dyDescent="0.25">
      <c r="A3800" s="511"/>
    </row>
    <row r="3801" spans="1:1" x14ac:dyDescent="0.25">
      <c r="A3801" s="511"/>
    </row>
    <row r="3802" spans="1:1" x14ac:dyDescent="0.25">
      <c r="A3802" s="511"/>
    </row>
    <row r="3803" spans="1:1" x14ac:dyDescent="0.25">
      <c r="A3803" s="511"/>
    </row>
    <row r="3804" spans="1:1" x14ac:dyDescent="0.25">
      <c r="A3804" s="511"/>
    </row>
    <row r="3805" spans="1:1" x14ac:dyDescent="0.25">
      <c r="A3805" s="511"/>
    </row>
    <row r="3806" spans="1:1" x14ac:dyDescent="0.25">
      <c r="A3806" s="511"/>
    </row>
    <row r="3807" spans="1:1" x14ac:dyDescent="0.25">
      <c r="A3807" s="511"/>
    </row>
    <row r="3808" spans="1:1" x14ac:dyDescent="0.25">
      <c r="A3808" s="511"/>
    </row>
    <row r="3809" spans="1:1" x14ac:dyDescent="0.25">
      <c r="A3809" s="511"/>
    </row>
    <row r="3810" spans="1:1" x14ac:dyDescent="0.25">
      <c r="A3810" s="511"/>
    </row>
    <row r="3811" spans="1:1" x14ac:dyDescent="0.25">
      <c r="A3811" s="511"/>
    </row>
    <row r="3812" spans="1:1" x14ac:dyDescent="0.25">
      <c r="A3812" s="511"/>
    </row>
    <row r="3813" spans="1:1" x14ac:dyDescent="0.25">
      <c r="A3813" s="511"/>
    </row>
    <row r="3814" spans="1:1" x14ac:dyDescent="0.25">
      <c r="A3814" s="511"/>
    </row>
    <row r="3815" spans="1:1" x14ac:dyDescent="0.25">
      <c r="A3815" s="511"/>
    </row>
    <row r="3816" spans="1:1" x14ac:dyDescent="0.25">
      <c r="A3816" s="511"/>
    </row>
    <row r="3817" spans="1:1" x14ac:dyDescent="0.25">
      <c r="A3817" s="511"/>
    </row>
    <row r="3818" spans="1:1" x14ac:dyDescent="0.25">
      <c r="A3818" s="511"/>
    </row>
    <row r="3819" spans="1:1" x14ac:dyDescent="0.25">
      <c r="A3819" s="511"/>
    </row>
    <row r="3820" spans="1:1" x14ac:dyDescent="0.25">
      <c r="A3820" s="511"/>
    </row>
    <row r="3821" spans="1:1" x14ac:dyDescent="0.25">
      <c r="A3821" s="511"/>
    </row>
    <row r="3822" spans="1:1" x14ac:dyDescent="0.25">
      <c r="A3822" s="511"/>
    </row>
    <row r="3823" spans="1:1" x14ac:dyDescent="0.25">
      <c r="A3823" s="511"/>
    </row>
    <row r="3824" spans="1:1" x14ac:dyDescent="0.25">
      <c r="A3824" s="511"/>
    </row>
    <row r="3825" spans="1:1" x14ac:dyDescent="0.25">
      <c r="A3825" s="511"/>
    </row>
    <row r="3826" spans="1:1" x14ac:dyDescent="0.25">
      <c r="A3826" s="511"/>
    </row>
    <row r="3827" spans="1:1" x14ac:dyDescent="0.25">
      <c r="A3827" s="511"/>
    </row>
    <row r="3828" spans="1:1" x14ac:dyDescent="0.25">
      <c r="A3828" s="511"/>
    </row>
    <row r="3829" spans="1:1" x14ac:dyDescent="0.25">
      <c r="A3829" s="511"/>
    </row>
    <row r="3830" spans="1:1" x14ac:dyDescent="0.25">
      <c r="A3830" s="511"/>
    </row>
    <row r="3831" spans="1:1" x14ac:dyDescent="0.25">
      <c r="A3831" s="511"/>
    </row>
    <row r="3832" spans="1:1" x14ac:dyDescent="0.25">
      <c r="A3832" s="511"/>
    </row>
    <row r="3833" spans="1:1" x14ac:dyDescent="0.25">
      <c r="A3833" s="511"/>
    </row>
    <row r="3834" spans="1:1" x14ac:dyDescent="0.25">
      <c r="A3834" s="511"/>
    </row>
    <row r="3835" spans="1:1" x14ac:dyDescent="0.25">
      <c r="A3835" s="511"/>
    </row>
    <row r="3836" spans="1:1" x14ac:dyDescent="0.25">
      <c r="A3836" s="511"/>
    </row>
    <row r="3837" spans="1:1" x14ac:dyDescent="0.25">
      <c r="A3837" s="511"/>
    </row>
    <row r="3838" spans="1:1" x14ac:dyDescent="0.25">
      <c r="A3838" s="511"/>
    </row>
    <row r="3839" spans="1:1" x14ac:dyDescent="0.25">
      <c r="A3839" s="511"/>
    </row>
    <row r="3840" spans="1:1" x14ac:dyDescent="0.25">
      <c r="A3840" s="511"/>
    </row>
    <row r="3841" spans="1:1" x14ac:dyDescent="0.25">
      <c r="A3841" s="511"/>
    </row>
    <row r="3842" spans="1:1" x14ac:dyDescent="0.25">
      <c r="A3842" s="511"/>
    </row>
    <row r="3843" spans="1:1" x14ac:dyDescent="0.25">
      <c r="A3843" s="511"/>
    </row>
    <row r="3844" spans="1:1" x14ac:dyDescent="0.25">
      <c r="A3844" s="511"/>
    </row>
    <row r="3845" spans="1:1" x14ac:dyDescent="0.25">
      <c r="A3845" s="511"/>
    </row>
    <row r="3846" spans="1:1" x14ac:dyDescent="0.25">
      <c r="A3846" s="511"/>
    </row>
    <row r="3847" spans="1:1" x14ac:dyDescent="0.25">
      <c r="A3847" s="511"/>
    </row>
    <row r="3848" spans="1:1" x14ac:dyDescent="0.25">
      <c r="A3848" s="511"/>
    </row>
    <row r="3849" spans="1:1" x14ac:dyDescent="0.25">
      <c r="A3849" s="511"/>
    </row>
    <row r="3850" spans="1:1" x14ac:dyDescent="0.25">
      <c r="A3850" s="511"/>
    </row>
    <row r="3851" spans="1:1" x14ac:dyDescent="0.25">
      <c r="A3851" s="511"/>
    </row>
    <row r="3852" spans="1:1" x14ac:dyDescent="0.25">
      <c r="A3852" s="511"/>
    </row>
    <row r="3853" spans="1:1" x14ac:dyDescent="0.25">
      <c r="A3853" s="511"/>
    </row>
    <row r="3854" spans="1:1" x14ac:dyDescent="0.25">
      <c r="A3854" s="511"/>
    </row>
    <row r="3855" spans="1:1" x14ac:dyDescent="0.25">
      <c r="A3855" s="511"/>
    </row>
    <row r="3856" spans="1:1" x14ac:dyDescent="0.25">
      <c r="A3856" s="511"/>
    </row>
    <row r="3857" spans="1:1" x14ac:dyDescent="0.25">
      <c r="A3857" s="511"/>
    </row>
    <row r="3858" spans="1:1" x14ac:dyDescent="0.25">
      <c r="A3858" s="511"/>
    </row>
    <row r="3859" spans="1:1" x14ac:dyDescent="0.25">
      <c r="A3859" s="511"/>
    </row>
    <row r="3860" spans="1:1" x14ac:dyDescent="0.25">
      <c r="A3860" s="511"/>
    </row>
    <row r="3861" spans="1:1" x14ac:dyDescent="0.25">
      <c r="A3861" s="511"/>
    </row>
    <row r="3862" spans="1:1" x14ac:dyDescent="0.25">
      <c r="A3862" s="511"/>
    </row>
    <row r="3863" spans="1:1" x14ac:dyDescent="0.25">
      <c r="A3863" s="511"/>
    </row>
    <row r="3864" spans="1:1" x14ac:dyDescent="0.25">
      <c r="A3864" s="511"/>
    </row>
    <row r="3865" spans="1:1" x14ac:dyDescent="0.25">
      <c r="A3865" s="511"/>
    </row>
    <row r="3866" spans="1:1" x14ac:dyDescent="0.25">
      <c r="A3866" s="511"/>
    </row>
    <row r="3867" spans="1:1" x14ac:dyDescent="0.25">
      <c r="A3867" s="511"/>
    </row>
    <row r="3868" spans="1:1" x14ac:dyDescent="0.25">
      <c r="A3868" s="511"/>
    </row>
    <row r="3869" spans="1:1" x14ac:dyDescent="0.25">
      <c r="A3869" s="511"/>
    </row>
    <row r="3870" spans="1:1" x14ac:dyDescent="0.25">
      <c r="A3870" s="511"/>
    </row>
    <row r="3871" spans="1:1" x14ac:dyDescent="0.25">
      <c r="A3871" s="511"/>
    </row>
    <row r="3872" spans="1:1" x14ac:dyDescent="0.25">
      <c r="A3872" s="511"/>
    </row>
    <row r="3873" spans="1:1" x14ac:dyDescent="0.25">
      <c r="A3873" s="511"/>
    </row>
    <row r="3874" spans="1:1" x14ac:dyDescent="0.25">
      <c r="A3874" s="511"/>
    </row>
    <row r="3875" spans="1:1" x14ac:dyDescent="0.25">
      <c r="A3875" s="511"/>
    </row>
    <row r="3876" spans="1:1" x14ac:dyDescent="0.25">
      <c r="A3876" s="511"/>
    </row>
    <row r="3877" spans="1:1" x14ac:dyDescent="0.25">
      <c r="A3877" s="511"/>
    </row>
    <row r="3878" spans="1:1" x14ac:dyDescent="0.25">
      <c r="A3878" s="511"/>
    </row>
    <row r="3879" spans="1:1" x14ac:dyDescent="0.25">
      <c r="A3879" s="511"/>
    </row>
    <row r="3880" spans="1:1" x14ac:dyDescent="0.25">
      <c r="A3880" s="511"/>
    </row>
    <row r="3881" spans="1:1" x14ac:dyDescent="0.25">
      <c r="A3881" s="511"/>
    </row>
    <row r="3882" spans="1:1" x14ac:dyDescent="0.25">
      <c r="A3882" s="511"/>
    </row>
    <row r="3883" spans="1:1" x14ac:dyDescent="0.25">
      <c r="A3883" s="511"/>
    </row>
    <row r="3884" spans="1:1" x14ac:dyDescent="0.25">
      <c r="A3884" s="511"/>
    </row>
    <row r="3885" spans="1:1" x14ac:dyDescent="0.25">
      <c r="A3885" s="511"/>
    </row>
    <row r="3886" spans="1:1" x14ac:dyDescent="0.25">
      <c r="A3886" s="511"/>
    </row>
    <row r="3887" spans="1:1" x14ac:dyDescent="0.25">
      <c r="A3887" s="511"/>
    </row>
    <row r="3888" spans="1:1" x14ac:dyDescent="0.25">
      <c r="A3888" s="511"/>
    </row>
    <row r="3889" spans="1:1" x14ac:dyDescent="0.25">
      <c r="A3889" s="511"/>
    </row>
    <row r="3890" spans="1:1" x14ac:dyDescent="0.25">
      <c r="A3890" s="511"/>
    </row>
    <row r="3891" spans="1:1" x14ac:dyDescent="0.25">
      <c r="A3891" s="511"/>
    </row>
    <row r="3892" spans="1:1" x14ac:dyDescent="0.25">
      <c r="A3892" s="511"/>
    </row>
    <row r="3893" spans="1:1" x14ac:dyDescent="0.25">
      <c r="A3893" s="511"/>
    </row>
    <row r="3894" spans="1:1" x14ac:dyDescent="0.25">
      <c r="A3894" s="511"/>
    </row>
    <row r="3895" spans="1:1" x14ac:dyDescent="0.25">
      <c r="A3895" s="511"/>
    </row>
    <row r="3896" spans="1:1" x14ac:dyDescent="0.25">
      <c r="A3896" s="511"/>
    </row>
    <row r="3897" spans="1:1" x14ac:dyDescent="0.25">
      <c r="A3897" s="511"/>
    </row>
    <row r="3898" spans="1:1" x14ac:dyDescent="0.25">
      <c r="A3898" s="511"/>
    </row>
    <row r="3899" spans="1:1" x14ac:dyDescent="0.25">
      <c r="A3899" s="511"/>
    </row>
    <row r="3900" spans="1:1" x14ac:dyDescent="0.25">
      <c r="A3900" s="511"/>
    </row>
    <row r="3901" spans="1:1" x14ac:dyDescent="0.25">
      <c r="A3901" s="511"/>
    </row>
    <row r="3902" spans="1:1" x14ac:dyDescent="0.25">
      <c r="A3902" s="511"/>
    </row>
    <row r="3903" spans="1:1" x14ac:dyDescent="0.25">
      <c r="A3903" s="511"/>
    </row>
    <row r="3904" spans="1:1" x14ac:dyDescent="0.25">
      <c r="A3904" s="511"/>
    </row>
    <row r="3905" spans="1:1" x14ac:dyDescent="0.25">
      <c r="A3905" s="511"/>
    </row>
    <row r="3906" spans="1:1" x14ac:dyDescent="0.25">
      <c r="A3906" s="511"/>
    </row>
    <row r="3907" spans="1:1" x14ac:dyDescent="0.25">
      <c r="A3907" s="511"/>
    </row>
    <row r="3908" spans="1:1" x14ac:dyDescent="0.25">
      <c r="A3908" s="511"/>
    </row>
    <row r="3909" spans="1:1" x14ac:dyDescent="0.25">
      <c r="A3909" s="511"/>
    </row>
    <row r="3910" spans="1:1" x14ac:dyDescent="0.25">
      <c r="A3910" s="511"/>
    </row>
    <row r="3911" spans="1:1" x14ac:dyDescent="0.25">
      <c r="A3911" s="511"/>
    </row>
    <row r="3912" spans="1:1" x14ac:dyDescent="0.25">
      <c r="A3912" s="511"/>
    </row>
    <row r="3913" spans="1:1" x14ac:dyDescent="0.25">
      <c r="A3913" s="511"/>
    </row>
    <row r="3914" spans="1:1" x14ac:dyDescent="0.25">
      <c r="A3914" s="511"/>
    </row>
    <row r="3915" spans="1:1" x14ac:dyDescent="0.25">
      <c r="A3915" s="511"/>
    </row>
    <row r="3916" spans="1:1" x14ac:dyDescent="0.25">
      <c r="A3916" s="511"/>
    </row>
    <row r="3917" spans="1:1" x14ac:dyDescent="0.25">
      <c r="A3917" s="511"/>
    </row>
    <row r="3918" spans="1:1" x14ac:dyDescent="0.25">
      <c r="A3918" s="511"/>
    </row>
    <row r="3919" spans="1:1" x14ac:dyDescent="0.25">
      <c r="A3919" s="511"/>
    </row>
    <row r="3920" spans="1:1" x14ac:dyDescent="0.25">
      <c r="A3920" s="511"/>
    </row>
    <row r="3921" spans="1:1" x14ac:dyDescent="0.25">
      <c r="A3921" s="511"/>
    </row>
    <row r="3922" spans="1:1" x14ac:dyDescent="0.25">
      <c r="A3922" s="511"/>
    </row>
    <row r="3923" spans="1:1" x14ac:dyDescent="0.25">
      <c r="A3923" s="511"/>
    </row>
    <row r="3924" spans="1:1" x14ac:dyDescent="0.25">
      <c r="A3924" s="511"/>
    </row>
    <row r="3925" spans="1:1" x14ac:dyDescent="0.25">
      <c r="A3925" s="511"/>
    </row>
    <row r="3926" spans="1:1" x14ac:dyDescent="0.25">
      <c r="A3926" s="511"/>
    </row>
    <row r="3927" spans="1:1" x14ac:dyDescent="0.25">
      <c r="A3927" s="511"/>
    </row>
    <row r="3928" spans="1:1" x14ac:dyDescent="0.25">
      <c r="A3928" s="511"/>
    </row>
    <row r="3929" spans="1:1" x14ac:dyDescent="0.25">
      <c r="A3929" s="511"/>
    </row>
    <row r="3930" spans="1:1" x14ac:dyDescent="0.25">
      <c r="A3930" s="511"/>
    </row>
    <row r="3931" spans="1:1" x14ac:dyDescent="0.25">
      <c r="A3931" s="511"/>
    </row>
    <row r="3932" spans="1:1" x14ac:dyDescent="0.25">
      <c r="A3932" s="511"/>
    </row>
    <row r="3933" spans="1:1" x14ac:dyDescent="0.25">
      <c r="A3933" s="511"/>
    </row>
    <row r="3934" spans="1:1" x14ac:dyDescent="0.25">
      <c r="A3934" s="511"/>
    </row>
    <row r="3935" spans="1:1" x14ac:dyDescent="0.25">
      <c r="A3935" s="511"/>
    </row>
    <row r="3936" spans="1:1" x14ac:dyDescent="0.25">
      <c r="A3936" s="511"/>
    </row>
    <row r="3937" spans="1:1" x14ac:dyDescent="0.25">
      <c r="A3937" s="511"/>
    </row>
    <row r="3938" spans="1:1" x14ac:dyDescent="0.25">
      <c r="A3938" s="511"/>
    </row>
    <row r="3939" spans="1:1" x14ac:dyDescent="0.25">
      <c r="A3939" s="511"/>
    </row>
    <row r="3940" spans="1:1" x14ac:dyDescent="0.25">
      <c r="A3940" s="511"/>
    </row>
    <row r="3941" spans="1:1" x14ac:dyDescent="0.25">
      <c r="A3941" s="511"/>
    </row>
    <row r="3942" spans="1:1" x14ac:dyDescent="0.25">
      <c r="A3942" s="511"/>
    </row>
    <row r="3943" spans="1:1" x14ac:dyDescent="0.25">
      <c r="A3943" s="511"/>
    </row>
    <row r="3944" spans="1:1" x14ac:dyDescent="0.25">
      <c r="A3944" s="511"/>
    </row>
    <row r="3945" spans="1:1" x14ac:dyDescent="0.25">
      <c r="A3945" s="511"/>
    </row>
    <row r="3946" spans="1:1" x14ac:dyDescent="0.25">
      <c r="A3946" s="511"/>
    </row>
    <row r="3947" spans="1:1" x14ac:dyDescent="0.25">
      <c r="A3947" s="511"/>
    </row>
    <row r="3948" spans="1:1" x14ac:dyDescent="0.25">
      <c r="A3948" s="511"/>
    </row>
    <row r="3949" spans="1:1" x14ac:dyDescent="0.25">
      <c r="A3949" s="511"/>
    </row>
    <row r="3950" spans="1:1" x14ac:dyDescent="0.25">
      <c r="A3950" s="511"/>
    </row>
    <row r="3951" spans="1:1" x14ac:dyDescent="0.25">
      <c r="A3951" s="511"/>
    </row>
    <row r="3952" spans="1:1" x14ac:dyDescent="0.25">
      <c r="A3952" s="511"/>
    </row>
    <row r="3953" spans="1:1" x14ac:dyDescent="0.25">
      <c r="A3953" s="511"/>
    </row>
    <row r="3954" spans="1:1" x14ac:dyDescent="0.25">
      <c r="A3954" s="511"/>
    </row>
    <row r="3955" spans="1:1" x14ac:dyDescent="0.25">
      <c r="A3955" s="511"/>
    </row>
    <row r="3956" spans="1:1" x14ac:dyDescent="0.25">
      <c r="A3956" s="511"/>
    </row>
    <row r="3957" spans="1:1" x14ac:dyDescent="0.25">
      <c r="A3957" s="511"/>
    </row>
    <row r="3958" spans="1:1" x14ac:dyDescent="0.25">
      <c r="A3958" s="511"/>
    </row>
    <row r="3959" spans="1:1" x14ac:dyDescent="0.25">
      <c r="A3959" s="511"/>
    </row>
    <row r="3960" spans="1:1" x14ac:dyDescent="0.25">
      <c r="A3960" s="511"/>
    </row>
    <row r="3961" spans="1:1" x14ac:dyDescent="0.25">
      <c r="A3961" s="511"/>
    </row>
    <row r="3962" spans="1:1" x14ac:dyDescent="0.25">
      <c r="A3962" s="511"/>
    </row>
    <row r="3963" spans="1:1" x14ac:dyDescent="0.25">
      <c r="A3963" s="511"/>
    </row>
    <row r="3964" spans="1:1" x14ac:dyDescent="0.25">
      <c r="A3964" s="511"/>
    </row>
    <row r="3965" spans="1:1" x14ac:dyDescent="0.25">
      <c r="A3965" s="511"/>
    </row>
    <row r="3966" spans="1:1" x14ac:dyDescent="0.25">
      <c r="A3966" s="511"/>
    </row>
    <row r="3967" spans="1:1" x14ac:dyDescent="0.25">
      <c r="A3967" s="511"/>
    </row>
    <row r="3968" spans="1:1" x14ac:dyDescent="0.25">
      <c r="A3968" s="511"/>
    </row>
    <row r="3969" spans="1:1" x14ac:dyDescent="0.25">
      <c r="A3969" s="511"/>
    </row>
    <row r="3970" spans="1:1" x14ac:dyDescent="0.25">
      <c r="A3970" s="511"/>
    </row>
    <row r="3971" spans="1:1" x14ac:dyDescent="0.25">
      <c r="A3971" s="511"/>
    </row>
    <row r="3972" spans="1:1" x14ac:dyDescent="0.25">
      <c r="A3972" s="511"/>
    </row>
    <row r="3973" spans="1:1" x14ac:dyDescent="0.25">
      <c r="A3973" s="511"/>
    </row>
    <row r="3974" spans="1:1" x14ac:dyDescent="0.25">
      <c r="A3974" s="511"/>
    </row>
    <row r="3975" spans="1:1" x14ac:dyDescent="0.25">
      <c r="A3975" s="511"/>
    </row>
    <row r="3976" spans="1:1" x14ac:dyDescent="0.25">
      <c r="A3976" s="511"/>
    </row>
    <row r="3977" spans="1:1" x14ac:dyDescent="0.25">
      <c r="A3977" s="511"/>
    </row>
    <row r="3978" spans="1:1" x14ac:dyDescent="0.25">
      <c r="A3978" s="511"/>
    </row>
    <row r="3979" spans="1:1" x14ac:dyDescent="0.25">
      <c r="A3979" s="511"/>
    </row>
    <row r="3980" spans="1:1" x14ac:dyDescent="0.25">
      <c r="A3980" s="511"/>
    </row>
    <row r="3981" spans="1:1" x14ac:dyDescent="0.25">
      <c r="A3981" s="511"/>
    </row>
    <row r="3982" spans="1:1" x14ac:dyDescent="0.25">
      <c r="A3982" s="511"/>
    </row>
    <row r="3983" spans="1:1" x14ac:dyDescent="0.25">
      <c r="A3983" s="511"/>
    </row>
    <row r="3984" spans="1:1" x14ac:dyDescent="0.25">
      <c r="A3984" s="511"/>
    </row>
    <row r="3985" spans="1:1" x14ac:dyDescent="0.25">
      <c r="A3985" s="511"/>
    </row>
    <row r="3986" spans="1:1" x14ac:dyDescent="0.25">
      <c r="A3986" s="511"/>
    </row>
    <row r="3987" spans="1:1" x14ac:dyDescent="0.25">
      <c r="A3987" s="511"/>
    </row>
    <row r="3988" spans="1:1" x14ac:dyDescent="0.25">
      <c r="A3988" s="511"/>
    </row>
    <row r="3989" spans="1:1" x14ac:dyDescent="0.25">
      <c r="A3989" s="511"/>
    </row>
    <row r="3990" spans="1:1" x14ac:dyDescent="0.25">
      <c r="A3990" s="511"/>
    </row>
    <row r="3991" spans="1:1" x14ac:dyDescent="0.25">
      <c r="A3991" s="511"/>
    </row>
    <row r="3992" spans="1:1" x14ac:dyDescent="0.25">
      <c r="A3992" s="511"/>
    </row>
    <row r="3993" spans="1:1" x14ac:dyDescent="0.25">
      <c r="A3993" s="511"/>
    </row>
    <row r="3994" spans="1:1" x14ac:dyDescent="0.25">
      <c r="A3994" s="511"/>
    </row>
    <row r="3995" spans="1:1" x14ac:dyDescent="0.25">
      <c r="A3995" s="511"/>
    </row>
    <row r="3996" spans="1:1" x14ac:dyDescent="0.25">
      <c r="A3996" s="511"/>
    </row>
    <row r="3997" spans="1:1" x14ac:dyDescent="0.25">
      <c r="A3997" s="511"/>
    </row>
    <row r="3998" spans="1:1" x14ac:dyDescent="0.25">
      <c r="A3998" s="511"/>
    </row>
    <row r="3999" spans="1:1" x14ac:dyDescent="0.25">
      <c r="A3999" s="511"/>
    </row>
    <row r="4000" spans="1:1" x14ac:dyDescent="0.25">
      <c r="A4000" s="511"/>
    </row>
    <row r="4001" spans="1:1" x14ac:dyDescent="0.25">
      <c r="A4001" s="511"/>
    </row>
    <row r="4002" spans="1:1" x14ac:dyDescent="0.25">
      <c r="A4002" s="511"/>
    </row>
    <row r="4003" spans="1:1" x14ac:dyDescent="0.25">
      <c r="A4003" s="511"/>
    </row>
    <row r="4004" spans="1:1" x14ac:dyDescent="0.25">
      <c r="A4004" s="511"/>
    </row>
    <row r="4005" spans="1:1" x14ac:dyDescent="0.25">
      <c r="A4005" s="511"/>
    </row>
    <row r="4006" spans="1:1" x14ac:dyDescent="0.25">
      <c r="A4006" s="511"/>
    </row>
    <row r="4007" spans="1:1" x14ac:dyDescent="0.25">
      <c r="A4007" s="511"/>
    </row>
    <row r="4008" spans="1:1" x14ac:dyDescent="0.25">
      <c r="A4008" s="511"/>
    </row>
    <row r="4009" spans="1:1" x14ac:dyDescent="0.25">
      <c r="A4009" s="511"/>
    </row>
    <row r="4010" spans="1:1" x14ac:dyDescent="0.25">
      <c r="A4010" s="511"/>
    </row>
    <row r="4011" spans="1:1" x14ac:dyDescent="0.25">
      <c r="A4011" s="511"/>
    </row>
    <row r="4012" spans="1:1" x14ac:dyDescent="0.25">
      <c r="A4012" s="511"/>
    </row>
    <row r="4013" spans="1:1" x14ac:dyDescent="0.25">
      <c r="A4013" s="511"/>
    </row>
    <row r="4014" spans="1:1" x14ac:dyDescent="0.25">
      <c r="A4014" s="511"/>
    </row>
    <row r="4015" spans="1:1" x14ac:dyDescent="0.25">
      <c r="A4015" s="511"/>
    </row>
    <row r="4016" spans="1:1" x14ac:dyDescent="0.25">
      <c r="A4016" s="511"/>
    </row>
    <row r="4017" spans="1:1" x14ac:dyDescent="0.25">
      <c r="A4017" s="511"/>
    </row>
    <row r="4018" spans="1:1" x14ac:dyDescent="0.25">
      <c r="A4018" s="511"/>
    </row>
    <row r="4019" spans="1:1" x14ac:dyDescent="0.25">
      <c r="A4019" s="511"/>
    </row>
    <row r="4020" spans="1:1" x14ac:dyDescent="0.25">
      <c r="A4020" s="511"/>
    </row>
    <row r="4021" spans="1:1" x14ac:dyDescent="0.25">
      <c r="A4021" s="511"/>
    </row>
    <row r="4022" spans="1:1" x14ac:dyDescent="0.25">
      <c r="A4022" s="511"/>
    </row>
    <row r="4023" spans="1:1" x14ac:dyDescent="0.25">
      <c r="A4023" s="511"/>
    </row>
    <row r="4024" spans="1:1" x14ac:dyDescent="0.25">
      <c r="A4024" s="511"/>
    </row>
    <row r="4025" spans="1:1" x14ac:dyDescent="0.25">
      <c r="A4025" s="511"/>
    </row>
    <row r="4026" spans="1:1" x14ac:dyDescent="0.25">
      <c r="A4026" s="511"/>
    </row>
    <row r="4027" spans="1:1" x14ac:dyDescent="0.25">
      <c r="A4027" s="511"/>
    </row>
    <row r="4028" spans="1:1" x14ac:dyDescent="0.25">
      <c r="A4028" s="511"/>
    </row>
    <row r="4029" spans="1:1" x14ac:dyDescent="0.25">
      <c r="A4029" s="511"/>
    </row>
    <row r="4030" spans="1:1" x14ac:dyDescent="0.25">
      <c r="A4030" s="511"/>
    </row>
    <row r="4031" spans="1:1" x14ac:dyDescent="0.25">
      <c r="A4031" s="511"/>
    </row>
    <row r="4032" spans="1:1" x14ac:dyDescent="0.25">
      <c r="A4032" s="511"/>
    </row>
    <row r="4033" spans="1:1" x14ac:dyDescent="0.25">
      <c r="A4033" s="511"/>
    </row>
    <row r="4034" spans="1:1" x14ac:dyDescent="0.25">
      <c r="A4034" s="511"/>
    </row>
    <row r="4035" spans="1:1" x14ac:dyDescent="0.25">
      <c r="A4035" s="511"/>
    </row>
    <row r="4036" spans="1:1" x14ac:dyDescent="0.25">
      <c r="A4036" s="511"/>
    </row>
    <row r="4037" spans="1:1" x14ac:dyDescent="0.25">
      <c r="A4037" s="511"/>
    </row>
    <row r="4038" spans="1:1" x14ac:dyDescent="0.25">
      <c r="A4038" s="511"/>
    </row>
    <row r="4039" spans="1:1" x14ac:dyDescent="0.25">
      <c r="A4039" s="511"/>
    </row>
    <row r="4040" spans="1:1" x14ac:dyDescent="0.25">
      <c r="A4040" s="511"/>
    </row>
    <row r="4041" spans="1:1" x14ac:dyDescent="0.25">
      <c r="A4041" s="511"/>
    </row>
    <row r="4042" spans="1:1" x14ac:dyDescent="0.25">
      <c r="A4042" s="511"/>
    </row>
    <row r="4043" spans="1:1" x14ac:dyDescent="0.25">
      <c r="A4043" s="511"/>
    </row>
    <row r="4044" spans="1:1" x14ac:dyDescent="0.25">
      <c r="A4044" s="511"/>
    </row>
    <row r="4045" spans="1:1" x14ac:dyDescent="0.25">
      <c r="A4045" s="511"/>
    </row>
    <row r="4046" spans="1:1" x14ac:dyDescent="0.25">
      <c r="A4046" s="511"/>
    </row>
    <row r="4047" spans="1:1" x14ac:dyDescent="0.25">
      <c r="A4047" s="511"/>
    </row>
    <row r="4048" spans="1:1" x14ac:dyDescent="0.25">
      <c r="A4048" s="511"/>
    </row>
    <row r="4049" spans="1:1" x14ac:dyDescent="0.25">
      <c r="A4049" s="511"/>
    </row>
    <row r="4050" spans="1:1" x14ac:dyDescent="0.25">
      <c r="A4050" s="511"/>
    </row>
    <row r="4051" spans="1:1" x14ac:dyDescent="0.25">
      <c r="A4051" s="511"/>
    </row>
    <row r="4052" spans="1:1" x14ac:dyDescent="0.25">
      <c r="A4052" s="511"/>
    </row>
    <row r="4053" spans="1:1" x14ac:dyDescent="0.25">
      <c r="A4053" s="511"/>
    </row>
    <row r="4054" spans="1:1" x14ac:dyDescent="0.25">
      <c r="A4054" s="511"/>
    </row>
    <row r="4055" spans="1:1" x14ac:dyDescent="0.25">
      <c r="A4055" s="511"/>
    </row>
    <row r="4056" spans="1:1" x14ac:dyDescent="0.25">
      <c r="A4056" s="511"/>
    </row>
    <row r="4057" spans="1:1" x14ac:dyDescent="0.25">
      <c r="A4057" s="511"/>
    </row>
    <row r="4058" spans="1:1" x14ac:dyDescent="0.25">
      <c r="A4058" s="511"/>
    </row>
    <row r="4059" spans="1:1" x14ac:dyDescent="0.25">
      <c r="A4059" s="511"/>
    </row>
    <row r="4060" spans="1:1" x14ac:dyDescent="0.25">
      <c r="A4060" s="511"/>
    </row>
    <row r="4061" spans="1:1" x14ac:dyDescent="0.25">
      <c r="A4061" s="511"/>
    </row>
    <row r="4062" spans="1:1" x14ac:dyDescent="0.25">
      <c r="A4062" s="511"/>
    </row>
    <row r="4063" spans="1:1" x14ac:dyDescent="0.25">
      <c r="A4063" s="511"/>
    </row>
    <row r="4064" spans="1:1" x14ac:dyDescent="0.25">
      <c r="A4064" s="511"/>
    </row>
    <row r="4065" spans="1:1" x14ac:dyDescent="0.25">
      <c r="A4065" s="511"/>
    </row>
    <row r="4066" spans="1:1" x14ac:dyDescent="0.25">
      <c r="A4066" s="511"/>
    </row>
    <row r="4067" spans="1:1" x14ac:dyDescent="0.25">
      <c r="A4067" s="511"/>
    </row>
    <row r="4068" spans="1:1" x14ac:dyDescent="0.25">
      <c r="A4068" s="511"/>
    </row>
    <row r="4069" spans="1:1" x14ac:dyDescent="0.25">
      <c r="A4069" s="511"/>
    </row>
    <row r="4070" spans="1:1" x14ac:dyDescent="0.25">
      <c r="A4070" s="511"/>
    </row>
    <row r="4071" spans="1:1" x14ac:dyDescent="0.25">
      <c r="A4071" s="511"/>
    </row>
    <row r="4072" spans="1:1" x14ac:dyDescent="0.25">
      <c r="A4072" s="511"/>
    </row>
    <row r="4073" spans="1:1" x14ac:dyDescent="0.25">
      <c r="A4073" s="511"/>
    </row>
    <row r="4074" spans="1:1" x14ac:dyDescent="0.25">
      <c r="A4074" s="511"/>
    </row>
    <row r="4075" spans="1:1" x14ac:dyDescent="0.25">
      <c r="A4075" s="511"/>
    </row>
    <row r="4076" spans="1:1" x14ac:dyDescent="0.25">
      <c r="A4076" s="511"/>
    </row>
    <row r="4077" spans="1:1" x14ac:dyDescent="0.25">
      <c r="A4077" s="511"/>
    </row>
    <row r="4078" spans="1:1" x14ac:dyDescent="0.25">
      <c r="A4078" s="511"/>
    </row>
    <row r="4079" spans="1:1" x14ac:dyDescent="0.25">
      <c r="A4079" s="511"/>
    </row>
    <row r="4080" spans="1:1" x14ac:dyDescent="0.25">
      <c r="A4080" s="511"/>
    </row>
    <row r="4081" spans="1:1" x14ac:dyDescent="0.25">
      <c r="A4081" s="511"/>
    </row>
    <row r="4082" spans="1:1" x14ac:dyDescent="0.25">
      <c r="A4082" s="511"/>
    </row>
    <row r="4083" spans="1:1" x14ac:dyDescent="0.25">
      <c r="A4083" s="511"/>
    </row>
    <row r="4084" spans="1:1" x14ac:dyDescent="0.25">
      <c r="A4084" s="511"/>
    </row>
    <row r="4085" spans="1:1" x14ac:dyDescent="0.25">
      <c r="A4085" s="511"/>
    </row>
    <row r="4086" spans="1:1" x14ac:dyDescent="0.25">
      <c r="A4086" s="511"/>
    </row>
    <row r="4087" spans="1:1" x14ac:dyDescent="0.25">
      <c r="A4087" s="511"/>
    </row>
    <row r="4088" spans="1:1" x14ac:dyDescent="0.25">
      <c r="A4088" s="511"/>
    </row>
    <row r="4089" spans="1:1" x14ac:dyDescent="0.25">
      <c r="A4089" s="511"/>
    </row>
    <row r="4090" spans="1:1" x14ac:dyDescent="0.25">
      <c r="A4090" s="511"/>
    </row>
    <row r="4091" spans="1:1" x14ac:dyDescent="0.25">
      <c r="A4091" s="511"/>
    </row>
    <row r="4092" spans="1:1" x14ac:dyDescent="0.25">
      <c r="A4092" s="511"/>
    </row>
    <row r="4093" spans="1:1" x14ac:dyDescent="0.25">
      <c r="A4093" s="511"/>
    </row>
    <row r="4094" spans="1:1" x14ac:dyDescent="0.25">
      <c r="A4094" s="511"/>
    </row>
    <row r="4095" spans="1:1" x14ac:dyDescent="0.25">
      <c r="A4095" s="511"/>
    </row>
    <row r="4096" spans="1:1" x14ac:dyDescent="0.25">
      <c r="A4096" s="511"/>
    </row>
    <row r="4097" spans="1:1" x14ac:dyDescent="0.25">
      <c r="A4097" s="511"/>
    </row>
    <row r="4098" spans="1:1" x14ac:dyDescent="0.25">
      <c r="A4098" s="511"/>
    </row>
    <row r="4099" spans="1:1" x14ac:dyDescent="0.25">
      <c r="A4099" s="511"/>
    </row>
    <row r="4100" spans="1:1" x14ac:dyDescent="0.25">
      <c r="A4100" s="511"/>
    </row>
    <row r="4101" spans="1:1" x14ac:dyDescent="0.25">
      <c r="A4101" s="511"/>
    </row>
    <row r="4102" spans="1:1" x14ac:dyDescent="0.25">
      <c r="A4102" s="511"/>
    </row>
    <row r="4103" spans="1:1" x14ac:dyDescent="0.25">
      <c r="A4103" s="511"/>
    </row>
    <row r="4104" spans="1:1" x14ac:dyDescent="0.25">
      <c r="A4104" s="511"/>
    </row>
    <row r="4105" spans="1:1" x14ac:dyDescent="0.25">
      <c r="A4105" s="511"/>
    </row>
    <row r="4106" spans="1:1" x14ac:dyDescent="0.25">
      <c r="A4106" s="511"/>
    </row>
    <row r="4107" spans="1:1" x14ac:dyDescent="0.25">
      <c r="A4107" s="511"/>
    </row>
    <row r="4108" spans="1:1" x14ac:dyDescent="0.25">
      <c r="A4108" s="511"/>
    </row>
    <row r="4109" spans="1:1" x14ac:dyDescent="0.25">
      <c r="A4109" s="511"/>
    </row>
    <row r="4110" spans="1:1" x14ac:dyDescent="0.25">
      <c r="A4110" s="511"/>
    </row>
    <row r="4111" spans="1:1" x14ac:dyDescent="0.25">
      <c r="A4111" s="511"/>
    </row>
    <row r="4112" spans="1:1" x14ac:dyDescent="0.25">
      <c r="A4112" s="511"/>
    </row>
    <row r="4113" spans="1:1" x14ac:dyDescent="0.25">
      <c r="A4113" s="511"/>
    </row>
    <row r="4114" spans="1:1" x14ac:dyDescent="0.25">
      <c r="A4114" s="511"/>
    </row>
    <row r="4115" spans="1:1" x14ac:dyDescent="0.25">
      <c r="A4115" s="511"/>
    </row>
    <row r="4116" spans="1:1" x14ac:dyDescent="0.25">
      <c r="A4116" s="511"/>
    </row>
    <row r="4117" spans="1:1" x14ac:dyDescent="0.25">
      <c r="A4117" s="511"/>
    </row>
    <row r="4118" spans="1:1" x14ac:dyDescent="0.25">
      <c r="A4118" s="511"/>
    </row>
    <row r="4119" spans="1:1" x14ac:dyDescent="0.25">
      <c r="A4119" s="511"/>
    </row>
    <row r="4120" spans="1:1" x14ac:dyDescent="0.25">
      <c r="A4120" s="511"/>
    </row>
    <row r="4121" spans="1:1" x14ac:dyDescent="0.25">
      <c r="A4121" s="511"/>
    </row>
    <row r="4122" spans="1:1" x14ac:dyDescent="0.25">
      <c r="A4122" s="511"/>
    </row>
    <row r="4123" spans="1:1" x14ac:dyDescent="0.25">
      <c r="A4123" s="511"/>
    </row>
    <row r="4124" spans="1:1" x14ac:dyDescent="0.25">
      <c r="A4124" s="511"/>
    </row>
    <row r="4125" spans="1:1" x14ac:dyDescent="0.25">
      <c r="A4125" s="511"/>
    </row>
    <row r="4126" spans="1:1" x14ac:dyDescent="0.25">
      <c r="A4126" s="511"/>
    </row>
    <row r="4127" spans="1:1" x14ac:dyDescent="0.25">
      <c r="A4127" s="511"/>
    </row>
    <row r="4128" spans="1:1" x14ac:dyDescent="0.25">
      <c r="A4128" s="511"/>
    </row>
    <row r="4129" spans="1:1" x14ac:dyDescent="0.25">
      <c r="A4129" s="511"/>
    </row>
    <row r="4130" spans="1:1" x14ac:dyDescent="0.25">
      <c r="A4130" s="511"/>
    </row>
    <row r="4131" spans="1:1" x14ac:dyDescent="0.25">
      <c r="A4131" s="511"/>
    </row>
    <row r="4132" spans="1:1" x14ac:dyDescent="0.25">
      <c r="A4132" s="511"/>
    </row>
    <row r="4133" spans="1:1" x14ac:dyDescent="0.25">
      <c r="A4133" s="511"/>
    </row>
    <row r="4134" spans="1:1" x14ac:dyDescent="0.25">
      <c r="A4134" s="511"/>
    </row>
    <row r="4135" spans="1:1" x14ac:dyDescent="0.25">
      <c r="A4135" s="511"/>
    </row>
    <row r="4136" spans="1:1" x14ac:dyDescent="0.25">
      <c r="A4136" s="511"/>
    </row>
    <row r="4137" spans="1:1" x14ac:dyDescent="0.25">
      <c r="A4137" s="511"/>
    </row>
    <row r="4138" spans="1:1" x14ac:dyDescent="0.25">
      <c r="A4138" s="511"/>
    </row>
    <row r="4139" spans="1:1" x14ac:dyDescent="0.25">
      <c r="A4139" s="511"/>
    </row>
    <row r="4140" spans="1:1" x14ac:dyDescent="0.25">
      <c r="A4140" s="511"/>
    </row>
    <row r="4141" spans="1:1" x14ac:dyDescent="0.25">
      <c r="A4141" s="511"/>
    </row>
    <row r="4142" spans="1:1" x14ac:dyDescent="0.25">
      <c r="A4142" s="511"/>
    </row>
    <row r="4143" spans="1:1" x14ac:dyDescent="0.25">
      <c r="A4143" s="511"/>
    </row>
    <row r="4144" spans="1:1" x14ac:dyDescent="0.25">
      <c r="A4144" s="511"/>
    </row>
    <row r="4145" spans="1:1" x14ac:dyDescent="0.25">
      <c r="A4145" s="511"/>
    </row>
    <row r="4146" spans="1:1" x14ac:dyDescent="0.25">
      <c r="A4146" s="511"/>
    </row>
    <row r="4147" spans="1:1" x14ac:dyDescent="0.25">
      <c r="A4147" s="511"/>
    </row>
    <row r="4148" spans="1:1" x14ac:dyDescent="0.25">
      <c r="A4148" s="511"/>
    </row>
    <row r="4149" spans="1:1" x14ac:dyDescent="0.25">
      <c r="A4149" s="511"/>
    </row>
    <row r="4150" spans="1:1" x14ac:dyDescent="0.25">
      <c r="A4150" s="511"/>
    </row>
    <row r="4151" spans="1:1" x14ac:dyDescent="0.25">
      <c r="A4151" s="511"/>
    </row>
    <row r="4152" spans="1:1" x14ac:dyDescent="0.25">
      <c r="A4152" s="511"/>
    </row>
    <row r="4153" spans="1:1" x14ac:dyDescent="0.25">
      <c r="A4153" s="511"/>
    </row>
    <row r="4154" spans="1:1" x14ac:dyDescent="0.25">
      <c r="A4154" s="511"/>
    </row>
    <row r="4155" spans="1:1" x14ac:dyDescent="0.25">
      <c r="A4155" s="511"/>
    </row>
    <row r="4156" spans="1:1" x14ac:dyDescent="0.25">
      <c r="A4156" s="511"/>
    </row>
    <row r="4157" spans="1:1" x14ac:dyDescent="0.25">
      <c r="A4157" s="511"/>
    </row>
    <row r="4158" spans="1:1" x14ac:dyDescent="0.25">
      <c r="A4158" s="511"/>
    </row>
    <row r="4159" spans="1:1" x14ac:dyDescent="0.25">
      <c r="A4159" s="511"/>
    </row>
    <row r="4160" spans="1:1" x14ac:dyDescent="0.25">
      <c r="A4160" s="511"/>
    </row>
    <row r="4161" spans="1:1" x14ac:dyDescent="0.25">
      <c r="A4161" s="511"/>
    </row>
    <row r="4162" spans="1:1" x14ac:dyDescent="0.25">
      <c r="A4162" s="511"/>
    </row>
    <row r="4163" spans="1:1" x14ac:dyDescent="0.25">
      <c r="A4163" s="511"/>
    </row>
    <row r="4164" spans="1:1" x14ac:dyDescent="0.25">
      <c r="A4164" s="511"/>
    </row>
    <row r="4165" spans="1:1" x14ac:dyDescent="0.25">
      <c r="A4165" s="511"/>
    </row>
    <row r="4166" spans="1:1" x14ac:dyDescent="0.25">
      <c r="A4166" s="511"/>
    </row>
    <row r="4167" spans="1:1" x14ac:dyDescent="0.25">
      <c r="A4167" s="511"/>
    </row>
    <row r="4168" spans="1:1" x14ac:dyDescent="0.25">
      <c r="A4168" s="511"/>
    </row>
    <row r="4169" spans="1:1" x14ac:dyDescent="0.25">
      <c r="A4169" s="511"/>
    </row>
    <row r="4170" spans="1:1" x14ac:dyDescent="0.25">
      <c r="A4170" s="511"/>
    </row>
    <row r="4171" spans="1:1" x14ac:dyDescent="0.25">
      <c r="A4171" s="511"/>
    </row>
    <row r="4172" spans="1:1" x14ac:dyDescent="0.25">
      <c r="A4172" s="511"/>
    </row>
    <row r="4173" spans="1:1" x14ac:dyDescent="0.25">
      <c r="A4173" s="511"/>
    </row>
    <row r="4174" spans="1:1" x14ac:dyDescent="0.25">
      <c r="A4174" s="511"/>
    </row>
    <row r="4175" spans="1:1" x14ac:dyDescent="0.25">
      <c r="A4175" s="511"/>
    </row>
    <row r="4176" spans="1:1" x14ac:dyDescent="0.25">
      <c r="A4176" s="511"/>
    </row>
    <row r="4177" spans="1:1" x14ac:dyDescent="0.25">
      <c r="A4177" s="511"/>
    </row>
    <row r="4178" spans="1:1" x14ac:dyDescent="0.25">
      <c r="A4178" s="511"/>
    </row>
    <row r="4179" spans="1:1" x14ac:dyDescent="0.25">
      <c r="A4179" s="511"/>
    </row>
    <row r="4180" spans="1:1" x14ac:dyDescent="0.25">
      <c r="A4180" s="511"/>
    </row>
    <row r="4181" spans="1:1" x14ac:dyDescent="0.25">
      <c r="A4181" s="511"/>
    </row>
    <row r="4182" spans="1:1" x14ac:dyDescent="0.25">
      <c r="A4182" s="511"/>
    </row>
    <row r="4183" spans="1:1" x14ac:dyDescent="0.25">
      <c r="A4183" s="511"/>
    </row>
    <row r="4184" spans="1:1" x14ac:dyDescent="0.25">
      <c r="A4184" s="511"/>
    </row>
    <row r="4185" spans="1:1" x14ac:dyDescent="0.25">
      <c r="A4185" s="511"/>
    </row>
    <row r="4186" spans="1:1" x14ac:dyDescent="0.25">
      <c r="A4186" s="511"/>
    </row>
    <row r="4187" spans="1:1" x14ac:dyDescent="0.25">
      <c r="A4187" s="511"/>
    </row>
    <row r="4188" spans="1:1" x14ac:dyDescent="0.25">
      <c r="A4188" s="511"/>
    </row>
    <row r="4189" spans="1:1" x14ac:dyDescent="0.25">
      <c r="A4189" s="511"/>
    </row>
    <row r="4190" spans="1:1" x14ac:dyDescent="0.25">
      <c r="A4190" s="511"/>
    </row>
    <row r="4191" spans="1:1" x14ac:dyDescent="0.25">
      <c r="A4191" s="511"/>
    </row>
    <row r="4192" spans="1:1" x14ac:dyDescent="0.25">
      <c r="A4192" s="511"/>
    </row>
    <row r="4193" spans="1:1" x14ac:dyDescent="0.25">
      <c r="A4193" s="511"/>
    </row>
    <row r="4194" spans="1:1" x14ac:dyDescent="0.25">
      <c r="A4194" s="511"/>
    </row>
    <row r="4195" spans="1:1" x14ac:dyDescent="0.25">
      <c r="A4195" s="511"/>
    </row>
    <row r="4196" spans="1:1" x14ac:dyDescent="0.25">
      <c r="A4196" s="511"/>
    </row>
    <row r="4197" spans="1:1" x14ac:dyDescent="0.25">
      <c r="A4197" s="511"/>
    </row>
    <row r="4198" spans="1:1" x14ac:dyDescent="0.25">
      <c r="A4198" s="511"/>
    </row>
    <row r="4199" spans="1:1" x14ac:dyDescent="0.25">
      <c r="A4199" s="511"/>
    </row>
    <row r="4200" spans="1:1" x14ac:dyDescent="0.25">
      <c r="A4200" s="511"/>
    </row>
    <row r="4201" spans="1:1" x14ac:dyDescent="0.25">
      <c r="A4201" s="511"/>
    </row>
    <row r="4202" spans="1:1" x14ac:dyDescent="0.25">
      <c r="A4202" s="511"/>
    </row>
    <row r="4203" spans="1:1" x14ac:dyDescent="0.25">
      <c r="A4203" s="511"/>
    </row>
    <row r="4204" spans="1:1" x14ac:dyDescent="0.25">
      <c r="A4204" s="511"/>
    </row>
    <row r="4205" spans="1:1" x14ac:dyDescent="0.25">
      <c r="A4205" s="511"/>
    </row>
    <row r="4206" spans="1:1" x14ac:dyDescent="0.25">
      <c r="A4206" s="511"/>
    </row>
    <row r="4207" spans="1:1" x14ac:dyDescent="0.25">
      <c r="A4207" s="511"/>
    </row>
    <row r="4208" spans="1:1" x14ac:dyDescent="0.25">
      <c r="A4208" s="511"/>
    </row>
    <row r="4209" spans="1:1" x14ac:dyDescent="0.25">
      <c r="A4209" s="511"/>
    </row>
    <row r="4210" spans="1:1" x14ac:dyDescent="0.25">
      <c r="A4210" s="511"/>
    </row>
    <row r="4211" spans="1:1" x14ac:dyDescent="0.25">
      <c r="A4211" s="511"/>
    </row>
    <row r="4212" spans="1:1" x14ac:dyDescent="0.25">
      <c r="A4212" s="511"/>
    </row>
    <row r="4213" spans="1:1" x14ac:dyDescent="0.25">
      <c r="A4213" s="511"/>
    </row>
    <row r="4214" spans="1:1" x14ac:dyDescent="0.25">
      <c r="A4214" s="511"/>
    </row>
    <row r="4215" spans="1:1" x14ac:dyDescent="0.25">
      <c r="A4215" s="511"/>
    </row>
    <row r="4216" spans="1:1" x14ac:dyDescent="0.25">
      <c r="A4216" s="511"/>
    </row>
    <row r="4217" spans="1:1" x14ac:dyDescent="0.25">
      <c r="A4217" s="511"/>
    </row>
    <row r="4218" spans="1:1" x14ac:dyDescent="0.25">
      <c r="A4218" s="511"/>
    </row>
    <row r="4219" spans="1:1" x14ac:dyDescent="0.25">
      <c r="A4219" s="511"/>
    </row>
    <row r="4220" spans="1:1" x14ac:dyDescent="0.25">
      <c r="A4220" s="511"/>
    </row>
    <row r="4221" spans="1:1" x14ac:dyDescent="0.25">
      <c r="A4221" s="511"/>
    </row>
    <row r="4222" spans="1:1" x14ac:dyDescent="0.25">
      <c r="A4222" s="511"/>
    </row>
    <row r="4223" spans="1:1" x14ac:dyDescent="0.25">
      <c r="A4223" s="511"/>
    </row>
    <row r="4224" spans="1:1" x14ac:dyDescent="0.25">
      <c r="A4224" s="511"/>
    </row>
    <row r="4225" spans="1:1" x14ac:dyDescent="0.25">
      <c r="A4225" s="511"/>
    </row>
    <row r="4226" spans="1:1" x14ac:dyDescent="0.25">
      <c r="A4226" s="511"/>
    </row>
    <row r="4227" spans="1:1" x14ac:dyDescent="0.25">
      <c r="A4227" s="511"/>
    </row>
    <row r="4228" spans="1:1" x14ac:dyDescent="0.25">
      <c r="A4228" s="511"/>
    </row>
    <row r="4229" spans="1:1" x14ac:dyDescent="0.25">
      <c r="A4229" s="511"/>
    </row>
    <row r="4230" spans="1:1" x14ac:dyDescent="0.25">
      <c r="A4230" s="511"/>
    </row>
    <row r="4231" spans="1:1" x14ac:dyDescent="0.25">
      <c r="A4231" s="511"/>
    </row>
    <row r="4232" spans="1:1" x14ac:dyDescent="0.25">
      <c r="A4232" s="511"/>
    </row>
    <row r="4233" spans="1:1" x14ac:dyDescent="0.25">
      <c r="A4233" s="511"/>
    </row>
    <row r="4234" spans="1:1" x14ac:dyDescent="0.25">
      <c r="A4234" s="511"/>
    </row>
    <row r="4235" spans="1:1" x14ac:dyDescent="0.25">
      <c r="A4235" s="511"/>
    </row>
    <row r="4236" spans="1:1" x14ac:dyDescent="0.25">
      <c r="A4236" s="511"/>
    </row>
    <row r="4237" spans="1:1" x14ac:dyDescent="0.25">
      <c r="A4237" s="511"/>
    </row>
    <row r="4238" spans="1:1" x14ac:dyDescent="0.25">
      <c r="A4238" s="511"/>
    </row>
    <row r="4239" spans="1:1" x14ac:dyDescent="0.25">
      <c r="A4239" s="511"/>
    </row>
    <row r="4240" spans="1:1" x14ac:dyDescent="0.25">
      <c r="A4240" s="511"/>
    </row>
    <row r="4241" spans="1:1" x14ac:dyDescent="0.25">
      <c r="A4241" s="511"/>
    </row>
    <row r="4242" spans="1:1" x14ac:dyDescent="0.25">
      <c r="A4242" s="511"/>
    </row>
    <row r="4243" spans="1:1" x14ac:dyDescent="0.25">
      <c r="A4243" s="511"/>
    </row>
    <row r="4244" spans="1:1" x14ac:dyDescent="0.25">
      <c r="A4244" s="511"/>
    </row>
    <row r="4245" spans="1:1" x14ac:dyDescent="0.25">
      <c r="A4245" s="511"/>
    </row>
    <row r="4246" spans="1:1" x14ac:dyDescent="0.25">
      <c r="A4246" s="511"/>
    </row>
    <row r="4247" spans="1:1" x14ac:dyDescent="0.25">
      <c r="A4247" s="511"/>
    </row>
    <row r="4248" spans="1:1" x14ac:dyDescent="0.25">
      <c r="A4248" s="511"/>
    </row>
    <row r="4249" spans="1:1" x14ac:dyDescent="0.25">
      <c r="A4249" s="511"/>
    </row>
    <row r="4250" spans="1:1" x14ac:dyDescent="0.25">
      <c r="A4250" s="511"/>
    </row>
    <row r="4251" spans="1:1" x14ac:dyDescent="0.25">
      <c r="A4251" s="511"/>
    </row>
    <row r="4252" spans="1:1" x14ac:dyDescent="0.25">
      <c r="A4252" s="511"/>
    </row>
    <row r="4253" spans="1:1" x14ac:dyDescent="0.25">
      <c r="A4253" s="511"/>
    </row>
    <row r="4254" spans="1:1" x14ac:dyDescent="0.25">
      <c r="A4254" s="511"/>
    </row>
    <row r="4255" spans="1:1" x14ac:dyDescent="0.25">
      <c r="A4255" s="511"/>
    </row>
    <row r="4256" spans="1:1" x14ac:dyDescent="0.25">
      <c r="A4256" s="511"/>
    </row>
    <row r="4257" spans="1:1" x14ac:dyDescent="0.25">
      <c r="A4257" s="511"/>
    </row>
    <row r="4258" spans="1:1" x14ac:dyDescent="0.25">
      <c r="A4258" s="511"/>
    </row>
    <row r="4259" spans="1:1" x14ac:dyDescent="0.25">
      <c r="A4259" s="511"/>
    </row>
    <row r="4260" spans="1:1" x14ac:dyDescent="0.25">
      <c r="A4260" s="511"/>
    </row>
    <row r="4261" spans="1:1" x14ac:dyDescent="0.25">
      <c r="A4261" s="511"/>
    </row>
    <row r="4262" spans="1:1" x14ac:dyDescent="0.25">
      <c r="A4262" s="511"/>
    </row>
    <row r="4263" spans="1:1" x14ac:dyDescent="0.25">
      <c r="A4263" s="511"/>
    </row>
    <row r="4264" spans="1:1" x14ac:dyDescent="0.25">
      <c r="A4264" s="511"/>
    </row>
    <row r="4265" spans="1:1" x14ac:dyDescent="0.25">
      <c r="A4265" s="511"/>
    </row>
    <row r="4266" spans="1:1" x14ac:dyDescent="0.25">
      <c r="A4266" s="511"/>
    </row>
    <row r="4267" spans="1:1" x14ac:dyDescent="0.25">
      <c r="A4267" s="511"/>
    </row>
    <row r="4268" spans="1:1" x14ac:dyDescent="0.25">
      <c r="A4268" s="511"/>
    </row>
    <row r="4269" spans="1:1" x14ac:dyDescent="0.25">
      <c r="A4269" s="511"/>
    </row>
    <row r="4270" spans="1:1" x14ac:dyDescent="0.25">
      <c r="A4270" s="511"/>
    </row>
    <row r="4271" spans="1:1" x14ac:dyDescent="0.25">
      <c r="A4271" s="511"/>
    </row>
    <row r="4272" spans="1:1" x14ac:dyDescent="0.25">
      <c r="A4272" s="511"/>
    </row>
    <row r="4273" spans="1:1" x14ac:dyDescent="0.25">
      <c r="A4273" s="511"/>
    </row>
    <row r="4274" spans="1:1" x14ac:dyDescent="0.25">
      <c r="A4274" s="511"/>
    </row>
    <row r="4275" spans="1:1" x14ac:dyDescent="0.25">
      <c r="A4275" s="511"/>
    </row>
    <row r="4276" spans="1:1" x14ac:dyDescent="0.25">
      <c r="A4276" s="511"/>
    </row>
    <row r="4277" spans="1:1" x14ac:dyDescent="0.25">
      <c r="A4277" s="511"/>
    </row>
    <row r="4278" spans="1:1" x14ac:dyDescent="0.25">
      <c r="A4278" s="511"/>
    </row>
    <row r="4279" spans="1:1" x14ac:dyDescent="0.25">
      <c r="A4279" s="511"/>
    </row>
    <row r="4280" spans="1:1" x14ac:dyDescent="0.25">
      <c r="A4280" s="511"/>
    </row>
    <row r="4281" spans="1:1" x14ac:dyDescent="0.25">
      <c r="A4281" s="511"/>
    </row>
    <row r="4282" spans="1:1" x14ac:dyDescent="0.25">
      <c r="A4282" s="511"/>
    </row>
    <row r="4283" spans="1:1" x14ac:dyDescent="0.25">
      <c r="A4283" s="511"/>
    </row>
    <row r="4284" spans="1:1" x14ac:dyDescent="0.25">
      <c r="A4284" s="511"/>
    </row>
    <row r="4285" spans="1:1" x14ac:dyDescent="0.25">
      <c r="A4285" s="511"/>
    </row>
    <row r="4286" spans="1:1" x14ac:dyDescent="0.25">
      <c r="A4286" s="511"/>
    </row>
    <row r="4287" spans="1:1" x14ac:dyDescent="0.25">
      <c r="A4287" s="511"/>
    </row>
    <row r="4288" spans="1:1" x14ac:dyDescent="0.25">
      <c r="A4288" s="511"/>
    </row>
    <row r="4289" spans="1:1" x14ac:dyDescent="0.25">
      <c r="A4289" s="511"/>
    </row>
    <row r="4290" spans="1:1" x14ac:dyDescent="0.25">
      <c r="A4290" s="511"/>
    </row>
    <row r="4291" spans="1:1" x14ac:dyDescent="0.25">
      <c r="A4291" s="511"/>
    </row>
    <row r="4292" spans="1:1" x14ac:dyDescent="0.25">
      <c r="A4292" s="511"/>
    </row>
    <row r="4293" spans="1:1" x14ac:dyDescent="0.25">
      <c r="A4293" s="511"/>
    </row>
    <row r="4294" spans="1:1" x14ac:dyDescent="0.25">
      <c r="A4294" s="511"/>
    </row>
    <row r="4295" spans="1:1" x14ac:dyDescent="0.25">
      <c r="A4295" s="511"/>
    </row>
    <row r="4296" spans="1:1" x14ac:dyDescent="0.25">
      <c r="A4296" s="511"/>
    </row>
    <row r="4297" spans="1:1" x14ac:dyDescent="0.25">
      <c r="A4297" s="511"/>
    </row>
    <row r="4298" spans="1:1" x14ac:dyDescent="0.25">
      <c r="A4298" s="511"/>
    </row>
    <row r="4299" spans="1:1" x14ac:dyDescent="0.25">
      <c r="A4299" s="511"/>
    </row>
    <row r="4300" spans="1:1" x14ac:dyDescent="0.25">
      <c r="A4300" s="511"/>
    </row>
    <row r="4301" spans="1:1" x14ac:dyDescent="0.25">
      <c r="A4301" s="511"/>
    </row>
    <row r="4302" spans="1:1" x14ac:dyDescent="0.25">
      <c r="A4302" s="511"/>
    </row>
    <row r="4303" spans="1:1" x14ac:dyDescent="0.25">
      <c r="A4303" s="511"/>
    </row>
    <row r="4304" spans="1:1" x14ac:dyDescent="0.25">
      <c r="A4304" s="511"/>
    </row>
    <row r="4305" spans="1:1" x14ac:dyDescent="0.25">
      <c r="A4305" s="511"/>
    </row>
    <row r="4306" spans="1:1" x14ac:dyDescent="0.25">
      <c r="A4306" s="511"/>
    </row>
    <row r="4307" spans="1:1" x14ac:dyDescent="0.25">
      <c r="A4307" s="511"/>
    </row>
    <row r="4308" spans="1:1" x14ac:dyDescent="0.25">
      <c r="A4308" s="511"/>
    </row>
    <row r="4309" spans="1:1" x14ac:dyDescent="0.25">
      <c r="A4309" s="511"/>
    </row>
    <row r="4310" spans="1:1" x14ac:dyDescent="0.25">
      <c r="A4310" s="511"/>
    </row>
    <row r="4311" spans="1:1" x14ac:dyDescent="0.25">
      <c r="A4311" s="511"/>
    </row>
    <row r="4312" spans="1:1" x14ac:dyDescent="0.25">
      <c r="A4312" s="511"/>
    </row>
    <row r="4313" spans="1:1" x14ac:dyDescent="0.25">
      <c r="A4313" s="511"/>
    </row>
    <row r="4314" spans="1:1" x14ac:dyDescent="0.25">
      <c r="A4314" s="511"/>
    </row>
    <row r="4315" spans="1:1" x14ac:dyDescent="0.25">
      <c r="A4315" s="511"/>
    </row>
    <row r="4316" spans="1:1" x14ac:dyDescent="0.25">
      <c r="A4316" s="511"/>
    </row>
    <row r="4317" spans="1:1" x14ac:dyDescent="0.25">
      <c r="A4317" s="511"/>
    </row>
    <row r="4318" spans="1:1" x14ac:dyDescent="0.25">
      <c r="A4318" s="511"/>
    </row>
    <row r="4319" spans="1:1" x14ac:dyDescent="0.25">
      <c r="A4319" s="511"/>
    </row>
    <row r="4320" spans="1:1" x14ac:dyDescent="0.25">
      <c r="A4320" s="511"/>
    </row>
    <row r="4321" spans="1:1" x14ac:dyDescent="0.25">
      <c r="A4321" s="511"/>
    </row>
    <row r="4322" spans="1:1" x14ac:dyDescent="0.25">
      <c r="A4322" s="511"/>
    </row>
    <row r="4323" spans="1:1" x14ac:dyDescent="0.25">
      <c r="A4323" s="511"/>
    </row>
    <row r="4324" spans="1:1" x14ac:dyDescent="0.25">
      <c r="A4324" s="511"/>
    </row>
    <row r="4325" spans="1:1" x14ac:dyDescent="0.25">
      <c r="A4325" s="511"/>
    </row>
    <row r="4326" spans="1:1" x14ac:dyDescent="0.25">
      <c r="A4326" s="511"/>
    </row>
    <row r="4327" spans="1:1" x14ac:dyDescent="0.25">
      <c r="A4327" s="511"/>
    </row>
    <row r="4328" spans="1:1" x14ac:dyDescent="0.25">
      <c r="A4328" s="511"/>
    </row>
    <row r="4329" spans="1:1" x14ac:dyDescent="0.25">
      <c r="A4329" s="511"/>
    </row>
    <row r="4330" spans="1:1" x14ac:dyDescent="0.25">
      <c r="A4330" s="511"/>
    </row>
    <row r="4331" spans="1:1" x14ac:dyDescent="0.25">
      <c r="A4331" s="511"/>
    </row>
    <row r="4332" spans="1:1" x14ac:dyDescent="0.25">
      <c r="A4332" s="511"/>
    </row>
    <row r="4333" spans="1:1" x14ac:dyDescent="0.25">
      <c r="A4333" s="511"/>
    </row>
    <row r="4334" spans="1:1" x14ac:dyDescent="0.25">
      <c r="A4334" s="511"/>
    </row>
    <row r="4335" spans="1:1" x14ac:dyDescent="0.25">
      <c r="A4335" s="511"/>
    </row>
    <row r="4336" spans="1:1" x14ac:dyDescent="0.25">
      <c r="A4336" s="511"/>
    </row>
    <row r="4337" spans="1:1" x14ac:dyDescent="0.25">
      <c r="A4337" s="511"/>
    </row>
    <row r="4338" spans="1:1" x14ac:dyDescent="0.25">
      <c r="A4338" s="511"/>
    </row>
    <row r="4339" spans="1:1" x14ac:dyDescent="0.25">
      <c r="A4339" s="511"/>
    </row>
    <row r="4340" spans="1:1" x14ac:dyDescent="0.25">
      <c r="A4340" s="511"/>
    </row>
    <row r="4341" spans="1:1" x14ac:dyDescent="0.25">
      <c r="A4341" s="511"/>
    </row>
    <row r="4342" spans="1:1" x14ac:dyDescent="0.25">
      <c r="A4342" s="511"/>
    </row>
    <row r="4343" spans="1:1" x14ac:dyDescent="0.25">
      <c r="A4343" s="511"/>
    </row>
    <row r="4344" spans="1:1" x14ac:dyDescent="0.25">
      <c r="A4344" s="511"/>
    </row>
    <row r="4345" spans="1:1" x14ac:dyDescent="0.25">
      <c r="A4345" s="511"/>
    </row>
    <row r="4346" spans="1:1" x14ac:dyDescent="0.25">
      <c r="A4346" s="511"/>
    </row>
    <row r="4347" spans="1:1" x14ac:dyDescent="0.25">
      <c r="A4347" s="511"/>
    </row>
    <row r="4348" spans="1:1" x14ac:dyDescent="0.25">
      <c r="A4348" s="511"/>
    </row>
    <row r="4349" spans="1:1" x14ac:dyDescent="0.25">
      <c r="A4349" s="511"/>
    </row>
    <row r="4350" spans="1:1" x14ac:dyDescent="0.25">
      <c r="A4350" s="511"/>
    </row>
    <row r="4351" spans="1:1" x14ac:dyDescent="0.25">
      <c r="A4351" s="511"/>
    </row>
    <row r="4352" spans="1:1" x14ac:dyDescent="0.25">
      <c r="A4352" s="511"/>
    </row>
    <row r="4353" spans="1:1" x14ac:dyDescent="0.25">
      <c r="A4353" s="511"/>
    </row>
    <row r="4354" spans="1:1" x14ac:dyDescent="0.25">
      <c r="A4354" s="511"/>
    </row>
    <row r="4355" spans="1:1" x14ac:dyDescent="0.25">
      <c r="A4355" s="511"/>
    </row>
    <row r="4356" spans="1:1" x14ac:dyDescent="0.25">
      <c r="A4356" s="511"/>
    </row>
    <row r="4357" spans="1:1" x14ac:dyDescent="0.25">
      <c r="A4357" s="511"/>
    </row>
    <row r="4358" spans="1:1" x14ac:dyDescent="0.25">
      <c r="A4358" s="511"/>
    </row>
    <row r="4359" spans="1:1" x14ac:dyDescent="0.25">
      <c r="A4359" s="511"/>
    </row>
    <row r="4360" spans="1:1" x14ac:dyDescent="0.25">
      <c r="A4360" s="511"/>
    </row>
    <row r="4361" spans="1:1" x14ac:dyDescent="0.25">
      <c r="A4361" s="511"/>
    </row>
    <row r="4362" spans="1:1" x14ac:dyDescent="0.25">
      <c r="A4362" s="511"/>
    </row>
    <row r="4363" spans="1:1" x14ac:dyDescent="0.25">
      <c r="A4363" s="511"/>
    </row>
    <row r="4364" spans="1:1" x14ac:dyDescent="0.25">
      <c r="A4364" s="511"/>
    </row>
    <row r="4365" spans="1:1" x14ac:dyDescent="0.25">
      <c r="A4365" s="511"/>
    </row>
    <row r="4366" spans="1:1" x14ac:dyDescent="0.25">
      <c r="A4366" s="511"/>
    </row>
    <row r="4367" spans="1:1" x14ac:dyDescent="0.25">
      <c r="A4367" s="511"/>
    </row>
    <row r="4368" spans="1:1" x14ac:dyDescent="0.25">
      <c r="A4368" s="511"/>
    </row>
    <row r="4369" spans="1:1" x14ac:dyDescent="0.25">
      <c r="A4369" s="511"/>
    </row>
    <row r="4370" spans="1:1" x14ac:dyDescent="0.25">
      <c r="A4370" s="511"/>
    </row>
    <row r="4371" spans="1:1" x14ac:dyDescent="0.25">
      <c r="A4371" s="511"/>
    </row>
    <row r="4372" spans="1:1" x14ac:dyDescent="0.25">
      <c r="A4372" s="511"/>
    </row>
    <row r="4373" spans="1:1" x14ac:dyDescent="0.25">
      <c r="A4373" s="511"/>
    </row>
    <row r="4374" spans="1:1" x14ac:dyDescent="0.25">
      <c r="A4374" s="511"/>
    </row>
    <row r="4375" spans="1:1" x14ac:dyDescent="0.25">
      <c r="A4375" s="511"/>
    </row>
    <row r="4376" spans="1:1" x14ac:dyDescent="0.25">
      <c r="A4376" s="511"/>
    </row>
    <row r="4377" spans="1:1" x14ac:dyDescent="0.25">
      <c r="A4377" s="511"/>
    </row>
    <row r="4378" spans="1:1" x14ac:dyDescent="0.25">
      <c r="A4378" s="511"/>
    </row>
    <row r="4379" spans="1:1" x14ac:dyDescent="0.25">
      <c r="A4379" s="511"/>
    </row>
    <row r="4380" spans="1:1" x14ac:dyDescent="0.25">
      <c r="A4380" s="511"/>
    </row>
    <row r="4381" spans="1:1" x14ac:dyDescent="0.25">
      <c r="A4381" s="511"/>
    </row>
    <row r="4382" spans="1:1" x14ac:dyDescent="0.25">
      <c r="A4382" s="511"/>
    </row>
    <row r="4383" spans="1:1" x14ac:dyDescent="0.25">
      <c r="A4383" s="511"/>
    </row>
    <row r="4384" spans="1:1" x14ac:dyDescent="0.25">
      <c r="A4384" s="511"/>
    </row>
    <row r="4385" spans="1:1" x14ac:dyDescent="0.25">
      <c r="A4385" s="511"/>
    </row>
    <row r="4386" spans="1:1" x14ac:dyDescent="0.25">
      <c r="A4386" s="511"/>
    </row>
    <row r="4387" spans="1:1" x14ac:dyDescent="0.25">
      <c r="A4387" s="511"/>
    </row>
    <row r="4388" spans="1:1" x14ac:dyDescent="0.25">
      <c r="A4388" s="511"/>
    </row>
    <row r="4389" spans="1:1" x14ac:dyDescent="0.25">
      <c r="A4389" s="511"/>
    </row>
    <row r="4390" spans="1:1" x14ac:dyDescent="0.25">
      <c r="A4390" s="511"/>
    </row>
    <row r="4391" spans="1:1" x14ac:dyDescent="0.25">
      <c r="A4391" s="511"/>
    </row>
    <row r="4392" spans="1:1" x14ac:dyDescent="0.25">
      <c r="A4392" s="511"/>
    </row>
    <row r="4393" spans="1:1" x14ac:dyDescent="0.25">
      <c r="A4393" s="511"/>
    </row>
    <row r="4394" spans="1:1" x14ac:dyDescent="0.25">
      <c r="A4394" s="511"/>
    </row>
    <row r="4395" spans="1:1" x14ac:dyDescent="0.25">
      <c r="A4395" s="511"/>
    </row>
    <row r="4396" spans="1:1" x14ac:dyDescent="0.25">
      <c r="A4396" s="511"/>
    </row>
    <row r="4397" spans="1:1" x14ac:dyDescent="0.25">
      <c r="A4397" s="511"/>
    </row>
    <row r="4398" spans="1:1" x14ac:dyDescent="0.25">
      <c r="A4398" s="511"/>
    </row>
    <row r="4399" spans="1:1" x14ac:dyDescent="0.25">
      <c r="A4399" s="511"/>
    </row>
    <row r="4400" spans="1:1" x14ac:dyDescent="0.25">
      <c r="A4400" s="511"/>
    </row>
    <row r="4401" spans="1:1" x14ac:dyDescent="0.25">
      <c r="A4401" s="511"/>
    </row>
    <row r="4402" spans="1:1" x14ac:dyDescent="0.25">
      <c r="A4402" s="511"/>
    </row>
    <row r="4403" spans="1:1" x14ac:dyDescent="0.25">
      <c r="A4403" s="511"/>
    </row>
    <row r="4404" spans="1:1" x14ac:dyDescent="0.25">
      <c r="A4404" s="511"/>
    </row>
    <row r="4405" spans="1:1" x14ac:dyDescent="0.25">
      <c r="A4405" s="511"/>
    </row>
    <row r="4406" spans="1:1" x14ac:dyDescent="0.25">
      <c r="A4406" s="511"/>
    </row>
    <row r="4407" spans="1:1" x14ac:dyDescent="0.25">
      <c r="A4407" s="511"/>
    </row>
    <row r="4408" spans="1:1" x14ac:dyDescent="0.25">
      <c r="A4408" s="511"/>
    </row>
    <row r="4409" spans="1:1" x14ac:dyDescent="0.25">
      <c r="A4409" s="511"/>
    </row>
    <row r="4410" spans="1:1" x14ac:dyDescent="0.25">
      <c r="A4410" s="511"/>
    </row>
    <row r="4411" spans="1:1" x14ac:dyDescent="0.25">
      <c r="A4411" s="511"/>
    </row>
    <row r="4412" spans="1:1" x14ac:dyDescent="0.25">
      <c r="A4412" s="511"/>
    </row>
    <row r="4413" spans="1:1" x14ac:dyDescent="0.25">
      <c r="A4413" s="511"/>
    </row>
    <row r="4414" spans="1:1" x14ac:dyDescent="0.25">
      <c r="A4414" s="511"/>
    </row>
    <row r="4415" spans="1:1" x14ac:dyDescent="0.25">
      <c r="A4415" s="511"/>
    </row>
    <row r="4416" spans="1:1" x14ac:dyDescent="0.25">
      <c r="A4416" s="511"/>
    </row>
    <row r="4417" spans="1:1" x14ac:dyDescent="0.25">
      <c r="A4417" s="511"/>
    </row>
    <row r="4418" spans="1:1" x14ac:dyDescent="0.25">
      <c r="A4418" s="511"/>
    </row>
    <row r="4419" spans="1:1" x14ac:dyDescent="0.25">
      <c r="A4419" s="511"/>
    </row>
    <row r="4420" spans="1:1" x14ac:dyDescent="0.25">
      <c r="A4420" s="511"/>
    </row>
    <row r="4421" spans="1:1" x14ac:dyDescent="0.25">
      <c r="A4421" s="511"/>
    </row>
    <row r="4422" spans="1:1" x14ac:dyDescent="0.25">
      <c r="A4422" s="511"/>
    </row>
    <row r="4423" spans="1:1" x14ac:dyDescent="0.25">
      <c r="A4423" s="511"/>
    </row>
    <row r="4424" spans="1:1" x14ac:dyDescent="0.25">
      <c r="A4424" s="511"/>
    </row>
    <row r="4425" spans="1:1" x14ac:dyDescent="0.25">
      <c r="A4425" s="511"/>
    </row>
    <row r="4426" spans="1:1" x14ac:dyDescent="0.25">
      <c r="A4426" s="511"/>
    </row>
    <row r="4427" spans="1:1" x14ac:dyDescent="0.25">
      <c r="A4427" s="511"/>
    </row>
    <row r="4428" spans="1:1" x14ac:dyDescent="0.25">
      <c r="A4428" s="511"/>
    </row>
    <row r="4429" spans="1:1" x14ac:dyDescent="0.25">
      <c r="A4429" s="511"/>
    </row>
    <row r="4430" spans="1:1" x14ac:dyDescent="0.25">
      <c r="A4430" s="511"/>
    </row>
    <row r="4431" spans="1:1" x14ac:dyDescent="0.25">
      <c r="A4431" s="511"/>
    </row>
    <row r="4432" spans="1:1" x14ac:dyDescent="0.25">
      <c r="A4432" s="511"/>
    </row>
    <row r="4433" spans="1:1" x14ac:dyDescent="0.25">
      <c r="A4433" s="511"/>
    </row>
    <row r="4434" spans="1:1" x14ac:dyDescent="0.25">
      <c r="A4434" s="511"/>
    </row>
    <row r="4435" spans="1:1" x14ac:dyDescent="0.25">
      <c r="A4435" s="511"/>
    </row>
    <row r="4436" spans="1:1" x14ac:dyDescent="0.25">
      <c r="A4436" s="511"/>
    </row>
    <row r="4437" spans="1:1" x14ac:dyDescent="0.25">
      <c r="A4437" s="511"/>
    </row>
    <row r="4438" spans="1:1" x14ac:dyDescent="0.25">
      <c r="A4438" s="511"/>
    </row>
    <row r="4439" spans="1:1" x14ac:dyDescent="0.25">
      <c r="A4439" s="511"/>
    </row>
    <row r="4440" spans="1:1" x14ac:dyDescent="0.25">
      <c r="A4440" s="511"/>
    </row>
    <row r="4441" spans="1:1" x14ac:dyDescent="0.25">
      <c r="A4441" s="511"/>
    </row>
    <row r="4442" spans="1:1" x14ac:dyDescent="0.25">
      <c r="A4442" s="511"/>
    </row>
    <row r="4443" spans="1:1" x14ac:dyDescent="0.25">
      <c r="A4443" s="511"/>
    </row>
    <row r="4444" spans="1:1" x14ac:dyDescent="0.25">
      <c r="A4444" s="511"/>
    </row>
    <row r="4445" spans="1:1" x14ac:dyDescent="0.25">
      <c r="A4445" s="511"/>
    </row>
    <row r="4446" spans="1:1" x14ac:dyDescent="0.25">
      <c r="A4446" s="511"/>
    </row>
    <row r="4447" spans="1:1" x14ac:dyDescent="0.25">
      <c r="A4447" s="511"/>
    </row>
    <row r="4448" spans="1:1" x14ac:dyDescent="0.25">
      <c r="A4448" s="511"/>
    </row>
    <row r="4449" spans="1:1" x14ac:dyDescent="0.25">
      <c r="A4449" s="511"/>
    </row>
    <row r="4450" spans="1:1" x14ac:dyDescent="0.25">
      <c r="A4450" s="511"/>
    </row>
    <row r="4451" spans="1:1" x14ac:dyDescent="0.25">
      <c r="A4451" s="511"/>
    </row>
    <row r="4452" spans="1:1" x14ac:dyDescent="0.25">
      <c r="A4452" s="511"/>
    </row>
    <row r="4453" spans="1:1" x14ac:dyDescent="0.25">
      <c r="A4453" s="511"/>
    </row>
    <row r="4454" spans="1:1" x14ac:dyDescent="0.25">
      <c r="A4454" s="511"/>
    </row>
    <row r="4455" spans="1:1" x14ac:dyDescent="0.25">
      <c r="A4455" s="511"/>
    </row>
    <row r="4456" spans="1:1" x14ac:dyDescent="0.25">
      <c r="A4456" s="511"/>
    </row>
    <row r="4457" spans="1:1" x14ac:dyDescent="0.25">
      <c r="A4457" s="511"/>
    </row>
    <row r="4458" spans="1:1" x14ac:dyDescent="0.25">
      <c r="A4458" s="511"/>
    </row>
    <row r="4459" spans="1:1" x14ac:dyDescent="0.25">
      <c r="A4459" s="511"/>
    </row>
    <row r="4460" spans="1:1" x14ac:dyDescent="0.25">
      <c r="A4460" s="511"/>
    </row>
    <row r="4461" spans="1:1" x14ac:dyDescent="0.25">
      <c r="A4461" s="511"/>
    </row>
    <row r="4462" spans="1:1" x14ac:dyDescent="0.25">
      <c r="A4462" s="511"/>
    </row>
    <row r="4463" spans="1:1" x14ac:dyDescent="0.25">
      <c r="A4463" s="511"/>
    </row>
    <row r="4464" spans="1:1" x14ac:dyDescent="0.25">
      <c r="A4464" s="511"/>
    </row>
    <row r="4465" spans="1:1" x14ac:dyDescent="0.25">
      <c r="A4465" s="511"/>
    </row>
    <row r="4466" spans="1:1" x14ac:dyDescent="0.25">
      <c r="A4466" s="511"/>
    </row>
    <row r="4467" spans="1:1" x14ac:dyDescent="0.25">
      <c r="A4467" s="511"/>
    </row>
    <row r="4468" spans="1:1" x14ac:dyDescent="0.25">
      <c r="A4468" s="511"/>
    </row>
    <row r="4469" spans="1:1" x14ac:dyDescent="0.25">
      <c r="A4469" s="511"/>
    </row>
    <row r="4470" spans="1:1" x14ac:dyDescent="0.25">
      <c r="A4470" s="511"/>
    </row>
    <row r="4471" spans="1:1" x14ac:dyDescent="0.25">
      <c r="A4471" s="511"/>
    </row>
    <row r="4472" spans="1:1" x14ac:dyDescent="0.25">
      <c r="A4472" s="511"/>
    </row>
    <row r="4473" spans="1:1" x14ac:dyDescent="0.25">
      <c r="A4473" s="511"/>
    </row>
    <row r="4474" spans="1:1" x14ac:dyDescent="0.25">
      <c r="A4474" s="511"/>
    </row>
    <row r="4475" spans="1:1" x14ac:dyDescent="0.25">
      <c r="A4475" s="511"/>
    </row>
    <row r="4476" spans="1:1" x14ac:dyDescent="0.25">
      <c r="A4476" s="511"/>
    </row>
    <row r="4477" spans="1:1" x14ac:dyDescent="0.25">
      <c r="A4477" s="511"/>
    </row>
    <row r="4478" spans="1:1" x14ac:dyDescent="0.25">
      <c r="A4478" s="511"/>
    </row>
    <row r="4479" spans="1:1" x14ac:dyDescent="0.25">
      <c r="A4479" s="511"/>
    </row>
    <row r="4480" spans="1:1" x14ac:dyDescent="0.25">
      <c r="A4480" s="511"/>
    </row>
    <row r="4481" spans="1:1" x14ac:dyDescent="0.25">
      <c r="A4481" s="511"/>
    </row>
    <row r="4482" spans="1:1" x14ac:dyDescent="0.25">
      <c r="A4482" s="511"/>
    </row>
    <row r="4483" spans="1:1" x14ac:dyDescent="0.25">
      <c r="A4483" s="511"/>
    </row>
    <row r="4484" spans="1:1" x14ac:dyDescent="0.25">
      <c r="A4484" s="511"/>
    </row>
    <row r="4485" spans="1:1" x14ac:dyDescent="0.25">
      <c r="A4485" s="511"/>
    </row>
    <row r="4486" spans="1:1" x14ac:dyDescent="0.25">
      <c r="A4486" s="511"/>
    </row>
    <row r="4487" spans="1:1" x14ac:dyDescent="0.25">
      <c r="A4487" s="511"/>
    </row>
    <row r="4488" spans="1:1" x14ac:dyDescent="0.25">
      <c r="A4488" s="511"/>
    </row>
    <row r="4489" spans="1:1" x14ac:dyDescent="0.25">
      <c r="A4489" s="511"/>
    </row>
    <row r="4490" spans="1:1" x14ac:dyDescent="0.25">
      <c r="A4490" s="511"/>
    </row>
    <row r="4491" spans="1:1" x14ac:dyDescent="0.25">
      <c r="A4491" s="511"/>
    </row>
    <row r="4492" spans="1:1" x14ac:dyDescent="0.25">
      <c r="A4492" s="511"/>
    </row>
    <row r="4493" spans="1:1" x14ac:dyDescent="0.25">
      <c r="A4493" s="511"/>
    </row>
    <row r="4494" spans="1:1" x14ac:dyDescent="0.25">
      <c r="A4494" s="511"/>
    </row>
    <row r="4495" spans="1:1" x14ac:dyDescent="0.25">
      <c r="A4495" s="511"/>
    </row>
    <row r="4496" spans="1:1" x14ac:dyDescent="0.25">
      <c r="A4496" s="511"/>
    </row>
    <row r="4497" spans="1:1" x14ac:dyDescent="0.25">
      <c r="A4497" s="511"/>
    </row>
    <row r="4498" spans="1:1" x14ac:dyDescent="0.25">
      <c r="A4498" s="511"/>
    </row>
    <row r="4499" spans="1:1" x14ac:dyDescent="0.25">
      <c r="A4499" s="511"/>
    </row>
    <row r="4500" spans="1:1" x14ac:dyDescent="0.25">
      <c r="A4500" s="511"/>
    </row>
    <row r="4501" spans="1:1" x14ac:dyDescent="0.25">
      <c r="A4501" s="511"/>
    </row>
    <row r="4502" spans="1:1" x14ac:dyDescent="0.25">
      <c r="A4502" s="511"/>
    </row>
    <row r="4503" spans="1:1" x14ac:dyDescent="0.25">
      <c r="A4503" s="511"/>
    </row>
    <row r="4504" spans="1:1" x14ac:dyDescent="0.25">
      <c r="A4504" s="511"/>
    </row>
    <row r="4505" spans="1:1" x14ac:dyDescent="0.25">
      <c r="A4505" s="511"/>
    </row>
    <row r="4506" spans="1:1" x14ac:dyDescent="0.25">
      <c r="A4506" s="511"/>
    </row>
    <row r="4507" spans="1:1" x14ac:dyDescent="0.25">
      <c r="A4507" s="511"/>
    </row>
    <row r="4508" spans="1:1" x14ac:dyDescent="0.25">
      <c r="A4508" s="511"/>
    </row>
    <row r="4509" spans="1:1" x14ac:dyDescent="0.25">
      <c r="A4509" s="511"/>
    </row>
    <row r="4510" spans="1:1" x14ac:dyDescent="0.25">
      <c r="A4510" s="511"/>
    </row>
    <row r="4511" spans="1:1" x14ac:dyDescent="0.25">
      <c r="A4511" s="511"/>
    </row>
    <row r="4512" spans="1:1" x14ac:dyDescent="0.25">
      <c r="A4512" s="511"/>
    </row>
    <row r="4513" spans="1:1" x14ac:dyDescent="0.25">
      <c r="A4513" s="511"/>
    </row>
    <row r="4514" spans="1:1" x14ac:dyDescent="0.25">
      <c r="A4514" s="511"/>
    </row>
    <row r="4515" spans="1:1" x14ac:dyDescent="0.25">
      <c r="A4515" s="511"/>
    </row>
    <row r="4516" spans="1:1" x14ac:dyDescent="0.25">
      <c r="A4516" s="511"/>
    </row>
    <row r="4517" spans="1:1" x14ac:dyDescent="0.25">
      <c r="A4517" s="511"/>
    </row>
    <row r="4518" spans="1:1" x14ac:dyDescent="0.25">
      <c r="A4518" s="511"/>
    </row>
    <row r="4519" spans="1:1" x14ac:dyDescent="0.25">
      <c r="A4519" s="511"/>
    </row>
    <row r="4520" spans="1:1" x14ac:dyDescent="0.25">
      <c r="A4520" s="511"/>
    </row>
    <row r="4521" spans="1:1" x14ac:dyDescent="0.25">
      <c r="A4521" s="511"/>
    </row>
    <row r="4522" spans="1:1" x14ac:dyDescent="0.25">
      <c r="A4522" s="511"/>
    </row>
    <row r="4523" spans="1:1" x14ac:dyDescent="0.25">
      <c r="A4523" s="511"/>
    </row>
    <row r="4524" spans="1:1" x14ac:dyDescent="0.25">
      <c r="A4524" s="511"/>
    </row>
    <row r="4525" spans="1:1" x14ac:dyDescent="0.25">
      <c r="A4525" s="511"/>
    </row>
    <row r="4526" spans="1:1" x14ac:dyDescent="0.25">
      <c r="A4526" s="511"/>
    </row>
    <row r="4527" spans="1:1" x14ac:dyDescent="0.25">
      <c r="A4527" s="511"/>
    </row>
    <row r="4528" spans="1:1" x14ac:dyDescent="0.25">
      <c r="A4528" s="511"/>
    </row>
    <row r="4529" spans="1:1" x14ac:dyDescent="0.25">
      <c r="A4529" s="511"/>
    </row>
    <row r="4530" spans="1:1" x14ac:dyDescent="0.25">
      <c r="A4530" s="511"/>
    </row>
    <row r="4531" spans="1:1" x14ac:dyDescent="0.25">
      <c r="A4531" s="511"/>
    </row>
    <row r="4532" spans="1:1" x14ac:dyDescent="0.25">
      <c r="A4532" s="511"/>
    </row>
    <row r="4533" spans="1:1" x14ac:dyDescent="0.25">
      <c r="A4533" s="511"/>
    </row>
    <row r="4534" spans="1:1" x14ac:dyDescent="0.25">
      <c r="A4534" s="511"/>
    </row>
    <row r="4535" spans="1:1" x14ac:dyDescent="0.25">
      <c r="A4535" s="511"/>
    </row>
    <row r="4536" spans="1:1" x14ac:dyDescent="0.25">
      <c r="A4536" s="511"/>
    </row>
    <row r="4537" spans="1:1" x14ac:dyDescent="0.25">
      <c r="A4537" s="511"/>
    </row>
    <row r="4538" spans="1:1" x14ac:dyDescent="0.25">
      <c r="A4538" s="511"/>
    </row>
    <row r="4539" spans="1:1" x14ac:dyDescent="0.25">
      <c r="A4539" s="511"/>
    </row>
    <row r="4540" spans="1:1" x14ac:dyDescent="0.25">
      <c r="A4540" s="511"/>
    </row>
    <row r="4541" spans="1:1" x14ac:dyDescent="0.25">
      <c r="A4541" s="511"/>
    </row>
    <row r="4542" spans="1:1" x14ac:dyDescent="0.25">
      <c r="A4542" s="511"/>
    </row>
    <row r="4543" spans="1:1" x14ac:dyDescent="0.25">
      <c r="A4543" s="511"/>
    </row>
    <row r="4544" spans="1:1" x14ac:dyDescent="0.25">
      <c r="A4544" s="511"/>
    </row>
    <row r="4545" spans="1:1" x14ac:dyDescent="0.25">
      <c r="A4545" s="511"/>
    </row>
    <row r="4546" spans="1:1" x14ac:dyDescent="0.25">
      <c r="A4546" s="511"/>
    </row>
    <row r="4547" spans="1:1" x14ac:dyDescent="0.25">
      <c r="A4547" s="511"/>
    </row>
    <row r="4548" spans="1:1" x14ac:dyDescent="0.25">
      <c r="A4548" s="511"/>
    </row>
    <row r="4549" spans="1:1" x14ac:dyDescent="0.25">
      <c r="A4549" s="511"/>
    </row>
    <row r="4550" spans="1:1" x14ac:dyDescent="0.25">
      <c r="A4550" s="511"/>
    </row>
    <row r="4551" spans="1:1" x14ac:dyDescent="0.25">
      <c r="A4551" s="511"/>
    </row>
    <row r="4552" spans="1:1" x14ac:dyDescent="0.25">
      <c r="A4552" s="511"/>
    </row>
    <row r="4553" spans="1:1" x14ac:dyDescent="0.25">
      <c r="A4553" s="511"/>
    </row>
    <row r="4554" spans="1:1" x14ac:dyDescent="0.25">
      <c r="A4554" s="511"/>
    </row>
    <row r="4555" spans="1:1" x14ac:dyDescent="0.25">
      <c r="A4555" s="511"/>
    </row>
    <row r="4556" spans="1:1" x14ac:dyDescent="0.25">
      <c r="A4556" s="511"/>
    </row>
    <row r="4557" spans="1:1" x14ac:dyDescent="0.25">
      <c r="A4557" s="511"/>
    </row>
    <row r="4558" spans="1:1" x14ac:dyDescent="0.25">
      <c r="A4558" s="511"/>
    </row>
    <row r="4559" spans="1:1" x14ac:dyDescent="0.25">
      <c r="A4559" s="511"/>
    </row>
    <row r="4560" spans="1:1" x14ac:dyDescent="0.25">
      <c r="A4560" s="511"/>
    </row>
    <row r="4561" spans="1:1" x14ac:dyDescent="0.25">
      <c r="A4561" s="511"/>
    </row>
    <row r="4562" spans="1:1" x14ac:dyDescent="0.25">
      <c r="A4562" s="511"/>
    </row>
    <row r="4563" spans="1:1" x14ac:dyDescent="0.25">
      <c r="A4563" s="511"/>
    </row>
    <row r="4564" spans="1:1" x14ac:dyDescent="0.25">
      <c r="A4564" s="511"/>
    </row>
    <row r="4565" spans="1:1" x14ac:dyDescent="0.25">
      <c r="A4565" s="511"/>
    </row>
    <row r="4566" spans="1:1" x14ac:dyDescent="0.25">
      <c r="A4566" s="511"/>
    </row>
    <row r="4567" spans="1:1" x14ac:dyDescent="0.25">
      <c r="A4567" s="511"/>
    </row>
    <row r="4568" spans="1:1" x14ac:dyDescent="0.25">
      <c r="A4568" s="511"/>
    </row>
    <row r="4569" spans="1:1" x14ac:dyDescent="0.25">
      <c r="A4569" s="511"/>
    </row>
    <row r="4570" spans="1:1" x14ac:dyDescent="0.25">
      <c r="A4570" s="511"/>
    </row>
    <row r="4571" spans="1:1" x14ac:dyDescent="0.25">
      <c r="A4571" s="511"/>
    </row>
    <row r="4572" spans="1:1" x14ac:dyDescent="0.25">
      <c r="A4572" s="511"/>
    </row>
    <row r="4573" spans="1:1" x14ac:dyDescent="0.25">
      <c r="A4573" s="511"/>
    </row>
    <row r="4574" spans="1:1" x14ac:dyDescent="0.25">
      <c r="A4574" s="511"/>
    </row>
    <row r="4575" spans="1:1" x14ac:dyDescent="0.25">
      <c r="A4575" s="511"/>
    </row>
    <row r="4576" spans="1:1" x14ac:dyDescent="0.25">
      <c r="A4576" s="511"/>
    </row>
    <row r="4577" spans="1:1" x14ac:dyDescent="0.25">
      <c r="A4577" s="511"/>
    </row>
    <row r="4578" spans="1:1" x14ac:dyDescent="0.25">
      <c r="A4578" s="511"/>
    </row>
    <row r="4579" spans="1:1" x14ac:dyDescent="0.25">
      <c r="A4579" s="511"/>
    </row>
    <row r="4580" spans="1:1" x14ac:dyDescent="0.25">
      <c r="A4580" s="511"/>
    </row>
    <row r="4581" spans="1:1" x14ac:dyDescent="0.25">
      <c r="A4581" s="511"/>
    </row>
    <row r="4582" spans="1:1" x14ac:dyDescent="0.25">
      <c r="A4582" s="511"/>
    </row>
    <row r="4583" spans="1:1" x14ac:dyDescent="0.25">
      <c r="A4583" s="511"/>
    </row>
    <row r="4584" spans="1:1" x14ac:dyDescent="0.25">
      <c r="A4584" s="511"/>
    </row>
    <row r="4585" spans="1:1" x14ac:dyDescent="0.25">
      <c r="A4585" s="511"/>
    </row>
    <row r="4586" spans="1:1" x14ac:dyDescent="0.25">
      <c r="A4586" s="511"/>
    </row>
    <row r="4587" spans="1:1" x14ac:dyDescent="0.25">
      <c r="A4587" s="511"/>
    </row>
    <row r="4588" spans="1:1" x14ac:dyDescent="0.25">
      <c r="A4588" s="511"/>
    </row>
    <row r="4589" spans="1:1" x14ac:dyDescent="0.25">
      <c r="A4589" s="511"/>
    </row>
    <row r="4590" spans="1:1" x14ac:dyDescent="0.25">
      <c r="A4590" s="511"/>
    </row>
    <row r="4591" spans="1:1" x14ac:dyDescent="0.25">
      <c r="A4591" s="511"/>
    </row>
    <row r="4592" spans="1:1" x14ac:dyDescent="0.25">
      <c r="A4592" s="511"/>
    </row>
    <row r="4593" spans="1:1" x14ac:dyDescent="0.25">
      <c r="A4593" s="511"/>
    </row>
    <row r="4594" spans="1:1" x14ac:dyDescent="0.25">
      <c r="A4594" s="511"/>
    </row>
    <row r="4595" spans="1:1" x14ac:dyDescent="0.25">
      <c r="A4595" s="511"/>
    </row>
    <row r="4596" spans="1:1" x14ac:dyDescent="0.25">
      <c r="A4596" s="511"/>
    </row>
    <row r="4597" spans="1:1" x14ac:dyDescent="0.25">
      <c r="A4597" s="511"/>
    </row>
    <row r="4598" spans="1:1" x14ac:dyDescent="0.25">
      <c r="A4598" s="511"/>
    </row>
    <row r="4599" spans="1:1" x14ac:dyDescent="0.25">
      <c r="A4599" s="511"/>
    </row>
    <row r="4600" spans="1:1" x14ac:dyDescent="0.25">
      <c r="A4600" s="511"/>
    </row>
    <row r="4601" spans="1:1" x14ac:dyDescent="0.25">
      <c r="A4601" s="511"/>
    </row>
    <row r="4602" spans="1:1" x14ac:dyDescent="0.25">
      <c r="A4602" s="511"/>
    </row>
    <row r="4603" spans="1:1" x14ac:dyDescent="0.25">
      <c r="A4603" s="511"/>
    </row>
    <row r="4604" spans="1:1" x14ac:dyDescent="0.25">
      <c r="A4604" s="511"/>
    </row>
    <row r="4605" spans="1:1" x14ac:dyDescent="0.25">
      <c r="A4605" s="511"/>
    </row>
    <row r="4606" spans="1:1" x14ac:dyDescent="0.25">
      <c r="A4606" s="511"/>
    </row>
    <row r="4607" spans="1:1" x14ac:dyDescent="0.25">
      <c r="A4607" s="511"/>
    </row>
    <row r="4608" spans="1:1" x14ac:dyDescent="0.25">
      <c r="A4608" s="511"/>
    </row>
    <row r="4609" spans="1:1" x14ac:dyDescent="0.25">
      <c r="A4609" s="511"/>
    </row>
    <row r="4610" spans="1:1" x14ac:dyDescent="0.25">
      <c r="A4610" s="511"/>
    </row>
    <row r="4611" spans="1:1" x14ac:dyDescent="0.25">
      <c r="A4611" s="511"/>
    </row>
    <row r="4612" spans="1:1" x14ac:dyDescent="0.25">
      <c r="A4612" s="511"/>
    </row>
    <row r="4613" spans="1:1" x14ac:dyDescent="0.25">
      <c r="A4613" s="511"/>
    </row>
    <row r="4614" spans="1:1" x14ac:dyDescent="0.25">
      <c r="A4614" s="511"/>
    </row>
    <row r="4615" spans="1:1" x14ac:dyDescent="0.25">
      <c r="A4615" s="511"/>
    </row>
    <row r="4616" spans="1:1" x14ac:dyDescent="0.25">
      <c r="A4616" s="511"/>
    </row>
    <row r="4617" spans="1:1" x14ac:dyDescent="0.25">
      <c r="A4617" s="511"/>
    </row>
    <row r="4618" spans="1:1" x14ac:dyDescent="0.25">
      <c r="A4618" s="511"/>
    </row>
    <row r="4619" spans="1:1" x14ac:dyDescent="0.25">
      <c r="A4619" s="511"/>
    </row>
    <row r="4620" spans="1:1" x14ac:dyDescent="0.25">
      <c r="A4620" s="511"/>
    </row>
    <row r="4621" spans="1:1" x14ac:dyDescent="0.25">
      <c r="A4621" s="511"/>
    </row>
    <row r="4622" spans="1:1" x14ac:dyDescent="0.25">
      <c r="A4622" s="511"/>
    </row>
    <row r="4623" spans="1:1" x14ac:dyDescent="0.25">
      <c r="A4623" s="511"/>
    </row>
    <row r="4624" spans="1:1" x14ac:dyDescent="0.25">
      <c r="A4624" s="511"/>
    </row>
    <row r="4625" spans="1:1" x14ac:dyDescent="0.25">
      <c r="A4625" s="511"/>
    </row>
    <row r="4626" spans="1:1" x14ac:dyDescent="0.25">
      <c r="A4626" s="511"/>
    </row>
    <row r="4627" spans="1:1" x14ac:dyDescent="0.25">
      <c r="A4627" s="511"/>
    </row>
    <row r="4628" spans="1:1" x14ac:dyDescent="0.25">
      <c r="A4628" s="511"/>
    </row>
    <row r="4629" spans="1:1" x14ac:dyDescent="0.25">
      <c r="A4629" s="511"/>
    </row>
    <row r="4630" spans="1:1" x14ac:dyDescent="0.25">
      <c r="A4630" s="511"/>
    </row>
    <row r="4631" spans="1:1" x14ac:dyDescent="0.25">
      <c r="A4631" s="511"/>
    </row>
    <row r="4632" spans="1:1" x14ac:dyDescent="0.25">
      <c r="A4632" s="511"/>
    </row>
    <row r="4633" spans="1:1" x14ac:dyDescent="0.25">
      <c r="A4633" s="511"/>
    </row>
    <row r="4634" spans="1:1" x14ac:dyDescent="0.25">
      <c r="A4634" s="511"/>
    </row>
    <row r="4635" spans="1:1" x14ac:dyDescent="0.25">
      <c r="A4635" s="511"/>
    </row>
    <row r="4636" spans="1:1" x14ac:dyDescent="0.25">
      <c r="A4636" s="511"/>
    </row>
    <row r="4637" spans="1:1" x14ac:dyDescent="0.25">
      <c r="A4637" s="511"/>
    </row>
    <row r="4638" spans="1:1" x14ac:dyDescent="0.25">
      <c r="A4638" s="511"/>
    </row>
    <row r="4639" spans="1:1" x14ac:dyDescent="0.25">
      <c r="A4639" s="511"/>
    </row>
    <row r="4640" spans="1:1" x14ac:dyDescent="0.25">
      <c r="A4640" s="511"/>
    </row>
    <row r="4641" spans="1:1" x14ac:dyDescent="0.25">
      <c r="A4641" s="511"/>
    </row>
    <row r="4642" spans="1:1" x14ac:dyDescent="0.25">
      <c r="A4642" s="511"/>
    </row>
    <row r="4643" spans="1:1" x14ac:dyDescent="0.25">
      <c r="A4643" s="511"/>
    </row>
    <row r="4644" spans="1:1" x14ac:dyDescent="0.25">
      <c r="A4644" s="511"/>
    </row>
    <row r="4645" spans="1:1" x14ac:dyDescent="0.25">
      <c r="A4645" s="511"/>
    </row>
    <row r="4646" spans="1:1" x14ac:dyDescent="0.25">
      <c r="A4646" s="511"/>
    </row>
    <row r="4647" spans="1:1" x14ac:dyDescent="0.25">
      <c r="A4647" s="511"/>
    </row>
    <row r="4648" spans="1:1" x14ac:dyDescent="0.25">
      <c r="A4648" s="511"/>
    </row>
    <row r="4649" spans="1:1" x14ac:dyDescent="0.25">
      <c r="A4649" s="511"/>
    </row>
    <row r="4650" spans="1:1" x14ac:dyDescent="0.25">
      <c r="A4650" s="511"/>
    </row>
    <row r="4651" spans="1:1" x14ac:dyDescent="0.25">
      <c r="A4651" s="511"/>
    </row>
    <row r="4652" spans="1:1" x14ac:dyDescent="0.25">
      <c r="A4652" s="511"/>
    </row>
    <row r="4653" spans="1:1" x14ac:dyDescent="0.25">
      <c r="A4653" s="511"/>
    </row>
    <row r="4654" spans="1:1" x14ac:dyDescent="0.25">
      <c r="A4654" s="511"/>
    </row>
    <row r="4655" spans="1:1" x14ac:dyDescent="0.25">
      <c r="A4655" s="511"/>
    </row>
    <row r="4656" spans="1:1" x14ac:dyDescent="0.25">
      <c r="A4656" s="511"/>
    </row>
    <row r="4657" spans="1:1" x14ac:dyDescent="0.25">
      <c r="A4657" s="511"/>
    </row>
    <row r="4658" spans="1:1" x14ac:dyDescent="0.25">
      <c r="A4658" s="511"/>
    </row>
    <row r="4659" spans="1:1" x14ac:dyDescent="0.25">
      <c r="A4659" s="511"/>
    </row>
    <row r="4660" spans="1:1" x14ac:dyDescent="0.25">
      <c r="A4660" s="511"/>
    </row>
    <row r="4661" spans="1:1" x14ac:dyDescent="0.25">
      <c r="A4661" s="511"/>
    </row>
    <row r="4662" spans="1:1" x14ac:dyDescent="0.25">
      <c r="A4662" s="511"/>
    </row>
    <row r="4663" spans="1:1" x14ac:dyDescent="0.25">
      <c r="A4663" s="511"/>
    </row>
    <row r="4664" spans="1:1" x14ac:dyDescent="0.25">
      <c r="A4664" s="511"/>
    </row>
    <row r="4665" spans="1:1" x14ac:dyDescent="0.25">
      <c r="A4665" s="511"/>
    </row>
    <row r="4666" spans="1:1" x14ac:dyDescent="0.25">
      <c r="A4666" s="511"/>
    </row>
    <row r="4667" spans="1:1" x14ac:dyDescent="0.25">
      <c r="A4667" s="511"/>
    </row>
    <row r="4668" spans="1:1" x14ac:dyDescent="0.25">
      <c r="A4668" s="511"/>
    </row>
    <row r="4669" spans="1:1" x14ac:dyDescent="0.25">
      <c r="A4669" s="511"/>
    </row>
    <row r="4670" spans="1:1" x14ac:dyDescent="0.25">
      <c r="A4670" s="511"/>
    </row>
    <row r="4671" spans="1:1" x14ac:dyDescent="0.25">
      <c r="A4671" s="511"/>
    </row>
    <row r="4672" spans="1:1" x14ac:dyDescent="0.25">
      <c r="A4672" s="511"/>
    </row>
    <row r="4673" spans="1:1" x14ac:dyDescent="0.25">
      <c r="A4673" s="511"/>
    </row>
    <row r="4674" spans="1:1" x14ac:dyDescent="0.25">
      <c r="A4674" s="511"/>
    </row>
    <row r="4675" spans="1:1" x14ac:dyDescent="0.25">
      <c r="A4675" s="511"/>
    </row>
    <row r="4676" spans="1:1" x14ac:dyDescent="0.25">
      <c r="A4676" s="511"/>
    </row>
    <row r="4677" spans="1:1" x14ac:dyDescent="0.25">
      <c r="A4677" s="511"/>
    </row>
    <row r="4678" spans="1:1" x14ac:dyDescent="0.25">
      <c r="A4678" s="511"/>
    </row>
    <row r="4679" spans="1:1" x14ac:dyDescent="0.25">
      <c r="A4679" s="511"/>
    </row>
    <row r="4680" spans="1:1" x14ac:dyDescent="0.25">
      <c r="A4680" s="511"/>
    </row>
    <row r="4681" spans="1:1" x14ac:dyDescent="0.25">
      <c r="A4681" s="511"/>
    </row>
    <row r="4682" spans="1:1" x14ac:dyDescent="0.25">
      <c r="A4682" s="511"/>
    </row>
    <row r="4683" spans="1:1" x14ac:dyDescent="0.25">
      <c r="A4683" s="511"/>
    </row>
    <row r="4684" spans="1:1" x14ac:dyDescent="0.25">
      <c r="A4684" s="511"/>
    </row>
    <row r="4685" spans="1:1" x14ac:dyDescent="0.25">
      <c r="A4685" s="511"/>
    </row>
    <row r="4686" spans="1:1" x14ac:dyDescent="0.25">
      <c r="A4686" s="511"/>
    </row>
    <row r="4687" spans="1:1" x14ac:dyDescent="0.25">
      <c r="A4687" s="511"/>
    </row>
    <row r="4688" spans="1:1" x14ac:dyDescent="0.25">
      <c r="A4688" s="511"/>
    </row>
    <row r="4689" spans="1:1" x14ac:dyDescent="0.25">
      <c r="A4689" s="511"/>
    </row>
    <row r="4690" spans="1:1" x14ac:dyDescent="0.25">
      <c r="A4690" s="511"/>
    </row>
    <row r="4691" spans="1:1" x14ac:dyDescent="0.25">
      <c r="A4691" s="511"/>
    </row>
    <row r="4692" spans="1:1" x14ac:dyDescent="0.25">
      <c r="A4692" s="511"/>
    </row>
    <row r="4693" spans="1:1" x14ac:dyDescent="0.25">
      <c r="A4693" s="511"/>
    </row>
    <row r="4694" spans="1:1" x14ac:dyDescent="0.25">
      <c r="A4694" s="511"/>
    </row>
    <row r="4695" spans="1:1" x14ac:dyDescent="0.25">
      <c r="A4695" s="511"/>
    </row>
    <row r="4696" spans="1:1" x14ac:dyDescent="0.25">
      <c r="A4696" s="511"/>
    </row>
    <row r="4697" spans="1:1" x14ac:dyDescent="0.25">
      <c r="A4697" s="511"/>
    </row>
    <row r="4698" spans="1:1" x14ac:dyDescent="0.25">
      <c r="A4698" s="511"/>
    </row>
    <row r="4699" spans="1:1" x14ac:dyDescent="0.25">
      <c r="A4699" s="511"/>
    </row>
    <row r="4700" spans="1:1" x14ac:dyDescent="0.25">
      <c r="A4700" s="511"/>
    </row>
    <row r="4701" spans="1:1" x14ac:dyDescent="0.25">
      <c r="A4701" s="511"/>
    </row>
    <row r="4702" spans="1:1" x14ac:dyDescent="0.25">
      <c r="A4702" s="511"/>
    </row>
    <row r="4703" spans="1:1" x14ac:dyDescent="0.25">
      <c r="A4703" s="511"/>
    </row>
    <row r="4704" spans="1:1" x14ac:dyDescent="0.25">
      <c r="A4704" s="511"/>
    </row>
    <row r="4705" spans="1:1" x14ac:dyDescent="0.25">
      <c r="A4705" s="511"/>
    </row>
    <row r="4706" spans="1:1" x14ac:dyDescent="0.25">
      <c r="A4706" s="511"/>
    </row>
    <row r="4707" spans="1:1" x14ac:dyDescent="0.25">
      <c r="A4707" s="511"/>
    </row>
    <row r="4708" spans="1:1" x14ac:dyDescent="0.25">
      <c r="A4708" s="511"/>
    </row>
    <row r="4709" spans="1:1" x14ac:dyDescent="0.25">
      <c r="A4709" s="511"/>
    </row>
    <row r="4710" spans="1:1" x14ac:dyDescent="0.25">
      <c r="A4710" s="511"/>
    </row>
    <row r="4711" spans="1:1" x14ac:dyDescent="0.25">
      <c r="A4711" s="511"/>
    </row>
    <row r="4712" spans="1:1" x14ac:dyDescent="0.25">
      <c r="A4712" s="511"/>
    </row>
    <row r="4713" spans="1:1" x14ac:dyDescent="0.25">
      <c r="A4713" s="511"/>
    </row>
    <row r="4714" spans="1:1" x14ac:dyDescent="0.25">
      <c r="A4714" s="511"/>
    </row>
    <row r="4715" spans="1:1" x14ac:dyDescent="0.25">
      <c r="A4715" s="511"/>
    </row>
    <row r="4716" spans="1:1" x14ac:dyDescent="0.25">
      <c r="A4716" s="511"/>
    </row>
    <row r="4717" spans="1:1" x14ac:dyDescent="0.25">
      <c r="A4717" s="511"/>
    </row>
    <row r="4718" spans="1:1" x14ac:dyDescent="0.25">
      <c r="A4718" s="511"/>
    </row>
    <row r="4719" spans="1:1" x14ac:dyDescent="0.25">
      <c r="A4719" s="511"/>
    </row>
    <row r="4720" spans="1:1" x14ac:dyDescent="0.25">
      <c r="A4720" s="511"/>
    </row>
    <row r="4721" spans="1:1" x14ac:dyDescent="0.25">
      <c r="A4721" s="511"/>
    </row>
    <row r="4722" spans="1:1" x14ac:dyDescent="0.25">
      <c r="A4722" s="511"/>
    </row>
    <row r="4723" spans="1:1" x14ac:dyDescent="0.25">
      <c r="A4723" s="511"/>
    </row>
    <row r="4724" spans="1:1" x14ac:dyDescent="0.25">
      <c r="A4724" s="511"/>
    </row>
    <row r="4725" spans="1:1" x14ac:dyDescent="0.25">
      <c r="A4725" s="511"/>
    </row>
    <row r="4726" spans="1:1" x14ac:dyDescent="0.25">
      <c r="A4726" s="511"/>
    </row>
    <row r="4727" spans="1:1" x14ac:dyDescent="0.25">
      <c r="A4727" s="511"/>
    </row>
    <row r="4728" spans="1:1" x14ac:dyDescent="0.25">
      <c r="A4728" s="511"/>
    </row>
    <row r="4729" spans="1:1" x14ac:dyDescent="0.25">
      <c r="A4729" s="511"/>
    </row>
    <row r="4730" spans="1:1" x14ac:dyDescent="0.25">
      <c r="A4730" s="511"/>
    </row>
    <row r="4731" spans="1:1" x14ac:dyDescent="0.25">
      <c r="A4731" s="511"/>
    </row>
    <row r="4732" spans="1:1" x14ac:dyDescent="0.25">
      <c r="A4732" s="511"/>
    </row>
    <row r="4733" spans="1:1" x14ac:dyDescent="0.25">
      <c r="A4733" s="511"/>
    </row>
    <row r="4734" spans="1:1" x14ac:dyDescent="0.25">
      <c r="A4734" s="511"/>
    </row>
    <row r="4735" spans="1:1" x14ac:dyDescent="0.25">
      <c r="A4735" s="511"/>
    </row>
    <row r="4736" spans="1:1" x14ac:dyDescent="0.25">
      <c r="A4736" s="511"/>
    </row>
    <row r="4737" spans="1:1" x14ac:dyDescent="0.25">
      <c r="A4737" s="511"/>
    </row>
    <row r="4738" spans="1:1" x14ac:dyDescent="0.25">
      <c r="A4738" s="511"/>
    </row>
    <row r="4739" spans="1:1" x14ac:dyDescent="0.25">
      <c r="A4739" s="511"/>
    </row>
    <row r="4740" spans="1:1" x14ac:dyDescent="0.25">
      <c r="A4740" s="511"/>
    </row>
    <row r="4741" spans="1:1" x14ac:dyDescent="0.25">
      <c r="A4741" s="511"/>
    </row>
    <row r="4742" spans="1:1" x14ac:dyDescent="0.25">
      <c r="A4742" s="511"/>
    </row>
    <row r="4743" spans="1:1" x14ac:dyDescent="0.25">
      <c r="A4743" s="511"/>
    </row>
    <row r="4744" spans="1:1" x14ac:dyDescent="0.25">
      <c r="A4744" s="511"/>
    </row>
    <row r="4745" spans="1:1" x14ac:dyDescent="0.25">
      <c r="A4745" s="511"/>
    </row>
    <row r="4746" spans="1:1" x14ac:dyDescent="0.25">
      <c r="A4746" s="511"/>
    </row>
    <row r="4747" spans="1:1" x14ac:dyDescent="0.25">
      <c r="A4747" s="511"/>
    </row>
    <row r="4748" spans="1:1" x14ac:dyDescent="0.25">
      <c r="A4748" s="511"/>
    </row>
    <row r="4749" spans="1:1" x14ac:dyDescent="0.25">
      <c r="A4749" s="511"/>
    </row>
    <row r="4750" spans="1:1" x14ac:dyDescent="0.25">
      <c r="A4750" s="511"/>
    </row>
    <row r="4751" spans="1:1" x14ac:dyDescent="0.25">
      <c r="A4751" s="511"/>
    </row>
    <row r="4752" spans="1:1" x14ac:dyDescent="0.25">
      <c r="A4752" s="511"/>
    </row>
    <row r="4753" spans="1:1" x14ac:dyDescent="0.25">
      <c r="A4753" s="511"/>
    </row>
    <row r="4754" spans="1:1" x14ac:dyDescent="0.25">
      <c r="A4754" s="511"/>
    </row>
    <row r="4755" spans="1:1" x14ac:dyDescent="0.25">
      <c r="A4755" s="511"/>
    </row>
    <row r="4756" spans="1:1" x14ac:dyDescent="0.25">
      <c r="A4756" s="511"/>
    </row>
    <row r="4757" spans="1:1" x14ac:dyDescent="0.25">
      <c r="A4757" s="511"/>
    </row>
    <row r="4758" spans="1:1" x14ac:dyDescent="0.25">
      <c r="A4758" s="511"/>
    </row>
    <row r="4759" spans="1:1" x14ac:dyDescent="0.25">
      <c r="A4759" s="511"/>
    </row>
    <row r="4760" spans="1:1" x14ac:dyDescent="0.25">
      <c r="A4760" s="511"/>
    </row>
    <row r="4761" spans="1:1" x14ac:dyDescent="0.25">
      <c r="A4761" s="511"/>
    </row>
    <row r="4762" spans="1:1" x14ac:dyDescent="0.25">
      <c r="A4762" s="511"/>
    </row>
    <row r="4763" spans="1:1" x14ac:dyDescent="0.25">
      <c r="A4763" s="511"/>
    </row>
    <row r="4764" spans="1:1" x14ac:dyDescent="0.25">
      <c r="A4764" s="511"/>
    </row>
    <row r="4765" spans="1:1" x14ac:dyDescent="0.25">
      <c r="A4765" s="511"/>
    </row>
    <row r="4766" spans="1:1" x14ac:dyDescent="0.25">
      <c r="A4766" s="511"/>
    </row>
    <row r="4767" spans="1:1" x14ac:dyDescent="0.25">
      <c r="A4767" s="511"/>
    </row>
    <row r="4768" spans="1:1" x14ac:dyDescent="0.25">
      <c r="A4768" s="511"/>
    </row>
    <row r="4769" spans="1:1" x14ac:dyDescent="0.25">
      <c r="A4769" s="511"/>
    </row>
    <row r="4770" spans="1:1" x14ac:dyDescent="0.25">
      <c r="A4770" s="511"/>
    </row>
    <row r="4771" spans="1:1" x14ac:dyDescent="0.25">
      <c r="A4771" s="511"/>
    </row>
    <row r="4772" spans="1:1" x14ac:dyDescent="0.25">
      <c r="A4772" s="511"/>
    </row>
    <row r="4773" spans="1:1" x14ac:dyDescent="0.25">
      <c r="A4773" s="511"/>
    </row>
    <row r="4774" spans="1:1" x14ac:dyDescent="0.25">
      <c r="A4774" s="511"/>
    </row>
    <row r="4775" spans="1:1" x14ac:dyDescent="0.25">
      <c r="A4775" s="511"/>
    </row>
    <row r="4776" spans="1:1" x14ac:dyDescent="0.25">
      <c r="A4776" s="511"/>
    </row>
    <row r="4777" spans="1:1" x14ac:dyDescent="0.25">
      <c r="A4777" s="511"/>
    </row>
    <row r="4778" spans="1:1" x14ac:dyDescent="0.25">
      <c r="A4778" s="511"/>
    </row>
    <row r="4779" spans="1:1" x14ac:dyDescent="0.25">
      <c r="A4779" s="511"/>
    </row>
    <row r="4780" spans="1:1" x14ac:dyDescent="0.25">
      <c r="A4780" s="511"/>
    </row>
    <row r="4781" spans="1:1" x14ac:dyDescent="0.25">
      <c r="A4781" s="511"/>
    </row>
    <row r="4782" spans="1:1" x14ac:dyDescent="0.25">
      <c r="A4782" s="511"/>
    </row>
    <row r="4783" spans="1:1" x14ac:dyDescent="0.25">
      <c r="A4783" s="511"/>
    </row>
    <row r="4784" spans="1:1" x14ac:dyDescent="0.25">
      <c r="A4784" s="511"/>
    </row>
    <row r="4785" spans="1:1" x14ac:dyDescent="0.25">
      <c r="A4785" s="511"/>
    </row>
    <row r="4786" spans="1:1" x14ac:dyDescent="0.25">
      <c r="A4786" s="511"/>
    </row>
    <row r="4787" spans="1:1" x14ac:dyDescent="0.25">
      <c r="A4787" s="511"/>
    </row>
    <row r="4788" spans="1:1" x14ac:dyDescent="0.25">
      <c r="A4788" s="511"/>
    </row>
    <row r="4789" spans="1:1" x14ac:dyDescent="0.25">
      <c r="A4789" s="511"/>
    </row>
    <row r="4790" spans="1:1" x14ac:dyDescent="0.25">
      <c r="A4790" s="511"/>
    </row>
    <row r="4791" spans="1:1" x14ac:dyDescent="0.25">
      <c r="A4791" s="511"/>
    </row>
    <row r="4792" spans="1:1" x14ac:dyDescent="0.25">
      <c r="A4792" s="511"/>
    </row>
    <row r="4793" spans="1:1" x14ac:dyDescent="0.25">
      <c r="A4793" s="511"/>
    </row>
    <row r="4794" spans="1:1" x14ac:dyDescent="0.25">
      <c r="A4794" s="511"/>
    </row>
    <row r="4795" spans="1:1" x14ac:dyDescent="0.25">
      <c r="A4795" s="511"/>
    </row>
    <row r="4796" spans="1:1" x14ac:dyDescent="0.25">
      <c r="A4796" s="511"/>
    </row>
    <row r="4797" spans="1:1" x14ac:dyDescent="0.25">
      <c r="A4797" s="511"/>
    </row>
    <row r="4798" spans="1:1" x14ac:dyDescent="0.25">
      <c r="A4798" s="511"/>
    </row>
    <row r="4799" spans="1:1" x14ac:dyDescent="0.25">
      <c r="A4799" s="511"/>
    </row>
    <row r="4800" spans="1:1" x14ac:dyDescent="0.25">
      <c r="A4800" s="511"/>
    </row>
    <row r="4801" spans="1:1" x14ac:dyDescent="0.25">
      <c r="A4801" s="511"/>
    </row>
    <row r="4802" spans="1:1" x14ac:dyDescent="0.25">
      <c r="A4802" s="511"/>
    </row>
    <row r="4803" spans="1:1" x14ac:dyDescent="0.25">
      <c r="A4803" s="511"/>
    </row>
    <row r="4804" spans="1:1" x14ac:dyDescent="0.25">
      <c r="A4804" s="511"/>
    </row>
    <row r="4805" spans="1:1" x14ac:dyDescent="0.25">
      <c r="A4805" s="511"/>
    </row>
    <row r="4806" spans="1:1" x14ac:dyDescent="0.25">
      <c r="A4806" s="511"/>
    </row>
    <row r="4807" spans="1:1" x14ac:dyDescent="0.25">
      <c r="A4807" s="511"/>
    </row>
    <row r="4808" spans="1:1" x14ac:dyDescent="0.25">
      <c r="A4808" s="511"/>
    </row>
    <row r="4809" spans="1:1" x14ac:dyDescent="0.25">
      <c r="A4809" s="511"/>
    </row>
    <row r="4810" spans="1:1" x14ac:dyDescent="0.25">
      <c r="A4810" s="511"/>
    </row>
    <row r="4811" spans="1:1" x14ac:dyDescent="0.25">
      <c r="A4811" s="511"/>
    </row>
    <row r="4812" spans="1:1" x14ac:dyDescent="0.25">
      <c r="A4812" s="511"/>
    </row>
    <row r="4813" spans="1:1" x14ac:dyDescent="0.25">
      <c r="A4813" s="511"/>
    </row>
    <row r="4814" spans="1:1" x14ac:dyDescent="0.25">
      <c r="A4814" s="511"/>
    </row>
    <row r="4815" spans="1:1" x14ac:dyDescent="0.25">
      <c r="A4815" s="511"/>
    </row>
    <row r="4816" spans="1:1" x14ac:dyDescent="0.25">
      <c r="A4816" s="511"/>
    </row>
    <row r="4817" spans="1:1" x14ac:dyDescent="0.25">
      <c r="A4817" s="511"/>
    </row>
    <row r="4818" spans="1:1" x14ac:dyDescent="0.25">
      <c r="A4818" s="511"/>
    </row>
    <row r="4819" spans="1:1" x14ac:dyDescent="0.25">
      <c r="A4819" s="511"/>
    </row>
    <row r="4820" spans="1:1" x14ac:dyDescent="0.25">
      <c r="A4820" s="511"/>
    </row>
    <row r="4821" spans="1:1" x14ac:dyDescent="0.25">
      <c r="A4821" s="511"/>
    </row>
    <row r="4822" spans="1:1" x14ac:dyDescent="0.25">
      <c r="A4822" s="511"/>
    </row>
    <row r="4823" spans="1:1" x14ac:dyDescent="0.25">
      <c r="A4823" s="511"/>
    </row>
    <row r="4824" spans="1:1" x14ac:dyDescent="0.25">
      <c r="A4824" s="511"/>
    </row>
    <row r="4825" spans="1:1" x14ac:dyDescent="0.25">
      <c r="A4825" s="511"/>
    </row>
    <row r="4826" spans="1:1" x14ac:dyDescent="0.25">
      <c r="A4826" s="511"/>
    </row>
    <row r="4827" spans="1:1" x14ac:dyDescent="0.25">
      <c r="A4827" s="511"/>
    </row>
    <row r="4828" spans="1:1" x14ac:dyDescent="0.25">
      <c r="A4828" s="511"/>
    </row>
    <row r="4829" spans="1:1" x14ac:dyDescent="0.25">
      <c r="A4829" s="511"/>
    </row>
    <row r="4830" spans="1:1" x14ac:dyDescent="0.25">
      <c r="A4830" s="511"/>
    </row>
    <row r="4831" spans="1:1" x14ac:dyDescent="0.25">
      <c r="A4831" s="511"/>
    </row>
    <row r="4832" spans="1:1" x14ac:dyDescent="0.25">
      <c r="A4832" s="511"/>
    </row>
    <row r="4833" spans="1:1" x14ac:dyDescent="0.25">
      <c r="A4833" s="511"/>
    </row>
    <row r="4834" spans="1:1" x14ac:dyDescent="0.25">
      <c r="A4834" s="511"/>
    </row>
    <row r="4835" spans="1:1" x14ac:dyDescent="0.25">
      <c r="A4835" s="511"/>
    </row>
    <row r="4836" spans="1:1" x14ac:dyDescent="0.25">
      <c r="A4836" s="511"/>
    </row>
    <row r="4837" spans="1:1" x14ac:dyDescent="0.25">
      <c r="A4837" s="511"/>
    </row>
    <row r="4838" spans="1:1" x14ac:dyDescent="0.25">
      <c r="A4838" s="511"/>
    </row>
    <row r="4839" spans="1:1" x14ac:dyDescent="0.25">
      <c r="A4839" s="511"/>
    </row>
    <row r="4840" spans="1:1" x14ac:dyDescent="0.25">
      <c r="A4840" s="511"/>
    </row>
    <row r="4841" spans="1:1" x14ac:dyDescent="0.25">
      <c r="A4841" s="511"/>
    </row>
    <row r="4842" spans="1:1" x14ac:dyDescent="0.25">
      <c r="A4842" s="511"/>
    </row>
    <row r="4843" spans="1:1" x14ac:dyDescent="0.25">
      <c r="A4843" s="511"/>
    </row>
    <row r="4844" spans="1:1" x14ac:dyDescent="0.25">
      <c r="A4844" s="511"/>
    </row>
    <row r="4845" spans="1:1" x14ac:dyDescent="0.25">
      <c r="A4845" s="511"/>
    </row>
    <row r="4846" spans="1:1" x14ac:dyDescent="0.25">
      <c r="A4846" s="511"/>
    </row>
    <row r="4847" spans="1:1" x14ac:dyDescent="0.25">
      <c r="A4847" s="511"/>
    </row>
    <row r="4848" spans="1:1" x14ac:dyDescent="0.25">
      <c r="A4848" s="511"/>
    </row>
    <row r="4849" spans="1:1" x14ac:dyDescent="0.25">
      <c r="A4849" s="511"/>
    </row>
    <row r="4850" spans="1:1" x14ac:dyDescent="0.25">
      <c r="A4850" s="511"/>
    </row>
    <row r="4851" spans="1:1" x14ac:dyDescent="0.25">
      <c r="A4851" s="511"/>
    </row>
    <row r="4852" spans="1:1" x14ac:dyDescent="0.25">
      <c r="A4852" s="511"/>
    </row>
    <row r="4853" spans="1:1" x14ac:dyDescent="0.25">
      <c r="A4853" s="511"/>
    </row>
    <row r="4854" spans="1:1" x14ac:dyDescent="0.25">
      <c r="A4854" s="511"/>
    </row>
    <row r="4855" spans="1:1" x14ac:dyDescent="0.25">
      <c r="A4855" s="511"/>
    </row>
    <row r="4856" spans="1:1" x14ac:dyDescent="0.25">
      <c r="A4856" s="511"/>
    </row>
    <row r="4857" spans="1:1" x14ac:dyDescent="0.25">
      <c r="A4857" s="511"/>
    </row>
    <row r="4858" spans="1:1" x14ac:dyDescent="0.25">
      <c r="A4858" s="511"/>
    </row>
    <row r="4859" spans="1:1" x14ac:dyDescent="0.25">
      <c r="A4859" s="511"/>
    </row>
    <row r="4860" spans="1:1" x14ac:dyDescent="0.25">
      <c r="A4860" s="511"/>
    </row>
    <row r="4861" spans="1:1" x14ac:dyDescent="0.25">
      <c r="A4861" s="511"/>
    </row>
    <row r="4862" spans="1:1" x14ac:dyDescent="0.25">
      <c r="A4862" s="511"/>
    </row>
    <row r="4863" spans="1:1" x14ac:dyDescent="0.25">
      <c r="A4863" s="511"/>
    </row>
    <row r="4864" spans="1:1" x14ac:dyDescent="0.25">
      <c r="A4864" s="511"/>
    </row>
    <row r="4865" spans="1:1" x14ac:dyDescent="0.25">
      <c r="A4865" s="511"/>
    </row>
    <row r="4866" spans="1:1" x14ac:dyDescent="0.25">
      <c r="A4866" s="511"/>
    </row>
    <row r="4867" spans="1:1" x14ac:dyDescent="0.25">
      <c r="A4867" s="511"/>
    </row>
    <row r="4868" spans="1:1" x14ac:dyDescent="0.25">
      <c r="A4868" s="511"/>
    </row>
    <row r="4869" spans="1:1" x14ac:dyDescent="0.25">
      <c r="A4869" s="511"/>
    </row>
    <row r="4870" spans="1:1" x14ac:dyDescent="0.25">
      <c r="A4870" s="511"/>
    </row>
    <row r="4871" spans="1:1" x14ac:dyDescent="0.25">
      <c r="A4871" s="511"/>
    </row>
    <row r="4872" spans="1:1" x14ac:dyDescent="0.25">
      <c r="A4872" s="511"/>
    </row>
    <row r="4873" spans="1:1" x14ac:dyDescent="0.25">
      <c r="A4873" s="511"/>
    </row>
    <row r="4874" spans="1:1" x14ac:dyDescent="0.25">
      <c r="A4874" s="511"/>
    </row>
    <row r="4875" spans="1:1" x14ac:dyDescent="0.25">
      <c r="A4875" s="511"/>
    </row>
    <row r="4876" spans="1:1" x14ac:dyDescent="0.25">
      <c r="A4876" s="511"/>
    </row>
    <row r="4877" spans="1:1" x14ac:dyDescent="0.25">
      <c r="A4877" s="511"/>
    </row>
    <row r="4878" spans="1:1" x14ac:dyDescent="0.25">
      <c r="A4878" s="511"/>
    </row>
    <row r="4879" spans="1:1" x14ac:dyDescent="0.25">
      <c r="A4879" s="511"/>
    </row>
    <row r="4880" spans="1:1" x14ac:dyDescent="0.25">
      <c r="A4880" s="511"/>
    </row>
    <row r="4881" spans="1:1" x14ac:dyDescent="0.25">
      <c r="A4881" s="511"/>
    </row>
    <row r="4882" spans="1:1" x14ac:dyDescent="0.25">
      <c r="A4882" s="511"/>
    </row>
    <row r="4883" spans="1:1" x14ac:dyDescent="0.25">
      <c r="A4883" s="511"/>
    </row>
    <row r="4884" spans="1:1" x14ac:dyDescent="0.25">
      <c r="A4884" s="511"/>
    </row>
    <row r="4885" spans="1:1" x14ac:dyDescent="0.25">
      <c r="A4885" s="511"/>
    </row>
    <row r="4886" spans="1:1" x14ac:dyDescent="0.25">
      <c r="A4886" s="511"/>
    </row>
    <row r="4887" spans="1:1" x14ac:dyDescent="0.25">
      <c r="A4887" s="511"/>
    </row>
    <row r="4888" spans="1:1" x14ac:dyDescent="0.25">
      <c r="A4888" s="511"/>
    </row>
    <row r="4889" spans="1:1" x14ac:dyDescent="0.25">
      <c r="A4889" s="511"/>
    </row>
    <row r="4890" spans="1:1" x14ac:dyDescent="0.25">
      <c r="A4890" s="511"/>
    </row>
    <row r="4891" spans="1:1" x14ac:dyDescent="0.25">
      <c r="A4891" s="511"/>
    </row>
    <row r="4892" spans="1:1" x14ac:dyDescent="0.25">
      <c r="A4892" s="511"/>
    </row>
    <row r="4893" spans="1:1" x14ac:dyDescent="0.25">
      <c r="A4893" s="511"/>
    </row>
    <row r="4894" spans="1:1" x14ac:dyDescent="0.25">
      <c r="A4894" s="511"/>
    </row>
    <row r="4895" spans="1:1" x14ac:dyDescent="0.25">
      <c r="A4895" s="511"/>
    </row>
    <row r="4896" spans="1:1" x14ac:dyDescent="0.25">
      <c r="A4896" s="511"/>
    </row>
    <row r="4897" spans="1:1" x14ac:dyDescent="0.25">
      <c r="A4897" s="511"/>
    </row>
    <row r="4898" spans="1:1" x14ac:dyDescent="0.25">
      <c r="A4898" s="511"/>
    </row>
    <row r="4899" spans="1:1" x14ac:dyDescent="0.25">
      <c r="A4899" s="511"/>
    </row>
    <row r="4900" spans="1:1" x14ac:dyDescent="0.25">
      <c r="A4900" s="511"/>
    </row>
    <row r="4901" spans="1:1" x14ac:dyDescent="0.25">
      <c r="A4901" s="511"/>
    </row>
    <row r="4902" spans="1:1" x14ac:dyDescent="0.25">
      <c r="A4902" s="511"/>
    </row>
    <row r="4903" spans="1:1" x14ac:dyDescent="0.25">
      <c r="A4903" s="511"/>
    </row>
    <row r="4904" spans="1:1" x14ac:dyDescent="0.25">
      <c r="A4904" s="511"/>
    </row>
    <row r="4905" spans="1:1" x14ac:dyDescent="0.25">
      <c r="A4905" s="511"/>
    </row>
    <row r="4906" spans="1:1" x14ac:dyDescent="0.25">
      <c r="A4906" s="511"/>
    </row>
    <row r="4907" spans="1:1" x14ac:dyDescent="0.25">
      <c r="A4907" s="511"/>
    </row>
    <row r="4908" spans="1:1" x14ac:dyDescent="0.25">
      <c r="A4908" s="511"/>
    </row>
    <row r="4909" spans="1:1" x14ac:dyDescent="0.25">
      <c r="A4909" s="511"/>
    </row>
    <row r="4910" spans="1:1" x14ac:dyDescent="0.25">
      <c r="A4910" s="511"/>
    </row>
    <row r="4911" spans="1:1" x14ac:dyDescent="0.25">
      <c r="A4911" s="511"/>
    </row>
    <row r="4912" spans="1:1" x14ac:dyDescent="0.25">
      <c r="A4912" s="511"/>
    </row>
    <row r="4913" spans="1:1" x14ac:dyDescent="0.25">
      <c r="A4913" s="511"/>
    </row>
    <row r="4914" spans="1:1" x14ac:dyDescent="0.25">
      <c r="A4914" s="511"/>
    </row>
    <row r="4915" spans="1:1" x14ac:dyDescent="0.25">
      <c r="A4915" s="511"/>
    </row>
    <row r="4916" spans="1:1" x14ac:dyDescent="0.25">
      <c r="A4916" s="511"/>
    </row>
    <row r="4917" spans="1:1" x14ac:dyDescent="0.25">
      <c r="A4917" s="511"/>
    </row>
    <row r="4918" spans="1:1" x14ac:dyDescent="0.25">
      <c r="A4918" s="511"/>
    </row>
    <row r="4919" spans="1:1" x14ac:dyDescent="0.25">
      <c r="A4919" s="511"/>
    </row>
    <row r="4920" spans="1:1" x14ac:dyDescent="0.25">
      <c r="A4920" s="511"/>
    </row>
    <row r="4921" spans="1:1" x14ac:dyDescent="0.25">
      <c r="A4921" s="511"/>
    </row>
    <row r="4922" spans="1:1" x14ac:dyDescent="0.25">
      <c r="A4922" s="511"/>
    </row>
    <row r="4923" spans="1:1" x14ac:dyDescent="0.25">
      <c r="A4923" s="511"/>
    </row>
    <row r="4924" spans="1:1" x14ac:dyDescent="0.25">
      <c r="A4924" s="511"/>
    </row>
    <row r="4925" spans="1:1" x14ac:dyDescent="0.25">
      <c r="A4925" s="511"/>
    </row>
    <row r="4926" spans="1:1" x14ac:dyDescent="0.25">
      <c r="A4926" s="511"/>
    </row>
    <row r="4927" spans="1:1" x14ac:dyDescent="0.25">
      <c r="A4927" s="511"/>
    </row>
    <row r="4928" spans="1:1" x14ac:dyDescent="0.25">
      <c r="A4928" s="511"/>
    </row>
    <row r="4929" spans="1:1" x14ac:dyDescent="0.25">
      <c r="A4929" s="511"/>
    </row>
    <row r="4930" spans="1:1" x14ac:dyDescent="0.25">
      <c r="A4930" s="511"/>
    </row>
    <row r="4931" spans="1:1" x14ac:dyDescent="0.25">
      <c r="A4931" s="511"/>
    </row>
    <row r="4932" spans="1:1" x14ac:dyDescent="0.25">
      <c r="A4932" s="511"/>
    </row>
    <row r="4933" spans="1:1" x14ac:dyDescent="0.25">
      <c r="A4933" s="511"/>
    </row>
    <row r="4934" spans="1:1" x14ac:dyDescent="0.25">
      <c r="A4934" s="511"/>
    </row>
    <row r="4935" spans="1:1" x14ac:dyDescent="0.25">
      <c r="A4935" s="511"/>
    </row>
    <row r="4936" spans="1:1" x14ac:dyDescent="0.25">
      <c r="A4936" s="511"/>
    </row>
    <row r="4937" spans="1:1" x14ac:dyDescent="0.25">
      <c r="A4937" s="511"/>
    </row>
    <row r="4938" spans="1:1" x14ac:dyDescent="0.25">
      <c r="A4938" s="511"/>
    </row>
    <row r="4939" spans="1:1" x14ac:dyDescent="0.25">
      <c r="A4939" s="511"/>
    </row>
    <row r="4940" spans="1:1" x14ac:dyDescent="0.25">
      <c r="A4940" s="511"/>
    </row>
    <row r="4941" spans="1:1" x14ac:dyDescent="0.25">
      <c r="A4941" s="511"/>
    </row>
    <row r="4942" spans="1:1" x14ac:dyDescent="0.25">
      <c r="A4942" s="511"/>
    </row>
    <row r="4943" spans="1:1" x14ac:dyDescent="0.25">
      <c r="A4943" s="511"/>
    </row>
    <row r="4944" spans="1:1" x14ac:dyDescent="0.25">
      <c r="A4944" s="511"/>
    </row>
    <row r="4945" spans="1:1" x14ac:dyDescent="0.25">
      <c r="A4945" s="511"/>
    </row>
    <row r="4946" spans="1:1" x14ac:dyDescent="0.25">
      <c r="A4946" s="511"/>
    </row>
    <row r="4947" spans="1:1" x14ac:dyDescent="0.25">
      <c r="A4947" s="511"/>
    </row>
    <row r="4948" spans="1:1" x14ac:dyDescent="0.25">
      <c r="A4948" s="511"/>
    </row>
    <row r="4949" spans="1:1" x14ac:dyDescent="0.25">
      <c r="A4949" s="511"/>
    </row>
    <row r="4950" spans="1:1" x14ac:dyDescent="0.25">
      <c r="A4950" s="511"/>
    </row>
    <row r="4951" spans="1:1" x14ac:dyDescent="0.25">
      <c r="A4951" s="511"/>
    </row>
    <row r="4952" spans="1:1" x14ac:dyDescent="0.25">
      <c r="A4952" s="511"/>
    </row>
    <row r="4953" spans="1:1" x14ac:dyDescent="0.25">
      <c r="A4953" s="511"/>
    </row>
    <row r="4954" spans="1:1" x14ac:dyDescent="0.25">
      <c r="A4954" s="511"/>
    </row>
    <row r="4955" spans="1:1" x14ac:dyDescent="0.25">
      <c r="A4955" s="511"/>
    </row>
    <row r="4956" spans="1:1" x14ac:dyDescent="0.25">
      <c r="A4956" s="511"/>
    </row>
    <row r="4957" spans="1:1" x14ac:dyDescent="0.25">
      <c r="A4957" s="511"/>
    </row>
    <row r="4958" spans="1:1" x14ac:dyDescent="0.25">
      <c r="A4958" s="511"/>
    </row>
    <row r="4959" spans="1:1" x14ac:dyDescent="0.25">
      <c r="A4959" s="511"/>
    </row>
    <row r="4960" spans="1:1" x14ac:dyDescent="0.25">
      <c r="A4960" s="511"/>
    </row>
    <row r="4961" spans="1:1" x14ac:dyDescent="0.25">
      <c r="A4961" s="511"/>
    </row>
    <row r="4962" spans="1:1" x14ac:dyDescent="0.25">
      <c r="A4962" s="511"/>
    </row>
    <row r="4963" spans="1:1" x14ac:dyDescent="0.25">
      <c r="A4963" s="511"/>
    </row>
    <row r="4964" spans="1:1" x14ac:dyDescent="0.25">
      <c r="A4964" s="511"/>
    </row>
    <row r="4965" spans="1:1" x14ac:dyDescent="0.25">
      <c r="A4965" s="511"/>
    </row>
    <row r="4966" spans="1:1" x14ac:dyDescent="0.25">
      <c r="A4966" s="511"/>
    </row>
    <row r="4967" spans="1:1" x14ac:dyDescent="0.25">
      <c r="A4967" s="511"/>
    </row>
    <row r="4968" spans="1:1" x14ac:dyDescent="0.25">
      <c r="A4968" s="511"/>
    </row>
    <row r="4969" spans="1:1" x14ac:dyDescent="0.25">
      <c r="A4969" s="511"/>
    </row>
    <row r="4970" spans="1:1" x14ac:dyDescent="0.25">
      <c r="A4970" s="511"/>
    </row>
    <row r="4971" spans="1:1" x14ac:dyDescent="0.25">
      <c r="A4971" s="511"/>
    </row>
    <row r="4972" spans="1:1" x14ac:dyDescent="0.25">
      <c r="A4972" s="511"/>
    </row>
    <row r="4973" spans="1:1" x14ac:dyDescent="0.25">
      <c r="A4973" s="511"/>
    </row>
    <row r="4974" spans="1:1" x14ac:dyDescent="0.25">
      <c r="A4974" s="511"/>
    </row>
    <row r="4975" spans="1:1" x14ac:dyDescent="0.25">
      <c r="A4975" s="511"/>
    </row>
    <row r="4976" spans="1:1" x14ac:dyDescent="0.25">
      <c r="A4976" s="511"/>
    </row>
    <row r="4977" spans="1:1" x14ac:dyDescent="0.25">
      <c r="A4977" s="511"/>
    </row>
    <row r="4978" spans="1:1" x14ac:dyDescent="0.25">
      <c r="A4978" s="511"/>
    </row>
    <row r="4979" spans="1:1" x14ac:dyDescent="0.25">
      <c r="A4979" s="511"/>
    </row>
    <row r="4980" spans="1:1" x14ac:dyDescent="0.25">
      <c r="A4980" s="511"/>
    </row>
    <row r="4981" spans="1:1" x14ac:dyDescent="0.25">
      <c r="A4981" s="511"/>
    </row>
    <row r="4982" spans="1:1" x14ac:dyDescent="0.25">
      <c r="A4982" s="511"/>
    </row>
    <row r="4983" spans="1:1" x14ac:dyDescent="0.25">
      <c r="A4983" s="511"/>
    </row>
    <row r="4984" spans="1:1" x14ac:dyDescent="0.25">
      <c r="A4984" s="511"/>
    </row>
    <row r="4985" spans="1:1" x14ac:dyDescent="0.25">
      <c r="A4985" s="511"/>
    </row>
    <row r="4986" spans="1:1" x14ac:dyDescent="0.25">
      <c r="A4986" s="511"/>
    </row>
    <row r="4987" spans="1:1" x14ac:dyDescent="0.25">
      <c r="A4987" s="511"/>
    </row>
    <row r="4988" spans="1:1" x14ac:dyDescent="0.25">
      <c r="A4988" s="511"/>
    </row>
    <row r="4989" spans="1:1" x14ac:dyDescent="0.25">
      <c r="A4989" s="511"/>
    </row>
    <row r="4990" spans="1:1" x14ac:dyDescent="0.25">
      <c r="A4990" s="511"/>
    </row>
    <row r="4991" spans="1:1" x14ac:dyDescent="0.25">
      <c r="A4991" s="511"/>
    </row>
    <row r="4992" spans="1:1" x14ac:dyDescent="0.25">
      <c r="A4992" s="511"/>
    </row>
    <row r="4993" spans="1:1" x14ac:dyDescent="0.25">
      <c r="A4993" s="511"/>
    </row>
    <row r="4994" spans="1:1" x14ac:dyDescent="0.25">
      <c r="A4994" s="511"/>
    </row>
    <row r="4995" spans="1:1" x14ac:dyDescent="0.25">
      <c r="A4995" s="511"/>
    </row>
    <row r="4996" spans="1:1" x14ac:dyDescent="0.25">
      <c r="A4996" s="511"/>
    </row>
    <row r="4997" spans="1:1" x14ac:dyDescent="0.25">
      <c r="A4997" s="511"/>
    </row>
    <row r="4998" spans="1:1" x14ac:dyDescent="0.25">
      <c r="A4998" s="511"/>
    </row>
    <row r="4999" spans="1:1" x14ac:dyDescent="0.25">
      <c r="A4999" s="511"/>
    </row>
    <row r="5000" spans="1:1" x14ac:dyDescent="0.25">
      <c r="A5000" s="511"/>
    </row>
    <row r="5001" spans="1:1" x14ac:dyDescent="0.25">
      <c r="A5001" s="511"/>
    </row>
    <row r="5002" spans="1:1" x14ac:dyDescent="0.25">
      <c r="A5002" s="511"/>
    </row>
    <row r="5003" spans="1:1" x14ac:dyDescent="0.25">
      <c r="A5003" s="511"/>
    </row>
    <row r="5004" spans="1:1" x14ac:dyDescent="0.25">
      <c r="A5004" s="511"/>
    </row>
    <row r="5005" spans="1:1" x14ac:dyDescent="0.25">
      <c r="A5005" s="511"/>
    </row>
    <row r="5006" spans="1:1" x14ac:dyDescent="0.25">
      <c r="A5006" s="511"/>
    </row>
    <row r="5007" spans="1:1" x14ac:dyDescent="0.25">
      <c r="A5007" s="511"/>
    </row>
    <row r="5008" spans="1:1" x14ac:dyDescent="0.25">
      <c r="A5008" s="511"/>
    </row>
    <row r="5009" spans="1:1" x14ac:dyDescent="0.25">
      <c r="A5009" s="511"/>
    </row>
    <row r="5010" spans="1:1" x14ac:dyDescent="0.25">
      <c r="A5010" s="511"/>
    </row>
    <row r="5011" spans="1:1" x14ac:dyDescent="0.25">
      <c r="A5011" s="511"/>
    </row>
    <row r="5012" spans="1:1" x14ac:dyDescent="0.25">
      <c r="A5012" s="511"/>
    </row>
    <row r="5013" spans="1:1" x14ac:dyDescent="0.25">
      <c r="A5013" s="511"/>
    </row>
    <row r="5014" spans="1:1" x14ac:dyDescent="0.25">
      <c r="A5014" s="511"/>
    </row>
    <row r="5015" spans="1:1" x14ac:dyDescent="0.25">
      <c r="A5015" s="511"/>
    </row>
    <row r="5016" spans="1:1" x14ac:dyDescent="0.25">
      <c r="A5016" s="511"/>
    </row>
    <row r="5017" spans="1:1" x14ac:dyDescent="0.25">
      <c r="A5017" s="511"/>
    </row>
    <row r="5018" spans="1:1" x14ac:dyDescent="0.25">
      <c r="A5018" s="511"/>
    </row>
    <row r="5019" spans="1:1" x14ac:dyDescent="0.25">
      <c r="A5019" s="511"/>
    </row>
    <row r="5020" spans="1:1" x14ac:dyDescent="0.25">
      <c r="A5020" s="511"/>
    </row>
    <row r="5021" spans="1:1" x14ac:dyDescent="0.25">
      <c r="A5021" s="511"/>
    </row>
    <row r="5022" spans="1:1" x14ac:dyDescent="0.25">
      <c r="A5022" s="511"/>
    </row>
    <row r="5023" spans="1:1" x14ac:dyDescent="0.25">
      <c r="A5023" s="511"/>
    </row>
    <row r="5024" spans="1:1" x14ac:dyDescent="0.25">
      <c r="A5024" s="511"/>
    </row>
    <row r="5025" spans="1:1" x14ac:dyDescent="0.25">
      <c r="A5025" s="511"/>
    </row>
    <row r="5026" spans="1:1" x14ac:dyDescent="0.25">
      <c r="A5026" s="511"/>
    </row>
    <row r="5027" spans="1:1" x14ac:dyDescent="0.25">
      <c r="A5027" s="511"/>
    </row>
    <row r="5028" spans="1:1" x14ac:dyDescent="0.25">
      <c r="A5028" s="511"/>
    </row>
    <row r="5029" spans="1:1" x14ac:dyDescent="0.25">
      <c r="A5029" s="511"/>
    </row>
    <row r="5030" spans="1:1" x14ac:dyDescent="0.25">
      <c r="A5030" s="511"/>
    </row>
    <row r="5031" spans="1:1" x14ac:dyDescent="0.25">
      <c r="A5031" s="511"/>
    </row>
    <row r="5032" spans="1:1" x14ac:dyDescent="0.25">
      <c r="A5032" s="511"/>
    </row>
    <row r="5033" spans="1:1" x14ac:dyDescent="0.25">
      <c r="A5033" s="511"/>
    </row>
    <row r="5034" spans="1:1" x14ac:dyDescent="0.25">
      <c r="A5034" s="511"/>
    </row>
    <row r="5035" spans="1:1" x14ac:dyDescent="0.25">
      <c r="A5035" s="511"/>
    </row>
    <row r="5036" spans="1:1" x14ac:dyDescent="0.25">
      <c r="A5036" s="511"/>
    </row>
    <row r="5037" spans="1:1" x14ac:dyDescent="0.25">
      <c r="A5037" s="511"/>
    </row>
    <row r="5038" spans="1:1" x14ac:dyDescent="0.25">
      <c r="A5038" s="511"/>
    </row>
    <row r="5039" spans="1:1" x14ac:dyDescent="0.25">
      <c r="A5039" s="511"/>
    </row>
    <row r="5040" spans="1:1" x14ac:dyDescent="0.25">
      <c r="A5040" s="511"/>
    </row>
    <row r="5041" spans="1:1" x14ac:dyDescent="0.25">
      <c r="A5041" s="511"/>
    </row>
    <row r="5042" spans="1:1" x14ac:dyDescent="0.25">
      <c r="A5042" s="511"/>
    </row>
    <row r="5043" spans="1:1" x14ac:dyDescent="0.25">
      <c r="A5043" s="511"/>
    </row>
    <row r="5044" spans="1:1" x14ac:dyDescent="0.25">
      <c r="A5044" s="511"/>
    </row>
    <row r="5045" spans="1:1" x14ac:dyDescent="0.25">
      <c r="A5045" s="511"/>
    </row>
    <row r="5046" spans="1:1" x14ac:dyDescent="0.25">
      <c r="A5046" s="511"/>
    </row>
    <row r="5047" spans="1:1" x14ac:dyDescent="0.25">
      <c r="A5047" s="511"/>
    </row>
    <row r="5048" spans="1:1" x14ac:dyDescent="0.25">
      <c r="A5048" s="511"/>
    </row>
    <row r="5049" spans="1:1" x14ac:dyDescent="0.25">
      <c r="A5049" s="511"/>
    </row>
    <row r="5050" spans="1:1" x14ac:dyDescent="0.25">
      <c r="A5050" s="511"/>
    </row>
    <row r="5051" spans="1:1" x14ac:dyDescent="0.25">
      <c r="A5051" s="511"/>
    </row>
    <row r="5052" spans="1:1" x14ac:dyDescent="0.25">
      <c r="A5052" s="511"/>
    </row>
    <row r="5053" spans="1:1" x14ac:dyDescent="0.25">
      <c r="A5053" s="511"/>
    </row>
    <row r="5054" spans="1:1" x14ac:dyDescent="0.25">
      <c r="A5054" s="511"/>
    </row>
    <row r="5055" spans="1:1" x14ac:dyDescent="0.25">
      <c r="A5055" s="511"/>
    </row>
    <row r="5056" spans="1:1" x14ac:dyDescent="0.25">
      <c r="A5056" s="511"/>
    </row>
    <row r="5057" spans="1:1" x14ac:dyDescent="0.25">
      <c r="A5057" s="511"/>
    </row>
    <row r="5058" spans="1:1" x14ac:dyDescent="0.25">
      <c r="A5058" s="511"/>
    </row>
    <row r="5059" spans="1:1" x14ac:dyDescent="0.25">
      <c r="A5059" s="511"/>
    </row>
    <row r="5060" spans="1:1" x14ac:dyDescent="0.25">
      <c r="A5060" s="511"/>
    </row>
    <row r="5061" spans="1:1" x14ac:dyDescent="0.25">
      <c r="A5061" s="511"/>
    </row>
    <row r="5062" spans="1:1" x14ac:dyDescent="0.25">
      <c r="A5062" s="511"/>
    </row>
    <row r="5063" spans="1:1" x14ac:dyDescent="0.25">
      <c r="A5063" s="511"/>
    </row>
    <row r="5064" spans="1:1" x14ac:dyDescent="0.25">
      <c r="A5064" s="511"/>
    </row>
    <row r="5065" spans="1:1" x14ac:dyDescent="0.25">
      <c r="A5065" s="511"/>
    </row>
    <row r="5066" spans="1:1" x14ac:dyDescent="0.25">
      <c r="A5066" s="511"/>
    </row>
    <row r="5067" spans="1:1" x14ac:dyDescent="0.25">
      <c r="A5067" s="511"/>
    </row>
    <row r="5068" spans="1:1" x14ac:dyDescent="0.25">
      <c r="A5068" s="511"/>
    </row>
    <row r="5069" spans="1:1" x14ac:dyDescent="0.25">
      <c r="A5069" s="511"/>
    </row>
    <row r="5070" spans="1:1" x14ac:dyDescent="0.25">
      <c r="A5070" s="511"/>
    </row>
    <row r="5071" spans="1:1" x14ac:dyDescent="0.25">
      <c r="A5071" s="511"/>
    </row>
    <row r="5072" spans="1:1" x14ac:dyDescent="0.25">
      <c r="A5072" s="511"/>
    </row>
    <row r="5073" spans="1:1" x14ac:dyDescent="0.25">
      <c r="A5073" s="511"/>
    </row>
    <row r="5074" spans="1:1" x14ac:dyDescent="0.25">
      <c r="A5074" s="511"/>
    </row>
    <row r="5075" spans="1:1" x14ac:dyDescent="0.25">
      <c r="A5075" s="511"/>
    </row>
    <row r="5076" spans="1:1" x14ac:dyDescent="0.25">
      <c r="A5076" s="511"/>
    </row>
    <row r="5077" spans="1:1" x14ac:dyDescent="0.25">
      <c r="A5077" s="511"/>
    </row>
    <row r="5078" spans="1:1" x14ac:dyDescent="0.25">
      <c r="A5078" s="511"/>
    </row>
    <row r="5079" spans="1:1" x14ac:dyDescent="0.25">
      <c r="A5079" s="511"/>
    </row>
    <row r="5080" spans="1:1" x14ac:dyDescent="0.25">
      <c r="A5080" s="511"/>
    </row>
    <row r="5081" spans="1:1" x14ac:dyDescent="0.25">
      <c r="A5081" s="511"/>
    </row>
    <row r="5082" spans="1:1" x14ac:dyDescent="0.25">
      <c r="A5082" s="511"/>
    </row>
    <row r="5083" spans="1:1" x14ac:dyDescent="0.25">
      <c r="A5083" s="511"/>
    </row>
    <row r="5084" spans="1:1" x14ac:dyDescent="0.25">
      <c r="A5084" s="511"/>
    </row>
    <row r="5085" spans="1:1" x14ac:dyDescent="0.25">
      <c r="A5085" s="511"/>
    </row>
    <row r="5086" spans="1:1" x14ac:dyDescent="0.25">
      <c r="A5086" s="511"/>
    </row>
    <row r="5087" spans="1:1" x14ac:dyDescent="0.25">
      <c r="A5087" s="511"/>
    </row>
    <row r="5088" spans="1:1" x14ac:dyDescent="0.25">
      <c r="A5088" s="511"/>
    </row>
    <row r="5089" spans="1:1" x14ac:dyDescent="0.25">
      <c r="A5089" s="511"/>
    </row>
    <row r="5090" spans="1:1" x14ac:dyDescent="0.25">
      <c r="A5090" s="511"/>
    </row>
    <row r="5091" spans="1:1" x14ac:dyDescent="0.25">
      <c r="A5091" s="511"/>
    </row>
    <row r="5092" spans="1:1" x14ac:dyDescent="0.25">
      <c r="A5092" s="511"/>
    </row>
    <row r="5093" spans="1:1" x14ac:dyDescent="0.25">
      <c r="A5093" s="511"/>
    </row>
    <row r="5094" spans="1:1" x14ac:dyDescent="0.25">
      <c r="A5094" s="511"/>
    </row>
    <row r="5095" spans="1:1" x14ac:dyDescent="0.25">
      <c r="A5095" s="511"/>
    </row>
    <row r="5096" spans="1:1" x14ac:dyDescent="0.25">
      <c r="A5096" s="511"/>
    </row>
    <row r="5097" spans="1:1" x14ac:dyDescent="0.25">
      <c r="A5097" s="511"/>
    </row>
    <row r="5098" spans="1:1" x14ac:dyDescent="0.25">
      <c r="A5098" s="511"/>
    </row>
    <row r="5099" spans="1:1" x14ac:dyDescent="0.25">
      <c r="A5099" s="511"/>
    </row>
    <row r="5100" spans="1:1" x14ac:dyDescent="0.25">
      <c r="A5100" s="511"/>
    </row>
    <row r="5101" spans="1:1" x14ac:dyDescent="0.25">
      <c r="A5101" s="511"/>
    </row>
    <row r="5102" spans="1:1" x14ac:dyDescent="0.25">
      <c r="A5102" s="511"/>
    </row>
    <row r="5103" spans="1:1" x14ac:dyDescent="0.25">
      <c r="A5103" s="511"/>
    </row>
    <row r="5104" spans="1:1" x14ac:dyDescent="0.25">
      <c r="A5104" s="511"/>
    </row>
    <row r="5105" spans="1:1" x14ac:dyDescent="0.25">
      <c r="A5105" s="511"/>
    </row>
    <row r="5106" spans="1:1" x14ac:dyDescent="0.25">
      <c r="A5106" s="511"/>
    </row>
    <row r="5107" spans="1:1" x14ac:dyDescent="0.25">
      <c r="A5107" s="511"/>
    </row>
    <row r="5108" spans="1:1" x14ac:dyDescent="0.25">
      <c r="A5108" s="511"/>
    </row>
    <row r="5109" spans="1:1" x14ac:dyDescent="0.25">
      <c r="A5109" s="511"/>
    </row>
    <row r="5110" spans="1:1" x14ac:dyDescent="0.25">
      <c r="A5110" s="511"/>
    </row>
    <row r="5111" spans="1:1" x14ac:dyDescent="0.25">
      <c r="A5111" s="511"/>
    </row>
    <row r="5112" spans="1:1" x14ac:dyDescent="0.25">
      <c r="A5112" s="511"/>
    </row>
    <row r="5113" spans="1:1" x14ac:dyDescent="0.25">
      <c r="A5113" s="511"/>
    </row>
    <row r="5114" spans="1:1" x14ac:dyDescent="0.25">
      <c r="A5114" s="511"/>
    </row>
    <row r="5115" spans="1:1" x14ac:dyDescent="0.25">
      <c r="A5115" s="511"/>
    </row>
    <row r="5116" spans="1:1" x14ac:dyDescent="0.25">
      <c r="A5116" s="511"/>
    </row>
    <row r="5117" spans="1:1" x14ac:dyDescent="0.25">
      <c r="A5117" s="511"/>
    </row>
    <row r="5118" spans="1:1" x14ac:dyDescent="0.25">
      <c r="A5118" s="511"/>
    </row>
    <row r="5119" spans="1:1" x14ac:dyDescent="0.25">
      <c r="A5119" s="511"/>
    </row>
    <row r="5120" spans="1:1" x14ac:dyDescent="0.25">
      <c r="A5120" s="511"/>
    </row>
    <row r="5121" spans="1:1" x14ac:dyDescent="0.25">
      <c r="A5121" s="511"/>
    </row>
    <row r="5122" spans="1:1" x14ac:dyDescent="0.25">
      <c r="A5122" s="511"/>
    </row>
    <row r="5123" spans="1:1" x14ac:dyDescent="0.25">
      <c r="A5123" s="511"/>
    </row>
    <row r="5124" spans="1:1" x14ac:dyDescent="0.25">
      <c r="A5124" s="511"/>
    </row>
    <row r="5125" spans="1:1" x14ac:dyDescent="0.25">
      <c r="A5125" s="511"/>
    </row>
    <row r="5126" spans="1:1" x14ac:dyDescent="0.25">
      <c r="A5126" s="511"/>
    </row>
    <row r="5127" spans="1:1" x14ac:dyDescent="0.25">
      <c r="A5127" s="511"/>
    </row>
    <row r="5128" spans="1:1" x14ac:dyDescent="0.25">
      <c r="A5128" s="511"/>
    </row>
    <row r="5129" spans="1:1" x14ac:dyDescent="0.25">
      <c r="A5129" s="511"/>
    </row>
    <row r="5130" spans="1:1" x14ac:dyDescent="0.25">
      <c r="A5130" s="511"/>
    </row>
  </sheetData>
  <autoFilter ref="A1:A5130" xr:uid="{00000000-0001-0000-0300-000000000000}"/>
  <mergeCells count="83">
    <mergeCell ref="G32:H32"/>
    <mergeCell ref="G33:H33"/>
    <mergeCell ref="G23:H23"/>
    <mergeCell ref="G24:H24"/>
    <mergeCell ref="G25:H25"/>
    <mergeCell ref="G26:H26"/>
    <mergeCell ref="G16:H16"/>
    <mergeCell ref="G17:H17"/>
    <mergeCell ref="G18:H18"/>
    <mergeCell ref="G19:H19"/>
    <mergeCell ref="G31:H31"/>
    <mergeCell ref="V30:V34"/>
    <mergeCell ref="G34:H34"/>
    <mergeCell ref="I30:I34"/>
    <mergeCell ref="A1:P1"/>
    <mergeCell ref="D2:J2"/>
    <mergeCell ref="B4:O4"/>
    <mergeCell ref="G29:H29"/>
    <mergeCell ref="G30:H30"/>
    <mergeCell ref="G27:H27"/>
    <mergeCell ref="G28:H28"/>
    <mergeCell ref="G20:H20"/>
    <mergeCell ref="G21:H21"/>
    <mergeCell ref="G22:H22"/>
    <mergeCell ref="D30:D34"/>
    <mergeCell ref="V4:AI4"/>
    <mergeCell ref="G15:H15"/>
    <mergeCell ref="G35:H35"/>
    <mergeCell ref="G36:H36"/>
    <mergeCell ref="G38:H38"/>
    <mergeCell ref="G39:H39"/>
    <mergeCell ref="G40:H40"/>
    <mergeCell ref="D71:D77"/>
    <mergeCell ref="V71:V77"/>
    <mergeCell ref="V45:AI45"/>
    <mergeCell ref="G41:H41"/>
    <mergeCell ref="G42:H42"/>
    <mergeCell ref="B45:O45"/>
    <mergeCell ref="G71:H71"/>
    <mergeCell ref="G72:H72"/>
    <mergeCell ref="G73:H73"/>
    <mergeCell ref="G74:H74"/>
    <mergeCell ref="G75:H75"/>
    <mergeCell ref="G96:H96"/>
    <mergeCell ref="V78:V84"/>
    <mergeCell ref="G76:H76"/>
    <mergeCell ref="G77:H77"/>
    <mergeCell ref="G37:H37"/>
    <mergeCell ref="V85:V91"/>
    <mergeCell ref="G78:H84"/>
    <mergeCell ref="D92:D95"/>
    <mergeCell ref="V92:V95"/>
    <mergeCell ref="I78:I84"/>
    <mergeCell ref="G91:H91"/>
    <mergeCell ref="G85:H85"/>
    <mergeCell ref="G86:H86"/>
    <mergeCell ref="G87:H87"/>
    <mergeCell ref="G88:H88"/>
    <mergeCell ref="G89:H89"/>
    <mergeCell ref="G90:H90"/>
    <mergeCell ref="G92:H95"/>
    <mergeCell ref="D85:D91"/>
    <mergeCell ref="G117:H122"/>
    <mergeCell ref="G123:H123"/>
    <mergeCell ref="V97:V103"/>
    <mergeCell ref="D105:D111"/>
    <mergeCell ref="V105:V111"/>
    <mergeCell ref="G104:H104"/>
    <mergeCell ref="V117:V123"/>
    <mergeCell ref="G114:H114"/>
    <mergeCell ref="G115:H115"/>
    <mergeCell ref="G116:H116"/>
    <mergeCell ref="G112:H112"/>
    <mergeCell ref="D97:D103"/>
    <mergeCell ref="D117:D123"/>
    <mergeCell ref="G97:H103"/>
    <mergeCell ref="G105:H111"/>
    <mergeCell ref="G113:H113"/>
    <mergeCell ref="B129:N129"/>
    <mergeCell ref="V129:AH129"/>
    <mergeCell ref="G124:H124"/>
    <mergeCell ref="G125:H125"/>
    <mergeCell ref="G126:H126"/>
  </mergeCells>
  <phoneticPr fontId="66" type="noConversion"/>
  <conditionalFormatting sqref="A7:A5130 AC48:AE61 B70:C126 I70:P126 D71:E91 V71:V92 AB71:AE126 F85:F95 V96:V126 F97:F112 D97:E126 G112:G117 B133:B147">
    <cfRule type="cellIs" dxfId="177" priority="26" operator="equal">
      <formula>"x"</formula>
    </cfRule>
  </conditionalFormatting>
  <conditionalFormatting sqref="A1:P5 A6:J6 K6:P7">
    <cfRule type="cellIs" dxfId="176" priority="162" operator="equal">
      <formula>"x"</formula>
    </cfRule>
  </conditionalFormatting>
  <conditionalFormatting sqref="A5131:P1048576">
    <cfRule type="cellIs" dxfId="175" priority="441" operator="equal">
      <formula>"x"</formula>
    </cfRule>
  </conditionalFormatting>
  <conditionalFormatting sqref="B129:B131">
    <cfRule type="cellIs" dxfId="174" priority="23" operator="equal">
      <formula>"x"</formula>
    </cfRule>
  </conditionalFormatting>
  <conditionalFormatting sqref="B8:P15 B16:E16 G16:P16 B17:P25 B26:E29 G26:P29 B30:P30 B31:C34 E31:H34 J31:P34 B35:P35 B36:E37 G36:P37">
    <cfRule type="cellIs" dxfId="173" priority="164" operator="equal">
      <formula>"x"</formula>
    </cfRule>
  </conditionalFormatting>
  <conditionalFormatting sqref="B38:P45 B46:C46 F46:P46">
    <cfRule type="cellIs" dxfId="172" priority="155" operator="equal">
      <formula>"x"</formula>
    </cfRule>
  </conditionalFormatting>
  <conditionalFormatting sqref="B47:P47">
    <cfRule type="cellIs" dxfId="171" priority="151" operator="equal">
      <formula>"x"</formula>
    </cfRule>
  </conditionalFormatting>
  <conditionalFormatting sqref="B62:P69">
    <cfRule type="cellIs" dxfId="170" priority="152" operator="equal">
      <formula>"x"</formula>
    </cfRule>
  </conditionalFormatting>
  <conditionalFormatting sqref="B127:P128">
    <cfRule type="cellIs" dxfId="169" priority="125" operator="equal">
      <formula>"x"</formula>
    </cfRule>
  </conditionalFormatting>
  <conditionalFormatting sqref="B148:P5130">
    <cfRule type="cellIs" dxfId="168" priority="27" operator="equal">
      <formula>"x"</formula>
    </cfRule>
  </conditionalFormatting>
  <conditionalFormatting sqref="C69:C71">
    <cfRule type="cellIs" dxfId="167" priority="431" operator="equal">
      <formula>"x"</formula>
    </cfRule>
  </conditionalFormatting>
  <conditionalFormatting sqref="C7:J7">
    <cfRule type="cellIs" dxfId="166" priority="161" operator="equal">
      <formula>"x"</formula>
    </cfRule>
  </conditionalFormatting>
  <conditionalFormatting sqref="C48:P61 D132:D133">
    <cfRule type="cellIs" dxfId="165" priority="1" operator="equal">
      <formula>"x"</formula>
    </cfRule>
  </conditionalFormatting>
  <conditionalFormatting sqref="D70:H70 G71:G78 G85:G92 D92 D96">
    <cfRule type="cellIs" dxfId="164" priority="147" operator="equal">
      <formula>"x"</formula>
    </cfRule>
  </conditionalFormatting>
  <conditionalFormatting sqref="E92:E96 G96:G97">
    <cfRule type="cellIs" dxfId="163" priority="145" operator="equal">
      <formula>"x"</formula>
    </cfRule>
  </conditionalFormatting>
  <conditionalFormatting sqref="F82:F83">
    <cfRule type="cellIs" dxfId="162" priority="141" operator="equal">
      <formula>"x"</formula>
    </cfRule>
  </conditionalFormatting>
  <conditionalFormatting sqref="F116">
    <cfRule type="cellIs" dxfId="161" priority="138" operator="equal">
      <formula>"x"</formula>
    </cfRule>
  </conditionalFormatting>
  <conditionalFormatting sqref="F124:G126">
    <cfRule type="cellIs" dxfId="160" priority="137" operator="equal">
      <formula>"x"</formula>
    </cfRule>
  </conditionalFormatting>
  <conditionalFormatting sqref="G104:G105">
    <cfRule type="cellIs" dxfId="159" priority="143" operator="equal">
      <formula>"x"</formula>
    </cfRule>
  </conditionalFormatting>
  <conditionalFormatting sqref="G123">
    <cfRule type="cellIs" dxfId="158" priority="142" operator="equal">
      <formula>"x"</formula>
    </cfRule>
  </conditionalFormatting>
  <conditionalFormatting sqref="K132">
    <cfRule type="cellIs" dxfId="157" priority="9" operator="equal">
      <formula>"x"</formula>
    </cfRule>
  </conditionalFormatting>
  <conditionalFormatting sqref="V37">
    <cfRule type="cellIs" dxfId="156" priority="160" operator="equal">
      <formula>"x"</formula>
    </cfRule>
  </conditionalFormatting>
  <conditionalFormatting sqref="Y91:AA91">
    <cfRule type="cellIs" dxfId="155" priority="135" operator="equal">
      <formula>"x"</formula>
    </cfRule>
  </conditionalFormatting>
  <conditionalFormatting sqref="AF132 AF139:AG147">
    <cfRule type="expression" dxfId="154" priority="25">
      <formula>AF132&lt;&gt;AE132</formula>
    </cfRule>
    <cfRule type="expression" dxfId="153" priority="24">
      <formula>AND(AF132=AE132,AE132&lt;&gt;"")</formula>
    </cfRule>
  </conditionalFormatting>
  <conditionalFormatting sqref="AF7:AG7 AF71:AG126">
    <cfRule type="expression" dxfId="152" priority="158">
      <formula>AND(AF7=AE7,AE7&lt;&gt;"")</formula>
    </cfRule>
    <cfRule type="expression" dxfId="151" priority="159">
      <formula>AF7&lt;&gt;AE7</formula>
    </cfRule>
  </conditionalFormatting>
  <conditionalFormatting sqref="AF16:AG42">
    <cfRule type="expression" dxfId="150" priority="4">
      <formula>AND(AF16=AD16,AD16&lt;&gt;"")</formula>
    </cfRule>
    <cfRule type="expression" dxfId="149" priority="5">
      <formula>AF16&lt;&gt;AD16</formula>
    </cfRule>
  </conditionalFormatting>
  <conditionalFormatting sqref="AF48:AG61">
    <cfRule type="expression" dxfId="148" priority="2">
      <formula>AND(AF48=AE48,AE48&lt;&gt;"")</formula>
    </cfRule>
    <cfRule type="expression" dxfId="147" priority="3">
      <formula>AF48&lt;&gt;AE48</formula>
    </cfRule>
  </conditionalFormatting>
  <conditionalFormatting sqref="AH7 AH48:AH61">
    <cfRule type="cellIs" dxfId="146" priority="165" operator="lessThan">
      <formula>-0.1</formula>
    </cfRule>
    <cfRule type="cellIs" dxfId="145" priority="166" operator="greaterThan">
      <formula>0.1</formula>
    </cfRule>
  </conditionalFormatting>
  <conditionalFormatting sqref="AH132">
    <cfRule type="cellIs" dxfId="144" priority="29" operator="greaterThan">
      <formula>0.1</formula>
    </cfRule>
    <cfRule type="cellIs" dxfId="143" priority="28" operator="lessThan">
      <formula>-0.1</formula>
    </cfRule>
  </conditionalFormatting>
  <hyperlinks>
    <hyperlink ref="G16" r:id="rId1" xr:uid="{A45A3E27-52E2-4E86-AA58-D3DF8781837F}"/>
  </hyperlinks>
  <pageMargins left="0.7" right="0.7" top="0.75" bottom="0.75" header="0.3" footer="0.3"/>
  <pageSetup scale="32" fitToHeight="0"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J49"/>
  <sheetViews>
    <sheetView zoomScale="70" zoomScaleNormal="70" workbookViewId="0">
      <selection sqref="A1:O1"/>
    </sheetView>
  </sheetViews>
  <sheetFormatPr defaultColWidth="16.42578125" defaultRowHeight="15" outlineLevelRow="1" x14ac:dyDescent="0.25"/>
  <cols>
    <col min="1" max="1" width="5.85546875" style="50" bestFit="1" customWidth="1"/>
    <col min="2" max="2" width="7" style="50" bestFit="1" customWidth="1"/>
    <col min="3" max="3" width="20.28515625" style="100" bestFit="1" customWidth="1"/>
    <col min="4" max="4" width="23.5703125" style="100" customWidth="1"/>
    <col min="5" max="5" width="55.7109375" style="50" customWidth="1"/>
    <col min="6" max="6" width="20.28515625" style="50" customWidth="1"/>
    <col min="7" max="7" width="22.7109375" style="50" customWidth="1"/>
    <col min="8" max="8" width="24.7109375" style="50" customWidth="1"/>
    <col min="9" max="9" width="21.5703125" style="50" customWidth="1"/>
    <col min="10" max="10" width="11.28515625" style="50" customWidth="1"/>
    <col min="11" max="12" width="16.42578125" style="50" customWidth="1"/>
    <col min="13" max="13" width="14" style="166" customWidth="1"/>
    <col min="14" max="14" width="13.7109375" style="50" customWidth="1"/>
    <col min="15" max="15" width="1.7109375" style="50" customWidth="1"/>
    <col min="16" max="21" width="16.42578125" style="50" customWidth="1"/>
    <col min="22" max="22" width="29.42578125" style="50" customWidth="1"/>
    <col min="23" max="23" width="16.42578125" style="365" customWidth="1"/>
    <col min="24" max="24" width="18" style="365" customWidth="1"/>
    <col min="25" max="25" width="17.28515625" style="365" customWidth="1"/>
    <col min="26" max="27" width="16.42578125" style="365" customWidth="1"/>
    <col min="28" max="28" width="17.42578125" style="365" bestFit="1" customWidth="1"/>
    <col min="29" max="35" width="16.42578125" style="73" customWidth="1"/>
    <col min="36" max="37" width="18" style="73" customWidth="1"/>
    <col min="38" max="110" width="16.42578125" style="73" customWidth="1"/>
    <col min="111" max="111" width="16.42578125" style="50"/>
    <col min="112" max="112" width="33.28515625" style="50" bestFit="1" customWidth="1"/>
    <col min="113" max="113" width="13.7109375" style="142" customWidth="1"/>
    <col min="114" max="114" width="20.42578125" style="2049" customWidth="1"/>
    <col min="115" max="16384" width="16.42578125" style="73"/>
  </cols>
  <sheetData>
    <row r="1" spans="1:114" s="2" customFormat="1" ht="18.75" x14ac:dyDescent="0.3">
      <c r="A1" s="2371" t="s">
        <v>805</v>
      </c>
      <c r="B1" s="2386"/>
      <c r="C1" s="2387"/>
      <c r="D1" s="2386"/>
      <c r="E1" s="2386"/>
      <c r="F1" s="2386"/>
      <c r="G1" s="2386"/>
      <c r="H1" s="2386"/>
      <c r="I1" s="2386"/>
      <c r="J1" s="2386"/>
      <c r="K1" s="2386"/>
      <c r="L1" s="2386"/>
      <c r="M1" s="2386"/>
      <c r="N1" s="2386"/>
      <c r="O1" s="2386"/>
      <c r="P1" s="50"/>
      <c r="Q1" s="50"/>
      <c r="R1" s="247"/>
      <c r="S1" s="247"/>
      <c r="T1" s="247"/>
      <c r="U1" s="247"/>
      <c r="V1" s="750"/>
      <c r="W1" s="727"/>
      <c r="X1" s="727"/>
      <c r="Y1" s="1335"/>
      <c r="Z1" s="1335"/>
      <c r="AA1" s="1335"/>
      <c r="AB1" s="1335"/>
      <c r="AC1" s="5"/>
      <c r="AD1" s="5"/>
      <c r="AE1" s="5"/>
      <c r="AF1" s="5"/>
      <c r="AG1" s="5"/>
      <c r="AH1" s="5"/>
      <c r="DG1" s="247"/>
      <c r="DH1" s="247"/>
      <c r="DI1" s="1026"/>
      <c r="DJ1" s="2048"/>
    </row>
    <row r="2" spans="1:114" s="2" customFormat="1" ht="30" customHeight="1" outlineLevel="1" x14ac:dyDescent="0.35">
      <c r="A2" s="247"/>
      <c r="B2" s="435"/>
      <c r="C2" s="729"/>
      <c r="D2" s="2324" t="s">
        <v>40</v>
      </c>
      <c r="E2" s="2374"/>
      <c r="F2" s="2375"/>
      <c r="G2" s="2375"/>
      <c r="H2" s="2375"/>
      <c r="I2" s="2375"/>
      <c r="J2" s="2375"/>
      <c r="K2" s="246"/>
      <c r="L2" s="246"/>
      <c r="M2" s="247"/>
      <c r="N2" s="247"/>
      <c r="O2" s="247"/>
      <c r="P2" s="247"/>
      <c r="Q2" s="247"/>
      <c r="R2" s="247"/>
      <c r="S2" s="247"/>
      <c r="T2" s="247"/>
      <c r="U2" s="247"/>
      <c r="V2" s="247"/>
      <c r="W2" s="21"/>
      <c r="X2" s="21"/>
      <c r="Y2" s="21"/>
      <c r="Z2" s="21"/>
      <c r="AA2" s="21"/>
      <c r="AB2" s="21"/>
      <c r="DG2" s="247"/>
      <c r="DH2" s="247"/>
      <c r="DI2" s="1026"/>
      <c r="DJ2" s="2048"/>
    </row>
    <row r="3" spans="1:114" s="2" customFormat="1" ht="33.75" customHeight="1" x14ac:dyDescent="0.25">
      <c r="A3" s="247"/>
      <c r="B3" s="247"/>
      <c r="C3" s="60"/>
      <c r="D3" s="60"/>
      <c r="E3" s="523"/>
      <c r="F3" s="59"/>
      <c r="G3" s="59"/>
      <c r="H3" s="59"/>
      <c r="I3" s="59"/>
      <c r="J3" s="59"/>
      <c r="K3" s="247"/>
      <c r="L3" s="247"/>
      <c r="M3" s="467"/>
      <c r="N3" s="247"/>
      <c r="O3" s="247"/>
      <c r="P3" s="247"/>
      <c r="Q3" s="247"/>
      <c r="R3" s="247"/>
      <c r="S3" s="247"/>
      <c r="T3" s="247"/>
      <c r="U3" s="247"/>
      <c r="V3" s="247"/>
      <c r="W3" s="21"/>
      <c r="X3" s="21"/>
      <c r="Y3" s="21"/>
      <c r="Z3" s="21"/>
      <c r="AA3" s="21"/>
      <c r="AB3" s="21"/>
      <c r="DG3" s="247"/>
      <c r="DH3" s="247"/>
      <c r="DI3" s="1026"/>
      <c r="DJ3" s="2048"/>
    </row>
    <row r="4" spans="1:114" x14ac:dyDescent="0.25">
      <c r="B4" s="2388" t="s">
        <v>806</v>
      </c>
      <c r="C4" s="2389"/>
      <c r="D4" s="2389"/>
      <c r="E4" s="2389"/>
      <c r="F4" s="2389"/>
      <c r="G4" s="2389"/>
      <c r="H4" s="2389"/>
      <c r="I4" s="2390"/>
      <c r="J4" s="2390"/>
      <c r="K4" s="2390"/>
      <c r="L4" s="2390"/>
      <c r="M4" s="2390"/>
      <c r="N4" s="2391"/>
      <c r="O4" s="265"/>
      <c r="P4" s="265"/>
      <c r="Q4" s="265"/>
      <c r="R4" s="265"/>
      <c r="V4" s="2339" t="str">
        <f>B4</f>
        <v>Dirty Filter Alarm</v>
      </c>
      <c r="W4" s="2340"/>
      <c r="X4" s="2340"/>
      <c r="Y4" s="2340"/>
      <c r="Z4" s="2340"/>
      <c r="AA4" s="2340"/>
      <c r="AB4" s="2340"/>
      <c r="AC4" s="2341"/>
      <c r="AD4" s="2341"/>
      <c r="AE4" s="2341"/>
      <c r="AF4" s="2341"/>
      <c r="AG4" s="2341"/>
      <c r="AH4" s="2342"/>
    </row>
    <row r="5" spans="1:114" x14ac:dyDescent="0.25">
      <c r="B5" s="1361"/>
      <c r="C5" s="126"/>
      <c r="D5" s="553"/>
      <c r="E5" s="264"/>
      <c r="F5" s="264"/>
      <c r="G5" s="264"/>
      <c r="H5" s="264"/>
      <c r="I5" s="264"/>
      <c r="J5" s="264"/>
      <c r="K5" s="264"/>
      <c r="L5" s="554"/>
      <c r="M5" s="576"/>
      <c r="N5" s="265"/>
      <c r="O5" s="265"/>
      <c r="P5" s="265"/>
      <c r="Q5" s="265"/>
      <c r="R5" s="265"/>
      <c r="DI5" s="50"/>
      <c r="DJ5" s="2031"/>
    </row>
    <row r="6" spans="1:114" ht="30" x14ac:dyDescent="0.25">
      <c r="B6" s="549"/>
      <c r="C6" s="1242" t="s">
        <v>43</v>
      </c>
      <c r="D6" s="1242" t="s">
        <v>597</v>
      </c>
      <c r="E6" s="1242" t="s">
        <v>45</v>
      </c>
      <c r="F6" s="1242" t="s">
        <v>46</v>
      </c>
      <c r="G6" s="1242" t="s">
        <v>47</v>
      </c>
      <c r="H6" s="1242" t="s">
        <v>48</v>
      </c>
      <c r="I6" s="1242" t="s">
        <v>807</v>
      </c>
      <c r="J6" s="1242" t="s">
        <v>808</v>
      </c>
      <c r="K6" s="1242" t="s">
        <v>49</v>
      </c>
      <c r="L6" s="1254" t="s">
        <v>50</v>
      </c>
      <c r="M6" s="1242" t="s">
        <v>51</v>
      </c>
      <c r="N6" s="1242" t="s">
        <v>52</v>
      </c>
      <c r="V6" s="162" t="s">
        <v>53</v>
      </c>
      <c r="W6" s="110">
        <v>43252</v>
      </c>
      <c r="X6" s="110">
        <v>43465</v>
      </c>
      <c r="Y6" s="110">
        <v>43800</v>
      </c>
      <c r="Z6" s="110">
        <v>43862</v>
      </c>
      <c r="AA6" s="110">
        <v>44013</v>
      </c>
      <c r="AB6" s="110">
        <v>44166</v>
      </c>
      <c r="AC6" s="637">
        <v>44531</v>
      </c>
      <c r="AD6" s="637">
        <v>44774</v>
      </c>
      <c r="AE6" s="637">
        <v>45139</v>
      </c>
      <c r="AF6" s="637">
        <f>'Deemed Savings Tbl Revision Log'!C17</f>
        <v>45672</v>
      </c>
      <c r="AG6" s="637">
        <f>'Deemed Savings Tbl Revision Log'!$C$18</f>
        <v>45971</v>
      </c>
      <c r="DG6" s="1007" t="str">
        <f>'Efficient Products Deemed Table'!$DG$6</f>
        <v>TRC (2025)</v>
      </c>
      <c r="DH6" s="1007" t="str">
        <f>'Efficient Products Deemed Table'!$DH$6</f>
        <v>Benefit Lookup</v>
      </c>
      <c r="DI6" s="1007" t="str">
        <f>'Efficient Products Deemed Table'!$DI$6</f>
        <v>Benefits (2025 $)</v>
      </c>
      <c r="DJ6" s="1007" t="str">
        <f>'Efficient Products Deemed Table'!$DJ$6</f>
        <v>Incremental Cost (2025 $)</v>
      </c>
    </row>
    <row r="7" spans="1:114" x14ac:dyDescent="0.25">
      <c r="A7" s="2143" t="s">
        <v>602</v>
      </c>
      <c r="B7" s="1318">
        <f t="shared" ref="B7" si="0">VALUE(LEFT(C7,6))</f>
        <v>300100</v>
      </c>
      <c r="C7" s="2139" t="s">
        <v>809</v>
      </c>
      <c r="D7" s="101" t="s">
        <v>810</v>
      </c>
      <c r="E7" s="1300" t="s">
        <v>811</v>
      </c>
      <c r="F7" s="188">
        <f>ROUND(I7+J7,2)</f>
        <v>68.45</v>
      </c>
      <c r="G7" s="1273" t="s">
        <v>812</v>
      </c>
      <c r="H7" s="66">
        <f>VLOOKUP(G7,'CP FACTORS'!$A$3:$B$38, 2, FALSE)</f>
        <v>4.6608050000000002E-4</v>
      </c>
      <c r="I7" s="1392">
        <f>F$16*F$17*F$18*F$19*F20*F21*F22</f>
        <v>43.301719999999996</v>
      </c>
      <c r="J7" s="1392">
        <f>F$23*F$17*F$24*F$19*F20*F21*F22</f>
        <v>25.153205</v>
      </c>
      <c r="K7" s="256">
        <f>ROUND(H7*F7,6)</f>
        <v>3.1903000000000001E-2</v>
      </c>
      <c r="L7" s="318">
        <f>$F$25</f>
        <v>5</v>
      </c>
      <c r="M7" s="697">
        <f>$F$26</f>
        <v>5</v>
      </c>
      <c r="N7" s="132" t="s">
        <v>63</v>
      </c>
      <c r="V7" s="1249" t="str">
        <f>$F$6</f>
        <v>kWh Annual Savings</v>
      </c>
      <c r="W7" s="323">
        <v>79.197937499999995</v>
      </c>
      <c r="X7" s="123">
        <v>171.76499999999999</v>
      </c>
      <c r="Y7" s="124">
        <v>177.38</v>
      </c>
      <c r="Z7" s="681">
        <v>177.38</v>
      </c>
      <c r="AA7" s="681">
        <v>177.38</v>
      </c>
      <c r="AB7" s="373">
        <v>177.38</v>
      </c>
      <c r="AC7" s="170">
        <v>177.38</v>
      </c>
      <c r="AD7" s="170">
        <v>177.38</v>
      </c>
      <c r="AE7" s="170">
        <v>177.38</v>
      </c>
      <c r="AF7" s="170">
        <v>118.25</v>
      </c>
      <c r="AG7" s="253">
        <f>IF(F7&lt;&gt;"",F7,"")</f>
        <v>68.45</v>
      </c>
      <c r="AH7" s="114"/>
      <c r="DG7" s="1841">
        <f>(DI7)/(DJ7)</f>
        <v>7.2802575529565017</v>
      </c>
      <c r="DH7" s="641" t="str">
        <f>CONCATENATE(G7," ",L7," Year EUL")</f>
        <v>HVAC RES 5 Year EUL</v>
      </c>
      <c r="DI7" s="1027">
        <f>(INDEX('Avoided Cost Benefits'!$B$4:$B$865,MATCH(DH7,'Avoided Cost Benefits'!$A$4:$A$865,0)))*F7</f>
        <v>36.401287764782509</v>
      </c>
      <c r="DJ7" s="2050">
        <f>IFERROR(M7/((1+DiscountRate)^(CurrentYear-DiscountYear)),0)</f>
        <v>5</v>
      </c>
    </row>
    <row r="8" spans="1:114" outlineLevel="1" x14ac:dyDescent="0.25">
      <c r="A8" s="603"/>
      <c r="B8" s="549"/>
      <c r="C8" s="126"/>
      <c r="D8" s="74" t="s">
        <v>95</v>
      </c>
      <c r="E8" s="265" t="s">
        <v>813</v>
      </c>
      <c r="F8" s="1326"/>
      <c r="G8" s="263"/>
      <c r="H8" s="915"/>
      <c r="I8" s="517"/>
      <c r="J8" s="1327"/>
      <c r="K8" s="1328"/>
      <c r="L8" s="593"/>
      <c r="M8" s="1329"/>
      <c r="N8" s="265"/>
      <c r="DJ8" s="2047"/>
    </row>
    <row r="9" spans="1:114" outlineLevel="1" x14ac:dyDescent="0.25">
      <c r="A9" s="603"/>
      <c r="B9" s="549"/>
      <c r="C9" s="126"/>
      <c r="D9" s="74" t="s">
        <v>609</v>
      </c>
      <c r="E9" s="265" t="s">
        <v>814</v>
      </c>
      <c r="F9" s="921"/>
      <c r="G9" s="265"/>
      <c r="H9" s="265"/>
      <c r="I9" s="265"/>
      <c r="J9" s="265"/>
      <c r="K9" s="265"/>
      <c r="L9" s="265"/>
      <c r="M9" s="576"/>
      <c r="N9" s="265"/>
      <c r="O9" s="265"/>
      <c r="P9" s="265"/>
      <c r="Q9" s="265"/>
      <c r="R9" s="265"/>
      <c r="DJ9" s="2047"/>
    </row>
    <row r="10" spans="1:114" outlineLevel="1" x14ac:dyDescent="0.25">
      <c r="A10" s="603"/>
      <c r="B10" s="549"/>
      <c r="C10" s="126"/>
      <c r="D10" s="74"/>
      <c r="E10" s="265" t="s">
        <v>815</v>
      </c>
      <c r="F10" s="921"/>
      <c r="G10" s="265"/>
      <c r="H10" s="265"/>
      <c r="I10" s="265"/>
      <c r="J10" s="265"/>
      <c r="K10" s="265"/>
      <c r="L10" s="265"/>
      <c r="M10" s="576"/>
      <c r="N10" s="265"/>
      <c r="O10" s="265"/>
      <c r="P10" s="265"/>
      <c r="Q10" s="265"/>
      <c r="R10" s="265"/>
      <c r="DJ10" s="2047"/>
    </row>
    <row r="11" spans="1:114" outlineLevel="1" x14ac:dyDescent="0.25">
      <c r="A11" s="603"/>
      <c r="B11" s="549"/>
      <c r="C11" s="126"/>
      <c r="D11" s="74"/>
      <c r="E11" s="265" t="s">
        <v>816</v>
      </c>
      <c r="F11" s="921"/>
      <c r="G11" s="265"/>
      <c r="H11" s="265"/>
      <c r="I11" s="265"/>
      <c r="J11" s="265"/>
      <c r="K11" s="265"/>
      <c r="L11" s="265"/>
      <c r="M11" s="576"/>
      <c r="N11" s="265"/>
      <c r="O11" s="265"/>
      <c r="P11" s="265"/>
      <c r="Q11" s="265"/>
      <c r="R11" s="265"/>
      <c r="DJ11" s="2047"/>
    </row>
    <row r="12" spans="1:114" outlineLevel="1" x14ac:dyDescent="0.25">
      <c r="A12" s="603"/>
      <c r="B12" s="549"/>
      <c r="C12" s="126"/>
      <c r="D12" s="780"/>
      <c r="E12" s="281" t="s">
        <v>612</v>
      </c>
      <c r="F12" s="281"/>
      <c r="G12" s="281"/>
      <c r="H12" s="265"/>
      <c r="I12" s="265"/>
      <c r="J12" s="265"/>
      <c r="K12" s="265"/>
      <c r="L12" s="265"/>
      <c r="M12" s="576"/>
      <c r="N12" s="265"/>
      <c r="O12" s="265"/>
      <c r="P12" s="265"/>
      <c r="Q12" s="265"/>
      <c r="R12" s="265"/>
      <c r="DJ12" s="2047"/>
    </row>
    <row r="13" spans="1:114" outlineLevel="1" x14ac:dyDescent="0.25">
      <c r="A13" s="603"/>
      <c r="B13" s="549"/>
      <c r="C13" s="126"/>
      <c r="D13" s="780"/>
      <c r="E13" s="281"/>
      <c r="F13" s="281"/>
      <c r="G13" s="281"/>
      <c r="H13" s="265"/>
      <c r="I13" s="265"/>
      <c r="J13" s="265"/>
      <c r="K13" s="265"/>
      <c r="L13" s="265"/>
      <c r="M13" s="265"/>
      <c r="N13" s="265"/>
      <c r="O13" s="265"/>
      <c r="P13" s="265"/>
      <c r="Q13" s="265"/>
      <c r="R13" s="510"/>
      <c r="DJ13" s="2047"/>
    </row>
    <row r="14" spans="1:114" outlineLevel="1" x14ac:dyDescent="0.25">
      <c r="A14" s="603"/>
      <c r="B14" s="549"/>
      <c r="C14" s="126"/>
      <c r="D14" s="126"/>
      <c r="E14" s="265"/>
      <c r="F14" s="265"/>
      <c r="G14" s="265"/>
      <c r="H14" s="265"/>
      <c r="I14" s="265"/>
      <c r="J14" s="265"/>
      <c r="K14" s="265"/>
      <c r="L14" s="265"/>
      <c r="M14" s="265"/>
      <c r="N14" s="265"/>
      <c r="O14" s="265"/>
      <c r="P14" s="265"/>
      <c r="Q14" s="265"/>
      <c r="R14" s="510"/>
      <c r="DJ14" s="2047"/>
    </row>
    <row r="15" spans="1:114" outlineLevel="1" x14ac:dyDescent="0.25">
      <c r="A15" s="603"/>
      <c r="B15" s="549"/>
      <c r="C15" s="126"/>
      <c r="D15" s="1309" t="s">
        <v>720</v>
      </c>
      <c r="E15" s="1299" t="s">
        <v>613</v>
      </c>
      <c r="F15" s="1242" t="s">
        <v>615</v>
      </c>
      <c r="G15" s="2378" t="s">
        <v>616</v>
      </c>
      <c r="H15" s="2378"/>
      <c r="I15" s="1242" t="s">
        <v>721</v>
      </c>
      <c r="J15" s="265"/>
      <c r="K15" s="265"/>
      <c r="L15" s="265"/>
      <c r="M15" s="265"/>
      <c r="N15" s="265"/>
      <c r="O15" s="265"/>
      <c r="P15" s="265"/>
      <c r="Q15" s="265"/>
      <c r="R15" s="510"/>
      <c r="V15" s="162" t="s">
        <v>53</v>
      </c>
      <c r="W15" s="110">
        <f>$W$6</f>
        <v>43252</v>
      </c>
      <c r="X15" s="110">
        <f>$X$6</f>
        <v>43465</v>
      </c>
      <c r="Y15" s="110">
        <f>$Y$6</f>
        <v>43800</v>
      </c>
      <c r="Z15" s="110">
        <f>$Z$6</f>
        <v>43862</v>
      </c>
      <c r="AA15" s="110">
        <f>$AA$6</f>
        <v>44013</v>
      </c>
      <c r="AB15" s="110">
        <f>$AB$6</f>
        <v>44166</v>
      </c>
      <c r="AC15" s="637">
        <f>$AC$6</f>
        <v>44531</v>
      </c>
      <c r="AD15" s="637">
        <f>$AD$6</f>
        <v>44774</v>
      </c>
      <c r="AE15" s="637">
        <f>$AE$6</f>
        <v>45139</v>
      </c>
      <c r="AF15" s="637">
        <f>$AF$6</f>
        <v>45672</v>
      </c>
      <c r="AG15" s="637">
        <f>$AG$6</f>
        <v>45971</v>
      </c>
      <c r="AH15" s="1416"/>
      <c r="AI15" s="1416"/>
      <c r="AJ15" s="1416"/>
      <c r="DJ15" s="2047"/>
    </row>
    <row r="16" spans="1:114" outlineLevel="1" x14ac:dyDescent="0.25">
      <c r="A16" s="603"/>
      <c r="B16" s="549"/>
      <c r="C16" s="126"/>
      <c r="D16" s="1872" t="s">
        <v>817</v>
      </c>
      <c r="E16" s="1300" t="s">
        <v>818</v>
      </c>
      <c r="F16" s="1445">
        <v>1</v>
      </c>
      <c r="G16" s="2382" t="s">
        <v>819</v>
      </c>
      <c r="H16" s="2382"/>
      <c r="I16" s="1300"/>
      <c r="J16" s="265"/>
      <c r="K16" s="265"/>
      <c r="L16" s="265"/>
      <c r="M16" s="265"/>
      <c r="N16" s="265"/>
      <c r="O16" s="265"/>
      <c r="P16" s="265"/>
      <c r="Q16" s="265"/>
      <c r="R16" s="510"/>
      <c r="V16" s="1263" t="s">
        <v>817</v>
      </c>
      <c r="W16" s="295" t="e">
        <f>#REF!</f>
        <v>#REF!</v>
      </c>
      <c r="X16" s="295">
        <v>0.95</v>
      </c>
      <c r="Y16" s="1323">
        <v>1</v>
      </c>
      <c r="Z16" s="295">
        <v>1</v>
      </c>
      <c r="AA16" s="295">
        <v>1</v>
      </c>
      <c r="AB16" s="173">
        <v>1</v>
      </c>
      <c r="AC16" s="173">
        <v>1</v>
      </c>
      <c r="AD16" s="173">
        <v>1</v>
      </c>
      <c r="AE16" s="173">
        <v>1</v>
      </c>
      <c r="AF16" s="253">
        <f t="shared" ref="AF16:AF27" si="1">IF(F16&lt;&gt;"",F16,"")</f>
        <v>1</v>
      </c>
      <c r="AG16" s="253">
        <v>1</v>
      </c>
      <c r="DJ16" s="2047"/>
    </row>
    <row r="17" spans="1:114" outlineLevel="1" x14ac:dyDescent="0.25">
      <c r="A17" s="603"/>
      <c r="B17" s="549"/>
      <c r="C17" s="126"/>
      <c r="D17" s="1263" t="s">
        <v>49</v>
      </c>
      <c r="E17" s="1300" t="s">
        <v>742</v>
      </c>
      <c r="F17" s="1455">
        <v>0.5</v>
      </c>
      <c r="G17" s="2382" t="s">
        <v>819</v>
      </c>
      <c r="H17" s="2382"/>
      <c r="I17" s="1300"/>
      <c r="J17" s="265"/>
      <c r="K17" s="265"/>
      <c r="L17" s="265"/>
      <c r="M17" s="265"/>
      <c r="N17" s="265"/>
      <c r="O17" s="265"/>
      <c r="P17" s="265"/>
      <c r="Q17" s="265"/>
      <c r="R17" s="510"/>
      <c r="V17" s="1263" t="s">
        <v>49</v>
      </c>
      <c r="W17" s="291">
        <v>0.5</v>
      </c>
      <c r="X17" s="291">
        <v>0.5</v>
      </c>
      <c r="Y17" s="291">
        <v>0.5</v>
      </c>
      <c r="Z17" s="291">
        <v>0.5</v>
      </c>
      <c r="AA17" s="291">
        <v>0.5</v>
      </c>
      <c r="AB17" s="320">
        <v>0.5</v>
      </c>
      <c r="AC17" s="320">
        <v>0.5</v>
      </c>
      <c r="AD17" s="320">
        <v>0.5</v>
      </c>
      <c r="AE17" s="320">
        <v>0.5</v>
      </c>
      <c r="AF17" s="253">
        <f t="shared" si="1"/>
        <v>0.5</v>
      </c>
      <c r="AG17" s="253">
        <v>0.5</v>
      </c>
      <c r="DJ17" s="2047"/>
    </row>
    <row r="18" spans="1:114" ht="14.45" customHeight="1" outlineLevel="1" x14ac:dyDescent="0.25">
      <c r="A18" s="603"/>
      <c r="B18" s="549"/>
      <c r="C18" s="126"/>
      <c r="D18" s="1872" t="s">
        <v>820</v>
      </c>
      <c r="E18" s="1300" t="s">
        <v>759</v>
      </c>
      <c r="F18" s="1454">
        <v>1496</v>
      </c>
      <c r="G18" s="2380" t="s">
        <v>821</v>
      </c>
      <c r="H18" s="2380"/>
      <c r="I18" s="1300"/>
      <c r="J18" s="265"/>
      <c r="K18" s="265"/>
      <c r="L18" s="265"/>
      <c r="M18" s="265"/>
      <c r="N18" s="265"/>
      <c r="O18" s="265"/>
      <c r="P18" s="265"/>
      <c r="Q18" s="265"/>
      <c r="R18" s="510"/>
      <c r="V18" s="1263" t="s">
        <v>822</v>
      </c>
      <c r="W18" s="422">
        <v>1496</v>
      </c>
      <c r="X18" s="422">
        <v>1496</v>
      </c>
      <c r="Y18" s="422">
        <v>1496</v>
      </c>
      <c r="Z18" s="422">
        <v>1496</v>
      </c>
      <c r="AA18" s="422">
        <v>1496</v>
      </c>
      <c r="AB18" s="319">
        <v>1496</v>
      </c>
      <c r="AC18" s="319">
        <v>1496</v>
      </c>
      <c r="AD18" s="319">
        <v>1496</v>
      </c>
      <c r="AE18" s="319">
        <v>1496</v>
      </c>
      <c r="AF18" s="253">
        <f t="shared" si="1"/>
        <v>1496</v>
      </c>
      <c r="AG18" s="253">
        <v>1496</v>
      </c>
      <c r="DJ18" s="2047"/>
    </row>
    <row r="19" spans="1:114" outlineLevel="1" x14ac:dyDescent="0.25">
      <c r="A19" s="603"/>
      <c r="B19" s="549"/>
      <c r="C19" s="126"/>
      <c r="D19" s="121" t="s">
        <v>823</v>
      </c>
      <c r="E19" s="1300" t="s">
        <v>742</v>
      </c>
      <c r="F19" s="1458">
        <v>0.1</v>
      </c>
      <c r="G19" s="2380" t="s">
        <v>824</v>
      </c>
      <c r="H19" s="2380"/>
      <c r="I19" s="1300"/>
      <c r="J19" s="265"/>
      <c r="K19" s="265"/>
      <c r="L19" s="265"/>
      <c r="M19" s="265"/>
      <c r="N19" s="265"/>
      <c r="O19" s="265"/>
      <c r="P19" s="265"/>
      <c r="Q19" s="265"/>
      <c r="R19" s="510"/>
      <c r="V19" s="121" t="s">
        <v>823</v>
      </c>
      <c r="W19" s="295">
        <v>0.15</v>
      </c>
      <c r="X19" s="295">
        <v>0.15</v>
      </c>
      <c r="Y19" s="295">
        <v>0.15</v>
      </c>
      <c r="Z19" s="295">
        <v>0.15</v>
      </c>
      <c r="AA19" s="295">
        <v>0.15</v>
      </c>
      <c r="AB19" s="139">
        <v>0.15</v>
      </c>
      <c r="AC19" s="139">
        <v>0.15</v>
      </c>
      <c r="AD19" s="139">
        <v>0.15</v>
      </c>
      <c r="AE19" s="139">
        <v>0.15</v>
      </c>
      <c r="AF19" s="253">
        <f t="shared" si="1"/>
        <v>0.1</v>
      </c>
      <c r="AG19" s="253">
        <v>0.1</v>
      </c>
      <c r="DJ19" s="2047"/>
    </row>
    <row r="20" spans="1:114" outlineLevel="1" x14ac:dyDescent="0.25">
      <c r="A20" s="603"/>
      <c r="B20" s="549"/>
      <c r="C20" s="126"/>
      <c r="D20" s="1305" t="s">
        <v>825</v>
      </c>
      <c r="E20" s="1300" t="s">
        <v>818</v>
      </c>
      <c r="F20" s="1458">
        <v>1</v>
      </c>
      <c r="G20" s="2382" t="s">
        <v>819</v>
      </c>
      <c r="H20" s="2382"/>
      <c r="I20" s="1952" t="s">
        <v>826</v>
      </c>
      <c r="J20" s="265"/>
      <c r="K20" s="265"/>
      <c r="L20" s="265"/>
      <c r="M20" s="265"/>
      <c r="N20" s="265"/>
      <c r="O20" s="265"/>
      <c r="P20" s="265"/>
      <c r="Q20" s="265"/>
      <c r="V20" s="1291" t="s">
        <v>825</v>
      </c>
      <c r="W20" s="173">
        <v>1</v>
      </c>
      <c r="X20" s="173">
        <v>1</v>
      </c>
      <c r="Y20" s="173">
        <v>1</v>
      </c>
      <c r="Z20" s="173">
        <v>1</v>
      </c>
      <c r="AA20" s="173">
        <v>1</v>
      </c>
      <c r="AB20" s="139">
        <v>1</v>
      </c>
      <c r="AC20" s="139">
        <v>1</v>
      </c>
      <c r="AD20" s="139">
        <v>1</v>
      </c>
      <c r="AE20" s="139">
        <v>1</v>
      </c>
      <c r="AF20" s="253">
        <f t="shared" si="1"/>
        <v>1</v>
      </c>
      <c r="AG20" s="253">
        <v>1</v>
      </c>
      <c r="DJ20" s="2047"/>
    </row>
    <row r="21" spans="1:114" ht="34.5" customHeight="1" outlineLevel="1" x14ac:dyDescent="0.25">
      <c r="A21" s="603"/>
      <c r="B21" s="549"/>
      <c r="C21" s="126"/>
      <c r="D21" s="2174" t="s">
        <v>827</v>
      </c>
      <c r="E21" s="2008" t="s">
        <v>828</v>
      </c>
      <c r="F21" s="175">
        <v>0.57889999999999997</v>
      </c>
      <c r="G21" s="2384" t="s">
        <v>829</v>
      </c>
      <c r="H21" s="2385"/>
      <c r="I21" s="1300"/>
      <c r="J21" s="265"/>
      <c r="K21" s="265"/>
      <c r="L21" s="265"/>
      <c r="M21" s="265"/>
      <c r="N21" s="265"/>
      <c r="O21" s="265"/>
      <c r="P21" s="265"/>
      <c r="Q21" s="265"/>
      <c r="V21" s="1867" t="s">
        <v>827</v>
      </c>
      <c r="W21" s="503"/>
      <c r="X21" s="503"/>
      <c r="Y21" s="503"/>
      <c r="Z21" s="503"/>
      <c r="AA21" s="503"/>
      <c r="AB21" s="503"/>
      <c r="AC21" s="503"/>
      <c r="AD21" s="503"/>
      <c r="AE21" s="503"/>
      <c r="AF21" s="2009"/>
      <c r="AG21" s="253">
        <v>0.57999999999999996</v>
      </c>
      <c r="DJ21" s="2047"/>
    </row>
    <row r="22" spans="1:114" ht="36.75" customHeight="1" outlineLevel="1" x14ac:dyDescent="0.25">
      <c r="A22" s="603"/>
      <c r="B22" s="549"/>
      <c r="C22" s="126"/>
      <c r="D22" s="1870" t="s">
        <v>105</v>
      </c>
      <c r="E22" s="1300" t="s">
        <v>818</v>
      </c>
      <c r="F22" s="1469">
        <v>1</v>
      </c>
      <c r="G22" s="2380" t="s">
        <v>830</v>
      </c>
      <c r="H22" s="2380"/>
      <c r="I22" s="1300"/>
      <c r="J22" s="265"/>
      <c r="K22" s="265"/>
      <c r="L22" s="265"/>
      <c r="M22" s="265"/>
      <c r="N22" s="265"/>
      <c r="O22" s="265"/>
      <c r="P22" s="265"/>
      <c r="Q22" s="265"/>
      <c r="V22" s="1950" t="s">
        <v>105</v>
      </c>
      <c r="W22" s="295">
        <v>0.47</v>
      </c>
      <c r="X22" s="1323">
        <v>1</v>
      </c>
      <c r="Y22" s="1323">
        <v>1</v>
      </c>
      <c r="Z22" s="295">
        <v>1</v>
      </c>
      <c r="AA22" s="295">
        <v>1</v>
      </c>
      <c r="AB22" s="139">
        <v>1</v>
      </c>
      <c r="AC22" s="139">
        <v>1</v>
      </c>
      <c r="AD22" s="139">
        <v>1</v>
      </c>
      <c r="AE22" s="139">
        <v>1</v>
      </c>
      <c r="AF22" s="253">
        <f t="shared" si="1"/>
        <v>1</v>
      </c>
      <c r="AG22" s="253">
        <v>1</v>
      </c>
      <c r="DJ22" s="2047"/>
    </row>
    <row r="23" spans="1:114" ht="15.75" customHeight="1" outlineLevel="1" x14ac:dyDescent="0.25">
      <c r="A23" s="603"/>
      <c r="B23" s="549"/>
      <c r="C23" s="126"/>
      <c r="D23" s="1872" t="s">
        <v>750</v>
      </c>
      <c r="E23" s="1300" t="s">
        <v>818</v>
      </c>
      <c r="F23" s="1445">
        <v>1</v>
      </c>
      <c r="G23" s="2382" t="s">
        <v>819</v>
      </c>
      <c r="H23" s="2382"/>
      <c r="I23" s="1300"/>
      <c r="J23" s="265"/>
      <c r="K23" s="265"/>
      <c r="L23" s="265"/>
      <c r="M23" s="265"/>
      <c r="N23" s="265"/>
      <c r="O23" s="265"/>
      <c r="P23" s="265"/>
      <c r="Q23" s="265"/>
      <c r="V23" s="1263" t="s">
        <v>750</v>
      </c>
      <c r="W23" s="295" t="e">
        <f>#REF!</f>
        <v>#REF!</v>
      </c>
      <c r="X23" s="1323">
        <v>1</v>
      </c>
      <c r="Y23" s="1323">
        <v>1</v>
      </c>
      <c r="Z23" s="295">
        <v>1</v>
      </c>
      <c r="AA23" s="295">
        <v>1</v>
      </c>
      <c r="AB23" s="139">
        <v>1</v>
      </c>
      <c r="AC23" s="139">
        <v>1</v>
      </c>
      <c r="AD23" s="139">
        <v>1</v>
      </c>
      <c r="AE23" s="139">
        <v>1</v>
      </c>
      <c r="AF23" s="253">
        <f t="shared" si="1"/>
        <v>1</v>
      </c>
      <c r="AG23" s="253">
        <v>1</v>
      </c>
      <c r="DJ23" s="2047"/>
    </row>
    <row r="24" spans="1:114" ht="14.45" customHeight="1" outlineLevel="1" x14ac:dyDescent="0.25">
      <c r="A24" s="603"/>
      <c r="B24" s="549"/>
      <c r="C24" s="126"/>
      <c r="D24" s="1872" t="s">
        <v>831</v>
      </c>
      <c r="E24" s="1300" t="s">
        <v>759</v>
      </c>
      <c r="F24" s="1468">
        <v>869</v>
      </c>
      <c r="G24" s="2380" t="s">
        <v>832</v>
      </c>
      <c r="H24" s="2380"/>
      <c r="I24" s="1300"/>
      <c r="J24" s="265"/>
      <c r="K24" s="265"/>
      <c r="L24" s="265"/>
      <c r="M24" s="576"/>
      <c r="N24" s="265"/>
      <c r="O24" s="265"/>
      <c r="P24" s="265"/>
      <c r="Q24" s="265"/>
      <c r="V24" s="1263" t="s">
        <v>833</v>
      </c>
      <c r="W24" s="261">
        <v>869</v>
      </c>
      <c r="X24" s="422">
        <v>869</v>
      </c>
      <c r="Y24" s="422">
        <v>869</v>
      </c>
      <c r="Z24" s="422">
        <v>869</v>
      </c>
      <c r="AA24" s="422">
        <v>869</v>
      </c>
      <c r="AB24" s="319">
        <v>869</v>
      </c>
      <c r="AC24" s="319">
        <v>869</v>
      </c>
      <c r="AD24" s="319">
        <v>869</v>
      </c>
      <c r="AE24" s="319">
        <v>869</v>
      </c>
      <c r="AF24" s="253">
        <f t="shared" si="1"/>
        <v>869</v>
      </c>
      <c r="AG24" s="253">
        <v>869</v>
      </c>
      <c r="DJ24" s="2047"/>
    </row>
    <row r="25" spans="1:114" outlineLevel="1" x14ac:dyDescent="0.25">
      <c r="A25" s="603"/>
      <c r="B25" s="549"/>
      <c r="C25" s="126"/>
      <c r="D25" s="121" t="s">
        <v>800</v>
      </c>
      <c r="E25" s="1300" t="s">
        <v>801</v>
      </c>
      <c r="F25" s="1468">
        <v>5</v>
      </c>
      <c r="G25" s="2383" t="s">
        <v>834</v>
      </c>
      <c r="H25" s="2383"/>
      <c r="I25" s="1300"/>
      <c r="J25" s="265"/>
      <c r="K25" s="265"/>
      <c r="L25" s="265"/>
      <c r="M25" s="576"/>
      <c r="N25" s="265"/>
      <c r="O25" s="265"/>
      <c r="P25" s="265"/>
      <c r="Q25" s="265"/>
      <c r="V25" s="121" t="s">
        <v>800</v>
      </c>
      <c r="W25" s="127">
        <v>14</v>
      </c>
      <c r="X25" s="127">
        <v>14</v>
      </c>
      <c r="Y25" s="127">
        <v>14</v>
      </c>
      <c r="Z25" s="127">
        <v>14</v>
      </c>
      <c r="AA25" s="127">
        <v>14</v>
      </c>
      <c r="AB25" s="318">
        <v>14</v>
      </c>
      <c r="AC25" s="318">
        <v>14</v>
      </c>
      <c r="AD25" s="318">
        <v>14</v>
      </c>
      <c r="AE25" s="318">
        <v>14</v>
      </c>
      <c r="AF25" s="253">
        <f t="shared" si="1"/>
        <v>5</v>
      </c>
      <c r="AG25" s="253">
        <v>5</v>
      </c>
      <c r="DJ25" s="2047"/>
    </row>
    <row r="26" spans="1:114" outlineLevel="1" x14ac:dyDescent="0.25">
      <c r="A26" s="603"/>
      <c r="B26" s="549"/>
      <c r="C26" s="126"/>
      <c r="D26" s="1263" t="s">
        <v>51</v>
      </c>
      <c r="E26" s="1300" t="s">
        <v>835</v>
      </c>
      <c r="F26" s="1443">
        <v>5</v>
      </c>
      <c r="G26" s="2383"/>
      <c r="H26" s="2383"/>
      <c r="I26" s="1300"/>
      <c r="J26" s="265"/>
      <c r="K26" s="265"/>
      <c r="L26" s="265"/>
      <c r="M26" s="576"/>
      <c r="N26" s="265"/>
      <c r="O26" s="265"/>
      <c r="P26" s="265"/>
      <c r="Q26" s="265"/>
      <c r="V26" s="1263" t="s">
        <v>51</v>
      </c>
      <c r="W26" s="128">
        <v>5</v>
      </c>
      <c r="X26" s="128">
        <v>5</v>
      </c>
      <c r="Y26" s="128">
        <v>5</v>
      </c>
      <c r="Z26" s="128">
        <v>5</v>
      </c>
      <c r="AA26" s="128">
        <v>5</v>
      </c>
      <c r="AB26" s="697">
        <v>5</v>
      </c>
      <c r="AC26" s="697">
        <v>5</v>
      </c>
      <c r="AD26" s="697">
        <v>5</v>
      </c>
      <c r="AE26" s="697">
        <v>5</v>
      </c>
      <c r="AF26" s="253">
        <f t="shared" si="1"/>
        <v>5</v>
      </c>
      <c r="AG26" s="253">
        <v>5</v>
      </c>
      <c r="DJ26" s="2047"/>
    </row>
    <row r="27" spans="1:114" outlineLevel="1" x14ac:dyDescent="0.25">
      <c r="A27" s="603"/>
      <c r="B27" s="549"/>
      <c r="C27" s="126"/>
      <c r="D27" s="1263" t="s">
        <v>836</v>
      </c>
      <c r="E27" s="1300" t="s">
        <v>837</v>
      </c>
      <c r="F27" s="1470" t="s">
        <v>838</v>
      </c>
      <c r="G27" s="2383"/>
      <c r="H27" s="2383"/>
      <c r="I27" s="1300"/>
      <c r="J27" s="265"/>
      <c r="K27" s="265"/>
      <c r="L27" s="265"/>
      <c r="M27" s="576"/>
      <c r="N27" s="265"/>
      <c r="O27" s="265"/>
      <c r="P27" s="265"/>
      <c r="Q27" s="265"/>
      <c r="V27" s="1263" t="s">
        <v>836</v>
      </c>
      <c r="W27" s="127" t="s">
        <v>838</v>
      </c>
      <c r="X27" s="127" t="s">
        <v>838</v>
      </c>
      <c r="Y27" s="127" t="s">
        <v>838</v>
      </c>
      <c r="Z27" s="127" t="s">
        <v>838</v>
      </c>
      <c r="AA27" s="127" t="s">
        <v>838</v>
      </c>
      <c r="AB27" s="697" t="s">
        <v>838</v>
      </c>
      <c r="AC27" s="697" t="s">
        <v>838</v>
      </c>
      <c r="AD27" s="697" t="s">
        <v>838</v>
      </c>
      <c r="AE27" s="697" t="s">
        <v>838</v>
      </c>
      <c r="AF27" s="253" t="str">
        <f t="shared" si="1"/>
        <v>None</v>
      </c>
      <c r="AG27" s="253" t="s">
        <v>838</v>
      </c>
      <c r="DJ27" s="2047"/>
    </row>
    <row r="28" spans="1:114" x14ac:dyDescent="0.25">
      <c r="A28" s="603"/>
      <c r="B28" s="549"/>
      <c r="C28" s="126"/>
      <c r="D28" s="126"/>
      <c r="E28" s="576"/>
      <c r="F28" s="265"/>
      <c r="G28" s="265"/>
      <c r="H28" s="265"/>
      <c r="I28" s="265"/>
      <c r="J28" s="265"/>
      <c r="K28" s="265"/>
      <c r="L28" s="265"/>
      <c r="M28" s="576"/>
      <c r="N28" s="265"/>
      <c r="O28" s="265"/>
      <c r="P28" s="265"/>
      <c r="Q28" s="265"/>
    </row>
    <row r="29" spans="1:114" x14ac:dyDescent="0.25">
      <c r="A29" s="603"/>
      <c r="B29" s="2381" t="s">
        <v>839</v>
      </c>
      <c r="C29" s="2340"/>
      <c r="D29" s="2340"/>
      <c r="E29" s="2340"/>
      <c r="F29" s="2340"/>
      <c r="G29" s="2340"/>
      <c r="H29" s="2340"/>
      <c r="I29" s="2311"/>
      <c r="J29" s="2311"/>
      <c r="K29" s="2311"/>
      <c r="L29" s="2311"/>
      <c r="M29" s="2311"/>
      <c r="N29" s="2312"/>
      <c r="O29" s="265"/>
      <c r="P29" s="265"/>
      <c r="Q29" s="265"/>
      <c r="V29" s="2339" t="str">
        <f>B29</f>
        <v>LEDs (per bulbs)</v>
      </c>
      <c r="W29" s="2340"/>
      <c r="X29" s="2340"/>
      <c r="Y29" s="2340"/>
      <c r="Z29" s="2340"/>
      <c r="AA29" s="2340"/>
      <c r="AB29" s="2340"/>
      <c r="AC29" s="2341"/>
      <c r="AD29" s="2341"/>
      <c r="AE29" s="2341"/>
      <c r="AF29" s="2341"/>
      <c r="AG29" s="2341"/>
      <c r="AH29" s="2342"/>
    </row>
    <row r="30" spans="1:114" x14ac:dyDescent="0.25">
      <c r="A30" s="603"/>
      <c r="M30" s="576"/>
      <c r="N30" s="265"/>
      <c r="O30" s="265"/>
      <c r="P30" s="265"/>
      <c r="Q30" s="265"/>
    </row>
    <row r="31" spans="1:114" ht="30" x14ac:dyDescent="0.25">
      <c r="A31" s="603"/>
      <c r="C31" s="1242" t="s">
        <v>43</v>
      </c>
      <c r="D31" s="1242" t="s">
        <v>597</v>
      </c>
      <c r="E31" s="106" t="s">
        <v>45</v>
      </c>
      <c r="F31" s="1242" t="s">
        <v>46</v>
      </c>
      <c r="G31" s="106" t="s">
        <v>47</v>
      </c>
      <c r="H31" s="106" t="s">
        <v>48</v>
      </c>
      <c r="I31" s="106" t="s">
        <v>49</v>
      </c>
      <c r="J31" s="106" t="s">
        <v>50</v>
      </c>
      <c r="K31" s="106" t="s">
        <v>51</v>
      </c>
      <c r="L31" s="1242" t="s">
        <v>52</v>
      </c>
      <c r="M31" s="576"/>
      <c r="N31" s="265"/>
      <c r="O31" s="265"/>
      <c r="P31" s="265"/>
      <c r="Q31" s="265"/>
      <c r="V31" s="162" t="s">
        <v>53</v>
      </c>
      <c r="W31" s="110">
        <f>$W$6</f>
        <v>43252</v>
      </c>
      <c r="X31" s="110">
        <f>$X$6</f>
        <v>43465</v>
      </c>
      <c r="Y31" s="110">
        <f>$Y$6</f>
        <v>43800</v>
      </c>
      <c r="Z31" s="110">
        <f>$Z$6</f>
        <v>43862</v>
      </c>
      <c r="AA31" s="110">
        <f>$AA$6</f>
        <v>44013</v>
      </c>
      <c r="AB31" s="110">
        <f>$AB$6</f>
        <v>44166</v>
      </c>
      <c r="AC31" s="637">
        <f>$AC$6</f>
        <v>44531</v>
      </c>
      <c r="AD31" s="637">
        <f>$AD$6</f>
        <v>44774</v>
      </c>
      <c r="AE31" s="637">
        <f>$AE$6</f>
        <v>45139</v>
      </c>
      <c r="AF31" s="637">
        <f>$AF$6</f>
        <v>45672</v>
      </c>
      <c r="AG31" s="637">
        <f>$AG$6</f>
        <v>45971</v>
      </c>
      <c r="DG31" s="1007" t="str">
        <f>'Efficient Products Deemed Table'!$DG$6</f>
        <v>TRC (2025)</v>
      </c>
      <c r="DH31" s="1007" t="str">
        <f>'Efficient Products Deemed Table'!$DH$6</f>
        <v>Benefit Lookup</v>
      </c>
      <c r="DI31" s="1007" t="str">
        <f>'Efficient Products Deemed Table'!$DI$6</f>
        <v>Benefits (2025 $)</v>
      </c>
      <c r="DJ31" s="1007" t="str">
        <f>'Efficient Products Deemed Table'!$DJ$6</f>
        <v>Incremental Cost (2025 $)</v>
      </c>
    </row>
    <row r="32" spans="1:114" x14ac:dyDescent="0.25">
      <c r="A32" s="2143" t="s">
        <v>840</v>
      </c>
      <c r="B32" s="1318">
        <f t="shared" ref="B32" si="2">VALUE(LEFT(C32,6))</f>
        <v>300431</v>
      </c>
      <c r="C32" s="550" t="s">
        <v>841</v>
      </c>
      <c r="D32" s="1382" t="s">
        <v>810</v>
      </c>
      <c r="E32" s="1248" t="s">
        <v>842</v>
      </c>
      <c r="F32" s="129">
        <f>ROUND((($G$39-$G$40)*$G$46*(1-$G$45)*$G$41*$G$43)/$G$42,2)</f>
        <v>30.06</v>
      </c>
      <c r="G32" s="1237" t="s">
        <v>775</v>
      </c>
      <c r="H32" s="1800">
        <f>VLOOKUP(G32,'CP FACTORS'!$A$3:$B$38, 2, FALSE)</f>
        <v>1.4925290000000001E-4</v>
      </c>
      <c r="I32" s="131">
        <f t="shared" ref="I32" si="3">ROUND(F32*H32,6)</f>
        <v>4.4869999999999997E-3</v>
      </c>
      <c r="J32" s="44">
        <f>$G$47</f>
        <v>8</v>
      </c>
      <c r="K32" s="190">
        <f>$G$48</f>
        <v>1.45</v>
      </c>
      <c r="L32" s="132" t="s">
        <v>63</v>
      </c>
      <c r="M32" s="265"/>
      <c r="N32" s="265"/>
      <c r="O32" s="265"/>
      <c r="P32" s="265"/>
      <c r="Q32" s="265"/>
      <c r="R32" s="510"/>
      <c r="V32" s="644" t="s">
        <v>46</v>
      </c>
      <c r="W32" s="1417"/>
      <c r="X32" s="57"/>
      <c r="Y32" s="129"/>
      <c r="Z32" s="373"/>
      <c r="AA32" s="373"/>
      <c r="AB32" s="133"/>
      <c r="AC32" s="133"/>
      <c r="AD32" s="129"/>
      <c r="AE32" s="129"/>
      <c r="AF32" s="253">
        <f>IF($F32&lt;&gt;"",$F32,"")</f>
        <v>30.06</v>
      </c>
      <c r="AG32" s="253">
        <f>IF($F32&lt;&gt;"",$F32,"")</f>
        <v>30.06</v>
      </c>
      <c r="AH32" s="114"/>
      <c r="DG32" s="185">
        <f>(DI32)/(DJ32)</f>
        <v>8.274709370539421</v>
      </c>
      <c r="DH32" s="1272" t="str">
        <f>CONCATENATE(G32," ",J32," Year EUL")</f>
        <v>Lighting RES 8 Year EUL</v>
      </c>
      <c r="DI32" s="1027">
        <f>(INDEX('Avoided Cost Benefits'!$B$4:$B$865,MATCH(DH32,'Avoided Cost Benefits'!$A$4:$A$865,0)))*F32</f>
        <v>11.99832858728216</v>
      </c>
      <c r="DJ32" s="2050">
        <f t="shared" ref="DJ32" si="4">IFERROR(K32/((1+DiscountRate)^(CurrentYear-DiscountYear)),0)</f>
        <v>1.45</v>
      </c>
    </row>
    <row r="33" spans="1:34" x14ac:dyDescent="0.25">
      <c r="A33" s="603"/>
    </row>
    <row r="34" spans="1:34" outlineLevel="1" x14ac:dyDescent="0.25">
      <c r="A34" s="603"/>
      <c r="D34" s="74" t="s">
        <v>95</v>
      </c>
      <c r="E34" s="126" t="s">
        <v>780</v>
      </c>
      <c r="F34" s="1145"/>
      <c r="G34" s="519"/>
    </row>
    <row r="35" spans="1:34" outlineLevel="1" x14ac:dyDescent="0.25">
      <c r="A35" s="603"/>
      <c r="D35" s="100" t="s">
        <v>609</v>
      </c>
      <c r="E35" s="50" t="s">
        <v>777</v>
      </c>
    </row>
    <row r="36" spans="1:34" outlineLevel="1" x14ac:dyDescent="0.25">
      <c r="A36" s="603"/>
      <c r="E36" s="50" t="s">
        <v>612</v>
      </c>
    </row>
    <row r="37" spans="1:34" outlineLevel="1" x14ac:dyDescent="0.25">
      <c r="A37" s="603"/>
    </row>
    <row r="38" spans="1:34" outlineLevel="1" x14ac:dyDescent="0.25">
      <c r="A38" s="603"/>
      <c r="D38" s="109" t="s">
        <v>720</v>
      </c>
      <c r="E38" s="730" t="s">
        <v>613</v>
      </c>
      <c r="F38" s="109" t="s">
        <v>778</v>
      </c>
      <c r="G38" s="106" t="s">
        <v>615</v>
      </c>
      <c r="H38" s="106" t="s">
        <v>616</v>
      </c>
      <c r="I38" s="106" t="s">
        <v>617</v>
      </c>
      <c r="M38" s="50"/>
      <c r="V38" s="749" t="s">
        <v>53</v>
      </c>
      <c r="W38" s="1571">
        <f>$W$6</f>
        <v>43252</v>
      </c>
      <c r="X38" s="1571">
        <f>$X$6</f>
        <v>43465</v>
      </c>
      <c r="Y38" s="1571">
        <f>$Y$6</f>
        <v>43800</v>
      </c>
      <c r="Z38" s="1571">
        <f>$Z$6</f>
        <v>43862</v>
      </c>
      <c r="AA38" s="1571">
        <f>$AA$6</f>
        <v>44013</v>
      </c>
      <c r="AB38" s="1571">
        <f>$AB$6</f>
        <v>44166</v>
      </c>
      <c r="AC38" s="1569">
        <f>$AC$6</f>
        <v>44531</v>
      </c>
      <c r="AD38" s="1569">
        <f>$AD$6</f>
        <v>44774</v>
      </c>
      <c r="AE38" s="1569">
        <f>$AE$6</f>
        <v>45139</v>
      </c>
      <c r="AF38" s="1569">
        <f>$AF$6</f>
        <v>45672</v>
      </c>
      <c r="AG38" s="1569">
        <f>$AG$6</f>
        <v>45971</v>
      </c>
      <c r="AH38" s="50"/>
    </row>
    <row r="39" spans="1:34" ht="30" outlineLevel="1" x14ac:dyDescent="0.25">
      <c r="A39" s="603"/>
      <c r="D39" s="1873" t="s">
        <v>843</v>
      </c>
      <c r="E39" s="1873" t="s">
        <v>844</v>
      </c>
      <c r="F39" s="1248" t="str">
        <f>E32</f>
        <v>LED - 10W (750-899 lumens) IE</v>
      </c>
      <c r="G39" s="1567">
        <v>43</v>
      </c>
      <c r="H39" s="1248" t="s">
        <v>780</v>
      </c>
      <c r="I39" s="1248"/>
      <c r="K39" s="520"/>
      <c r="L39" s="520"/>
      <c r="M39" s="50"/>
      <c r="N39" s="166"/>
      <c r="V39" s="1325" t="s">
        <v>843</v>
      </c>
      <c r="W39" s="1418"/>
      <c r="X39" s="1418"/>
      <c r="Y39" s="1418"/>
      <c r="Z39" s="1418"/>
      <c r="AA39" s="1418"/>
      <c r="AB39" s="135"/>
      <c r="AC39" s="134"/>
      <c r="AD39" s="134"/>
      <c r="AE39" s="134"/>
      <c r="AF39" s="253">
        <v>43</v>
      </c>
      <c r="AG39" s="253">
        <f>IF($G39&lt;&gt;"",$G39,"")</f>
        <v>43</v>
      </c>
    </row>
    <row r="40" spans="1:34" ht="30" outlineLevel="1" x14ac:dyDescent="0.25">
      <c r="A40" s="603"/>
      <c r="D40" s="1873" t="s">
        <v>845</v>
      </c>
      <c r="E40" s="1873" t="s">
        <v>846</v>
      </c>
      <c r="F40" s="1248" t="str">
        <f>E32</f>
        <v>LED - 10W (750-899 lumens) IE</v>
      </c>
      <c r="G40" s="859">
        <v>9.1</v>
      </c>
      <c r="H40" s="1248" t="s">
        <v>783</v>
      </c>
      <c r="I40" s="1310"/>
      <c r="K40" s="141"/>
      <c r="L40" s="141"/>
      <c r="M40" s="50"/>
      <c r="N40" s="166"/>
      <c r="V40" s="1325" t="s">
        <v>845</v>
      </c>
      <c r="W40" s="1418"/>
      <c r="X40" s="1418"/>
      <c r="Y40" s="1418"/>
      <c r="Z40" s="1418"/>
      <c r="AA40" s="1418"/>
      <c r="AB40" s="135"/>
      <c r="AC40" s="134"/>
      <c r="AD40" s="134"/>
      <c r="AE40" s="134"/>
      <c r="AF40" s="253">
        <v>9.1</v>
      </c>
      <c r="AG40" s="253">
        <f t="shared" ref="AG40:AG48" si="5">IF($G40&lt;&gt;"",$G40,"")</f>
        <v>9.1</v>
      </c>
    </row>
    <row r="41" spans="1:34" ht="45" outlineLevel="1" x14ac:dyDescent="0.25">
      <c r="D41" s="731" t="s">
        <v>847</v>
      </c>
      <c r="E41" s="1255" t="s">
        <v>848</v>
      </c>
      <c r="F41" s="1256" t="s">
        <v>849</v>
      </c>
      <c r="G41" s="1550">
        <f>2.72652*365</f>
        <v>995.17979999999989</v>
      </c>
      <c r="H41" s="1239" t="s">
        <v>850</v>
      </c>
      <c r="I41" s="1248" t="s">
        <v>851</v>
      </c>
      <c r="K41" s="141"/>
      <c r="L41" s="141"/>
      <c r="M41" s="50"/>
      <c r="N41" s="166"/>
      <c r="V41" s="1256" t="s">
        <v>847</v>
      </c>
      <c r="W41" s="1421">
        <v>2.73</v>
      </c>
      <c r="X41" s="146">
        <v>2.73</v>
      </c>
      <c r="Y41" s="146">
        <v>2.73</v>
      </c>
      <c r="Z41" s="146">
        <v>2.73</v>
      </c>
      <c r="AA41" s="146">
        <v>2.73</v>
      </c>
      <c r="AB41" s="147">
        <v>996.45</v>
      </c>
      <c r="AC41" s="129">
        <v>995.17979999999989</v>
      </c>
      <c r="AD41" s="129">
        <v>995.17979999999989</v>
      </c>
      <c r="AE41" s="129">
        <v>995.17979999999989</v>
      </c>
      <c r="AF41" s="253">
        <v>995.17979999999989</v>
      </c>
      <c r="AG41" s="253">
        <f t="shared" si="5"/>
        <v>995.17979999999989</v>
      </c>
    </row>
    <row r="42" spans="1:34" ht="30" outlineLevel="1" x14ac:dyDescent="0.25">
      <c r="D42" s="136">
        <v>1000</v>
      </c>
      <c r="E42" s="731" t="s">
        <v>788</v>
      </c>
      <c r="F42" s="136"/>
      <c r="G42" s="1579">
        <v>1000</v>
      </c>
      <c r="H42" s="1248" t="s">
        <v>788</v>
      </c>
      <c r="I42" s="1248"/>
      <c r="K42" s="141"/>
      <c r="L42" s="141"/>
      <c r="M42" s="50"/>
      <c r="N42" s="166"/>
      <c r="V42" s="136">
        <v>1000</v>
      </c>
      <c r="W42" s="1419">
        <v>1000</v>
      </c>
      <c r="X42" s="137">
        <v>1000</v>
      </c>
      <c r="Y42" s="137">
        <v>1000</v>
      </c>
      <c r="Z42" s="137">
        <v>1000</v>
      </c>
      <c r="AA42" s="137">
        <v>1000</v>
      </c>
      <c r="AB42" s="137">
        <v>1000</v>
      </c>
      <c r="AC42" s="137">
        <v>1000</v>
      </c>
      <c r="AD42" s="137">
        <v>1000</v>
      </c>
      <c r="AE42" s="137">
        <v>1000</v>
      </c>
      <c r="AF42" s="253">
        <v>1000</v>
      </c>
      <c r="AG42" s="253">
        <f t="shared" si="5"/>
        <v>1000</v>
      </c>
    </row>
    <row r="43" spans="1:34" ht="45" outlineLevel="1" x14ac:dyDescent="0.25">
      <c r="D43" s="1256" t="s">
        <v>789</v>
      </c>
      <c r="E43" s="731" t="s">
        <v>790</v>
      </c>
      <c r="F43" s="1256"/>
      <c r="G43" s="1549">
        <v>0.99</v>
      </c>
      <c r="H43" s="1248" t="s">
        <v>792</v>
      </c>
      <c r="I43" s="1248" t="s">
        <v>793</v>
      </c>
      <c r="K43" s="141"/>
      <c r="L43" s="141"/>
      <c r="M43" s="50"/>
      <c r="N43" s="166"/>
      <c r="V43" s="1256" t="s">
        <v>789</v>
      </c>
      <c r="W43" s="1324">
        <v>0.97</v>
      </c>
      <c r="X43" s="113">
        <v>0.99</v>
      </c>
      <c r="Y43" s="1237">
        <v>0.99</v>
      </c>
      <c r="Z43" s="1237">
        <v>0.99</v>
      </c>
      <c r="AA43" s="1237">
        <v>0.99</v>
      </c>
      <c r="AB43" s="1237">
        <v>0.99</v>
      </c>
      <c r="AC43" s="1237">
        <v>0.99</v>
      </c>
      <c r="AD43" s="1237">
        <v>0.99</v>
      </c>
      <c r="AE43" s="1237">
        <v>0.99</v>
      </c>
      <c r="AF43" s="253">
        <v>0.99</v>
      </c>
      <c r="AG43" s="253">
        <f t="shared" si="5"/>
        <v>0.99</v>
      </c>
    </row>
    <row r="44" spans="1:34" outlineLevel="1" x14ac:dyDescent="0.25">
      <c r="D44" s="1256" t="s">
        <v>852</v>
      </c>
      <c r="E44" s="731" t="s">
        <v>853</v>
      </c>
      <c r="F44" s="1256"/>
      <c r="G44" s="1580">
        <v>1</v>
      </c>
      <c r="H44" s="1248" t="s">
        <v>854</v>
      </c>
      <c r="I44" s="1248"/>
      <c r="K44" s="141"/>
      <c r="L44" s="141"/>
      <c r="M44" s="50"/>
      <c r="N44" s="166"/>
      <c r="V44" s="1256" t="s">
        <v>852</v>
      </c>
      <c r="W44" s="1420">
        <v>1</v>
      </c>
      <c r="X44" s="1420">
        <v>1</v>
      </c>
      <c r="Y44" s="748">
        <v>1</v>
      </c>
      <c r="Z44" s="748">
        <v>1</v>
      </c>
      <c r="AA44" s="748">
        <v>1</v>
      </c>
      <c r="AB44" s="748">
        <v>1</v>
      </c>
      <c r="AC44" s="748">
        <v>1</v>
      </c>
      <c r="AD44" s="748">
        <v>1</v>
      </c>
      <c r="AE44" s="748">
        <v>1</v>
      </c>
      <c r="AF44" s="253">
        <v>1</v>
      </c>
      <c r="AG44" s="253">
        <f t="shared" si="5"/>
        <v>1</v>
      </c>
    </row>
    <row r="45" spans="1:34" ht="30" outlineLevel="1" x14ac:dyDescent="0.25">
      <c r="D45" s="1866" t="s">
        <v>794</v>
      </c>
      <c r="E45" s="1873" t="s">
        <v>795</v>
      </c>
      <c r="F45" s="1256"/>
      <c r="G45" s="1581">
        <v>0</v>
      </c>
      <c r="H45" s="1248" t="s">
        <v>855</v>
      </c>
      <c r="I45" s="1311"/>
      <c r="J45" s="388"/>
      <c r="K45" s="514"/>
      <c r="L45" s="514"/>
      <c r="M45" s="50"/>
      <c r="N45" s="166"/>
      <c r="V45" s="1244"/>
      <c r="W45" s="1420"/>
      <c r="X45" s="138"/>
      <c r="Y45" s="138"/>
      <c r="Z45" s="138"/>
      <c r="AA45" s="138"/>
      <c r="AB45" s="138">
        <v>1</v>
      </c>
      <c r="AC45" s="748">
        <v>0</v>
      </c>
      <c r="AD45" s="748">
        <v>0</v>
      </c>
      <c r="AE45" s="748">
        <v>0</v>
      </c>
      <c r="AF45" s="253">
        <v>0</v>
      </c>
      <c r="AG45" s="253">
        <f t="shared" si="5"/>
        <v>0</v>
      </c>
    </row>
    <row r="46" spans="1:34" ht="30" outlineLevel="1" x14ac:dyDescent="0.25">
      <c r="D46" s="1873" t="s">
        <v>105</v>
      </c>
      <c r="E46" s="1873" t="s">
        <v>685</v>
      </c>
      <c r="F46" s="1256"/>
      <c r="G46" s="1451">
        <v>0.9</v>
      </c>
      <c r="H46" s="1248" t="s">
        <v>855</v>
      </c>
      <c r="I46" s="1248"/>
      <c r="J46" s="514"/>
      <c r="K46" s="514"/>
      <c r="L46" s="514"/>
      <c r="M46" s="50"/>
      <c r="N46" s="166"/>
      <c r="V46" s="1244"/>
      <c r="W46" s="287"/>
      <c r="X46" s="140"/>
      <c r="Y46" s="140"/>
      <c r="Z46" s="140"/>
      <c r="AA46" s="140"/>
      <c r="AB46" s="140">
        <v>0.9</v>
      </c>
      <c r="AC46" s="139">
        <v>0.9</v>
      </c>
      <c r="AD46" s="139">
        <v>0.9</v>
      </c>
      <c r="AE46" s="139">
        <v>0.9</v>
      </c>
      <c r="AF46" s="253">
        <v>0.9</v>
      </c>
      <c r="AG46" s="253">
        <f t="shared" si="5"/>
        <v>0.9</v>
      </c>
    </row>
    <row r="47" spans="1:34" ht="31.5" customHeight="1" outlineLevel="1" x14ac:dyDescent="0.25">
      <c r="B47" s="549"/>
      <c r="C47" s="126"/>
      <c r="D47" s="1305" t="s">
        <v>800</v>
      </c>
      <c r="E47" s="1305" t="s">
        <v>801</v>
      </c>
      <c r="F47" s="1256" t="s">
        <v>856</v>
      </c>
      <c r="G47" s="1468">
        <v>8</v>
      </c>
      <c r="H47" s="333" t="s">
        <v>857</v>
      </c>
      <c r="I47" s="1300"/>
      <c r="J47" s="514"/>
      <c r="K47" s="265"/>
      <c r="L47" s="265"/>
      <c r="M47" s="576"/>
      <c r="N47" s="265"/>
      <c r="O47" s="265"/>
      <c r="P47" s="265"/>
      <c r="Q47" s="265"/>
      <c r="V47" s="1864"/>
      <c r="W47" s="127"/>
      <c r="X47" s="127"/>
      <c r="Y47" s="127"/>
      <c r="Z47" s="127"/>
      <c r="AA47" s="127"/>
      <c r="AB47" s="127"/>
      <c r="AC47" s="127"/>
      <c r="AD47" s="127"/>
      <c r="AE47" s="127"/>
      <c r="AF47" s="253">
        <v>8</v>
      </c>
      <c r="AG47" s="253">
        <f t="shared" si="5"/>
        <v>8</v>
      </c>
    </row>
    <row r="48" spans="1:34" ht="27.6" customHeight="1" outlineLevel="1" x14ac:dyDescent="0.25">
      <c r="B48" s="549"/>
      <c r="C48" s="126"/>
      <c r="D48" s="1872" t="s">
        <v>51</v>
      </c>
      <c r="E48" s="1872" t="s">
        <v>688</v>
      </c>
      <c r="F48" s="1256" t="s">
        <v>856</v>
      </c>
      <c r="G48" s="1804">
        <v>1.45</v>
      </c>
      <c r="H48" s="1278" t="s">
        <v>803</v>
      </c>
      <c r="I48" s="1300"/>
      <c r="J48" s="514"/>
      <c r="K48" s="265"/>
      <c r="L48" s="265"/>
      <c r="M48" s="576"/>
      <c r="N48" s="265"/>
      <c r="O48" s="265"/>
      <c r="P48" s="265"/>
      <c r="Q48" s="265"/>
      <c r="V48" s="1262" t="str">
        <f>D48</f>
        <v>Inc. Cost</v>
      </c>
      <c r="W48" s="127"/>
      <c r="X48" s="127"/>
      <c r="Y48" s="127"/>
      <c r="Z48" s="127"/>
      <c r="AA48" s="127"/>
      <c r="AB48" s="127"/>
      <c r="AC48" s="157"/>
      <c r="AD48" s="127"/>
      <c r="AE48" s="127"/>
      <c r="AF48" s="253">
        <v>1.45</v>
      </c>
      <c r="AG48" s="253">
        <f t="shared" si="5"/>
        <v>1.45</v>
      </c>
    </row>
    <row r="49" spans="4:11" x14ac:dyDescent="0.25">
      <c r="D49" s="141"/>
      <c r="E49" s="520"/>
      <c r="F49" s="521"/>
      <c r="G49" s="141"/>
      <c r="H49" s="522"/>
      <c r="I49" s="514"/>
      <c r="J49" s="514"/>
      <c r="K49" s="514"/>
    </row>
  </sheetData>
  <autoFilter ref="A1:A4817" xr:uid="{00000000-0001-0000-0400-000000000000}"/>
  <mergeCells count="19">
    <mergeCell ref="V4:AH4"/>
    <mergeCell ref="A1:O1"/>
    <mergeCell ref="D2:J2"/>
    <mergeCell ref="B4:N4"/>
    <mergeCell ref="G15:H15"/>
    <mergeCell ref="G19:H19"/>
    <mergeCell ref="G18:H18"/>
    <mergeCell ref="G17:H17"/>
    <mergeCell ref="G16:H16"/>
    <mergeCell ref="G22:H22"/>
    <mergeCell ref="G20:H20"/>
    <mergeCell ref="G21:H21"/>
    <mergeCell ref="G24:H24"/>
    <mergeCell ref="B29:N29"/>
    <mergeCell ref="V29:AH29"/>
    <mergeCell ref="G23:H23"/>
    <mergeCell ref="G25:H25"/>
    <mergeCell ref="G26:H26"/>
    <mergeCell ref="G27:H27"/>
  </mergeCells>
  <phoneticPr fontId="66" type="noConversion"/>
  <conditionalFormatting sqref="B1:B6 D7:D8 B8:B31 D34 B34:B1048576">
    <cfRule type="cellIs" dxfId="142" priority="131" operator="equal">
      <formula>"x"</formula>
    </cfRule>
  </conditionalFormatting>
  <conditionalFormatting sqref="AF16:AG27">
    <cfRule type="expression" dxfId="141" priority="1">
      <formula>AND(AF16=AE16,AE16&lt;&gt;"")</formula>
    </cfRule>
    <cfRule type="expression" dxfId="140" priority="2">
      <formula>AF16&lt;&gt;AE16</formula>
    </cfRule>
  </conditionalFormatting>
  <conditionalFormatting sqref="AF32:AG32 AF39:AG48">
    <cfRule type="expression" dxfId="139" priority="68">
      <formula>AND(AF32=AE32,AE32&lt;&gt;"")</formula>
    </cfRule>
    <cfRule type="expression" dxfId="138" priority="69">
      <formula>AF32&lt;&gt;AE32</formula>
    </cfRule>
  </conditionalFormatting>
  <conditionalFormatting sqref="AG7">
    <cfRule type="expression" dxfId="137" priority="610">
      <formula>AND(AG7=AE7,AE7&lt;&gt;"")</formula>
    </cfRule>
    <cfRule type="expression" dxfId="136" priority="611">
      <formula>AG7&lt;&gt;AE7</formula>
    </cfRule>
  </conditionalFormatting>
  <conditionalFormatting sqref="AH7 AH32">
    <cfRule type="cellIs" dxfId="135" priority="147" operator="lessThan">
      <formula>-0.1</formula>
    </cfRule>
    <cfRule type="cellIs" dxfId="134" priority="148" operator="greaterThan">
      <formula>0.1</formula>
    </cfRule>
  </conditionalFormatting>
  <pageMargins left="0.7" right="0.7" top="0.75" bottom="0.75" header="0.3" footer="0.3"/>
  <pageSetup scale="45"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2983"/>
  <sheetViews>
    <sheetView zoomScale="70" zoomScaleNormal="70" workbookViewId="0">
      <selection sqref="A1:O1"/>
    </sheetView>
  </sheetViews>
  <sheetFormatPr defaultColWidth="9.28515625" defaultRowHeight="15" outlineLevelRow="1" x14ac:dyDescent="0.25"/>
  <cols>
    <col min="1" max="1" width="10.42578125" style="603" customWidth="1"/>
    <col min="2" max="2" width="11.5703125" style="50" customWidth="1"/>
    <col min="3" max="3" width="19.28515625" style="50" customWidth="1"/>
    <col min="4" max="4" width="15.42578125" style="50" customWidth="1"/>
    <col min="5" max="5" width="69.42578125" style="50" customWidth="1"/>
    <col min="6" max="6" width="39.42578125" style="50" customWidth="1"/>
    <col min="7" max="7" width="16.7109375" style="50" customWidth="1"/>
    <col min="8" max="8" width="18.5703125" style="50" customWidth="1"/>
    <col min="9" max="9" width="20.140625" style="50" customWidth="1"/>
    <col min="10" max="10" width="18.85546875" style="50" customWidth="1"/>
    <col min="11" max="11" width="12.42578125" style="50" customWidth="1"/>
    <col min="12" max="12" width="30.28515625" style="50" customWidth="1"/>
    <col min="13" max="13" width="39.5703125" style="50" customWidth="1"/>
    <col min="14" max="14" width="8.5703125" style="50" customWidth="1"/>
    <col min="15" max="15" width="25.28515625" style="50" customWidth="1"/>
    <col min="16" max="16" width="14" style="50" customWidth="1"/>
    <col min="17" max="17" width="30.28515625" style="50" customWidth="1"/>
    <col min="18" max="18" width="26" style="50" customWidth="1"/>
    <col min="19" max="19" width="14.42578125" style="50" customWidth="1"/>
    <col min="20" max="20" width="55.7109375" style="73" customWidth="1"/>
    <col min="21" max="21" width="11.7109375" style="73" customWidth="1"/>
    <col min="22" max="22" width="20.5703125" style="73" customWidth="1"/>
    <col min="23" max="23" width="15.42578125" style="73" customWidth="1"/>
    <col min="24" max="24" width="18" style="73" customWidth="1"/>
    <col min="25" max="26" width="16.7109375" style="73" customWidth="1"/>
    <col min="27" max="28" width="17.42578125" style="73" customWidth="1"/>
    <col min="29" max="29" width="18.7109375" style="73" customWidth="1"/>
    <col min="30" max="31" width="15.42578125" style="73" customWidth="1"/>
    <col min="32" max="32" width="17.7109375" style="73" customWidth="1"/>
    <col min="33" max="33" width="15.42578125" style="365" customWidth="1"/>
    <col min="34" max="51" width="9.28515625" style="73" customWidth="1"/>
    <col min="52" max="52" width="12.28515625" style="73" customWidth="1"/>
    <col min="53" max="110" width="9.28515625" style="73" customWidth="1"/>
    <col min="111" max="111" width="13.28515625" style="50" bestFit="1" customWidth="1"/>
    <col min="112" max="112" width="26.42578125" style="50" customWidth="1"/>
    <col min="113" max="113" width="13.28515625" style="50" customWidth="1"/>
    <col min="114" max="114" width="19" style="2031" customWidth="1"/>
    <col min="115" max="115" width="9.28515625" style="73"/>
    <col min="116" max="116" width="9" style="50" customWidth="1"/>
    <col min="117" max="117" width="10" style="50" customWidth="1"/>
    <col min="118" max="16384" width="9.28515625" style="50"/>
  </cols>
  <sheetData>
    <row r="1" spans="1:115" s="247" customFormat="1" ht="18.75" x14ac:dyDescent="0.3">
      <c r="A1" s="2371" t="s">
        <v>858</v>
      </c>
      <c r="B1" s="2386"/>
      <c r="C1" s="2386"/>
      <c r="D1" s="2386"/>
      <c r="E1" s="2386"/>
      <c r="F1" s="2386"/>
      <c r="G1" s="2386"/>
      <c r="H1" s="2386"/>
      <c r="I1" s="2386"/>
      <c r="J1" s="2386"/>
      <c r="K1" s="2386"/>
      <c r="L1" s="2386"/>
      <c r="M1" s="2386"/>
      <c r="N1" s="2386"/>
      <c r="O1" s="2386"/>
      <c r="P1" s="2426"/>
      <c r="Q1" s="2427"/>
      <c r="R1" s="2427"/>
      <c r="V1" s="750"/>
      <c r="W1" s="4"/>
      <c r="X1" s="4"/>
      <c r="Y1" s="5"/>
      <c r="Z1" s="5"/>
      <c r="AA1" s="5"/>
      <c r="AB1" s="5"/>
      <c r="AC1" s="5"/>
      <c r="AD1" s="5"/>
      <c r="AE1" s="5"/>
      <c r="AF1" s="5"/>
      <c r="AG1" s="1335"/>
      <c r="AH1" s="5"/>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012"/>
      <c r="DH1" s="169"/>
      <c r="DI1" s="1013"/>
      <c r="DJ1" s="499"/>
      <c r="DK1" s="2"/>
    </row>
    <row r="2" spans="1:115" s="247" customFormat="1" ht="30" customHeight="1" outlineLevel="1" x14ac:dyDescent="0.35">
      <c r="A2" s="2144"/>
      <c r="B2" s="435"/>
      <c r="C2" s="58"/>
      <c r="D2" s="2324" t="s">
        <v>40</v>
      </c>
      <c r="E2" s="2374"/>
      <c r="F2" s="2375"/>
      <c r="G2" s="2375"/>
      <c r="H2" s="2375"/>
      <c r="I2" s="2375"/>
      <c r="J2" s="2375"/>
      <c r="K2" s="246"/>
      <c r="L2" s="246"/>
      <c r="W2" s="2"/>
      <c r="X2" s="2"/>
      <c r="Y2" s="2"/>
      <c r="Z2" s="2"/>
      <c r="AA2" s="2"/>
      <c r="AB2" s="2"/>
      <c r="AC2" s="2"/>
      <c r="AD2" s="2"/>
      <c r="AE2" s="2"/>
      <c r="AF2" s="2"/>
      <c r="AG2" s="21"/>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012"/>
      <c r="DH2" s="169"/>
      <c r="DI2" s="1013"/>
      <c r="DJ2" s="499"/>
      <c r="DK2" s="2"/>
    </row>
    <row r="3" spans="1:115" s="247" customFormat="1" ht="33.75" customHeight="1" x14ac:dyDescent="0.25">
      <c r="A3" s="2144"/>
      <c r="C3" s="59"/>
      <c r="D3" s="60"/>
      <c r="E3" s="60"/>
      <c r="F3" s="59"/>
      <c r="G3" s="60"/>
      <c r="H3" s="59"/>
      <c r="I3" s="59"/>
      <c r="J3" s="59"/>
      <c r="M3" s="467"/>
      <c r="W3" s="2"/>
      <c r="X3" s="2"/>
      <c r="Y3" s="2"/>
      <c r="Z3" s="2"/>
      <c r="AA3" s="2"/>
      <c r="AB3" s="2"/>
      <c r="AC3" s="2"/>
      <c r="AD3" s="2"/>
      <c r="AE3" s="2"/>
      <c r="AF3" s="2"/>
      <c r="AG3" s="21"/>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014"/>
      <c r="DH3" s="169"/>
      <c r="DI3" s="1013"/>
      <c r="DJ3" s="499"/>
      <c r="DK3" s="2"/>
    </row>
    <row r="4" spans="1:115" x14ac:dyDescent="0.25">
      <c r="A4" s="2145"/>
      <c r="C4" s="49"/>
      <c r="D4" s="100"/>
      <c r="E4" s="100"/>
      <c r="G4" s="100"/>
      <c r="T4" s="50"/>
      <c r="U4" s="50"/>
      <c r="V4" s="50"/>
      <c r="DG4" s="543"/>
      <c r="DH4" s="543"/>
      <c r="DI4" s="543"/>
    </row>
    <row r="5" spans="1:115" x14ac:dyDescent="0.25">
      <c r="A5" s="2145"/>
      <c r="B5" s="2339" t="s">
        <v>859</v>
      </c>
      <c r="C5" s="2340"/>
      <c r="D5" s="2340"/>
      <c r="E5" s="2340"/>
      <c r="F5" s="2340"/>
      <c r="G5" s="2340"/>
      <c r="H5" s="2340"/>
      <c r="I5" s="2340"/>
      <c r="J5" s="2340"/>
      <c r="K5" s="2340"/>
      <c r="L5" s="2340"/>
      <c r="M5" s="2340"/>
      <c r="N5" s="2340"/>
      <c r="O5" s="2340"/>
      <c r="P5" s="2340"/>
      <c r="Q5" s="2425"/>
      <c r="T5" s="50"/>
      <c r="U5" s="50"/>
      <c r="V5" s="2339" t="str">
        <f>B5</f>
        <v>Central Air Conditioners</v>
      </c>
      <c r="W5" s="2340"/>
      <c r="X5" s="2340"/>
      <c r="Y5" s="2340"/>
      <c r="Z5" s="2340"/>
      <c r="AA5" s="2340"/>
      <c r="AB5" s="2340"/>
      <c r="AC5" s="2341"/>
      <c r="AD5" s="2341"/>
      <c r="AE5" s="2341"/>
      <c r="AF5" s="2341"/>
      <c r="AG5" s="2341"/>
      <c r="AH5" s="2342"/>
      <c r="DG5" s="543"/>
      <c r="DH5" s="543"/>
      <c r="DI5" s="543"/>
    </row>
    <row r="6" spans="1:115" x14ac:dyDescent="0.25">
      <c r="A6" s="2145"/>
      <c r="C6" s="49"/>
      <c r="D6" s="100"/>
      <c r="E6" s="100"/>
      <c r="G6" s="100"/>
      <c r="H6" s="49"/>
      <c r="I6" s="49"/>
      <c r="J6" s="49"/>
      <c r="K6" s="49"/>
      <c r="L6" s="49"/>
      <c r="M6" s="523"/>
      <c r="T6" s="50"/>
      <c r="U6" s="50"/>
      <c r="V6" s="50"/>
      <c r="DG6" s="543"/>
      <c r="DH6" s="543"/>
      <c r="DI6" s="543"/>
    </row>
    <row r="7" spans="1:115" ht="30" x14ac:dyDescent="0.25">
      <c r="A7" s="2145"/>
      <c r="C7" s="1242" t="s">
        <v>43</v>
      </c>
      <c r="D7" s="1242" t="s">
        <v>44</v>
      </c>
      <c r="E7" s="1242" t="s">
        <v>45</v>
      </c>
      <c r="F7" s="1242" t="s">
        <v>46</v>
      </c>
      <c r="G7" s="1242" t="s">
        <v>47</v>
      </c>
      <c r="H7" s="1242" t="s">
        <v>48</v>
      </c>
      <c r="I7" s="1242" t="s">
        <v>49</v>
      </c>
      <c r="J7" s="1254" t="s">
        <v>50</v>
      </c>
      <c r="K7" s="1242" t="s">
        <v>51</v>
      </c>
      <c r="L7" s="1242" t="s">
        <v>860</v>
      </c>
      <c r="M7" s="100"/>
      <c r="T7" s="50"/>
      <c r="U7" s="50"/>
      <c r="V7" s="162" t="s">
        <v>53</v>
      </c>
      <c r="W7" s="637">
        <v>43252</v>
      </c>
      <c r="X7" s="637">
        <v>43800</v>
      </c>
      <c r="Y7" s="637">
        <v>43800</v>
      </c>
      <c r="Z7" s="637">
        <v>43862</v>
      </c>
      <c r="AA7" s="637">
        <v>44013</v>
      </c>
      <c r="AB7" s="637">
        <v>44166</v>
      </c>
      <c r="AC7" s="637">
        <v>44531</v>
      </c>
      <c r="AD7" s="637">
        <v>44774</v>
      </c>
      <c r="AE7" s="637">
        <v>45139</v>
      </c>
      <c r="AF7" s="637">
        <v>45672</v>
      </c>
      <c r="AG7" s="110">
        <v>45931</v>
      </c>
      <c r="DG7" s="1007" t="str">
        <f>'Efficient Products Deemed Table'!$DG$6</f>
        <v>TRC (2025)</v>
      </c>
      <c r="DH7" s="1007" t="str">
        <f>'Efficient Products Deemed Table'!$DH$6</f>
        <v>Benefit Lookup</v>
      </c>
      <c r="DI7" s="1007" t="str">
        <f>'Efficient Products Deemed Table'!$DI$6</f>
        <v>Benefits (2025 $)</v>
      </c>
      <c r="DJ7" s="1007" t="str">
        <f>'Efficient Products Deemed Table'!$DJ$6</f>
        <v>Incremental Cost (2025 $)</v>
      </c>
    </row>
    <row r="8" spans="1:115" x14ac:dyDescent="0.25">
      <c r="A8" s="2146" t="s">
        <v>861</v>
      </c>
      <c r="B8" s="1318">
        <f t="shared" ref="B8:B28" si="0">VALUE(LEFT(C8,6))</f>
        <v>350600</v>
      </c>
      <c r="C8" s="18" t="s">
        <v>862</v>
      </c>
      <c r="D8" s="1974" t="s">
        <v>863</v>
      </c>
      <c r="E8" s="1266" t="s">
        <v>864</v>
      </c>
      <c r="F8" s="681">
        <f>ROUND(((J41*J64*(1/J133-1/J110))/1000)*J156*$J$179,2)</f>
        <v>2107.9899999999998</v>
      </c>
      <c r="G8" s="248" t="s">
        <v>694</v>
      </c>
      <c r="H8" s="66">
        <f>VLOOKUP(G8,'CP FACTORS'!$A$3:$B$38, 2, FALSE)</f>
        <v>9.4741810000000004E-4</v>
      </c>
      <c r="I8" s="525">
        <f t="shared" ref="I8:I18" si="1">ROUND(F8*H8,6)</f>
        <v>1.9971479999999999</v>
      </c>
      <c r="J8" s="182">
        <f t="shared" ref="J8:J10" si="2">J180</f>
        <v>6</v>
      </c>
      <c r="K8" s="128">
        <f t="shared" ref="K8:K10" si="3">J203</f>
        <v>526.97397959163982</v>
      </c>
      <c r="L8" s="20">
        <f t="shared" ref="L8:L10" si="4">K64</f>
        <v>3.1148319327731095</v>
      </c>
      <c r="T8" s="50"/>
      <c r="U8" s="50"/>
      <c r="V8" s="1249" t="s">
        <v>46</v>
      </c>
      <c r="W8" s="891">
        <v>1932.6604621309377</v>
      </c>
      <c r="X8" s="184">
        <v>1720.1937397650352</v>
      </c>
      <c r="Y8" s="646">
        <v>1844.27</v>
      </c>
      <c r="Z8" s="185">
        <v>1844.27</v>
      </c>
      <c r="AA8" s="185">
        <v>1844.27</v>
      </c>
      <c r="AB8" s="627">
        <v>2258.48</v>
      </c>
      <c r="AC8" s="776">
        <v>1789.74</v>
      </c>
      <c r="AD8" s="124">
        <v>2221.96</v>
      </c>
      <c r="AE8" s="124">
        <v>2107.9899999999998</v>
      </c>
      <c r="AF8" s="253">
        <v>2107.9899999999998</v>
      </c>
      <c r="AG8" s="253">
        <f>IF(F8&lt;&gt;"",F8,"")</f>
        <v>2107.9899999999998</v>
      </c>
      <c r="AH8" s="114"/>
      <c r="DG8" s="930">
        <f>(DI8+DI9)/(DJ8+DJ9)</f>
        <v>4.6546743470487746</v>
      </c>
      <c r="DH8" s="1240" t="str">
        <f t="shared" ref="DH8:DH18" si="5">CONCATENATE(G8," ",J8," Year EUL")</f>
        <v>Cooling RES 6 Year EUL</v>
      </c>
      <c r="DI8" s="1016">
        <f>(INDEX('Avoided Cost Benefits'!$B$4:$B$866,MATCH(DH8,'Avoided Cost Benefits'!$A$4:$A$866,0)))*F8</f>
        <v>2099.2378306782102</v>
      </c>
      <c r="DJ8" s="2051">
        <f t="shared" ref="DJ8:DJ18" si="6">IFERROR(K8/((1+DiscountRate)^(CurrentYear-DiscountYear)),0)</f>
        <v>526.97397959163982</v>
      </c>
    </row>
    <row r="9" spans="1:115" x14ac:dyDescent="0.25">
      <c r="A9" s="2146" t="s">
        <v>861</v>
      </c>
      <c r="B9" s="1318">
        <f t="shared" si="0"/>
        <v>350600</v>
      </c>
      <c r="C9" s="18" t="s">
        <v>862</v>
      </c>
      <c r="D9" s="1974" t="s">
        <v>863</v>
      </c>
      <c r="E9" s="1267" t="s">
        <v>865</v>
      </c>
      <c r="F9" s="681">
        <f>ROUND(((J42*J65*(1/J88-1/J111))/1000)*J157*$J$179,2)</f>
        <v>273.32</v>
      </c>
      <c r="G9" s="248" t="s">
        <v>866</v>
      </c>
      <c r="H9" s="66">
        <f>VLOOKUP(G9,'CP FACTORS'!$A$3:$B$38, 2, FALSE)</f>
        <v>9.4741810000000004E-4</v>
      </c>
      <c r="I9" s="525">
        <f t="shared" si="1"/>
        <v>0.25894800000000001</v>
      </c>
      <c r="J9" s="182">
        <f t="shared" si="2"/>
        <v>12</v>
      </c>
      <c r="K9" s="128">
        <f t="shared" si="3"/>
        <v>0</v>
      </c>
      <c r="L9" s="20">
        <f t="shared" si="4"/>
        <v>3.1148319327731095</v>
      </c>
      <c r="T9" s="50"/>
      <c r="U9" s="50"/>
      <c r="V9" s="1249" t="s">
        <v>46</v>
      </c>
      <c r="W9" s="891">
        <v>1177.266315789474</v>
      </c>
      <c r="X9" s="184">
        <v>348.58770042622297</v>
      </c>
      <c r="Y9" s="646">
        <v>373.73</v>
      </c>
      <c r="Z9" s="185">
        <v>373.73</v>
      </c>
      <c r="AA9" s="185">
        <v>373.73</v>
      </c>
      <c r="AB9" s="627">
        <v>363.6</v>
      </c>
      <c r="AC9" s="776">
        <v>348.11</v>
      </c>
      <c r="AD9" s="124">
        <v>350.43</v>
      </c>
      <c r="AE9" s="124">
        <v>169.64</v>
      </c>
      <c r="AF9" s="253">
        <v>273.32</v>
      </c>
      <c r="AG9" s="253">
        <f t="shared" ref="AG9:AG30" si="7">IF(F9&lt;&gt;"",F9,"")</f>
        <v>273.32</v>
      </c>
      <c r="AH9" s="114"/>
      <c r="DG9" s="933"/>
      <c r="DH9" s="1241" t="str">
        <f t="shared" si="5"/>
        <v>Cooling RES ER2 12 Year EUL</v>
      </c>
      <c r="DI9" s="1017">
        <f>(INDEX('Avoided Cost Benefits'!$B$4:$B$866,MATCH(DH9,'Avoided Cost Benefits'!$A$4:$A$866,0)))*F9</f>
        <v>353.65443368920046</v>
      </c>
      <c r="DJ9" s="2051">
        <f t="shared" si="6"/>
        <v>0</v>
      </c>
    </row>
    <row r="10" spans="1:115" x14ac:dyDescent="0.25">
      <c r="A10" s="2146" t="s">
        <v>861</v>
      </c>
      <c r="B10" s="1318">
        <f t="shared" si="0"/>
        <v>350650</v>
      </c>
      <c r="C10" s="18" t="s">
        <v>867</v>
      </c>
      <c r="D10" s="1974" t="s">
        <v>863</v>
      </c>
      <c r="E10" s="1266" t="s">
        <v>868</v>
      </c>
      <c r="F10" s="681">
        <f>ROUND(((J43*J66*(1/J89-1/J112))/1000)*J158*$J$179,2)</f>
        <v>262.89999999999998</v>
      </c>
      <c r="G10" s="248" t="s">
        <v>694</v>
      </c>
      <c r="H10" s="66">
        <f>VLOOKUP(G10,'CP FACTORS'!$A$3:$B$38, 2, FALSE)</f>
        <v>9.4741810000000004E-4</v>
      </c>
      <c r="I10" s="525">
        <f t="shared" si="1"/>
        <v>0.24907599999999999</v>
      </c>
      <c r="J10" s="182">
        <f t="shared" si="2"/>
        <v>18</v>
      </c>
      <c r="K10" s="128">
        <f t="shared" si="3"/>
        <v>453.02753789283406</v>
      </c>
      <c r="L10" s="20">
        <f t="shared" si="4"/>
        <v>2.9891966173361513</v>
      </c>
      <c r="T10" s="50"/>
      <c r="U10" s="50"/>
      <c r="V10" s="1249" t="s">
        <v>46</v>
      </c>
      <c r="W10" s="891">
        <v>334.67345899133977</v>
      </c>
      <c r="X10" s="184">
        <v>348.58770042622297</v>
      </c>
      <c r="Y10" s="646">
        <v>369.27</v>
      </c>
      <c r="Z10" s="185">
        <v>369.27</v>
      </c>
      <c r="AA10" s="185">
        <v>369.27</v>
      </c>
      <c r="AB10" s="627">
        <v>373.31</v>
      </c>
      <c r="AC10" s="776">
        <v>347.48</v>
      </c>
      <c r="AD10" s="124">
        <v>340.39</v>
      </c>
      <c r="AE10" s="124">
        <v>161.06</v>
      </c>
      <c r="AF10" s="253">
        <v>262.89999999999998</v>
      </c>
      <c r="AG10" s="253">
        <f t="shared" si="7"/>
        <v>262.89999999999998</v>
      </c>
      <c r="AH10" s="114"/>
      <c r="DG10" s="935">
        <f>(DI10)/(DJ10)</f>
        <v>1.3287939327387319</v>
      </c>
      <c r="DH10" s="187" t="str">
        <f t="shared" si="5"/>
        <v>Cooling RES 18 Year EUL</v>
      </c>
      <c r="DI10" s="1018">
        <f>(INDEX('Avoided Cost Benefits'!$B$4:$B$866,MATCH(DH10,'Avoided Cost Benefits'!$A$4:$A$866,0)))*F10</f>
        <v>601.98024371556392</v>
      </c>
      <c r="DJ10" s="2051">
        <f t="shared" si="6"/>
        <v>453.02753789283406</v>
      </c>
    </row>
    <row r="11" spans="1:115" x14ac:dyDescent="0.25">
      <c r="A11" s="2146" t="s">
        <v>607</v>
      </c>
      <c r="B11" s="1318">
        <f t="shared" si="0"/>
        <v>350800</v>
      </c>
      <c r="C11" s="18" t="s">
        <v>869</v>
      </c>
      <c r="D11" s="1974" t="s">
        <v>863</v>
      </c>
      <c r="E11" s="1266" t="s">
        <v>870</v>
      </c>
      <c r="F11" s="681">
        <f>ROUND(((J44*J67*(1/J136-1/J113))/1000)*J159*$J$179,2)</f>
        <v>2184.27</v>
      </c>
      <c r="G11" s="248" t="s">
        <v>694</v>
      </c>
      <c r="H11" s="66">
        <f>VLOOKUP(G11,'CP FACTORS'!$A$3:$B$38, 2, FALSE)</f>
        <v>9.4741810000000004E-4</v>
      </c>
      <c r="I11" s="525">
        <f t="shared" si="1"/>
        <v>2.0694170000000001</v>
      </c>
      <c r="J11" s="182">
        <f t="shared" ref="J11:J15" si="8">J183</f>
        <v>6</v>
      </c>
      <c r="K11" s="128">
        <f t="shared" ref="K11:K29" si="9">J206</f>
        <v>708.92766284367963</v>
      </c>
      <c r="L11" s="20">
        <f t="shared" ref="L11:L29" si="10">K67</f>
        <v>2.8756478324403312</v>
      </c>
      <c r="O11" s="528"/>
      <c r="T11" s="50"/>
      <c r="U11" s="50"/>
      <c r="V11" s="1249" t="s">
        <v>46</v>
      </c>
      <c r="W11" s="891">
        <v>1921.8676829268297</v>
      </c>
      <c r="X11" s="184">
        <v>1872.8908664383187</v>
      </c>
      <c r="Y11" s="646">
        <v>1880.22</v>
      </c>
      <c r="Z11" s="185">
        <v>1880.22</v>
      </c>
      <c r="AA11" s="185">
        <v>1880.22</v>
      </c>
      <c r="AB11" s="627">
        <v>2198.3200000000002</v>
      </c>
      <c r="AC11" s="776">
        <v>1809.8</v>
      </c>
      <c r="AD11" s="124">
        <v>2164.25</v>
      </c>
      <c r="AE11" s="124">
        <v>2134.7800000000002</v>
      </c>
      <c r="AF11" s="253">
        <v>2184.27</v>
      </c>
      <c r="AG11" s="253">
        <f t="shared" si="7"/>
        <v>2184.27</v>
      </c>
      <c r="AH11" s="114"/>
      <c r="DG11" s="930">
        <f>(DI11+DI12)/(DJ11+DJ12)</f>
        <v>3.737573071863415</v>
      </c>
      <c r="DH11" s="1240" t="str">
        <f t="shared" si="5"/>
        <v>Cooling RES 6 Year EUL</v>
      </c>
      <c r="DI11" s="1016">
        <f>(INDEX('Avoided Cost Benefits'!$B$4:$B$866,MATCH(DH11,'Avoided Cost Benefits'!$A$4:$A$866,0)))*F11</f>
        <v>2175.2011235420923</v>
      </c>
      <c r="DJ11" s="2051">
        <f t="shared" si="6"/>
        <v>708.92766284367963</v>
      </c>
    </row>
    <row r="12" spans="1:115" x14ac:dyDescent="0.25">
      <c r="A12" s="2146" t="s">
        <v>607</v>
      </c>
      <c r="B12" s="1318">
        <f t="shared" si="0"/>
        <v>350800</v>
      </c>
      <c r="C12" s="18" t="s">
        <v>869</v>
      </c>
      <c r="D12" s="1974" t="s">
        <v>863</v>
      </c>
      <c r="E12" s="1267" t="s">
        <v>871</v>
      </c>
      <c r="F12" s="681">
        <f>ROUND(((J45*J68*(1/J91-1/J114))/1000)*J160*$J$179,2)</f>
        <v>366.69</v>
      </c>
      <c r="G12" s="248" t="s">
        <v>866</v>
      </c>
      <c r="H12" s="66">
        <f>VLOOKUP(G12,'CP FACTORS'!$A$3:$B$38, 2, FALSE)</f>
        <v>9.4741810000000004E-4</v>
      </c>
      <c r="I12" s="525">
        <f t="shared" si="1"/>
        <v>0.34740900000000002</v>
      </c>
      <c r="J12" s="182">
        <f t="shared" si="8"/>
        <v>12</v>
      </c>
      <c r="K12" s="128">
        <f t="shared" si="9"/>
        <v>0</v>
      </c>
      <c r="L12" s="20">
        <f t="shared" si="10"/>
        <v>2.8756478324403312</v>
      </c>
      <c r="O12" s="528"/>
      <c r="T12" s="50"/>
      <c r="U12" s="50"/>
      <c r="V12" s="1249" t="s">
        <v>46</v>
      </c>
      <c r="W12" s="891">
        <v>1212.2550000000003</v>
      </c>
      <c r="X12" s="184">
        <v>501.2848270995064</v>
      </c>
      <c r="Y12" s="646">
        <v>504.12</v>
      </c>
      <c r="Z12" s="185">
        <v>504.12</v>
      </c>
      <c r="AA12" s="185">
        <v>504.12</v>
      </c>
      <c r="AB12" s="627">
        <v>451.39</v>
      </c>
      <c r="AC12" s="776">
        <v>446.81</v>
      </c>
      <c r="AD12" s="124">
        <v>439.92</v>
      </c>
      <c r="AE12" s="124">
        <v>275.66000000000003</v>
      </c>
      <c r="AF12" s="253">
        <v>366.69</v>
      </c>
      <c r="AG12" s="253">
        <f t="shared" si="7"/>
        <v>366.69</v>
      </c>
      <c r="AH12" s="114"/>
      <c r="DG12" s="933"/>
      <c r="DH12" s="1241" t="str">
        <f t="shared" si="5"/>
        <v>Cooling RES ER2 12 Year EUL</v>
      </c>
      <c r="DI12" s="1017">
        <f>(INDEX('Avoided Cost Benefits'!$B$4:$B$866,MATCH(DH12,'Avoided Cost Benefits'!$A$4:$A$866,0)))*F12</f>
        <v>474.46781900151075</v>
      </c>
      <c r="DJ12" s="2051">
        <f t="shared" si="6"/>
        <v>0</v>
      </c>
    </row>
    <row r="13" spans="1:115" x14ac:dyDescent="0.25">
      <c r="A13" s="2146" t="s">
        <v>607</v>
      </c>
      <c r="B13" s="1318">
        <f t="shared" si="0"/>
        <v>350850</v>
      </c>
      <c r="C13" s="18" t="s">
        <v>872</v>
      </c>
      <c r="D13" s="1974" t="s">
        <v>863</v>
      </c>
      <c r="E13" s="1266" t="s">
        <v>873</v>
      </c>
      <c r="F13" s="681">
        <f>ROUND(((J46*J69*(1/J92-1/J115))/1000)*J161*$J$179,2)</f>
        <v>363.43</v>
      </c>
      <c r="G13" s="248" t="s">
        <v>694</v>
      </c>
      <c r="H13" s="66">
        <f>VLOOKUP(G13,'CP FACTORS'!$A$3:$B$38, 2, FALSE)</f>
        <v>9.4741810000000004E-4</v>
      </c>
      <c r="I13" s="525">
        <f t="shared" si="1"/>
        <v>0.34432000000000001</v>
      </c>
      <c r="J13" s="182">
        <f t="shared" si="8"/>
        <v>18</v>
      </c>
      <c r="K13" s="128">
        <f t="shared" si="9"/>
        <v>634.98122114487387</v>
      </c>
      <c r="L13" s="20">
        <f t="shared" si="10"/>
        <v>2.8453773584905662</v>
      </c>
      <c r="O13" s="528"/>
      <c r="T13" s="50"/>
      <c r="U13" s="50"/>
      <c r="V13" s="1249" t="s">
        <v>46</v>
      </c>
      <c r="W13" s="891">
        <v>436.17115384615397</v>
      </c>
      <c r="X13" s="184">
        <v>501.2848270995064</v>
      </c>
      <c r="Y13" s="646">
        <v>493.75</v>
      </c>
      <c r="Z13" s="185">
        <v>493.75</v>
      </c>
      <c r="AA13" s="185">
        <v>493.75</v>
      </c>
      <c r="AB13" s="627">
        <v>458.17</v>
      </c>
      <c r="AC13" s="776">
        <v>459.15</v>
      </c>
      <c r="AD13" s="124">
        <v>455.22</v>
      </c>
      <c r="AE13" s="124">
        <v>283.54000000000002</v>
      </c>
      <c r="AF13" s="253">
        <v>363.43</v>
      </c>
      <c r="AG13" s="253">
        <f t="shared" si="7"/>
        <v>363.43</v>
      </c>
      <c r="AH13" s="114"/>
      <c r="DG13" s="935">
        <f>(DI13)/(DJ13)</f>
        <v>1.3105438137147511</v>
      </c>
      <c r="DH13" s="187" t="str">
        <f t="shared" si="5"/>
        <v>Cooling RES 18 Year EUL</v>
      </c>
      <c r="DI13" s="1018">
        <f>(INDEX('Avoided Cost Benefits'!$B$4:$B$866,MATCH(DH13,'Avoided Cost Benefits'!$A$4:$A$866,0)))*F13</f>
        <v>832.17071119645277</v>
      </c>
      <c r="DJ13" s="2051">
        <f t="shared" si="6"/>
        <v>634.98122114487387</v>
      </c>
    </row>
    <row r="14" spans="1:115" x14ac:dyDescent="0.25">
      <c r="A14" s="2146" t="s">
        <v>607</v>
      </c>
      <c r="B14" s="1318">
        <f t="shared" si="0"/>
        <v>350900</v>
      </c>
      <c r="C14" s="18" t="s">
        <v>874</v>
      </c>
      <c r="D14" s="1994" t="s">
        <v>810</v>
      </c>
      <c r="E14" s="1266" t="s">
        <v>875</v>
      </c>
      <c r="F14" s="681">
        <f>ROUND(((J47*J70*(1/J139-1/J116))/1000)*J162*$J$179,2)</f>
        <v>1902.85</v>
      </c>
      <c r="G14" s="248" t="s">
        <v>694</v>
      </c>
      <c r="H14" s="66">
        <f>VLOOKUP(G14,'CP FACTORS'!$A$3:$B$38, 2, FALSE)</f>
        <v>9.4741810000000004E-4</v>
      </c>
      <c r="I14" s="525">
        <f t="shared" si="1"/>
        <v>1.8027949999999999</v>
      </c>
      <c r="J14" s="182">
        <f t="shared" si="8"/>
        <v>6</v>
      </c>
      <c r="K14" s="128">
        <f t="shared" si="9"/>
        <v>708.92766284367963</v>
      </c>
      <c r="L14" s="20">
        <f t="shared" si="10"/>
        <v>2.5384615384615383</v>
      </c>
      <c r="T14" s="50"/>
      <c r="U14" s="50"/>
      <c r="V14" s="1249" t="s">
        <v>46</v>
      </c>
      <c r="W14" s="891">
        <v>1249.2139939024394</v>
      </c>
      <c r="X14" s="184">
        <v>1710.3337488745497</v>
      </c>
      <c r="Y14" s="646">
        <v>1200.22</v>
      </c>
      <c r="Z14" s="185">
        <v>1200.22</v>
      </c>
      <c r="AA14" s="185">
        <v>1200.22</v>
      </c>
      <c r="AB14" s="627">
        <v>1687.17</v>
      </c>
      <c r="AC14" s="776">
        <v>1518.6</v>
      </c>
      <c r="AD14" s="124">
        <v>1566.43</v>
      </c>
      <c r="AE14" s="124">
        <v>1835.08</v>
      </c>
      <c r="AF14" s="253">
        <v>1902.85</v>
      </c>
      <c r="AG14" s="253">
        <f t="shared" si="7"/>
        <v>1902.85</v>
      </c>
      <c r="AH14" s="114"/>
      <c r="DG14" s="1019">
        <f>(DI14+DI15)/(DJ14+DJ15)</f>
        <v>3.2644297990868072</v>
      </c>
      <c r="DH14" s="1265" t="str">
        <f t="shared" si="5"/>
        <v>Cooling RES 6 Year EUL</v>
      </c>
      <c r="DI14" s="1020">
        <f>(INDEX('Avoided Cost Benefits'!$B$4:$B$866,MATCH(DH14,'Avoided Cost Benefits'!$A$4:$A$866,0)))*F14</f>
        <v>1894.9495519931463</v>
      </c>
      <c r="DJ14" s="2051">
        <f t="shared" si="6"/>
        <v>708.92766284367963</v>
      </c>
    </row>
    <row r="15" spans="1:115" x14ac:dyDescent="0.25">
      <c r="A15" s="2146" t="s">
        <v>602</v>
      </c>
      <c r="B15" s="1318">
        <f t="shared" si="0"/>
        <v>350900</v>
      </c>
      <c r="C15" s="18" t="s">
        <v>874</v>
      </c>
      <c r="D15" s="1994" t="s">
        <v>810</v>
      </c>
      <c r="E15" s="1267" t="s">
        <v>876</v>
      </c>
      <c r="F15" s="681">
        <f>ROUND(((J48*J71*(1/J94-1/J117))/1000)*J163*$J$179,2)</f>
        <v>324.05</v>
      </c>
      <c r="G15" s="248" t="s">
        <v>866</v>
      </c>
      <c r="H15" s="66">
        <f>VLOOKUP(G15,'CP FACTORS'!$A$3:$B$38, 2, FALSE)</f>
        <v>9.4741810000000004E-4</v>
      </c>
      <c r="I15" s="525">
        <f t="shared" si="1"/>
        <v>0.30701099999999998</v>
      </c>
      <c r="J15" s="182">
        <f t="shared" si="8"/>
        <v>12</v>
      </c>
      <c r="K15" s="128">
        <f t="shared" si="9"/>
        <v>0</v>
      </c>
      <c r="L15" s="20">
        <f t="shared" si="10"/>
        <v>2.5384615384615383</v>
      </c>
      <c r="T15" s="50"/>
      <c r="U15" s="50"/>
      <c r="V15" s="1249" t="s">
        <v>46</v>
      </c>
      <c r="W15" s="891">
        <v>787.9657500000003</v>
      </c>
      <c r="X15" s="184">
        <v>428.65550480769241</v>
      </c>
      <c r="Y15" s="646">
        <v>300.81</v>
      </c>
      <c r="Z15" s="185">
        <v>300.81</v>
      </c>
      <c r="AA15" s="185">
        <v>300.81</v>
      </c>
      <c r="AB15" s="627">
        <v>391.02</v>
      </c>
      <c r="AC15" s="776">
        <v>378.59</v>
      </c>
      <c r="AD15" s="124">
        <v>327.91</v>
      </c>
      <c r="AE15" s="124">
        <v>238.17</v>
      </c>
      <c r="AF15" s="253">
        <v>324.05</v>
      </c>
      <c r="AG15" s="253">
        <f t="shared" si="7"/>
        <v>324.05</v>
      </c>
      <c r="AH15" s="114"/>
      <c r="DG15" s="1021"/>
      <c r="DH15" s="1241" t="str">
        <f t="shared" si="5"/>
        <v>Cooling RES ER2 12 Year EUL</v>
      </c>
      <c r="DI15" s="1020">
        <f>(INDEX('Avoided Cost Benefits'!$B$4:$B$866,MATCH(DH15,'Avoided Cost Benefits'!$A$4:$A$866,0)))*F15</f>
        <v>419.29503599072672</v>
      </c>
      <c r="DJ15" s="2051">
        <f t="shared" si="6"/>
        <v>0</v>
      </c>
    </row>
    <row r="16" spans="1:115" x14ac:dyDescent="0.25">
      <c r="A16" s="2146" t="s">
        <v>602</v>
      </c>
      <c r="B16" s="1318">
        <f t="shared" si="0"/>
        <v>351000</v>
      </c>
      <c r="C16" s="18" t="s">
        <v>877</v>
      </c>
      <c r="D16" s="1974" t="s">
        <v>863</v>
      </c>
      <c r="E16" s="1266" t="s">
        <v>878</v>
      </c>
      <c r="F16" s="681">
        <f>ROUND(((J49*J72*(1/J141-1/J118))/1000)*J164*$J$179,2)</f>
        <v>2381.9499999999998</v>
      </c>
      <c r="G16" s="248" t="s">
        <v>694</v>
      </c>
      <c r="H16" s="66">
        <f>VLOOKUP(G16,'CP FACTORS'!$A$3:$B$38, 2, FALSE)</f>
        <v>9.4741810000000004E-4</v>
      </c>
      <c r="I16" s="525">
        <f t="shared" si="1"/>
        <v>2.2567029999999999</v>
      </c>
      <c r="J16" s="182">
        <f t="shared" ref="J16:J18" si="11">J188</f>
        <v>6</v>
      </c>
      <c r="K16" s="128">
        <f t="shared" si="9"/>
        <v>965.14815558634655</v>
      </c>
      <c r="L16" s="20">
        <f t="shared" si="10"/>
        <v>3.1718995290423861</v>
      </c>
      <c r="T16" s="50"/>
      <c r="U16" s="50"/>
      <c r="V16" s="1249" t="s">
        <v>46</v>
      </c>
      <c r="W16" s="891">
        <v>2040.7162123385942</v>
      </c>
      <c r="X16" s="184">
        <v>1979.1918367346937</v>
      </c>
      <c r="Y16" s="646">
        <v>1953.65</v>
      </c>
      <c r="Z16" s="185">
        <v>1953.65</v>
      </c>
      <c r="AA16" s="185">
        <v>1953.65</v>
      </c>
      <c r="AB16" s="627">
        <v>2431.04</v>
      </c>
      <c r="AC16" s="776">
        <v>1896.58</v>
      </c>
      <c r="AD16" s="124">
        <v>2272.7399999999998</v>
      </c>
      <c r="AE16" s="124">
        <v>2272.7399999999998</v>
      </c>
      <c r="AF16" s="253">
        <v>2381.9499999999998</v>
      </c>
      <c r="AG16" s="253">
        <f t="shared" si="7"/>
        <v>2381.9499999999998</v>
      </c>
      <c r="AH16" s="114"/>
      <c r="DG16" s="1019">
        <f>(DI16+DI17)/(DJ16+DJ17)</f>
        <v>3.1687674818130427</v>
      </c>
      <c r="DH16" s="1240" t="str">
        <f t="shared" si="5"/>
        <v>Cooling RES 6 Year EUL</v>
      </c>
      <c r="DI16" s="1020">
        <f>(INDEX('Avoided Cost Benefits'!$B$4:$B$866,MATCH(DH16,'Avoided Cost Benefits'!$A$4:$A$866,0)))*F16</f>
        <v>2372.0603754211184</v>
      </c>
      <c r="DJ16" s="2051">
        <f t="shared" si="6"/>
        <v>965.14815558634655</v>
      </c>
    </row>
    <row r="17" spans="1:114" x14ac:dyDescent="0.25">
      <c r="A17" s="2146" t="s">
        <v>607</v>
      </c>
      <c r="B17" s="1318">
        <f t="shared" si="0"/>
        <v>351000</v>
      </c>
      <c r="C17" s="18" t="s">
        <v>877</v>
      </c>
      <c r="D17" s="1974" t="s">
        <v>863</v>
      </c>
      <c r="E17" s="1267" t="s">
        <v>879</v>
      </c>
      <c r="F17" s="681">
        <f>ROUND(((J50*J73*(1/J96-1/J119))/1000)*J165*$J$179,2)</f>
        <v>530.38</v>
      </c>
      <c r="G17" s="248" t="s">
        <v>866</v>
      </c>
      <c r="H17" s="66">
        <f>VLOOKUP(G17,'CP FACTORS'!$A$3:$B$38, 2, FALSE)</f>
        <v>9.4741810000000004E-4</v>
      </c>
      <c r="I17" s="525">
        <f t="shared" si="1"/>
        <v>0.50249200000000005</v>
      </c>
      <c r="J17" s="182">
        <f t="shared" si="11"/>
        <v>12</v>
      </c>
      <c r="K17" s="128">
        <f t="shared" si="9"/>
        <v>0</v>
      </c>
      <c r="L17" s="20">
        <f t="shared" si="10"/>
        <v>3.1718995290423861</v>
      </c>
      <c r="T17" s="50"/>
      <c r="U17" s="50"/>
      <c r="V17" s="1249" t="s">
        <v>46</v>
      </c>
      <c r="W17" s="891">
        <v>1331.1035294117648</v>
      </c>
      <c r="X17" s="184">
        <v>585.10045248868789</v>
      </c>
      <c r="Y17" s="646">
        <v>577.54999999999995</v>
      </c>
      <c r="Z17" s="185">
        <v>577.54999999999995</v>
      </c>
      <c r="AA17" s="185">
        <v>577.54999999999995</v>
      </c>
      <c r="AB17" s="627">
        <v>645.84</v>
      </c>
      <c r="AC17" s="776">
        <v>576.42999999999995</v>
      </c>
      <c r="AD17" s="124">
        <v>562.64</v>
      </c>
      <c r="AE17" s="124">
        <v>394.29</v>
      </c>
      <c r="AF17" s="253">
        <v>530.38</v>
      </c>
      <c r="AG17" s="253">
        <f t="shared" si="7"/>
        <v>530.38</v>
      </c>
      <c r="AH17" s="114"/>
      <c r="DG17" s="1021"/>
      <c r="DH17" s="1241" t="str">
        <f t="shared" si="5"/>
        <v>Cooling RES ER2 12 Year EUL</v>
      </c>
      <c r="DI17" s="1020">
        <f>(INDEX('Avoided Cost Benefits'!$B$4:$B$866,MATCH(DH17,'Avoided Cost Benefits'!$A$4:$A$866,0)))*F17</f>
        <v>686.26971513273145</v>
      </c>
      <c r="DJ17" s="2051">
        <f t="shared" si="6"/>
        <v>0</v>
      </c>
    </row>
    <row r="18" spans="1:114" x14ac:dyDescent="0.25">
      <c r="A18" s="2146" t="s">
        <v>607</v>
      </c>
      <c r="B18" s="1318">
        <f t="shared" si="0"/>
        <v>351050</v>
      </c>
      <c r="C18" s="18" t="s">
        <v>880</v>
      </c>
      <c r="D18" s="1974" t="s">
        <v>863</v>
      </c>
      <c r="E18" s="1266" t="s">
        <v>881</v>
      </c>
      <c r="F18" s="681">
        <f>ROUND(((J51*J74*(1/J97-1/J120))/1000)*J166*$J$179,2)</f>
        <v>549.48</v>
      </c>
      <c r="G18" s="248" t="s">
        <v>694</v>
      </c>
      <c r="H18" s="66">
        <f>VLOOKUP(G18,'CP FACTORS'!$A$3:$B$38, 2, FALSE)</f>
        <v>9.4741810000000004E-4</v>
      </c>
      <c r="I18" s="525">
        <f t="shared" si="1"/>
        <v>0.52058700000000002</v>
      </c>
      <c r="J18" s="182">
        <f t="shared" si="11"/>
        <v>18</v>
      </c>
      <c r="K18" s="128">
        <f t="shared" si="9"/>
        <v>891.20171388754079</v>
      </c>
      <c r="L18" s="20">
        <f t="shared" si="10"/>
        <v>3.3001127819548874</v>
      </c>
      <c r="T18" s="50"/>
      <c r="U18" s="50"/>
      <c r="V18" s="1249" t="s">
        <v>46</v>
      </c>
      <c r="W18" s="891">
        <v>547.35203619909521</v>
      </c>
      <c r="X18" s="184">
        <v>547.35203619909521</v>
      </c>
      <c r="Y18" s="646">
        <v>564.34</v>
      </c>
      <c r="Z18" s="185">
        <v>564.34</v>
      </c>
      <c r="AA18" s="185">
        <v>564.34</v>
      </c>
      <c r="AB18" s="627">
        <v>665.3</v>
      </c>
      <c r="AC18" s="776">
        <v>595.16999999999996</v>
      </c>
      <c r="AD18" s="124">
        <v>559.92999999999995</v>
      </c>
      <c r="AE18" s="124">
        <v>384.26</v>
      </c>
      <c r="AF18" s="253">
        <v>549.48</v>
      </c>
      <c r="AG18" s="253">
        <f t="shared" si="7"/>
        <v>549.48</v>
      </c>
      <c r="AH18" s="114"/>
      <c r="DG18" s="1019">
        <f>(DI18)/(DJ18)</f>
        <v>1.4117816374996219</v>
      </c>
      <c r="DH18" s="187" t="str">
        <f t="shared" si="5"/>
        <v>Cooling RES 18 Year EUL</v>
      </c>
      <c r="DI18" s="1020">
        <f>(INDEX('Avoided Cost Benefits'!$B$4:$B$866,MATCH(DH18,'Avoided Cost Benefits'!$A$4:$A$866,0)))*F18</f>
        <v>1258.182214974622</v>
      </c>
      <c r="DJ18" s="2051">
        <f t="shared" si="6"/>
        <v>891.20171388754079</v>
      </c>
    </row>
    <row r="19" spans="1:114" x14ac:dyDescent="0.25">
      <c r="A19" s="2146" t="s">
        <v>607</v>
      </c>
      <c r="B19" s="1318">
        <f t="shared" si="0"/>
        <v>351160</v>
      </c>
      <c r="C19" s="18" t="s">
        <v>882</v>
      </c>
      <c r="D19" s="1974" t="s">
        <v>863</v>
      </c>
      <c r="E19" s="1266" t="s">
        <v>883</v>
      </c>
      <c r="F19" s="681">
        <f>ROUND(((J52*J75*(1/J144-1/J121))/1000)*J167*$J$179,2)</f>
        <v>2517.94</v>
      </c>
      <c r="G19" s="248" t="s">
        <v>694</v>
      </c>
      <c r="H19" s="66">
        <f>VLOOKUP(G19,'CP FACTORS'!$A$3:$B$38, 2, FALSE)</f>
        <v>9.4741810000000004E-4</v>
      </c>
      <c r="I19" s="525">
        <f>ROUND(F19*H19,6)</f>
        <v>2.3855420000000001</v>
      </c>
      <c r="J19" s="182">
        <f>J191</f>
        <v>6</v>
      </c>
      <c r="K19" s="128">
        <f t="shared" si="9"/>
        <v>994.85487938259848</v>
      </c>
      <c r="L19" s="20">
        <f t="shared" si="10"/>
        <v>3.3330761421319792</v>
      </c>
      <c r="T19" s="50"/>
      <c r="U19" s="50"/>
      <c r="V19" s="1249" t="s">
        <v>46</v>
      </c>
      <c r="W19" s="891"/>
      <c r="X19" s="184"/>
      <c r="Y19" s="646"/>
      <c r="Z19" s="646">
        <v>2017.58</v>
      </c>
      <c r="AA19" s="185">
        <v>2017.58</v>
      </c>
      <c r="AB19" s="889">
        <v>2017.58</v>
      </c>
      <c r="AC19" s="776">
        <v>2213.29</v>
      </c>
      <c r="AD19" s="124">
        <v>2517.94</v>
      </c>
      <c r="AE19" s="681">
        <v>2517.94</v>
      </c>
      <c r="AF19" s="253">
        <v>2517.94</v>
      </c>
      <c r="AG19" s="253">
        <f t="shared" si="7"/>
        <v>2517.94</v>
      </c>
      <c r="AH19" s="114"/>
      <c r="DG19" s="930">
        <f>(DI19+DI20)/(DJ19+DJ20)</f>
        <v>3.3816804496492248</v>
      </c>
      <c r="DH19" s="1240" t="str">
        <f t="shared" ref="DH19:DH30" si="12">CONCATENATE(G19," ",J19," Year EUL")</f>
        <v>Cooling RES 6 Year EUL</v>
      </c>
      <c r="DI19" s="1016">
        <f>(INDEX('Avoided Cost Benefits'!$B$4:$B$866,MATCH(DH19,'Avoided Cost Benefits'!$A$4:$A$866,0)))*F19</f>
        <v>2507.4857581762217</v>
      </c>
      <c r="DJ19" s="2051">
        <f t="shared" ref="DJ19:DJ28" si="13">IFERROR(K19/((1+DiscountRate)^(CurrentYear-DiscountYear)),0)</f>
        <v>994.85487938259848</v>
      </c>
    </row>
    <row r="20" spans="1:114" x14ac:dyDescent="0.25">
      <c r="A20" s="2146" t="s">
        <v>607</v>
      </c>
      <c r="B20" s="1318">
        <f t="shared" si="0"/>
        <v>351160</v>
      </c>
      <c r="C20" s="18" t="s">
        <v>882</v>
      </c>
      <c r="D20" s="1974" t="s">
        <v>863</v>
      </c>
      <c r="E20" s="1267" t="s">
        <v>884</v>
      </c>
      <c r="F20" s="681">
        <f>ROUND(((J53*J76*(1/J99-1/J122))/1000)*J168*$J$179,2)</f>
        <v>662.17</v>
      </c>
      <c r="G20" s="248" t="s">
        <v>866</v>
      </c>
      <c r="H20" s="66">
        <f>VLOOKUP(G20,'CP FACTORS'!$A$3:$B$38, 2, FALSE)</f>
        <v>9.4741810000000004E-4</v>
      </c>
      <c r="I20" s="525">
        <f t="shared" ref="I20:I30" si="14">ROUND(F20*H20,6)</f>
        <v>0.62735200000000002</v>
      </c>
      <c r="J20" s="182">
        <f>J192</f>
        <v>12</v>
      </c>
      <c r="K20" s="128">
        <f t="shared" si="9"/>
        <v>0</v>
      </c>
      <c r="L20" s="20">
        <f t="shared" si="10"/>
        <v>3.3330761421319792</v>
      </c>
      <c r="T20" s="50"/>
      <c r="U20" s="50"/>
      <c r="V20" s="1249" t="s">
        <v>46</v>
      </c>
      <c r="W20" s="891"/>
      <c r="X20" s="184"/>
      <c r="Y20" s="646"/>
      <c r="Z20" s="646">
        <v>668.46</v>
      </c>
      <c r="AA20" s="185">
        <v>668.46</v>
      </c>
      <c r="AB20" s="889">
        <v>668.46</v>
      </c>
      <c r="AC20" s="776">
        <v>720.84</v>
      </c>
      <c r="AD20" s="124">
        <v>741.82</v>
      </c>
      <c r="AE20" s="124">
        <v>551.22</v>
      </c>
      <c r="AF20" s="253">
        <v>662.17</v>
      </c>
      <c r="AG20" s="253">
        <f t="shared" si="7"/>
        <v>662.17</v>
      </c>
      <c r="AH20" s="114"/>
      <c r="DG20" s="1021"/>
      <c r="DH20" s="1241" t="str">
        <f t="shared" si="12"/>
        <v>Cooling RES ER2 12 Year EUL</v>
      </c>
      <c r="DI20" s="1020">
        <f>(INDEX('Avoided Cost Benefits'!$B$4:$B$866,MATCH(DH20,'Avoided Cost Benefits'!$A$4:$A$866,0)))*F20</f>
        <v>856.79553767004927</v>
      </c>
      <c r="DJ20" s="2051">
        <f t="shared" si="13"/>
        <v>0</v>
      </c>
    </row>
    <row r="21" spans="1:114" x14ac:dyDescent="0.25">
      <c r="A21" s="2146" t="s">
        <v>607</v>
      </c>
      <c r="B21" s="1318">
        <f t="shared" si="0"/>
        <v>351161</v>
      </c>
      <c r="C21" s="18" t="s">
        <v>885</v>
      </c>
      <c r="D21" s="1974" t="s">
        <v>863</v>
      </c>
      <c r="E21" s="1266" t="s">
        <v>886</v>
      </c>
      <c r="F21" s="681">
        <f>ROUND(((J54*J77*(1/J100-1/J123))/1000)*J169*$J$179,2)</f>
        <v>660.62</v>
      </c>
      <c r="G21" s="248" t="s">
        <v>694</v>
      </c>
      <c r="H21" s="66">
        <f>VLOOKUP(G21,'CP FACTORS'!$A$3:$B$38, 2, FALSE)</f>
        <v>9.4741810000000004E-4</v>
      </c>
      <c r="I21" s="525">
        <f t="shared" si="14"/>
        <v>0.62588299999999997</v>
      </c>
      <c r="J21" s="182">
        <f>J193</f>
        <v>18</v>
      </c>
      <c r="K21" s="128">
        <f t="shared" si="9"/>
        <v>920.90843768379273</v>
      </c>
      <c r="L21" s="20">
        <f t="shared" si="10"/>
        <v>3.3284552845487805</v>
      </c>
      <c r="T21" s="50"/>
      <c r="U21" s="50"/>
      <c r="V21" s="1249" t="s">
        <v>46</v>
      </c>
      <c r="W21" s="891"/>
      <c r="X21" s="184"/>
      <c r="Y21" s="646"/>
      <c r="Z21" s="646">
        <v>668.46</v>
      </c>
      <c r="AA21" s="185">
        <v>668.46</v>
      </c>
      <c r="AB21" s="889">
        <v>668.46</v>
      </c>
      <c r="AC21" s="776">
        <v>706.92</v>
      </c>
      <c r="AD21" s="124">
        <v>755.44</v>
      </c>
      <c r="AE21" s="124">
        <v>561.19000000000005</v>
      </c>
      <c r="AF21" s="253">
        <v>660.62</v>
      </c>
      <c r="AG21" s="253">
        <f t="shared" si="7"/>
        <v>660.62</v>
      </c>
      <c r="AH21" s="114"/>
      <c r="DG21" s="1019">
        <f>IFERROR((DI21)/(DJ21),"")</f>
        <v>1.6425814647602304</v>
      </c>
      <c r="DH21" s="187" t="str">
        <f t="shared" si="12"/>
        <v>Cooling RES 18 Year EUL</v>
      </c>
      <c r="DI21" s="1020">
        <f>(INDEX('Avoided Cost Benefits'!$B$4:$B$866,MATCH(DH21,'Avoided Cost Benefits'!$A$4:$A$866,0)))*F21</f>
        <v>1512.6671304806996</v>
      </c>
      <c r="DJ21" s="2051">
        <f t="shared" si="13"/>
        <v>920.90843768379273</v>
      </c>
    </row>
    <row r="22" spans="1:114" x14ac:dyDescent="0.25">
      <c r="A22" s="1929" t="s">
        <v>607</v>
      </c>
      <c r="B22" s="1318">
        <f t="shared" si="0"/>
        <v>351170</v>
      </c>
      <c r="C22" s="650" t="s">
        <v>887</v>
      </c>
      <c r="D22" s="1974" t="s">
        <v>863</v>
      </c>
      <c r="E22" s="1266" t="s">
        <v>888</v>
      </c>
      <c r="F22" s="124">
        <f>ROUND(((J55*J78*(1/J147-1/J124))/1000)*J170*$J$179,2)</f>
        <v>2860.89</v>
      </c>
      <c r="G22" s="248" t="s">
        <v>694</v>
      </c>
      <c r="H22" s="66">
        <f>VLOOKUP(G22,'CP FACTORS'!$A$3:$B$38, 2, FALSE)</f>
        <v>9.4741810000000004E-4</v>
      </c>
      <c r="I22" s="525">
        <f t="shared" si="14"/>
        <v>2.7104590000000002</v>
      </c>
      <c r="J22" s="182">
        <f t="shared" ref="J22:J24" si="15">J194</f>
        <v>6</v>
      </c>
      <c r="K22" s="128">
        <f t="shared" si="9"/>
        <v>994.85487938259848</v>
      </c>
      <c r="L22" s="20">
        <f t="shared" si="10"/>
        <v>3.549074074074074</v>
      </c>
      <c r="N22" s="532"/>
      <c r="T22" s="50"/>
      <c r="U22" s="50"/>
      <c r="V22" s="1249" t="s">
        <v>46</v>
      </c>
      <c r="W22" s="891"/>
      <c r="X22" s="184"/>
      <c r="Y22" s="646"/>
      <c r="Z22" s="646">
        <v>2109.06</v>
      </c>
      <c r="AA22" s="185">
        <v>2109.06</v>
      </c>
      <c r="AB22" s="889">
        <v>2109.06</v>
      </c>
      <c r="AC22" s="776">
        <v>3099.52</v>
      </c>
      <c r="AD22" s="124">
        <v>3353.86</v>
      </c>
      <c r="AE22" s="124">
        <v>3468.74</v>
      </c>
      <c r="AF22" s="253">
        <v>3468.74</v>
      </c>
      <c r="AG22" s="253">
        <f t="shared" si="7"/>
        <v>2860.89</v>
      </c>
      <c r="AH22" s="114"/>
      <c r="DG22" s="1019">
        <f>(DI22+DI23)/(DJ22+DJ23)</f>
        <v>3.9386244689796817</v>
      </c>
      <c r="DH22" s="1240" t="str">
        <f t="shared" si="12"/>
        <v>Cooling RES 6 Year EUL</v>
      </c>
      <c r="DI22" s="1020">
        <f>(INDEX('Avoided Cost Benefits'!$B$4:$B$866,MATCH(DH22,'Avoided Cost Benefits'!$A$4:$A$866,0)))*F22</f>
        <v>2849.0118631535183</v>
      </c>
      <c r="DJ22" s="2051">
        <f t="shared" si="13"/>
        <v>994.85487938259848</v>
      </c>
    </row>
    <row r="23" spans="1:114" x14ac:dyDescent="0.25">
      <c r="A23" s="1929" t="s">
        <v>607</v>
      </c>
      <c r="B23" s="1318">
        <f t="shared" si="0"/>
        <v>351170</v>
      </c>
      <c r="C23" s="650" t="s">
        <v>887</v>
      </c>
      <c r="D23" s="1974" t="s">
        <v>863</v>
      </c>
      <c r="E23" s="1267" t="s">
        <v>889</v>
      </c>
      <c r="F23" s="124">
        <f>ROUND(((J56*J79*(1/J102-1/J125))/1000)*J171*$J$179,2)</f>
        <v>826.44</v>
      </c>
      <c r="G23" s="248" t="s">
        <v>866</v>
      </c>
      <c r="H23" s="66">
        <f>VLOOKUP(G23,'CP FACTORS'!$A$3:$B$38, 2, FALSE)</f>
        <v>9.4741810000000004E-4</v>
      </c>
      <c r="I23" s="525">
        <f t="shared" si="14"/>
        <v>0.78298400000000001</v>
      </c>
      <c r="J23" s="182">
        <f t="shared" si="15"/>
        <v>12</v>
      </c>
      <c r="K23" s="128">
        <f t="shared" si="9"/>
        <v>0</v>
      </c>
      <c r="L23" s="20">
        <f t="shared" si="10"/>
        <v>3.549074074074074</v>
      </c>
      <c r="N23" s="532"/>
      <c r="T23" s="50"/>
      <c r="U23" s="50"/>
      <c r="V23" s="1249" t="s">
        <v>46</v>
      </c>
      <c r="W23" s="891"/>
      <c r="X23" s="184"/>
      <c r="Y23" s="646"/>
      <c r="Z23" s="646">
        <v>759.94</v>
      </c>
      <c r="AA23" s="185">
        <v>759.94</v>
      </c>
      <c r="AB23" s="889">
        <v>759.94</v>
      </c>
      <c r="AC23" s="776">
        <v>1090.6400000000001</v>
      </c>
      <c r="AD23" s="124">
        <v>1110.54</v>
      </c>
      <c r="AE23" s="124">
        <v>858.8</v>
      </c>
      <c r="AF23" s="253">
        <v>1002.03</v>
      </c>
      <c r="AG23" s="253">
        <f t="shared" si="7"/>
        <v>826.44</v>
      </c>
      <c r="AH23" s="114"/>
      <c r="DG23" s="1021"/>
      <c r="DH23" s="1241" t="str">
        <f t="shared" si="12"/>
        <v>Cooling RES ER2 12 Year EUL</v>
      </c>
      <c r="DI23" s="1020">
        <f>(INDEX('Avoided Cost Benefits'!$B$4:$B$866,MATCH(DH23,'Avoided Cost Benefits'!$A$4:$A$866,0)))*F23</f>
        <v>1069.3479078666137</v>
      </c>
      <c r="DJ23" s="2051">
        <f t="shared" si="13"/>
        <v>0</v>
      </c>
    </row>
    <row r="24" spans="1:114" x14ac:dyDescent="0.25">
      <c r="A24" s="1929" t="s">
        <v>607</v>
      </c>
      <c r="B24" s="1318">
        <f t="shared" si="0"/>
        <v>351171</v>
      </c>
      <c r="C24" s="650" t="s">
        <v>890</v>
      </c>
      <c r="D24" s="1974" t="s">
        <v>863</v>
      </c>
      <c r="E24" s="1266" t="s">
        <v>891</v>
      </c>
      <c r="F24" s="124">
        <f>ROUND(((J57*J80*(1/J103-1/J126))/1000)*J172*$J$179,2)</f>
        <v>805.6</v>
      </c>
      <c r="G24" s="248" t="s">
        <v>694</v>
      </c>
      <c r="H24" s="66">
        <f>VLOOKUP(G24,'CP FACTORS'!$A$3:$B$38, 2, FALSE)</f>
        <v>9.4741810000000004E-4</v>
      </c>
      <c r="I24" s="525">
        <f t="shared" si="14"/>
        <v>0.76324000000000003</v>
      </c>
      <c r="J24" s="182">
        <f t="shared" si="15"/>
        <v>18</v>
      </c>
      <c r="K24" s="128">
        <f t="shared" si="9"/>
        <v>920.90843768379273</v>
      </c>
      <c r="L24" s="20">
        <f t="shared" si="10"/>
        <v>3.4388888888888887</v>
      </c>
      <c r="N24" s="532"/>
      <c r="T24" s="50"/>
      <c r="U24" s="50"/>
      <c r="V24" s="1249" t="s">
        <v>46</v>
      </c>
      <c r="W24" s="891"/>
      <c r="X24" s="184"/>
      <c r="Y24" s="646"/>
      <c r="Z24" s="646">
        <v>759.94</v>
      </c>
      <c r="AA24" s="185">
        <v>759.94</v>
      </c>
      <c r="AB24" s="889">
        <v>759.94</v>
      </c>
      <c r="AC24" s="776">
        <v>1119.32</v>
      </c>
      <c r="AD24" s="124">
        <v>1117.5899999999999</v>
      </c>
      <c r="AE24" s="124">
        <v>852.72</v>
      </c>
      <c r="AF24" s="253">
        <v>1037.44</v>
      </c>
      <c r="AG24" s="253">
        <f t="shared" si="7"/>
        <v>805.6</v>
      </c>
      <c r="AH24" s="114"/>
      <c r="DG24" s="1019">
        <f>(DI24)/(DJ24)</f>
        <v>2.003063225471287</v>
      </c>
      <c r="DH24" s="187" t="str">
        <f t="shared" si="12"/>
        <v>Cooling RES 18 Year EUL</v>
      </c>
      <c r="DI24" s="1020">
        <f>(INDEX('Avoided Cost Benefits'!$B$4:$B$866,MATCH(DH24,'Avoided Cost Benefits'!$A$4:$A$866,0)))*F24</f>
        <v>1844.6378255506215</v>
      </c>
      <c r="DJ24" s="2051">
        <f t="shared" si="13"/>
        <v>920.90843768379273</v>
      </c>
    </row>
    <row r="25" spans="1:114" x14ac:dyDescent="0.25">
      <c r="A25" s="2146" t="s">
        <v>607</v>
      </c>
      <c r="B25" s="1318">
        <f t="shared" si="0"/>
        <v>351180</v>
      </c>
      <c r="C25" s="18" t="s">
        <v>892</v>
      </c>
      <c r="D25" s="1974" t="s">
        <v>863</v>
      </c>
      <c r="E25" s="1266" t="s">
        <v>893</v>
      </c>
      <c r="F25" s="681">
        <f>ROUND(((J58*J81*(1/J150-1/J127))/1000)*J173*$J$179,2)</f>
        <v>2828.06</v>
      </c>
      <c r="G25" s="248" t="s">
        <v>694</v>
      </c>
      <c r="H25" s="66">
        <f>VLOOKUP(G25,'CP FACTORS'!$A$3:$B$38, 2, FALSE)</f>
        <v>9.4741810000000004E-4</v>
      </c>
      <c r="I25" s="525">
        <f t="shared" si="14"/>
        <v>2.6793550000000002</v>
      </c>
      <c r="J25" s="182">
        <f t="shared" ref="J25:J27" si="16">J197</f>
        <v>6</v>
      </c>
      <c r="K25" s="128">
        <f t="shared" si="9"/>
        <v>1080.2617102968206</v>
      </c>
      <c r="L25" s="20">
        <f t="shared" si="10"/>
        <v>3.6090823970000003</v>
      </c>
      <c r="N25" s="532"/>
      <c r="O25" s="528"/>
      <c r="T25" s="50"/>
      <c r="U25" s="50"/>
      <c r="V25" s="1249" t="s">
        <v>46</v>
      </c>
      <c r="W25" s="891"/>
      <c r="X25" s="184"/>
      <c r="Y25" s="646"/>
      <c r="Z25" s="646">
        <v>2191.38</v>
      </c>
      <c r="AA25" s="185">
        <v>2191.38</v>
      </c>
      <c r="AB25" s="889">
        <v>2191.38</v>
      </c>
      <c r="AC25" s="776">
        <v>2498.15</v>
      </c>
      <c r="AD25" s="124">
        <v>2895.68</v>
      </c>
      <c r="AE25" s="124">
        <v>2749.75</v>
      </c>
      <c r="AF25" s="253">
        <v>2828.06</v>
      </c>
      <c r="AG25" s="253">
        <f t="shared" si="7"/>
        <v>2828.06</v>
      </c>
      <c r="AH25" s="114"/>
      <c r="DG25" s="1019">
        <f>(DI25+DI26)/(DJ25+DJ26)</f>
        <v>3.7273821117244457</v>
      </c>
      <c r="DH25" s="1240" t="str">
        <f t="shared" si="12"/>
        <v>Cooling RES 6 Year EUL</v>
      </c>
      <c r="DI25" s="1020">
        <f>(INDEX('Avoided Cost Benefits'!$B$4:$B$866,MATCH(DH25,'Avoided Cost Benefits'!$A$4:$A$866,0)))*F25</f>
        <v>2816.3181701183685</v>
      </c>
      <c r="DJ25" s="2051">
        <f t="shared" si="13"/>
        <v>1080.2617102968206</v>
      </c>
    </row>
    <row r="26" spans="1:114" x14ac:dyDescent="0.25">
      <c r="A26" s="2146" t="s">
        <v>607</v>
      </c>
      <c r="B26" s="1318">
        <f t="shared" si="0"/>
        <v>351180</v>
      </c>
      <c r="C26" s="18" t="s">
        <v>892</v>
      </c>
      <c r="D26" s="1974" t="s">
        <v>863</v>
      </c>
      <c r="E26" s="1267" t="s">
        <v>894</v>
      </c>
      <c r="F26" s="681">
        <f>ROUND(((J59*J82*(1/J105-1/J128))/1000)*J174*$J$179,2)</f>
        <v>935.32</v>
      </c>
      <c r="G26" s="248" t="s">
        <v>866</v>
      </c>
      <c r="H26" s="66">
        <f>VLOOKUP(G26,'CP FACTORS'!$A$3:$B$38, 2, FALSE)</f>
        <v>9.4741810000000004E-4</v>
      </c>
      <c r="I26" s="525">
        <f t="shared" si="14"/>
        <v>0.88613900000000001</v>
      </c>
      <c r="J26" s="182">
        <f t="shared" si="16"/>
        <v>12</v>
      </c>
      <c r="K26" s="128">
        <f t="shared" si="9"/>
        <v>0</v>
      </c>
      <c r="L26" s="20">
        <f t="shared" si="10"/>
        <v>3.6090823970000003</v>
      </c>
      <c r="N26" s="532"/>
      <c r="O26" s="528"/>
      <c r="T26" s="50"/>
      <c r="U26" s="50"/>
      <c r="V26" s="1249" t="s">
        <v>46</v>
      </c>
      <c r="W26" s="891"/>
      <c r="X26" s="184"/>
      <c r="Y26" s="646"/>
      <c r="Z26" s="646">
        <v>842.26</v>
      </c>
      <c r="AA26" s="185">
        <v>842.26</v>
      </c>
      <c r="AB26" s="889">
        <v>842.26</v>
      </c>
      <c r="AC26" s="776">
        <v>975.66</v>
      </c>
      <c r="AD26" s="124">
        <v>967.28</v>
      </c>
      <c r="AE26" s="124">
        <v>764.57</v>
      </c>
      <c r="AF26" s="253">
        <v>935.32</v>
      </c>
      <c r="AG26" s="253">
        <f t="shared" si="7"/>
        <v>935.32</v>
      </c>
      <c r="AH26" s="114"/>
      <c r="DG26" s="1021"/>
      <c r="DH26" s="1241" t="str">
        <f t="shared" si="12"/>
        <v>Cooling RES ER2 12 Year EUL</v>
      </c>
      <c r="DI26" s="1020">
        <f>(INDEX('Avoided Cost Benefits'!$B$4:$B$866,MATCH(DH26,'Avoided Cost Benefits'!$A$4:$A$866,0)))*F26</f>
        <v>1210.230004822856</v>
      </c>
      <c r="DJ26" s="2051">
        <f t="shared" si="13"/>
        <v>0</v>
      </c>
    </row>
    <row r="27" spans="1:114" x14ac:dyDescent="0.25">
      <c r="A27" s="2146" t="s">
        <v>607</v>
      </c>
      <c r="B27" s="1318">
        <f t="shared" si="0"/>
        <v>351181</v>
      </c>
      <c r="C27" s="18" t="s">
        <v>895</v>
      </c>
      <c r="D27" s="1974" t="s">
        <v>863</v>
      </c>
      <c r="E27" s="1266" t="s">
        <v>896</v>
      </c>
      <c r="F27" s="681">
        <f>ROUND(((J60*J83*(1/J106-1/J129))/1000)*J175*$J$179,2)</f>
        <v>968.73</v>
      </c>
      <c r="G27" s="248" t="s">
        <v>694</v>
      </c>
      <c r="H27" s="66">
        <f>VLOOKUP(G27,'CP FACTORS'!$A$3:$B$38, 2, FALSE)</f>
        <v>9.4741810000000004E-4</v>
      </c>
      <c r="I27" s="525">
        <f t="shared" si="14"/>
        <v>0.91779200000000005</v>
      </c>
      <c r="J27" s="182">
        <f t="shared" si="16"/>
        <v>18</v>
      </c>
      <c r="K27" s="128">
        <f t="shared" si="9"/>
        <v>1006.3152685980149</v>
      </c>
      <c r="L27" s="20">
        <f t="shared" si="10"/>
        <v>3.7737500000000002</v>
      </c>
      <c r="N27" s="532"/>
      <c r="O27" s="528"/>
      <c r="T27" s="50"/>
      <c r="U27" s="50"/>
      <c r="V27" s="1249" t="s">
        <v>46</v>
      </c>
      <c r="W27" s="891"/>
      <c r="X27" s="184"/>
      <c r="Y27" s="646"/>
      <c r="Z27" s="646">
        <v>842.26</v>
      </c>
      <c r="AA27" s="185">
        <v>842.26</v>
      </c>
      <c r="AB27" s="889">
        <v>842.26</v>
      </c>
      <c r="AC27" s="776">
        <v>917.64</v>
      </c>
      <c r="AD27" s="124">
        <v>951.42</v>
      </c>
      <c r="AE27" s="124">
        <v>662.85</v>
      </c>
      <c r="AF27" s="253">
        <v>968.73</v>
      </c>
      <c r="AG27" s="253">
        <f t="shared" si="7"/>
        <v>968.73</v>
      </c>
      <c r="AH27" s="114"/>
      <c r="DG27" s="1019">
        <f>(DI27)/(DJ27)</f>
        <v>2.2042474116877364</v>
      </c>
      <c r="DH27" s="187" t="str">
        <f t="shared" si="12"/>
        <v>Cooling RES 18 Year EUL</v>
      </c>
      <c r="DI27" s="1020">
        <f>(INDEX('Avoided Cost Benefits'!$B$4:$B$866,MATCH(DH27,'Avoided Cost Benefits'!$A$4:$A$866,0)))*F27</f>
        <v>2218.1678261490238</v>
      </c>
      <c r="DJ27" s="2051">
        <f t="shared" si="13"/>
        <v>1006.3152685980149</v>
      </c>
    </row>
    <row r="28" spans="1:114" x14ac:dyDescent="0.25">
      <c r="A28" s="2146" t="s">
        <v>607</v>
      </c>
      <c r="B28" s="1318">
        <f t="shared" si="0"/>
        <v>351190</v>
      </c>
      <c r="C28" s="18" t="s">
        <v>897</v>
      </c>
      <c r="D28" s="1974" t="s">
        <v>863</v>
      </c>
      <c r="E28" s="1266" t="s">
        <v>898</v>
      </c>
      <c r="F28" s="681">
        <f>ROUND(((J61*J84*(1/J153-1/J130))/1000)*J176*$J$179,2)</f>
        <v>2724.14</v>
      </c>
      <c r="G28" s="248" t="s">
        <v>694</v>
      </c>
      <c r="H28" s="66">
        <f>VLOOKUP(G28,'CP FACTORS'!$A$3:$B$38, 2, FALSE)</f>
        <v>9.4741810000000004E-4</v>
      </c>
      <c r="I28" s="525">
        <f t="shared" si="14"/>
        <v>2.5809000000000002</v>
      </c>
      <c r="J28" s="182">
        <f t="shared" ref="J28:J30" si="17">J200</f>
        <v>6</v>
      </c>
      <c r="K28" s="128">
        <f t="shared" si="9"/>
        <v>1193.5185947700302</v>
      </c>
      <c r="L28" s="20">
        <f t="shared" si="10"/>
        <v>3.297874149663266</v>
      </c>
      <c r="N28" s="532"/>
      <c r="T28" s="50"/>
      <c r="U28" s="50"/>
      <c r="V28" s="1249" t="s">
        <v>46</v>
      </c>
      <c r="W28" s="891"/>
      <c r="X28" s="184"/>
      <c r="Y28" s="646"/>
      <c r="Z28" s="646">
        <v>2265.87</v>
      </c>
      <c r="AA28" s="185">
        <v>2265.87</v>
      </c>
      <c r="AB28" s="889">
        <v>2265.87</v>
      </c>
      <c r="AC28" s="776">
        <v>2515.91</v>
      </c>
      <c r="AD28" s="124">
        <v>2849.43</v>
      </c>
      <c r="AE28" s="124">
        <v>2671.22</v>
      </c>
      <c r="AF28" s="253">
        <v>2724.14</v>
      </c>
      <c r="AG28" s="253">
        <f t="shared" si="7"/>
        <v>2724.14</v>
      </c>
      <c r="AH28" s="114"/>
      <c r="DG28" s="1019">
        <f>(DI28+DI29)/(DJ28+DJ29)</f>
        <v>3.3685067344796575</v>
      </c>
      <c r="DH28" s="1240" t="str">
        <f t="shared" si="12"/>
        <v>Cooling RES 6 Year EUL</v>
      </c>
      <c r="DI28" s="1020">
        <f>(INDEX('Avoided Cost Benefits'!$B$4:$B$866,MATCH(DH28,'Avoided Cost Benefits'!$A$4:$A$866,0)))*F28</f>
        <v>2712.8296358444491</v>
      </c>
      <c r="DJ28" s="2051">
        <f t="shared" si="13"/>
        <v>1193.5185947700302</v>
      </c>
    </row>
    <row r="29" spans="1:114" x14ac:dyDescent="0.25">
      <c r="A29" s="2146" t="s">
        <v>607</v>
      </c>
      <c r="B29" s="1318">
        <f t="shared" ref="B29:B30" si="18">VALUE(LEFT(C29,6))</f>
        <v>351190</v>
      </c>
      <c r="C29" s="18" t="s">
        <v>897</v>
      </c>
      <c r="D29" s="1974" t="s">
        <v>863</v>
      </c>
      <c r="E29" s="1267" t="s">
        <v>899</v>
      </c>
      <c r="F29" s="681">
        <f>ROUND(((J62*J85*(1/J108-1/J131))/1000)*J177*$J$179,2)</f>
        <v>1010.53</v>
      </c>
      <c r="G29" s="248" t="s">
        <v>866</v>
      </c>
      <c r="H29" s="66">
        <f>VLOOKUP(G29,'CP FACTORS'!$A$3:$B$38, 2, FALSE)</f>
        <v>9.4741810000000004E-4</v>
      </c>
      <c r="I29" s="525">
        <f t="shared" si="14"/>
        <v>0.95739399999999997</v>
      </c>
      <c r="J29" s="182">
        <f t="shared" si="17"/>
        <v>12</v>
      </c>
      <c r="K29" s="128">
        <f t="shared" si="9"/>
        <v>0</v>
      </c>
      <c r="L29" s="20">
        <f t="shared" si="10"/>
        <v>3.297874149663266</v>
      </c>
      <c r="N29" s="532"/>
      <c r="T29" s="50"/>
      <c r="U29" s="50"/>
      <c r="V29" s="1249" t="s">
        <v>46</v>
      </c>
      <c r="W29" s="891"/>
      <c r="X29" s="184"/>
      <c r="Y29" s="646"/>
      <c r="Z29" s="646">
        <v>916.75</v>
      </c>
      <c r="AA29" s="185">
        <v>916.75</v>
      </c>
      <c r="AB29" s="889">
        <v>916.75</v>
      </c>
      <c r="AC29" s="776">
        <v>1081.83</v>
      </c>
      <c r="AD29" s="124">
        <v>1055.1400000000001</v>
      </c>
      <c r="AE29" s="124">
        <v>880.23</v>
      </c>
      <c r="AF29" s="253">
        <v>1010.53</v>
      </c>
      <c r="AG29" s="253">
        <f t="shared" si="7"/>
        <v>1010.53</v>
      </c>
      <c r="AH29" s="114"/>
      <c r="DG29" s="1021"/>
      <c r="DH29" s="1241" t="str">
        <f t="shared" si="12"/>
        <v>Cooling RES ER2 12 Year EUL</v>
      </c>
      <c r="DI29" s="1020">
        <f>(INDEX('Avoided Cost Benefits'!$B$4:$B$866,MATCH(DH29,'Avoided Cost Benefits'!$A$4:$A$866,0)))*F29</f>
        <v>1307.5457883650949</v>
      </c>
      <c r="DJ29" s="2051">
        <f t="shared" ref="DJ29:DJ30" si="19">IFERROR(K29/((1+DiscountRate)^(CurrentYear-DiscountYear)),0)</f>
        <v>0</v>
      </c>
    </row>
    <row r="30" spans="1:114" x14ac:dyDescent="0.25">
      <c r="A30" s="2146" t="s">
        <v>607</v>
      </c>
      <c r="B30" s="1318">
        <f t="shared" si="18"/>
        <v>351191</v>
      </c>
      <c r="C30" s="18" t="s">
        <v>900</v>
      </c>
      <c r="D30" s="1974" t="s">
        <v>863</v>
      </c>
      <c r="E30" s="1266" t="s">
        <v>901</v>
      </c>
      <c r="F30" s="681">
        <f>ROUND(((J63*J86*(1/J109-1/J132))/1000)*J178*$J$179,2)</f>
        <v>1067.57</v>
      </c>
      <c r="G30" s="248" t="s">
        <v>694</v>
      </c>
      <c r="H30" s="66">
        <f>VLOOKUP(G30,'CP FACTORS'!$A$3:$B$38, 2, FALSE)</f>
        <v>9.4741810000000004E-4</v>
      </c>
      <c r="I30" s="525">
        <f t="shared" si="14"/>
        <v>1.0114350000000001</v>
      </c>
      <c r="J30" s="182">
        <f t="shared" si="17"/>
        <v>18</v>
      </c>
      <c r="K30" s="128">
        <f t="shared" ref="K30" si="20">J225</f>
        <v>1240.2557184934958</v>
      </c>
      <c r="L30" s="20">
        <f t="shared" ref="L30" si="21">K86</f>
        <v>3.376689189189189</v>
      </c>
      <c r="N30" s="532"/>
      <c r="T30" s="50"/>
      <c r="U30" s="50"/>
      <c r="V30" s="1249" t="s">
        <v>46</v>
      </c>
      <c r="W30" s="891"/>
      <c r="X30" s="184"/>
      <c r="Y30" s="646"/>
      <c r="Z30" s="646">
        <v>916.75</v>
      </c>
      <c r="AA30" s="185">
        <v>916.75</v>
      </c>
      <c r="AB30" s="889">
        <v>916.75</v>
      </c>
      <c r="AC30" s="776">
        <v>1009.72</v>
      </c>
      <c r="AD30" s="124">
        <v>1069.17</v>
      </c>
      <c r="AE30" s="124">
        <v>990.06</v>
      </c>
      <c r="AF30" s="253">
        <v>1067.57</v>
      </c>
      <c r="AG30" s="253">
        <f t="shared" si="7"/>
        <v>1067.57</v>
      </c>
      <c r="AH30" s="114"/>
      <c r="DG30" s="1019">
        <f>(DI30)/(DJ30)</f>
        <v>1.9709553019910859</v>
      </c>
      <c r="DH30" s="187" t="str">
        <f t="shared" si="12"/>
        <v>Cooling RES 18 Year EUL</v>
      </c>
      <c r="DI30" s="1020">
        <f>(INDEX('Avoided Cost Benefits'!$B$4:$B$866,MATCH(DH30,'Avoided Cost Benefits'!$A$4:$A$866,0)))*F30</f>
        <v>2444.4885841895193</v>
      </c>
      <c r="DJ30" s="2051">
        <f t="shared" si="19"/>
        <v>1240.2557184934958</v>
      </c>
    </row>
    <row r="31" spans="1:114" outlineLevel="1" x14ac:dyDescent="0.25">
      <c r="A31" s="2145" t="s">
        <v>607</v>
      </c>
      <c r="C31" s="49"/>
      <c r="D31" s="74" t="s">
        <v>95</v>
      </c>
      <c r="E31" s="914" t="s">
        <v>902</v>
      </c>
      <c r="F31" s="529"/>
      <c r="G31" s="914"/>
      <c r="H31" s="915"/>
      <c r="I31" s="916"/>
      <c r="J31" s="917"/>
      <c r="K31" s="530"/>
      <c r="L31" s="530"/>
      <c r="M31" s="531"/>
      <c r="N31" s="532"/>
      <c r="T31" s="50"/>
      <c r="U31" s="50"/>
      <c r="V31" s="50"/>
      <c r="DG31" s="543"/>
      <c r="DH31" s="172"/>
      <c r="DI31" s="1020"/>
      <c r="DJ31" s="2045"/>
    </row>
    <row r="32" spans="1:114" outlineLevel="1" x14ac:dyDescent="0.25">
      <c r="A32" s="2145"/>
      <c r="C32" s="49"/>
      <c r="D32" s="74" t="s">
        <v>609</v>
      </c>
      <c r="E32" s="914" t="s">
        <v>903</v>
      </c>
      <c r="F32" s="529"/>
      <c r="G32" s="914"/>
      <c r="H32" s="915"/>
      <c r="I32" s="916"/>
      <c r="J32" s="917"/>
      <c r="K32" s="530"/>
      <c r="L32" s="530"/>
      <c r="M32" s="531"/>
      <c r="N32" s="532"/>
      <c r="T32" s="50"/>
      <c r="U32" s="50"/>
      <c r="V32" s="50"/>
      <c r="DG32" s="1015"/>
      <c r="DH32" s="527"/>
      <c r="DI32" s="1020"/>
      <c r="DJ32" s="2045"/>
    </row>
    <row r="33" spans="1:114" outlineLevel="1" x14ac:dyDescent="0.25">
      <c r="A33" s="2145"/>
      <c r="C33" s="49"/>
      <c r="E33" s="914" t="s">
        <v>904</v>
      </c>
      <c r="F33" s="529"/>
      <c r="G33" s="914"/>
      <c r="H33" s="915"/>
      <c r="I33" s="916"/>
      <c r="J33" s="917"/>
      <c r="K33" s="530"/>
      <c r="L33" s="530"/>
      <c r="M33" s="531"/>
      <c r="N33" s="532"/>
      <c r="T33" s="50"/>
      <c r="U33" s="50"/>
      <c r="V33" s="50"/>
      <c r="DG33" s="1015"/>
      <c r="DH33" s="527"/>
      <c r="DI33" s="1020"/>
      <c r="DJ33" s="2045"/>
    </row>
    <row r="34" spans="1:114" outlineLevel="1" x14ac:dyDescent="0.25">
      <c r="A34" s="2145"/>
      <c r="C34" s="49"/>
      <c r="D34" s="914"/>
      <c r="E34" s="914" t="s">
        <v>905</v>
      </c>
      <c r="F34" s="529"/>
      <c r="G34" s="914"/>
      <c r="H34" s="915"/>
      <c r="I34" s="916"/>
      <c r="J34" s="917"/>
      <c r="K34" s="530"/>
      <c r="L34" s="530"/>
      <c r="M34" s="531"/>
      <c r="N34" s="532"/>
      <c r="T34" s="50"/>
      <c r="U34" s="50"/>
      <c r="V34" s="50"/>
      <c r="DG34" s="1015"/>
      <c r="DH34" s="527"/>
      <c r="DI34" s="1020"/>
      <c r="DJ34" s="2045"/>
    </row>
    <row r="35" spans="1:114" outlineLevel="1" x14ac:dyDescent="0.25">
      <c r="A35" s="2145"/>
      <c r="C35" s="49"/>
      <c r="D35" s="914"/>
      <c r="E35" s="914" t="s">
        <v>906</v>
      </c>
      <c r="F35" s="529"/>
      <c r="G35" s="914"/>
      <c r="H35" s="915"/>
      <c r="I35" s="916"/>
      <c r="J35" s="917"/>
      <c r="K35" s="530"/>
      <c r="L35" s="530"/>
      <c r="M35" s="531"/>
      <c r="N35" s="532"/>
      <c r="T35" s="50"/>
      <c r="U35" s="50"/>
      <c r="V35" s="50"/>
      <c r="DG35" s="1015"/>
      <c r="DH35" s="527"/>
      <c r="DI35" s="1020"/>
      <c r="DJ35" s="2045"/>
    </row>
    <row r="36" spans="1:114" outlineLevel="1" x14ac:dyDescent="0.25">
      <c r="A36" s="2145"/>
      <c r="C36" s="49"/>
      <c r="E36" s="100" t="s">
        <v>907</v>
      </c>
      <c r="G36" s="100"/>
      <c r="N36" s="532"/>
      <c r="O36" s="530"/>
      <c r="T36" s="50"/>
      <c r="U36" s="50"/>
      <c r="V36" s="50"/>
      <c r="DG36" s="1015"/>
      <c r="DH36" s="527"/>
      <c r="DI36" s="1020"/>
      <c r="DJ36" s="2045"/>
    </row>
    <row r="37" spans="1:114" outlineLevel="1" x14ac:dyDescent="0.25">
      <c r="A37" s="2145"/>
      <c r="C37" s="49"/>
      <c r="D37" s="100"/>
      <c r="E37" s="100" t="s">
        <v>908</v>
      </c>
      <c r="F37" s="100"/>
      <c r="H37" s="100"/>
      <c r="N37" s="532"/>
      <c r="O37" s="530"/>
      <c r="T37" s="50"/>
      <c r="U37" s="50"/>
      <c r="V37" s="50"/>
      <c r="DG37" s="1015"/>
      <c r="DH37" s="527"/>
      <c r="DI37" s="1020"/>
      <c r="DJ37" s="2045"/>
    </row>
    <row r="38" spans="1:114" outlineLevel="1" x14ac:dyDescent="0.25">
      <c r="A38" s="2145"/>
      <c r="C38" s="49"/>
      <c r="D38" s="100"/>
      <c r="E38" s="50" t="s">
        <v>612</v>
      </c>
      <c r="G38" s="100"/>
      <c r="I38" s="49"/>
      <c r="J38" s="49"/>
      <c r="K38" s="49"/>
      <c r="L38" s="49"/>
      <c r="M38" s="49"/>
      <c r="N38" s="532"/>
      <c r="T38" s="50"/>
      <c r="U38" s="50"/>
      <c r="V38" s="50"/>
      <c r="DG38" s="1015"/>
      <c r="DH38" s="527"/>
      <c r="DI38" s="1020"/>
      <c r="DJ38" s="2045"/>
    </row>
    <row r="39" spans="1:114" outlineLevel="1" x14ac:dyDescent="0.25">
      <c r="A39" s="2145"/>
      <c r="C39" s="49"/>
      <c r="D39" s="100"/>
      <c r="G39" s="100"/>
      <c r="I39" s="49"/>
      <c r="J39" s="49"/>
      <c r="K39" s="49"/>
      <c r="L39" s="49"/>
      <c r="M39" s="49"/>
      <c r="N39" s="532"/>
      <c r="T39" s="50"/>
      <c r="U39" s="50"/>
      <c r="V39" s="50"/>
      <c r="DG39" s="1015"/>
      <c r="DH39" s="527"/>
      <c r="DI39" s="1020"/>
      <c r="DJ39" s="2045"/>
    </row>
    <row r="40" spans="1:114" ht="30" outlineLevel="1" x14ac:dyDescent="0.25">
      <c r="A40" s="2145"/>
      <c r="C40" s="49"/>
      <c r="D40" s="1309" t="s">
        <v>720</v>
      </c>
      <c r="E40" s="1309" t="s">
        <v>613</v>
      </c>
      <c r="F40" s="2378" t="s">
        <v>614</v>
      </c>
      <c r="G40" s="2378"/>
      <c r="H40" s="2378"/>
      <c r="I40" s="1242" t="s">
        <v>43</v>
      </c>
      <c r="J40" s="1242" t="s">
        <v>615</v>
      </c>
      <c r="K40" s="1242" t="s">
        <v>909</v>
      </c>
      <c r="L40" s="1242" t="s">
        <v>910</v>
      </c>
      <c r="N40" s="532"/>
      <c r="O40" s="532"/>
      <c r="P40" s="265"/>
      <c r="R40"/>
      <c r="S40" s="2432" t="s">
        <v>911</v>
      </c>
      <c r="T40" s="2432"/>
      <c r="U40" s="50"/>
      <c r="V40" s="162" t="s">
        <v>53</v>
      </c>
      <c r="W40" s="637">
        <f>W$7</f>
        <v>43252</v>
      </c>
      <c r="X40" s="637">
        <f t="shared" ref="X40:AG40" si="22">X$7</f>
        <v>43800</v>
      </c>
      <c r="Y40" s="637">
        <f t="shared" si="22"/>
        <v>43800</v>
      </c>
      <c r="Z40" s="637">
        <f t="shared" si="22"/>
        <v>43862</v>
      </c>
      <c r="AA40" s="637">
        <f t="shared" si="22"/>
        <v>44013</v>
      </c>
      <c r="AB40" s="637">
        <f t="shared" si="22"/>
        <v>44166</v>
      </c>
      <c r="AC40" s="637">
        <f t="shared" si="22"/>
        <v>44531</v>
      </c>
      <c r="AD40" s="637">
        <f t="shared" si="22"/>
        <v>44774</v>
      </c>
      <c r="AE40" s="637">
        <f t="shared" si="22"/>
        <v>45139</v>
      </c>
      <c r="AF40" s="637">
        <f t="shared" si="22"/>
        <v>45672</v>
      </c>
      <c r="AG40" s="110">
        <f t="shared" si="22"/>
        <v>45931</v>
      </c>
      <c r="DG40" s="543"/>
      <c r="DH40" s="172"/>
      <c r="DI40" s="1020"/>
      <c r="DJ40" s="2045"/>
    </row>
    <row r="41" spans="1:114" ht="24" outlineLevel="1" x14ac:dyDescent="0.25">
      <c r="A41" s="2145"/>
      <c r="C41" s="49"/>
      <c r="D41" s="2397" t="s">
        <v>912</v>
      </c>
      <c r="E41" s="2397" t="s">
        <v>913</v>
      </c>
      <c r="F41" s="2405" t="str">
        <f t="shared" ref="F41:F63" si="23">E8</f>
        <v>CAC-SEER15_ER1_SF</v>
      </c>
      <c r="G41" s="2405"/>
      <c r="H41" s="2405"/>
      <c r="I41" s="1268" t="str">
        <f t="shared" ref="I41:I63" si="24">C8</f>
        <v>350600_2024_12_</v>
      </c>
      <c r="J41" s="1534">
        <v>869</v>
      </c>
      <c r="K41" s="1307"/>
      <c r="L41" s="2393" t="s">
        <v>914</v>
      </c>
      <c r="N41" s="532"/>
      <c r="O41" s="532"/>
      <c r="Q41" s="1882" t="s">
        <v>915</v>
      </c>
      <c r="R41" s="1882" t="s">
        <v>916</v>
      </c>
      <c r="S41" s="1591" t="s">
        <v>917</v>
      </c>
      <c r="T41" s="1591" t="s">
        <v>918</v>
      </c>
      <c r="U41" s="50"/>
      <c r="V41" s="2415"/>
      <c r="W41" s="1268">
        <v>869</v>
      </c>
      <c r="X41" s="1268">
        <f t="shared" ref="X41:X46" si="25">W41</f>
        <v>869</v>
      </c>
      <c r="Y41" s="1268">
        <v>869</v>
      </c>
      <c r="Z41" s="1268">
        <v>869</v>
      </c>
      <c r="AA41" s="1268">
        <v>869</v>
      </c>
      <c r="AB41" s="892">
        <v>869</v>
      </c>
      <c r="AC41" s="892">
        <v>869</v>
      </c>
      <c r="AD41" s="892">
        <v>869</v>
      </c>
      <c r="AE41" s="1268">
        <v>869</v>
      </c>
      <c r="AF41" s="253">
        <v>869</v>
      </c>
      <c r="AG41" s="253">
        <f>IF(J41&lt;&gt;"",J41,"")</f>
        <v>869</v>
      </c>
      <c r="DG41" s="543"/>
      <c r="DH41" s="172"/>
      <c r="DI41" s="1020"/>
      <c r="DJ41" s="2045"/>
    </row>
    <row r="42" spans="1:114" ht="15" customHeight="1" outlineLevel="1" x14ac:dyDescent="0.25">
      <c r="A42" s="2145"/>
      <c r="C42" s="49"/>
      <c r="D42" s="2398"/>
      <c r="E42" s="2398"/>
      <c r="F42" s="2405" t="str">
        <f t="shared" si="23"/>
        <v>CAC-SEER15_ER2_SF</v>
      </c>
      <c r="G42" s="2405"/>
      <c r="H42" s="2405"/>
      <c r="I42" s="1268" t="str">
        <f t="shared" si="24"/>
        <v>350600_2024_12_</v>
      </c>
      <c r="J42" s="1534">
        <v>869</v>
      </c>
      <c r="K42" s="1307"/>
      <c r="L42" s="2420"/>
      <c r="N42" s="532"/>
      <c r="O42" s="532"/>
      <c r="Q42" s="1883">
        <v>13.9</v>
      </c>
      <c r="R42" s="1884">
        <v>111.40021423594317</v>
      </c>
      <c r="S42" s="1592">
        <v>3449.6933008396918</v>
      </c>
      <c r="T42" s="1593">
        <f t="shared" ref="T42:T51" si="26">S42-S$53*S$59</f>
        <v>185.34665593474892</v>
      </c>
      <c r="U42" s="50"/>
      <c r="V42" s="2415"/>
      <c r="W42" s="1268">
        <v>869</v>
      </c>
      <c r="X42" s="1268">
        <f t="shared" si="25"/>
        <v>869</v>
      </c>
      <c r="Y42" s="1268">
        <v>869</v>
      </c>
      <c r="Z42" s="1268">
        <v>869</v>
      </c>
      <c r="AA42" s="1268">
        <v>869</v>
      </c>
      <c r="AB42" s="892">
        <v>869</v>
      </c>
      <c r="AC42" s="892">
        <v>869</v>
      </c>
      <c r="AD42" s="892">
        <v>869</v>
      </c>
      <c r="AE42" s="1268">
        <v>869</v>
      </c>
      <c r="AF42" s="253">
        <v>869</v>
      </c>
      <c r="AG42" s="253">
        <f t="shared" ref="AG42:AG86" si="27">IF(J42&lt;&gt;"",J42,"")</f>
        <v>869</v>
      </c>
      <c r="DG42" s="543"/>
      <c r="DH42" s="172"/>
      <c r="DI42" s="1020"/>
      <c r="DJ42" s="2045"/>
    </row>
    <row r="43" spans="1:114" outlineLevel="1" x14ac:dyDescent="0.25">
      <c r="A43" s="2145"/>
      <c r="C43" s="49"/>
      <c r="D43" s="2398"/>
      <c r="E43" s="2398"/>
      <c r="F43" s="2405" t="str">
        <f t="shared" si="23"/>
        <v>CAC-SEER15_ROF_SF</v>
      </c>
      <c r="G43" s="2405"/>
      <c r="H43" s="2405"/>
      <c r="I43" s="1268" t="str">
        <f t="shared" si="24"/>
        <v>350650_2024_12_</v>
      </c>
      <c r="J43" s="1534">
        <v>869</v>
      </c>
      <c r="K43" s="1307"/>
      <c r="L43" s="2420"/>
      <c r="N43" s="532"/>
      <c r="O43" s="532"/>
      <c r="Q43" s="1883">
        <v>14.4</v>
      </c>
      <c r="R43" s="1884">
        <v>230.22710942094773</v>
      </c>
      <c r="S43" s="1592">
        <v>3568.5201960246964</v>
      </c>
      <c r="T43" s="1593">
        <f t="shared" si="26"/>
        <v>304.17355111975348</v>
      </c>
      <c r="U43" s="50"/>
      <c r="V43" s="2415"/>
      <c r="W43" s="1268">
        <v>869</v>
      </c>
      <c r="X43" s="1268">
        <f t="shared" si="25"/>
        <v>869</v>
      </c>
      <c r="Y43" s="1268">
        <v>869</v>
      </c>
      <c r="Z43" s="1268">
        <v>869</v>
      </c>
      <c r="AA43" s="1268">
        <v>869</v>
      </c>
      <c r="AB43" s="892">
        <v>869</v>
      </c>
      <c r="AC43" s="892">
        <v>869</v>
      </c>
      <c r="AD43" s="892">
        <v>869</v>
      </c>
      <c r="AE43" s="1268">
        <v>869</v>
      </c>
      <c r="AF43" s="253">
        <v>869</v>
      </c>
      <c r="AG43" s="253">
        <f t="shared" si="27"/>
        <v>869</v>
      </c>
      <c r="DG43" s="543"/>
      <c r="DH43" s="172"/>
      <c r="DI43" s="1020"/>
      <c r="DJ43" s="2045"/>
    </row>
    <row r="44" spans="1:114" outlineLevel="1" x14ac:dyDescent="0.25">
      <c r="A44" s="2145"/>
      <c r="C44" s="49"/>
      <c r="D44" s="2398"/>
      <c r="E44" s="2398"/>
      <c r="F44" s="2405" t="str">
        <f t="shared" si="23"/>
        <v>CAC-SEER16_ER1_SF</v>
      </c>
      <c r="G44" s="2405"/>
      <c r="H44" s="2405"/>
      <c r="I44" s="1268" t="str">
        <f t="shared" si="24"/>
        <v>350800_2024_12_</v>
      </c>
      <c r="J44" s="1534">
        <v>869</v>
      </c>
      <c r="K44" s="1307"/>
      <c r="L44" s="2420"/>
      <c r="N44" s="532"/>
      <c r="O44" s="532"/>
      <c r="P44" s="532"/>
      <c r="Q44" s="1883">
        <v>14.9</v>
      </c>
      <c r="R44" s="1884">
        <v>453.02753789283406</v>
      </c>
      <c r="S44" s="1592">
        <v>3791.3206244965827</v>
      </c>
      <c r="T44" s="1593">
        <f t="shared" si="26"/>
        <v>526.97397959163982</v>
      </c>
      <c r="U44" s="149"/>
      <c r="V44" s="2415"/>
      <c r="W44" s="1268">
        <v>869</v>
      </c>
      <c r="X44" s="1268">
        <f t="shared" si="25"/>
        <v>869</v>
      </c>
      <c r="Y44" s="1268">
        <v>869</v>
      </c>
      <c r="Z44" s="1268">
        <v>869</v>
      </c>
      <c r="AA44" s="1268">
        <v>869</v>
      </c>
      <c r="AB44" s="892">
        <v>869</v>
      </c>
      <c r="AC44" s="892">
        <v>869</v>
      </c>
      <c r="AD44" s="892">
        <v>869</v>
      </c>
      <c r="AE44" s="1268">
        <v>869</v>
      </c>
      <c r="AF44" s="253">
        <v>869</v>
      </c>
      <c r="AG44" s="253">
        <f t="shared" si="27"/>
        <v>869</v>
      </c>
      <c r="DG44" s="543"/>
      <c r="DH44" s="172"/>
      <c r="DI44" s="1020"/>
      <c r="DJ44" s="2045"/>
    </row>
    <row r="45" spans="1:114" outlineLevel="1" x14ac:dyDescent="0.25">
      <c r="A45" s="2145"/>
      <c r="C45" s="49"/>
      <c r="D45" s="2398"/>
      <c r="E45" s="2398"/>
      <c r="F45" s="2405" t="str">
        <f t="shared" si="23"/>
        <v>CAC-SEER16_ER2_SF</v>
      </c>
      <c r="G45" s="2405"/>
      <c r="H45" s="2405"/>
      <c r="I45" s="1268" t="str">
        <f t="shared" si="24"/>
        <v>350800_2024_12_</v>
      </c>
      <c r="J45" s="1534">
        <v>869</v>
      </c>
      <c r="K45" s="1307"/>
      <c r="L45" s="2420"/>
      <c r="N45" s="532"/>
      <c r="O45" s="532"/>
      <c r="P45" s="532"/>
      <c r="Q45" s="1883">
        <v>15.4</v>
      </c>
      <c r="R45" s="1884">
        <v>634.98122114487387</v>
      </c>
      <c r="S45" s="1592">
        <v>3973.2743077486225</v>
      </c>
      <c r="T45" s="1593">
        <f t="shared" si="26"/>
        <v>708.92766284367963</v>
      </c>
      <c r="U45" s="149"/>
      <c r="V45" s="2415"/>
      <c r="W45" s="1268">
        <v>869</v>
      </c>
      <c r="X45" s="1268">
        <f t="shared" si="25"/>
        <v>869</v>
      </c>
      <c r="Y45" s="1268">
        <v>869</v>
      </c>
      <c r="Z45" s="1268">
        <v>869</v>
      </c>
      <c r="AA45" s="1268">
        <v>869</v>
      </c>
      <c r="AB45" s="892">
        <v>869</v>
      </c>
      <c r="AC45" s="892">
        <v>869</v>
      </c>
      <c r="AD45" s="892">
        <v>869</v>
      </c>
      <c r="AE45" s="1268">
        <v>869</v>
      </c>
      <c r="AF45" s="253">
        <v>869</v>
      </c>
      <c r="AG45" s="253">
        <f t="shared" si="27"/>
        <v>869</v>
      </c>
      <c r="DG45" s="543"/>
      <c r="DH45" s="172"/>
      <c r="DI45" s="1020"/>
      <c r="DJ45" s="2045"/>
    </row>
    <row r="46" spans="1:114" outlineLevel="1" x14ac:dyDescent="0.25">
      <c r="A46" s="2145"/>
      <c r="C46" s="49"/>
      <c r="D46" s="2398"/>
      <c r="E46" s="2398"/>
      <c r="F46" s="2405" t="str">
        <f t="shared" si="23"/>
        <v>CAC-SEER16_ROF_SF</v>
      </c>
      <c r="G46" s="2405"/>
      <c r="H46" s="2405"/>
      <c r="I46" s="1268" t="str">
        <f t="shared" si="24"/>
        <v>350850_2024_12_</v>
      </c>
      <c r="J46" s="1534">
        <v>869</v>
      </c>
      <c r="K46" s="1307"/>
      <c r="L46" s="2420"/>
      <c r="N46" s="532"/>
      <c r="O46" s="532"/>
      <c r="P46" s="532"/>
      <c r="Q46" s="1883">
        <v>16.3</v>
      </c>
      <c r="R46" s="1884">
        <v>861.49499009128976</v>
      </c>
      <c r="S46" s="1592">
        <v>4199.7880766950384</v>
      </c>
      <c r="T46" s="1593">
        <f t="shared" si="26"/>
        <v>935.44143179009552</v>
      </c>
      <c r="U46" s="149"/>
      <c r="V46" s="2415"/>
      <c r="W46" s="1268">
        <v>869</v>
      </c>
      <c r="X46" s="1268">
        <f t="shared" si="25"/>
        <v>869</v>
      </c>
      <c r="Y46" s="1268">
        <v>869</v>
      </c>
      <c r="Z46" s="1268">
        <v>869</v>
      </c>
      <c r="AA46" s="1268">
        <v>869</v>
      </c>
      <c r="AB46" s="892">
        <v>869</v>
      </c>
      <c r="AC46" s="892">
        <v>869</v>
      </c>
      <c r="AD46" s="892">
        <v>869</v>
      </c>
      <c r="AE46" s="1268">
        <v>869</v>
      </c>
      <c r="AF46" s="253">
        <v>869</v>
      </c>
      <c r="AG46" s="253">
        <f t="shared" si="27"/>
        <v>869</v>
      </c>
      <c r="DG46" s="543"/>
      <c r="DH46" s="172"/>
      <c r="DI46" s="1020"/>
      <c r="DJ46" s="2045"/>
    </row>
    <row r="47" spans="1:114" ht="15" customHeight="1" outlineLevel="1" x14ac:dyDescent="0.25">
      <c r="A47" s="2145"/>
      <c r="C47" s="49"/>
      <c r="D47" s="2398"/>
      <c r="E47" s="2398"/>
      <c r="F47" s="2405" t="str">
        <f t="shared" si="23"/>
        <v>CAC-SEER16_ER1_MF</v>
      </c>
      <c r="G47" s="2405"/>
      <c r="H47" s="2405"/>
      <c r="I47" s="1268" t="str">
        <f t="shared" si="24"/>
        <v>350900_2024_12_</v>
      </c>
      <c r="J47" s="1534">
        <v>869</v>
      </c>
      <c r="K47" s="1307"/>
      <c r="L47" s="2420"/>
      <c r="N47" s="532"/>
      <c r="O47" s="532"/>
      <c r="P47" s="532"/>
      <c r="Q47" s="1883">
        <v>16.8</v>
      </c>
      <c r="R47" s="1884">
        <v>891.20171388754079</v>
      </c>
      <c r="S47" s="1592">
        <v>4229.4948004912894</v>
      </c>
      <c r="T47" s="1593">
        <f t="shared" si="26"/>
        <v>965.14815558634655</v>
      </c>
      <c r="U47" s="50"/>
      <c r="V47" s="2415"/>
      <c r="W47" s="1268">
        <v>869</v>
      </c>
      <c r="X47" s="779">
        <v>1215</v>
      </c>
      <c r="Y47" s="779">
        <v>869</v>
      </c>
      <c r="Z47" s="1268">
        <v>869</v>
      </c>
      <c r="AA47" s="1268">
        <v>869</v>
      </c>
      <c r="AB47" s="892">
        <v>869</v>
      </c>
      <c r="AC47" s="892">
        <v>869</v>
      </c>
      <c r="AD47" s="892">
        <v>869</v>
      </c>
      <c r="AE47" s="1268">
        <v>869</v>
      </c>
      <c r="AF47" s="253">
        <v>869</v>
      </c>
      <c r="AG47" s="253">
        <f t="shared" si="27"/>
        <v>869</v>
      </c>
      <c r="DG47" s="543"/>
      <c r="DH47" s="172"/>
      <c r="DI47" s="1020"/>
      <c r="DJ47" s="2045"/>
    </row>
    <row r="48" spans="1:114" outlineLevel="1" x14ac:dyDescent="0.25">
      <c r="A48" s="2145"/>
      <c r="C48" s="49"/>
      <c r="D48" s="2398"/>
      <c r="E48" s="2398"/>
      <c r="F48" s="2405" t="str">
        <f t="shared" si="23"/>
        <v>CAC-SEER16_ER2_MF</v>
      </c>
      <c r="G48" s="2405"/>
      <c r="H48" s="2405"/>
      <c r="I48" s="1268" t="str">
        <f t="shared" si="24"/>
        <v>350900_2024_12_</v>
      </c>
      <c r="J48" s="1534">
        <v>869</v>
      </c>
      <c r="K48" s="1307"/>
      <c r="L48" s="2420"/>
      <c r="N48" s="532"/>
      <c r="Q48" s="1883">
        <v>17.3</v>
      </c>
      <c r="R48" s="1884">
        <v>920.90843768379273</v>
      </c>
      <c r="S48" s="1592">
        <v>4259.2015242875414</v>
      </c>
      <c r="T48" s="1593">
        <f t="shared" si="26"/>
        <v>994.85487938259848</v>
      </c>
      <c r="U48" s="50"/>
      <c r="V48" s="2415"/>
      <c r="W48" s="1268">
        <v>869</v>
      </c>
      <c r="X48" s="779">
        <v>1215</v>
      </c>
      <c r="Y48" s="779">
        <v>869</v>
      </c>
      <c r="Z48" s="1268">
        <v>869</v>
      </c>
      <c r="AA48" s="1268">
        <v>869</v>
      </c>
      <c r="AB48" s="892">
        <v>869</v>
      </c>
      <c r="AC48" s="892">
        <v>869</v>
      </c>
      <c r="AD48" s="892">
        <v>869</v>
      </c>
      <c r="AE48" s="1268">
        <v>869</v>
      </c>
      <c r="AF48" s="253">
        <v>869</v>
      </c>
      <c r="AG48" s="253">
        <f t="shared" si="27"/>
        <v>869</v>
      </c>
      <c r="DG48" s="543"/>
      <c r="DH48" s="172"/>
      <c r="DI48" s="1020"/>
      <c r="DJ48" s="2045"/>
    </row>
    <row r="49" spans="1:114" outlineLevel="1" x14ac:dyDescent="0.25">
      <c r="A49" s="2145"/>
      <c r="C49" s="49"/>
      <c r="D49" s="2398"/>
      <c r="E49" s="2398"/>
      <c r="F49" s="2405" t="str">
        <f t="shared" si="23"/>
        <v>CAC-SEER17_ER1_SF</v>
      </c>
      <c r="G49" s="2405"/>
      <c r="H49" s="2405"/>
      <c r="I49" s="1268" t="str">
        <f t="shared" si="24"/>
        <v>351000_2024_12_</v>
      </c>
      <c r="J49" s="1534">
        <v>869</v>
      </c>
      <c r="K49" s="1307"/>
      <c r="L49" s="2420"/>
      <c r="N49" s="532"/>
      <c r="Q49" s="1883">
        <v>19.200000000000003</v>
      </c>
      <c r="R49" s="1884">
        <v>1006.3152685980149</v>
      </c>
      <c r="S49" s="1592">
        <v>4344.6083552017635</v>
      </c>
      <c r="T49" s="1593">
        <f t="shared" si="26"/>
        <v>1080.2617102968206</v>
      </c>
      <c r="U49" s="50"/>
      <c r="V49" s="2415"/>
      <c r="W49" s="1268">
        <v>869</v>
      </c>
      <c r="X49" s="1268">
        <f t="shared" ref="X49:X51" si="28">W49</f>
        <v>869</v>
      </c>
      <c r="Y49" s="1268">
        <v>869</v>
      </c>
      <c r="Z49" s="1268">
        <v>869</v>
      </c>
      <c r="AA49" s="1268">
        <v>869</v>
      </c>
      <c r="AB49" s="892">
        <v>869</v>
      </c>
      <c r="AC49" s="892">
        <v>869</v>
      </c>
      <c r="AD49" s="892">
        <v>869</v>
      </c>
      <c r="AE49" s="1268">
        <v>869</v>
      </c>
      <c r="AF49" s="253">
        <v>869</v>
      </c>
      <c r="AG49" s="253">
        <f t="shared" si="27"/>
        <v>869</v>
      </c>
      <c r="DG49" s="543"/>
      <c r="DH49" s="172"/>
      <c r="DI49" s="1020"/>
      <c r="DJ49" s="2045"/>
    </row>
    <row r="50" spans="1:114" outlineLevel="1" x14ac:dyDescent="0.25">
      <c r="A50" s="2145"/>
      <c r="C50" s="49"/>
      <c r="D50" s="2398"/>
      <c r="E50" s="2398"/>
      <c r="F50" s="2405" t="str">
        <f t="shared" si="23"/>
        <v>CAC-SEER17_ER2_SF</v>
      </c>
      <c r="G50" s="2405"/>
      <c r="H50" s="2405"/>
      <c r="I50" s="1268" t="str">
        <f t="shared" si="24"/>
        <v>351000_2024_12_</v>
      </c>
      <c r="J50" s="1534">
        <v>869</v>
      </c>
      <c r="K50" s="1307"/>
      <c r="L50" s="2420"/>
      <c r="N50" s="532"/>
      <c r="Q50" s="1883">
        <v>21.1</v>
      </c>
      <c r="R50" s="1884">
        <v>1119.5721530712244</v>
      </c>
      <c r="S50" s="1592">
        <v>4457.8652396749731</v>
      </c>
      <c r="T50" s="1593">
        <f t="shared" si="26"/>
        <v>1193.5185947700302</v>
      </c>
      <c r="U50" s="50"/>
      <c r="V50" s="2415"/>
      <c r="W50" s="1268">
        <v>869</v>
      </c>
      <c r="X50" s="1268">
        <f t="shared" si="28"/>
        <v>869</v>
      </c>
      <c r="Y50" s="1268">
        <v>869</v>
      </c>
      <c r="Z50" s="1268">
        <v>869</v>
      </c>
      <c r="AA50" s="1268">
        <v>869</v>
      </c>
      <c r="AB50" s="892">
        <v>869</v>
      </c>
      <c r="AC50" s="892">
        <v>869</v>
      </c>
      <c r="AD50" s="892">
        <v>869</v>
      </c>
      <c r="AE50" s="1268">
        <v>869</v>
      </c>
      <c r="AF50" s="253">
        <v>869</v>
      </c>
      <c r="AG50" s="253">
        <f t="shared" si="27"/>
        <v>869</v>
      </c>
      <c r="DG50" s="543"/>
      <c r="DH50" s="172"/>
      <c r="DI50" s="1020"/>
      <c r="DJ50" s="2045"/>
    </row>
    <row r="51" spans="1:114" outlineLevel="1" x14ac:dyDescent="0.25">
      <c r="A51" s="2145"/>
      <c r="C51" s="49"/>
      <c r="D51" s="2398"/>
      <c r="E51" s="2398"/>
      <c r="F51" s="2405" t="str">
        <f t="shared" si="23"/>
        <v>CAC-SEER17_ROF_SF</v>
      </c>
      <c r="G51" s="2405"/>
      <c r="H51" s="2405"/>
      <c r="I51" s="1268" t="str">
        <f t="shared" si="24"/>
        <v>351050_2024_12_</v>
      </c>
      <c r="J51" s="1534">
        <v>869</v>
      </c>
      <c r="K51" s="1307"/>
      <c r="L51" s="2420"/>
      <c r="N51" s="532"/>
      <c r="Q51" s="1883">
        <v>22.400000000000002</v>
      </c>
      <c r="R51" s="1884">
        <v>1240.2557184934958</v>
      </c>
      <c r="S51" s="1592">
        <v>4578.5488050972444</v>
      </c>
      <c r="T51" s="1593">
        <f t="shared" si="26"/>
        <v>1314.2021601923016</v>
      </c>
      <c r="U51" s="50"/>
      <c r="V51" s="2415"/>
      <c r="W51" s="1268">
        <v>869</v>
      </c>
      <c r="X51" s="1268">
        <f t="shared" si="28"/>
        <v>869</v>
      </c>
      <c r="Y51" s="1268">
        <v>869</v>
      </c>
      <c r="Z51" s="1268">
        <v>869</v>
      </c>
      <c r="AA51" s="1268">
        <v>869</v>
      </c>
      <c r="AB51" s="892">
        <v>869</v>
      </c>
      <c r="AC51" s="892">
        <v>869</v>
      </c>
      <c r="AD51" s="892">
        <v>869</v>
      </c>
      <c r="AE51" s="1268">
        <v>869</v>
      </c>
      <c r="AF51" s="253">
        <v>869</v>
      </c>
      <c r="AG51" s="253">
        <f t="shared" si="27"/>
        <v>869</v>
      </c>
      <c r="DG51" s="543"/>
      <c r="DH51" s="172"/>
      <c r="DI51" s="1020"/>
      <c r="DJ51" s="2045"/>
    </row>
    <row r="52" spans="1:114" ht="14.65" customHeight="1" outlineLevel="1" x14ac:dyDescent="0.25">
      <c r="A52" s="2145"/>
      <c r="C52" s="49"/>
      <c r="D52" s="2398"/>
      <c r="E52" s="2398"/>
      <c r="F52" s="2405" t="str">
        <f t="shared" si="23"/>
        <v>CAC-SEER18_ER1_SF</v>
      </c>
      <c r="G52" s="2405"/>
      <c r="H52" s="2405"/>
      <c r="I52" s="1268" t="str">
        <f t="shared" si="24"/>
        <v>351160_2024_12_</v>
      </c>
      <c r="J52" s="1534">
        <v>869</v>
      </c>
      <c r="K52" s="1307"/>
      <c r="L52" s="2420"/>
      <c r="P52" s="534"/>
      <c r="V52" s="2383"/>
      <c r="W52" s="1268"/>
      <c r="X52" s="1268"/>
      <c r="Y52" s="1268"/>
      <c r="Z52" s="779">
        <v>869</v>
      </c>
      <c r="AA52" s="1268">
        <v>869</v>
      </c>
      <c r="AB52" s="892">
        <v>869</v>
      </c>
      <c r="AC52" s="892">
        <v>869</v>
      </c>
      <c r="AD52" s="892">
        <v>869</v>
      </c>
      <c r="AE52" s="1268">
        <v>869</v>
      </c>
      <c r="AF52" s="253">
        <v>869</v>
      </c>
      <c r="AG52" s="253">
        <f t="shared" si="27"/>
        <v>869</v>
      </c>
      <c r="DG52" s="543"/>
      <c r="DH52" s="172"/>
      <c r="DI52" s="1020"/>
      <c r="DJ52" s="2045"/>
    </row>
    <row r="53" spans="1:114" ht="14.65" customHeight="1" outlineLevel="1" x14ac:dyDescent="0.25">
      <c r="A53" s="2145"/>
      <c r="C53" s="49"/>
      <c r="D53" s="2398"/>
      <c r="E53" s="2398"/>
      <c r="F53" s="2405" t="str">
        <f t="shared" si="23"/>
        <v>CAC-SEER18_ER2_SF</v>
      </c>
      <c r="G53" s="2405"/>
      <c r="H53" s="2405"/>
      <c r="I53" s="1268" t="str">
        <f t="shared" si="24"/>
        <v>351160_2024_12_</v>
      </c>
      <c r="J53" s="1534">
        <v>869</v>
      </c>
      <c r="K53" s="1307"/>
      <c r="L53" s="2420"/>
      <c r="P53" s="534"/>
      <c r="Q53" s="265"/>
      <c r="R53" s="1431" t="s">
        <v>919</v>
      </c>
      <c r="S53" s="1592">
        <v>3669.5133412312694</v>
      </c>
      <c r="T53" s="265"/>
      <c r="U53" s="50"/>
      <c r="V53" s="2383"/>
      <c r="W53" s="1268"/>
      <c r="X53" s="1268"/>
      <c r="Y53" s="1268"/>
      <c r="Z53" s="779">
        <v>869</v>
      </c>
      <c r="AA53" s="1268">
        <v>869</v>
      </c>
      <c r="AB53" s="892">
        <v>869</v>
      </c>
      <c r="AC53" s="892">
        <v>869</v>
      </c>
      <c r="AD53" s="892">
        <v>869</v>
      </c>
      <c r="AE53" s="1268">
        <v>869</v>
      </c>
      <c r="AF53" s="253">
        <v>869</v>
      </c>
      <c r="AG53" s="253">
        <f t="shared" si="27"/>
        <v>869</v>
      </c>
      <c r="DG53" s="543"/>
      <c r="DH53" s="172"/>
      <c r="DI53" s="1020"/>
      <c r="DJ53" s="2045"/>
    </row>
    <row r="54" spans="1:114" ht="14.65" customHeight="1" outlineLevel="1" x14ac:dyDescent="0.25">
      <c r="A54" s="2145"/>
      <c r="C54" s="49"/>
      <c r="D54" s="2398"/>
      <c r="E54" s="2398"/>
      <c r="F54" s="2405" t="str">
        <f t="shared" si="23"/>
        <v>CAC-SEER18_ROF_SF</v>
      </c>
      <c r="G54" s="2405"/>
      <c r="H54" s="2405"/>
      <c r="I54" s="1268" t="str">
        <f t="shared" si="24"/>
        <v>351161_2024_12_</v>
      </c>
      <c r="J54" s="1534">
        <v>869</v>
      </c>
      <c r="K54" s="1307"/>
      <c r="L54" s="2420"/>
      <c r="P54" s="534"/>
      <c r="S54"/>
      <c r="T54"/>
      <c r="U54" s="50"/>
      <c r="V54" s="2383"/>
      <c r="W54" s="1268"/>
      <c r="X54" s="1268"/>
      <c r="Y54" s="1268"/>
      <c r="Z54" s="779">
        <v>869</v>
      </c>
      <c r="AA54" s="1268">
        <v>869</v>
      </c>
      <c r="AB54" s="892">
        <v>869</v>
      </c>
      <c r="AC54" s="892">
        <v>869</v>
      </c>
      <c r="AD54" s="892">
        <v>869</v>
      </c>
      <c r="AE54" s="1268">
        <v>869</v>
      </c>
      <c r="AF54" s="253">
        <v>869</v>
      </c>
      <c r="AG54" s="253">
        <f t="shared" si="27"/>
        <v>869</v>
      </c>
      <c r="DG54" s="543"/>
      <c r="DH54" s="172"/>
      <c r="DI54" s="1020"/>
      <c r="DJ54" s="2045"/>
    </row>
    <row r="55" spans="1:114" outlineLevel="1" x14ac:dyDescent="0.25">
      <c r="A55" s="2145"/>
      <c r="C55" s="49"/>
      <c r="D55" s="2398"/>
      <c r="E55" s="2398"/>
      <c r="F55" s="2405" t="str">
        <f t="shared" si="23"/>
        <v>CAC-SEER19_ER1_SF</v>
      </c>
      <c r="G55" s="2405"/>
      <c r="H55" s="2405"/>
      <c r="I55" s="1268" t="str">
        <f t="shared" si="24"/>
        <v>351170_2025_12_</v>
      </c>
      <c r="J55" s="1534">
        <v>869</v>
      </c>
      <c r="K55" s="1307"/>
      <c r="L55" s="2420"/>
      <c r="N55" s="532"/>
      <c r="P55" s="61"/>
      <c r="T55" s="50"/>
      <c r="U55" s="50"/>
      <c r="V55" s="2383"/>
      <c r="W55" s="1268"/>
      <c r="X55" s="1268"/>
      <c r="Y55" s="1268"/>
      <c r="Z55" s="779">
        <v>869</v>
      </c>
      <c r="AA55" s="1268">
        <v>869</v>
      </c>
      <c r="AB55" s="892">
        <v>869</v>
      </c>
      <c r="AC55" s="892">
        <v>869</v>
      </c>
      <c r="AD55" s="892">
        <v>869</v>
      </c>
      <c r="AE55" s="1268">
        <v>869</v>
      </c>
      <c r="AF55" s="253">
        <v>869</v>
      </c>
      <c r="AG55" s="253">
        <f t="shared" si="27"/>
        <v>869</v>
      </c>
      <c r="DG55" s="543"/>
      <c r="DH55" s="172"/>
      <c r="DI55" s="1020"/>
      <c r="DJ55" s="2045"/>
    </row>
    <row r="56" spans="1:114" ht="15" customHeight="1" outlineLevel="1" x14ac:dyDescent="0.25">
      <c r="A56" s="2145"/>
      <c r="C56" s="49"/>
      <c r="D56" s="2398"/>
      <c r="E56" s="2398"/>
      <c r="F56" s="2405" t="str">
        <f t="shared" si="23"/>
        <v>CAC-SEER19_ER2_SF</v>
      </c>
      <c r="G56" s="2405"/>
      <c r="H56" s="2405"/>
      <c r="I56" s="1268" t="str">
        <f t="shared" si="24"/>
        <v>351170_2025_12_</v>
      </c>
      <c r="J56" s="1534">
        <v>869</v>
      </c>
      <c r="K56" s="1307"/>
      <c r="L56" s="2420"/>
      <c r="N56" s="532"/>
      <c r="R56" s="1431" t="s">
        <v>920</v>
      </c>
      <c r="S56" s="1431" t="s">
        <v>615</v>
      </c>
      <c r="T56" s="1431" t="s">
        <v>616</v>
      </c>
      <c r="U56" s="50"/>
      <c r="V56" s="2383"/>
      <c r="W56" s="1268"/>
      <c r="X56" s="1268"/>
      <c r="Y56" s="1268"/>
      <c r="Z56" s="779">
        <v>869</v>
      </c>
      <c r="AA56" s="1268">
        <v>869</v>
      </c>
      <c r="AB56" s="892">
        <v>869</v>
      </c>
      <c r="AC56" s="892">
        <v>869</v>
      </c>
      <c r="AD56" s="892">
        <v>869</v>
      </c>
      <c r="AE56" s="1268">
        <v>869</v>
      </c>
      <c r="AF56" s="253">
        <v>869</v>
      </c>
      <c r="AG56" s="253">
        <f t="shared" si="27"/>
        <v>869</v>
      </c>
      <c r="DG56" s="543"/>
      <c r="DH56" s="172"/>
      <c r="DI56" s="1020"/>
      <c r="DJ56" s="2045"/>
    </row>
    <row r="57" spans="1:114" outlineLevel="1" x14ac:dyDescent="0.25">
      <c r="A57" s="2145"/>
      <c r="C57" s="49"/>
      <c r="D57" s="2398"/>
      <c r="E57" s="2398"/>
      <c r="F57" s="2405" t="str">
        <f t="shared" si="23"/>
        <v>CAC-SEER19_ROF_SF</v>
      </c>
      <c r="G57" s="2405"/>
      <c r="H57" s="2405"/>
      <c r="I57" s="1268" t="str">
        <f t="shared" si="24"/>
        <v>351171_2025_12_</v>
      </c>
      <c r="J57" s="1534">
        <v>869</v>
      </c>
      <c r="K57" s="1307"/>
      <c r="L57" s="2420"/>
      <c r="N57" s="532"/>
      <c r="P57" s="1233"/>
      <c r="R57" s="68" t="s">
        <v>921</v>
      </c>
      <c r="S57" s="242">
        <v>2.3128228708516586E-2</v>
      </c>
      <c r="T57" s="68" t="s">
        <v>922</v>
      </c>
      <c r="U57" s="50"/>
      <c r="V57" s="2383"/>
      <c r="W57" s="1268"/>
      <c r="X57" s="1268"/>
      <c r="Y57" s="1268"/>
      <c r="Z57" s="779">
        <v>869</v>
      </c>
      <c r="AA57" s="1268">
        <v>869</v>
      </c>
      <c r="AB57" s="892">
        <v>869</v>
      </c>
      <c r="AC57" s="892">
        <v>869</v>
      </c>
      <c r="AD57" s="892">
        <v>869</v>
      </c>
      <c r="AE57" s="1268">
        <v>869</v>
      </c>
      <c r="AF57" s="253">
        <v>869</v>
      </c>
      <c r="AG57" s="253">
        <f t="shared" si="27"/>
        <v>869</v>
      </c>
      <c r="DG57" s="543"/>
      <c r="DH57" s="172"/>
      <c r="DI57" s="1020"/>
      <c r="DJ57" s="2045"/>
    </row>
    <row r="58" spans="1:114" outlineLevel="1" x14ac:dyDescent="0.25">
      <c r="A58" s="2145"/>
      <c r="C58" s="49"/>
      <c r="D58" s="2398"/>
      <c r="E58" s="2398"/>
      <c r="F58" s="2405" t="str">
        <f t="shared" si="23"/>
        <v>CAC-SEER20_ER1_SF</v>
      </c>
      <c r="G58" s="2405"/>
      <c r="H58" s="2405"/>
      <c r="I58" s="1268" t="str">
        <f t="shared" si="24"/>
        <v>351180_2024_12_</v>
      </c>
      <c r="J58" s="1534">
        <v>869</v>
      </c>
      <c r="K58" s="1307"/>
      <c r="L58" s="2420"/>
      <c r="N58" s="532"/>
      <c r="R58" s="68" t="s">
        <v>923</v>
      </c>
      <c r="S58" s="1249">
        <v>6</v>
      </c>
      <c r="T58" s="68" t="s">
        <v>924</v>
      </c>
      <c r="U58" s="50"/>
      <c r="V58" s="2383"/>
      <c r="W58" s="1268"/>
      <c r="X58" s="1268"/>
      <c r="Y58" s="1268"/>
      <c r="Z58" s="779">
        <v>869</v>
      </c>
      <c r="AA58" s="1268">
        <v>869</v>
      </c>
      <c r="AB58" s="892">
        <v>869</v>
      </c>
      <c r="AC58" s="892">
        <v>869</v>
      </c>
      <c r="AD58" s="892">
        <v>869</v>
      </c>
      <c r="AE58" s="1268">
        <v>869</v>
      </c>
      <c r="AF58" s="253">
        <v>869</v>
      </c>
      <c r="AG58" s="253">
        <f t="shared" si="27"/>
        <v>869</v>
      </c>
      <c r="DG58" s="543"/>
      <c r="DH58" s="172"/>
      <c r="DI58" s="1020"/>
      <c r="DJ58" s="2045"/>
    </row>
    <row r="59" spans="1:114" outlineLevel="1" x14ac:dyDescent="0.25">
      <c r="A59" s="2145"/>
      <c r="C59" s="49"/>
      <c r="D59" s="2398"/>
      <c r="E59" s="2398"/>
      <c r="F59" s="2405" t="str">
        <f t="shared" si="23"/>
        <v>CAC-SEER20_ER2_SF</v>
      </c>
      <c r="G59" s="2405"/>
      <c r="H59" s="2405"/>
      <c r="I59" s="1268" t="str">
        <f t="shared" si="24"/>
        <v>351180_2024_12_</v>
      </c>
      <c r="J59" s="1534">
        <v>869</v>
      </c>
      <c r="K59" s="1307"/>
      <c r="L59" s="2420"/>
      <c r="N59" s="532"/>
      <c r="R59" s="68" t="s">
        <v>925</v>
      </c>
      <c r="S59" s="185">
        <f>(1-S57)^(S58-1)</f>
        <v>0.88958571378558426</v>
      </c>
      <c r="T59" s="68" t="s">
        <v>926</v>
      </c>
      <c r="U59" s="50"/>
      <c r="V59" s="2383"/>
      <c r="W59" s="1268"/>
      <c r="X59" s="1268"/>
      <c r="Y59" s="1268"/>
      <c r="Z59" s="779">
        <v>869</v>
      </c>
      <c r="AA59" s="1268">
        <v>869</v>
      </c>
      <c r="AB59" s="892">
        <v>869</v>
      </c>
      <c r="AC59" s="892">
        <v>869</v>
      </c>
      <c r="AD59" s="892">
        <v>869</v>
      </c>
      <c r="AE59" s="1268">
        <v>869</v>
      </c>
      <c r="AF59" s="253">
        <v>869</v>
      </c>
      <c r="AG59" s="253">
        <f t="shared" si="27"/>
        <v>869</v>
      </c>
      <c r="DG59" s="543"/>
      <c r="DH59" s="172"/>
      <c r="DI59" s="1020"/>
      <c r="DJ59" s="2045"/>
    </row>
    <row r="60" spans="1:114" outlineLevel="1" x14ac:dyDescent="0.25">
      <c r="A60" s="2145"/>
      <c r="C60" s="49"/>
      <c r="D60" s="2398"/>
      <c r="E60" s="2398"/>
      <c r="F60" s="2405" t="str">
        <f t="shared" si="23"/>
        <v>CAC-SEER20_ROF_SF</v>
      </c>
      <c r="G60" s="2405"/>
      <c r="H60" s="2405"/>
      <c r="I60" s="1268" t="str">
        <f t="shared" si="24"/>
        <v>351181_2024_12_</v>
      </c>
      <c r="J60" s="1534">
        <v>869</v>
      </c>
      <c r="K60" s="1307"/>
      <c r="L60" s="2420"/>
      <c r="N60" s="532"/>
      <c r="T60" s="50"/>
      <c r="U60" s="50"/>
      <c r="V60" s="2383"/>
      <c r="W60" s="1268"/>
      <c r="X60" s="1268"/>
      <c r="Y60" s="1268"/>
      <c r="Z60" s="779">
        <v>869</v>
      </c>
      <c r="AA60" s="1268">
        <v>869</v>
      </c>
      <c r="AB60" s="892">
        <v>869</v>
      </c>
      <c r="AC60" s="892">
        <v>869</v>
      </c>
      <c r="AD60" s="892">
        <v>869</v>
      </c>
      <c r="AE60" s="1268">
        <v>869</v>
      </c>
      <c r="AF60" s="253">
        <v>869</v>
      </c>
      <c r="AG60" s="253">
        <f t="shared" si="27"/>
        <v>869</v>
      </c>
      <c r="DG60" s="543"/>
      <c r="DH60" s="172"/>
      <c r="DI60" s="1020"/>
      <c r="DJ60" s="2045"/>
    </row>
    <row r="61" spans="1:114" outlineLevel="1" x14ac:dyDescent="0.25">
      <c r="A61" s="2145"/>
      <c r="C61" s="49"/>
      <c r="D61" s="2398"/>
      <c r="E61" s="2398"/>
      <c r="F61" s="2405" t="str">
        <f t="shared" si="23"/>
        <v>CAC-SEER21+_ER1_SF</v>
      </c>
      <c r="G61" s="2405"/>
      <c r="H61" s="2405"/>
      <c r="I61" s="1268" t="str">
        <f t="shared" si="24"/>
        <v>351190_2024_12_</v>
      </c>
      <c r="J61" s="1534">
        <v>869</v>
      </c>
      <c r="K61" s="1307"/>
      <c r="L61" s="2420"/>
      <c r="N61" s="532"/>
      <c r="T61" s="50"/>
      <c r="U61" s="50"/>
      <c r="V61" s="2383"/>
      <c r="W61" s="1268"/>
      <c r="X61" s="1268"/>
      <c r="Y61" s="1268"/>
      <c r="Z61" s="779">
        <v>869</v>
      </c>
      <c r="AA61" s="1268">
        <v>869</v>
      </c>
      <c r="AB61" s="892">
        <v>869</v>
      </c>
      <c r="AC61" s="892">
        <v>869</v>
      </c>
      <c r="AD61" s="892">
        <v>869</v>
      </c>
      <c r="AE61" s="1268">
        <v>869</v>
      </c>
      <c r="AF61" s="253">
        <v>869</v>
      </c>
      <c r="AG61" s="253">
        <f t="shared" si="27"/>
        <v>869</v>
      </c>
      <c r="DG61" s="543"/>
      <c r="DH61" s="172"/>
      <c r="DI61" s="1020"/>
      <c r="DJ61" s="2045"/>
    </row>
    <row r="62" spans="1:114" outlineLevel="1" x14ac:dyDescent="0.25">
      <c r="A62" s="2145"/>
      <c r="C62" s="49"/>
      <c r="D62" s="2398"/>
      <c r="E62" s="2398"/>
      <c r="F62" s="2405" t="str">
        <f t="shared" si="23"/>
        <v>CAC-SEER21+_ER2_SF</v>
      </c>
      <c r="G62" s="2405"/>
      <c r="H62" s="2405"/>
      <c r="I62" s="1268" t="str">
        <f t="shared" si="24"/>
        <v>351190_2024_12_</v>
      </c>
      <c r="J62" s="1534">
        <v>869</v>
      </c>
      <c r="K62" s="1307"/>
      <c r="L62" s="2420"/>
      <c r="N62" s="532"/>
      <c r="T62" s="50"/>
      <c r="U62" s="50"/>
      <c r="V62" s="2383"/>
      <c r="W62" s="1268"/>
      <c r="X62" s="1268"/>
      <c r="Y62" s="1268"/>
      <c r="Z62" s="779">
        <v>869</v>
      </c>
      <c r="AA62" s="1268">
        <v>869</v>
      </c>
      <c r="AB62" s="892">
        <v>869</v>
      </c>
      <c r="AC62" s="892">
        <v>869</v>
      </c>
      <c r="AD62" s="892">
        <v>869</v>
      </c>
      <c r="AE62" s="1268">
        <v>869</v>
      </c>
      <c r="AF62" s="253">
        <v>869</v>
      </c>
      <c r="AG62" s="253">
        <f t="shared" si="27"/>
        <v>869</v>
      </c>
      <c r="DG62" s="543"/>
      <c r="DH62" s="172"/>
      <c r="DI62" s="1020"/>
      <c r="DJ62" s="2045"/>
    </row>
    <row r="63" spans="1:114" outlineLevel="1" x14ac:dyDescent="0.25">
      <c r="A63" s="2145"/>
      <c r="C63" s="49"/>
      <c r="D63" s="2398"/>
      <c r="E63" s="2398"/>
      <c r="F63" s="2405" t="str">
        <f t="shared" si="23"/>
        <v>CAC-SEER21+_ROF_SF</v>
      </c>
      <c r="G63" s="2405"/>
      <c r="H63" s="2405"/>
      <c r="I63" s="1268" t="str">
        <f t="shared" si="24"/>
        <v>351191_2024_12_</v>
      </c>
      <c r="J63" s="1534">
        <v>869</v>
      </c>
      <c r="K63" s="1307"/>
      <c r="L63" s="2420"/>
      <c r="N63" s="532"/>
      <c r="T63" s="50"/>
      <c r="U63" s="50"/>
      <c r="V63" s="2383"/>
      <c r="W63" s="1268"/>
      <c r="X63" s="1268"/>
      <c r="Y63" s="1268"/>
      <c r="Z63" s="779">
        <v>869</v>
      </c>
      <c r="AA63" s="1268">
        <v>869</v>
      </c>
      <c r="AB63" s="892">
        <v>869</v>
      </c>
      <c r="AC63" s="892">
        <v>869</v>
      </c>
      <c r="AD63" s="892">
        <v>869</v>
      </c>
      <c r="AE63" s="1268">
        <v>869</v>
      </c>
      <c r="AF63" s="253">
        <v>869</v>
      </c>
      <c r="AG63" s="253">
        <f t="shared" si="27"/>
        <v>869</v>
      </c>
      <c r="DG63" s="543"/>
      <c r="DH63" s="172"/>
      <c r="DI63" s="1020"/>
      <c r="DJ63" s="2045"/>
    </row>
    <row r="64" spans="1:114" ht="14.65" customHeight="1" outlineLevel="1" x14ac:dyDescent="0.25">
      <c r="A64" s="2145"/>
      <c r="C64" s="49"/>
      <c r="D64" s="2397" t="s">
        <v>927</v>
      </c>
      <c r="E64" s="2401" t="s">
        <v>928</v>
      </c>
      <c r="F64" s="2403" t="str">
        <f t="shared" ref="F64:F95" si="29">F41</f>
        <v>CAC-SEER15_ER1_SF</v>
      </c>
      <c r="G64" s="2403"/>
      <c r="H64" s="2403"/>
      <c r="I64" s="1268" t="str">
        <f t="shared" ref="I64:I95" si="30">I41</f>
        <v>350600_2024_12_</v>
      </c>
      <c r="J64" s="1530">
        <v>37377.983193277316</v>
      </c>
      <c r="K64" s="17">
        <f t="shared" ref="K64:K84" si="31">J64/12000</f>
        <v>3.1148319327731095</v>
      </c>
      <c r="L64" s="1518" t="s">
        <v>929</v>
      </c>
      <c r="M64" s="534"/>
      <c r="N64" s="532"/>
      <c r="T64" s="50"/>
      <c r="U64" s="50"/>
      <c r="V64" s="2415"/>
      <c r="W64" s="1268">
        <v>39600</v>
      </c>
      <c r="X64" s="779">
        <f t="shared" ref="X64:X69" si="32">3.05*12000</f>
        <v>36600</v>
      </c>
      <c r="Y64" s="779">
        <v>39240</v>
      </c>
      <c r="Z64" s="1268">
        <v>39240</v>
      </c>
      <c r="AA64" s="1268">
        <v>39240</v>
      </c>
      <c r="AB64" s="689">
        <v>38991.153460381152</v>
      </c>
      <c r="AC64" s="689">
        <v>37553.669972948606</v>
      </c>
      <c r="AD64" s="689">
        <v>37693.038869257951</v>
      </c>
      <c r="AE64" s="689">
        <v>37377.983193277316</v>
      </c>
      <c r="AF64" s="253">
        <v>37377.983193277316</v>
      </c>
      <c r="AG64" s="253">
        <f t="shared" si="27"/>
        <v>37377.983193277316</v>
      </c>
      <c r="DG64" s="543"/>
      <c r="DH64" s="172"/>
      <c r="DI64" s="1020"/>
      <c r="DJ64" s="2045"/>
    </row>
    <row r="65" spans="1:114" ht="14.65" customHeight="1" outlineLevel="1" x14ac:dyDescent="0.25">
      <c r="A65" s="2145"/>
      <c r="C65" s="49"/>
      <c r="D65" s="2398"/>
      <c r="E65" s="2402"/>
      <c r="F65" s="2403" t="str">
        <f t="shared" si="29"/>
        <v>CAC-SEER15_ER2_SF</v>
      </c>
      <c r="G65" s="2403"/>
      <c r="H65" s="2403"/>
      <c r="I65" s="1268" t="str">
        <f t="shared" si="30"/>
        <v>350600_2024_12_</v>
      </c>
      <c r="J65" s="1530">
        <v>37377.983193277316</v>
      </c>
      <c r="K65" s="17">
        <f t="shared" si="31"/>
        <v>3.1148319327731095</v>
      </c>
      <c r="L65" s="1518" t="s">
        <v>929</v>
      </c>
      <c r="M65" s="534"/>
      <c r="N65" s="532"/>
      <c r="T65" s="50"/>
      <c r="U65" s="50"/>
      <c r="V65" s="2415"/>
      <c r="W65" s="1268">
        <v>39600</v>
      </c>
      <c r="X65" s="779">
        <f t="shared" si="32"/>
        <v>36600</v>
      </c>
      <c r="Y65" s="779">
        <v>39240</v>
      </c>
      <c r="Z65" s="1268">
        <v>39240</v>
      </c>
      <c r="AA65" s="1268">
        <v>39240</v>
      </c>
      <c r="AB65" s="689">
        <v>38991.153460381152</v>
      </c>
      <c r="AC65" s="689">
        <v>37553.669972948606</v>
      </c>
      <c r="AD65" s="689">
        <v>37693.038869257951</v>
      </c>
      <c r="AE65" s="689">
        <v>37377.983193277316</v>
      </c>
      <c r="AF65" s="253">
        <v>37377.983193277316</v>
      </c>
      <c r="AG65" s="253">
        <f t="shared" si="27"/>
        <v>37377.983193277316</v>
      </c>
      <c r="DG65" s="543"/>
      <c r="DH65" s="172"/>
      <c r="DI65" s="1020"/>
      <c r="DJ65" s="2045"/>
    </row>
    <row r="66" spans="1:114" ht="14.65" customHeight="1" outlineLevel="1" x14ac:dyDescent="0.25">
      <c r="A66" s="2145"/>
      <c r="C66" s="49"/>
      <c r="D66" s="2398"/>
      <c r="E66" s="2402"/>
      <c r="F66" s="2403" t="str">
        <f t="shared" si="29"/>
        <v>CAC-SEER15_ROF_SF</v>
      </c>
      <c r="G66" s="2403"/>
      <c r="H66" s="2403"/>
      <c r="I66" s="1268" t="str">
        <f t="shared" si="30"/>
        <v>350650_2024_12_</v>
      </c>
      <c r="J66" s="1530">
        <v>35870.359408033815</v>
      </c>
      <c r="K66" s="17">
        <f t="shared" si="31"/>
        <v>2.9891966173361513</v>
      </c>
      <c r="L66" s="1518" t="s">
        <v>930</v>
      </c>
      <c r="M66" s="534"/>
      <c r="N66" s="532"/>
      <c r="T66" s="50"/>
      <c r="U66" s="50"/>
      <c r="V66" s="2415"/>
      <c r="W66" s="1268">
        <v>36000</v>
      </c>
      <c r="X66" s="779">
        <f t="shared" si="32"/>
        <v>36600</v>
      </c>
      <c r="Y66" s="779">
        <v>39240</v>
      </c>
      <c r="Z66" s="1268">
        <v>39240</v>
      </c>
      <c r="AA66" s="1268">
        <v>39240</v>
      </c>
      <c r="AB66" s="689">
        <v>39839.242902208207</v>
      </c>
      <c r="AC66" s="689">
        <v>37360</v>
      </c>
      <c r="AD66" s="689">
        <v>36703.815028901736</v>
      </c>
      <c r="AE66" s="689">
        <v>35355.905511811026</v>
      </c>
      <c r="AF66" s="253">
        <v>35870.359408033815</v>
      </c>
      <c r="AG66" s="253">
        <f t="shared" si="27"/>
        <v>35870.359408033815</v>
      </c>
      <c r="DG66" s="543"/>
      <c r="DH66" s="172"/>
      <c r="DI66" s="1020"/>
      <c r="DJ66" s="2045"/>
    </row>
    <row r="67" spans="1:114" ht="14.65" customHeight="1" outlineLevel="1" x14ac:dyDescent="0.25">
      <c r="A67" s="2145"/>
      <c r="C67" s="49"/>
      <c r="D67" s="2398"/>
      <c r="E67" s="2402"/>
      <c r="F67" s="2403" t="str">
        <f t="shared" si="29"/>
        <v>CAC-SEER16_ER1_SF</v>
      </c>
      <c r="G67" s="2403"/>
      <c r="H67" s="2403"/>
      <c r="I67" s="1268" t="str">
        <f t="shared" si="30"/>
        <v>350800_2024_12_</v>
      </c>
      <c r="J67" s="1530">
        <v>34507.773989283975</v>
      </c>
      <c r="K67" s="17">
        <f t="shared" si="31"/>
        <v>2.8756478324403312</v>
      </c>
      <c r="L67" s="1518" t="s">
        <v>930</v>
      </c>
      <c r="M67" s="534"/>
      <c r="N67" s="532"/>
      <c r="T67" s="50"/>
      <c r="U67" s="50"/>
      <c r="V67" s="2415"/>
      <c r="W67" s="1268">
        <v>37200</v>
      </c>
      <c r="X67" s="779">
        <f t="shared" si="32"/>
        <v>36600</v>
      </c>
      <c r="Y67" s="779">
        <v>36720</v>
      </c>
      <c r="Z67" s="1268">
        <v>36720</v>
      </c>
      <c r="AA67" s="1268">
        <v>36720</v>
      </c>
      <c r="AB67" s="690">
        <v>35734.902975420438</v>
      </c>
      <c r="AC67" s="690">
        <v>35455.827196858118</v>
      </c>
      <c r="AD67" s="690">
        <v>34928.920972644381</v>
      </c>
      <c r="AE67" s="690">
        <v>35105.30215608867</v>
      </c>
      <c r="AF67" s="253">
        <v>34507.773989283975</v>
      </c>
      <c r="AG67" s="253">
        <f t="shared" si="27"/>
        <v>34507.773989283975</v>
      </c>
      <c r="DG67" s="543"/>
      <c r="DH67" s="172"/>
      <c r="DI67" s="1020"/>
      <c r="DJ67" s="2045"/>
    </row>
    <row r="68" spans="1:114" ht="14.65" customHeight="1" outlineLevel="1" x14ac:dyDescent="0.25">
      <c r="A68" s="2145"/>
      <c r="C68" s="49"/>
      <c r="D68" s="2398"/>
      <c r="E68" s="2402"/>
      <c r="F68" s="2403" t="str">
        <f t="shared" si="29"/>
        <v>CAC-SEER16_ER2_SF</v>
      </c>
      <c r="G68" s="2403"/>
      <c r="H68" s="2403"/>
      <c r="I68" s="1268" t="str">
        <f t="shared" si="30"/>
        <v>350800_2024_12_</v>
      </c>
      <c r="J68" s="1530">
        <v>34507.773989283975</v>
      </c>
      <c r="K68" s="17">
        <f t="shared" si="31"/>
        <v>2.8756478324403312</v>
      </c>
      <c r="L68" s="1518" t="s">
        <v>930</v>
      </c>
      <c r="M68" s="534"/>
      <c r="N68" s="532"/>
      <c r="T68" s="50"/>
      <c r="U68" s="50"/>
      <c r="V68" s="2415"/>
      <c r="W68" s="1268">
        <v>37200</v>
      </c>
      <c r="X68" s="779">
        <f t="shared" si="32"/>
        <v>36600</v>
      </c>
      <c r="Y68" s="779">
        <v>36720</v>
      </c>
      <c r="Z68" s="1268">
        <v>36720</v>
      </c>
      <c r="AA68" s="1268">
        <v>36720</v>
      </c>
      <c r="AB68" s="690">
        <v>35734.902975420438</v>
      </c>
      <c r="AC68" s="690">
        <v>35455.827196858118</v>
      </c>
      <c r="AD68" s="690">
        <v>34928.920972644381</v>
      </c>
      <c r="AE68" s="690">
        <v>35105.30215608867</v>
      </c>
      <c r="AF68" s="253">
        <v>34507.773989283975</v>
      </c>
      <c r="AG68" s="253">
        <f t="shared" si="27"/>
        <v>34507.773989283975</v>
      </c>
      <c r="DG68" s="543"/>
      <c r="DH68" s="172"/>
      <c r="DI68" s="1020"/>
      <c r="DJ68" s="2045"/>
    </row>
    <row r="69" spans="1:114" ht="14.65" customHeight="1" outlineLevel="1" x14ac:dyDescent="0.25">
      <c r="A69" s="2145"/>
      <c r="C69" s="49"/>
      <c r="D69" s="2398"/>
      <c r="E69" s="2402"/>
      <c r="F69" s="2403" t="str">
        <f t="shared" si="29"/>
        <v>CAC-SEER16_ROF_SF</v>
      </c>
      <c r="G69" s="2403"/>
      <c r="H69" s="2403"/>
      <c r="I69" s="1268" t="str">
        <f t="shared" si="30"/>
        <v>350850_2024_12_</v>
      </c>
      <c r="J69" s="1530">
        <v>34144.528301886792</v>
      </c>
      <c r="K69" s="17">
        <f t="shared" si="31"/>
        <v>2.8453773584905662</v>
      </c>
      <c r="L69" s="1518" t="s">
        <v>930</v>
      </c>
      <c r="M69" s="534"/>
      <c r="N69" s="532"/>
      <c r="T69" s="50"/>
      <c r="U69" s="50"/>
      <c r="V69" s="2415"/>
      <c r="W69" s="1268">
        <v>34800</v>
      </c>
      <c r="X69" s="779">
        <f t="shared" si="32"/>
        <v>36600</v>
      </c>
      <c r="Y69" s="779">
        <v>35880</v>
      </c>
      <c r="Z69" s="1268">
        <v>35880</v>
      </c>
      <c r="AA69" s="1268">
        <v>35880</v>
      </c>
      <c r="AB69" s="690">
        <v>36194.49901768173</v>
      </c>
      <c r="AC69" s="690">
        <v>36399.092122830436</v>
      </c>
      <c r="AD69" s="690">
        <v>36027.146529562975</v>
      </c>
      <c r="AE69" s="753">
        <v>36027.146529562975</v>
      </c>
      <c r="AF69" s="253">
        <v>34144.528301886792</v>
      </c>
      <c r="AG69" s="253">
        <f t="shared" si="27"/>
        <v>34144.528301886792</v>
      </c>
      <c r="DG69" s="543"/>
      <c r="DH69" s="172"/>
      <c r="DI69" s="1020"/>
      <c r="DJ69" s="2045"/>
    </row>
    <row r="70" spans="1:114" ht="14.65" customHeight="1" outlineLevel="1" x14ac:dyDescent="0.25">
      <c r="A70" s="2145"/>
      <c r="C70" s="49"/>
      <c r="D70" s="2398"/>
      <c r="E70" s="2402"/>
      <c r="F70" s="2403" t="str">
        <f t="shared" si="29"/>
        <v>CAC-SEER16_ER1_MF</v>
      </c>
      <c r="G70" s="2403"/>
      <c r="H70" s="2403"/>
      <c r="I70" s="1268" t="str">
        <f t="shared" si="30"/>
        <v>350900_2024_12_</v>
      </c>
      <c r="J70" s="1530">
        <v>30461.538461538461</v>
      </c>
      <c r="K70" s="17">
        <f t="shared" si="31"/>
        <v>2.5384615384615383</v>
      </c>
      <c r="L70" s="1518" t="s">
        <v>930</v>
      </c>
      <c r="M70" s="534"/>
      <c r="N70" s="532"/>
      <c r="T70" s="50"/>
      <c r="U70" s="50"/>
      <c r="V70" s="2415"/>
      <c r="W70" s="1268">
        <v>37200</v>
      </c>
      <c r="X70" s="779">
        <v>24461</v>
      </c>
      <c r="Y70" s="779">
        <v>24000</v>
      </c>
      <c r="Z70" s="1268">
        <v>24000</v>
      </c>
      <c r="AA70" s="1268">
        <v>24000</v>
      </c>
      <c r="AB70" s="690">
        <v>30857.142857142859</v>
      </c>
      <c r="AC70" s="690">
        <v>30216.867469879515</v>
      </c>
      <c r="AD70" s="690">
        <v>26175.824175824175</v>
      </c>
      <c r="AE70" s="690">
        <v>30285.714285714286</v>
      </c>
      <c r="AF70" s="253">
        <v>30461.538461538461</v>
      </c>
      <c r="AG70" s="253">
        <f t="shared" si="27"/>
        <v>30461.538461538461</v>
      </c>
      <c r="DG70" s="543"/>
      <c r="DH70" s="172"/>
      <c r="DI70" s="1020"/>
      <c r="DJ70" s="2045"/>
    </row>
    <row r="71" spans="1:114" ht="14.65" customHeight="1" outlineLevel="1" x14ac:dyDescent="0.25">
      <c r="A71" s="2145"/>
      <c r="C71" s="49"/>
      <c r="D71" s="2398"/>
      <c r="E71" s="2402"/>
      <c r="F71" s="2403" t="str">
        <f t="shared" si="29"/>
        <v>CAC-SEER16_ER2_MF</v>
      </c>
      <c r="G71" s="2403"/>
      <c r="H71" s="2403"/>
      <c r="I71" s="1268" t="str">
        <f t="shared" si="30"/>
        <v>350900_2024_12_</v>
      </c>
      <c r="J71" s="1530">
        <v>30461.538461538461</v>
      </c>
      <c r="K71" s="17">
        <f t="shared" si="31"/>
        <v>2.5384615384615383</v>
      </c>
      <c r="L71" s="1518" t="s">
        <v>930</v>
      </c>
      <c r="M71" s="534"/>
      <c r="N71" s="532"/>
      <c r="T71" s="50"/>
      <c r="U71" s="50"/>
      <c r="V71" s="2415"/>
      <c r="W71" s="1268">
        <v>37200</v>
      </c>
      <c r="X71" s="779">
        <v>24461</v>
      </c>
      <c r="Y71" s="779">
        <v>24000</v>
      </c>
      <c r="Z71" s="1268">
        <v>24000</v>
      </c>
      <c r="AA71" s="1268">
        <v>24000</v>
      </c>
      <c r="AB71" s="690">
        <v>30857.142857142859</v>
      </c>
      <c r="AC71" s="690">
        <v>30216.867469879515</v>
      </c>
      <c r="AD71" s="690">
        <v>26175.824175824175</v>
      </c>
      <c r="AE71" s="690">
        <v>30285.714285714286</v>
      </c>
      <c r="AF71" s="253">
        <v>30461.538461538461</v>
      </c>
      <c r="AG71" s="253">
        <f t="shared" si="27"/>
        <v>30461.538461538461</v>
      </c>
      <c r="DG71" s="543"/>
      <c r="DH71" s="172"/>
      <c r="DI71" s="1020"/>
      <c r="DJ71" s="2045"/>
    </row>
    <row r="72" spans="1:114" ht="14.65" customHeight="1" outlineLevel="1" x14ac:dyDescent="0.25">
      <c r="A72" s="2145"/>
      <c r="C72" s="49"/>
      <c r="D72" s="2398"/>
      <c r="E72" s="2402"/>
      <c r="F72" s="2403" t="str">
        <f t="shared" si="29"/>
        <v>CAC-SEER17_ER1_SF</v>
      </c>
      <c r="G72" s="2403"/>
      <c r="H72" s="2403"/>
      <c r="I72" s="1268" t="str">
        <f t="shared" si="30"/>
        <v>351000_2024_12_</v>
      </c>
      <c r="J72" s="1530">
        <v>38062.794348508636</v>
      </c>
      <c r="K72" s="17">
        <f t="shared" si="31"/>
        <v>3.1718995290423861</v>
      </c>
      <c r="L72" s="1518" t="s">
        <v>930</v>
      </c>
      <c r="M72" s="534"/>
      <c r="N72" s="532"/>
      <c r="T72" s="50"/>
      <c r="U72" s="50"/>
      <c r="V72" s="2415"/>
      <c r="W72" s="1268">
        <v>37200</v>
      </c>
      <c r="X72" s="892">
        <f>W72</f>
        <v>37200</v>
      </c>
      <c r="Y72" s="779">
        <v>36720</v>
      </c>
      <c r="Z72" s="1268">
        <v>36720</v>
      </c>
      <c r="AA72" s="1268">
        <v>36720</v>
      </c>
      <c r="AB72" s="690">
        <v>36976.704980842915</v>
      </c>
      <c r="AC72" s="690">
        <v>35029.739776951676</v>
      </c>
      <c r="AD72" s="690">
        <v>35328.775637041639</v>
      </c>
      <c r="AE72" s="753">
        <v>35328.775637041639</v>
      </c>
      <c r="AF72" s="253">
        <v>38062.794348508636</v>
      </c>
      <c r="AG72" s="253">
        <f t="shared" si="27"/>
        <v>38062.794348508636</v>
      </c>
      <c r="DG72" s="543"/>
      <c r="DH72" s="172"/>
      <c r="DI72" s="1020"/>
      <c r="DJ72" s="2045"/>
    </row>
    <row r="73" spans="1:114" ht="14.65" customHeight="1" outlineLevel="1" x14ac:dyDescent="0.25">
      <c r="A73" s="2145"/>
      <c r="C73" s="49"/>
      <c r="D73" s="2398"/>
      <c r="E73" s="2402"/>
      <c r="F73" s="2403" t="str">
        <f t="shared" si="29"/>
        <v>CAC-SEER17_ER2_SF</v>
      </c>
      <c r="G73" s="2403"/>
      <c r="H73" s="2403"/>
      <c r="I73" s="1268" t="str">
        <f t="shared" si="30"/>
        <v>351000_2024_12_</v>
      </c>
      <c r="J73" s="1530">
        <v>38062.794348508636</v>
      </c>
      <c r="K73" s="17">
        <f t="shared" si="31"/>
        <v>3.1718995290423861</v>
      </c>
      <c r="L73" s="1518" t="s">
        <v>930</v>
      </c>
      <c r="M73" s="534"/>
      <c r="N73" s="532"/>
      <c r="T73" s="50"/>
      <c r="U73" s="50"/>
      <c r="V73" s="2415"/>
      <c r="W73" s="1268">
        <v>37200</v>
      </c>
      <c r="X73" s="892">
        <f t="shared" ref="X73:X74" si="33">W73</f>
        <v>37200</v>
      </c>
      <c r="Y73" s="779">
        <v>36720</v>
      </c>
      <c r="Z73" s="1268">
        <v>36720</v>
      </c>
      <c r="AA73" s="1268">
        <v>36720</v>
      </c>
      <c r="AB73" s="690">
        <v>36976.704980842915</v>
      </c>
      <c r="AC73" s="690">
        <v>35029.739776951676</v>
      </c>
      <c r="AD73" s="690">
        <v>35328.775637041639</v>
      </c>
      <c r="AE73" s="753">
        <v>35328.775637041639</v>
      </c>
      <c r="AF73" s="253">
        <v>38062.794348508636</v>
      </c>
      <c r="AG73" s="253">
        <f t="shared" si="27"/>
        <v>38062.794348508636</v>
      </c>
      <c r="DG73" s="543"/>
      <c r="DH73" s="172"/>
      <c r="DI73" s="1020"/>
      <c r="DJ73" s="2045"/>
    </row>
    <row r="74" spans="1:114" ht="14.65" customHeight="1" outlineLevel="1" x14ac:dyDescent="0.25">
      <c r="A74" s="2145"/>
      <c r="C74" s="49"/>
      <c r="D74" s="2398"/>
      <c r="E74" s="2402"/>
      <c r="F74" s="2403" t="str">
        <f t="shared" si="29"/>
        <v>CAC-SEER17_ROF_SF</v>
      </c>
      <c r="G74" s="2403"/>
      <c r="H74" s="2403"/>
      <c r="I74" s="1268" t="str">
        <f t="shared" si="30"/>
        <v>351050_2024_12_</v>
      </c>
      <c r="J74" s="1530">
        <v>39601.353383458649</v>
      </c>
      <c r="K74" s="17">
        <f t="shared" si="31"/>
        <v>3.3001127819548874</v>
      </c>
      <c r="L74" s="1518" t="s">
        <v>930</v>
      </c>
      <c r="M74" s="534"/>
      <c r="N74" s="532"/>
      <c r="T74" s="50"/>
      <c r="U74" s="50"/>
      <c r="V74" s="2415"/>
      <c r="W74" s="1268">
        <v>34800</v>
      </c>
      <c r="X74" s="892">
        <f t="shared" si="33"/>
        <v>34800</v>
      </c>
      <c r="Y74" s="779">
        <v>35880</v>
      </c>
      <c r="Z74" s="1268">
        <v>35880</v>
      </c>
      <c r="AA74" s="1268">
        <v>35880</v>
      </c>
      <c r="AB74" s="690">
        <v>38408.163265306124</v>
      </c>
      <c r="AC74" s="690">
        <v>36358.695652173912</v>
      </c>
      <c r="AD74" s="690">
        <v>35148.936170212764</v>
      </c>
      <c r="AE74" s="690">
        <v>34613.981762917931</v>
      </c>
      <c r="AF74" s="253">
        <v>39601.353383458649</v>
      </c>
      <c r="AG74" s="253">
        <f t="shared" si="27"/>
        <v>39601.353383458649</v>
      </c>
      <c r="DG74" s="543"/>
      <c r="DH74" s="172"/>
      <c r="DI74" s="1020"/>
      <c r="DJ74" s="2045"/>
    </row>
    <row r="75" spans="1:114" ht="14.65" customHeight="1" outlineLevel="1" x14ac:dyDescent="0.25">
      <c r="A75" s="2145"/>
      <c r="C75" s="49"/>
      <c r="D75" s="2398"/>
      <c r="E75" s="2402"/>
      <c r="F75" s="2403" t="str">
        <f t="shared" si="29"/>
        <v>CAC-SEER18_ER1_SF</v>
      </c>
      <c r="G75" s="2403"/>
      <c r="H75" s="2403"/>
      <c r="I75" s="1268" t="str">
        <f t="shared" si="30"/>
        <v>351160_2024_12_</v>
      </c>
      <c r="J75" s="1530">
        <v>39996.913705583749</v>
      </c>
      <c r="K75" s="20">
        <f t="shared" si="31"/>
        <v>3.3330761421319792</v>
      </c>
      <c r="L75" s="1518" t="s">
        <v>931</v>
      </c>
      <c r="N75" s="532"/>
      <c r="T75" s="50"/>
      <c r="U75" s="50"/>
      <c r="V75" s="2383"/>
      <c r="W75" s="1268"/>
      <c r="X75" s="779"/>
      <c r="Y75" s="779"/>
      <c r="Z75" s="779">
        <v>36000</v>
      </c>
      <c r="AA75" s="1268">
        <v>36000</v>
      </c>
      <c r="AB75" s="893">
        <v>36000</v>
      </c>
      <c r="AC75" s="775">
        <v>38898.876404494382</v>
      </c>
      <c r="AD75" s="690">
        <v>39996.913705583749</v>
      </c>
      <c r="AE75" s="753">
        <v>39996.913705583749</v>
      </c>
      <c r="AF75" s="253">
        <v>39996.913705583749</v>
      </c>
      <c r="AG75" s="253">
        <f t="shared" si="27"/>
        <v>39996.913705583749</v>
      </c>
      <c r="DG75" s="543"/>
      <c r="DH75" s="172"/>
      <c r="DI75" s="1020"/>
      <c r="DJ75" s="2045"/>
    </row>
    <row r="76" spans="1:114" ht="14.65" customHeight="1" outlineLevel="1" x14ac:dyDescent="0.25">
      <c r="A76" s="2145"/>
      <c r="C76" s="49"/>
      <c r="D76" s="2398"/>
      <c r="E76" s="2402"/>
      <c r="F76" s="2403" t="str">
        <f t="shared" si="29"/>
        <v>CAC-SEER18_ER2_SF</v>
      </c>
      <c r="G76" s="2403"/>
      <c r="H76" s="2403"/>
      <c r="I76" s="1268" t="str">
        <f t="shared" si="30"/>
        <v>351160_2024_12_</v>
      </c>
      <c r="J76" s="1530">
        <v>39996.913705583749</v>
      </c>
      <c r="K76" s="20">
        <f t="shared" si="31"/>
        <v>3.3330761421319792</v>
      </c>
      <c r="L76" s="1518" t="s">
        <v>931</v>
      </c>
      <c r="N76" s="532"/>
      <c r="T76" s="50"/>
      <c r="U76" s="50"/>
      <c r="V76" s="2383"/>
      <c r="W76" s="1268"/>
      <c r="X76" s="779"/>
      <c r="Y76" s="779"/>
      <c r="Z76" s="779">
        <v>36000</v>
      </c>
      <c r="AA76" s="1268">
        <v>36000</v>
      </c>
      <c r="AB76" s="893">
        <v>36000</v>
      </c>
      <c r="AC76" s="775">
        <v>38898.876404494382</v>
      </c>
      <c r="AD76" s="690">
        <v>39996.913705583749</v>
      </c>
      <c r="AE76" s="753">
        <v>39996.913705583749</v>
      </c>
      <c r="AF76" s="253">
        <v>39996.913705583749</v>
      </c>
      <c r="AG76" s="253">
        <f t="shared" si="27"/>
        <v>39996.913705583749</v>
      </c>
      <c r="DG76" s="543"/>
      <c r="DH76" s="172"/>
      <c r="DI76" s="1020"/>
      <c r="DJ76" s="2045"/>
    </row>
    <row r="77" spans="1:114" ht="14.65" customHeight="1" outlineLevel="1" x14ac:dyDescent="0.25">
      <c r="A77" s="2145"/>
      <c r="C77" s="49"/>
      <c r="D77" s="2398"/>
      <c r="E77" s="2402"/>
      <c r="F77" s="2403" t="str">
        <f t="shared" si="29"/>
        <v>CAC-SEER18_ROF_SF</v>
      </c>
      <c r="G77" s="2403"/>
      <c r="H77" s="2403"/>
      <c r="I77" s="1268" t="str">
        <f t="shared" si="30"/>
        <v>351161_2024_12_</v>
      </c>
      <c r="J77" s="1530">
        <v>39941.463414585363</v>
      </c>
      <c r="K77" s="20">
        <f t="shared" si="31"/>
        <v>3.3284552845487805</v>
      </c>
      <c r="L77" s="1518" t="s">
        <v>930</v>
      </c>
      <c r="N77" s="532"/>
      <c r="T77" s="50"/>
      <c r="U77" s="50"/>
      <c r="V77" s="2383"/>
      <c r="W77" s="1268"/>
      <c r="X77" s="779"/>
      <c r="Y77" s="779"/>
      <c r="Z77" s="779">
        <v>36000</v>
      </c>
      <c r="AA77" s="1268">
        <v>36000</v>
      </c>
      <c r="AB77" s="893">
        <v>36000</v>
      </c>
      <c r="AC77" s="775">
        <v>38076.923076923078</v>
      </c>
      <c r="AD77" s="690">
        <v>40765.935483870977</v>
      </c>
      <c r="AE77" s="753">
        <v>40765.935483870977</v>
      </c>
      <c r="AF77" s="253">
        <v>39941.463414585363</v>
      </c>
      <c r="AG77" s="253">
        <f t="shared" si="27"/>
        <v>39941.463414585363</v>
      </c>
      <c r="DG77" s="543"/>
      <c r="DH77" s="172"/>
      <c r="DI77" s="1020"/>
      <c r="DJ77" s="2045"/>
    </row>
    <row r="78" spans="1:114" ht="14.65" customHeight="1" outlineLevel="1" x14ac:dyDescent="0.25">
      <c r="A78" s="2145"/>
      <c r="C78" s="49"/>
      <c r="D78" s="2398"/>
      <c r="E78" s="2402"/>
      <c r="F78" s="2403" t="str">
        <f t="shared" si="29"/>
        <v>CAC-SEER19_ER1_SF</v>
      </c>
      <c r="G78" s="2403"/>
      <c r="H78" s="2403"/>
      <c r="I78" s="1268" t="str">
        <f t="shared" si="30"/>
        <v>351170_2025_12_</v>
      </c>
      <c r="J78" s="1530">
        <v>42588.888888888891</v>
      </c>
      <c r="K78" s="160">
        <f t="shared" si="31"/>
        <v>3.549074074074074</v>
      </c>
      <c r="L78" s="1945" t="s">
        <v>932</v>
      </c>
      <c r="M78" s="534"/>
      <c r="N78" s="532"/>
      <c r="T78" s="50"/>
      <c r="U78" s="50"/>
      <c r="V78" s="2383"/>
      <c r="W78" s="1268"/>
      <c r="X78" s="779"/>
      <c r="Y78" s="779"/>
      <c r="Z78" s="779">
        <v>36000</v>
      </c>
      <c r="AA78" s="1268">
        <v>36000</v>
      </c>
      <c r="AB78" s="893">
        <v>36000</v>
      </c>
      <c r="AC78" s="775">
        <v>50823.529411764706</v>
      </c>
      <c r="AD78" s="690">
        <v>51760.434782608703</v>
      </c>
      <c r="AE78" s="690">
        <v>51637.714285714283</v>
      </c>
      <c r="AF78" s="253">
        <v>51637.714285714283</v>
      </c>
      <c r="AG78" s="253">
        <f t="shared" si="27"/>
        <v>42588.888888888891</v>
      </c>
      <c r="DG78" s="543"/>
      <c r="DH78" s="172"/>
      <c r="DI78" s="1020"/>
      <c r="DJ78" s="2045"/>
    </row>
    <row r="79" spans="1:114" ht="14.65" customHeight="1" outlineLevel="1" x14ac:dyDescent="0.25">
      <c r="A79" s="2145"/>
      <c r="C79" s="49"/>
      <c r="D79" s="2398"/>
      <c r="E79" s="2402"/>
      <c r="F79" s="2403" t="str">
        <f t="shared" si="29"/>
        <v>CAC-SEER19_ER2_SF</v>
      </c>
      <c r="G79" s="2403"/>
      <c r="H79" s="2403"/>
      <c r="I79" s="1268" t="str">
        <f t="shared" si="30"/>
        <v>351170_2025_12_</v>
      </c>
      <c r="J79" s="1530">
        <v>42588.888888888891</v>
      </c>
      <c r="K79" s="160">
        <f t="shared" si="31"/>
        <v>3.549074074074074</v>
      </c>
      <c r="L79" s="1945" t="s">
        <v>932</v>
      </c>
      <c r="M79" s="534"/>
      <c r="N79" s="532"/>
      <c r="T79" s="50"/>
      <c r="U79" s="50"/>
      <c r="V79" s="2383"/>
      <c r="W79" s="1268"/>
      <c r="X79" s="779"/>
      <c r="Y79" s="779"/>
      <c r="Z79" s="779">
        <v>36000</v>
      </c>
      <c r="AA79" s="1268">
        <v>36000</v>
      </c>
      <c r="AB79" s="893">
        <v>36000</v>
      </c>
      <c r="AC79" s="775">
        <v>50823.529411764706</v>
      </c>
      <c r="AD79" s="690">
        <v>51760.434782608703</v>
      </c>
      <c r="AE79" s="690">
        <v>51637.714285714283</v>
      </c>
      <c r="AF79" s="253">
        <v>51637.714285714283</v>
      </c>
      <c r="AG79" s="253">
        <f t="shared" si="27"/>
        <v>42588.888888888891</v>
      </c>
      <c r="DG79" s="543"/>
      <c r="DH79" s="172"/>
      <c r="DI79" s="1020"/>
      <c r="DJ79" s="2045"/>
    </row>
    <row r="80" spans="1:114" ht="14.65" customHeight="1" outlineLevel="1" x14ac:dyDescent="0.25">
      <c r="A80" s="2145"/>
      <c r="C80" s="49"/>
      <c r="D80" s="2398"/>
      <c r="E80" s="2402"/>
      <c r="F80" s="2403" t="str">
        <f t="shared" si="29"/>
        <v>CAC-SEER19_ROF_SF</v>
      </c>
      <c r="G80" s="2403"/>
      <c r="H80" s="2403"/>
      <c r="I80" s="1268" t="str">
        <f t="shared" si="30"/>
        <v>351171_2025_12_</v>
      </c>
      <c r="J80" s="1530">
        <v>41266.666666666664</v>
      </c>
      <c r="K80" s="160">
        <f t="shared" si="31"/>
        <v>3.4388888888888887</v>
      </c>
      <c r="L80" s="1945" t="s">
        <v>932</v>
      </c>
      <c r="M80" s="534"/>
      <c r="N80" s="532"/>
      <c r="T80" s="50"/>
      <c r="U80" s="50"/>
      <c r="V80" s="2383"/>
      <c r="W80" s="1268"/>
      <c r="X80" s="779"/>
      <c r="Y80" s="779"/>
      <c r="Z80" s="779">
        <v>36000</v>
      </c>
      <c r="AA80" s="1268">
        <v>36000</v>
      </c>
      <c r="AB80" s="893">
        <v>36000</v>
      </c>
      <c r="AC80" s="775">
        <v>52285.714285714283</v>
      </c>
      <c r="AD80" s="690">
        <v>51772.5</v>
      </c>
      <c r="AE80" s="690">
        <v>50915</v>
      </c>
      <c r="AF80" s="253">
        <v>53142.857142857145</v>
      </c>
      <c r="AG80" s="253">
        <f t="shared" si="27"/>
        <v>41266.666666666664</v>
      </c>
      <c r="DG80" s="543"/>
      <c r="DH80" s="172"/>
      <c r="DI80" s="1020"/>
      <c r="DJ80" s="2045"/>
    </row>
    <row r="81" spans="1:114" ht="14.65" customHeight="1" outlineLevel="1" x14ac:dyDescent="0.25">
      <c r="A81" s="2145"/>
      <c r="C81" s="49"/>
      <c r="D81" s="2398"/>
      <c r="E81" s="2402"/>
      <c r="F81" s="2403" t="str">
        <f t="shared" si="29"/>
        <v>CAC-SEER20_ER1_SF</v>
      </c>
      <c r="G81" s="2403"/>
      <c r="H81" s="2403"/>
      <c r="I81" s="1268" t="str">
        <f t="shared" si="30"/>
        <v>351180_2024_12_</v>
      </c>
      <c r="J81" s="1530">
        <v>43308.988764000002</v>
      </c>
      <c r="K81" s="20">
        <f t="shared" si="31"/>
        <v>3.6090823970000003</v>
      </c>
      <c r="L81" s="1518" t="s">
        <v>930</v>
      </c>
      <c r="M81" s="534"/>
      <c r="N81" s="532"/>
      <c r="T81" s="50"/>
      <c r="U81" s="50"/>
      <c r="V81" s="2383"/>
      <c r="W81" s="1268"/>
      <c r="X81" s="779"/>
      <c r="Y81" s="779"/>
      <c r="Z81" s="779">
        <v>36000</v>
      </c>
      <c r="AA81" s="1268">
        <v>36000</v>
      </c>
      <c r="AB81" s="893">
        <v>36000</v>
      </c>
      <c r="AC81" s="775">
        <v>41052.631578947367</v>
      </c>
      <c r="AD81" s="690">
        <v>40910.503597122304</v>
      </c>
      <c r="AE81" s="690">
        <v>40619.469026548672</v>
      </c>
      <c r="AF81" s="253">
        <v>43308.988764000002</v>
      </c>
      <c r="AG81" s="253">
        <f t="shared" si="27"/>
        <v>43308.988764000002</v>
      </c>
      <c r="DG81" s="543"/>
      <c r="DH81" s="172"/>
      <c r="DI81" s="1020"/>
      <c r="DJ81" s="2045"/>
    </row>
    <row r="82" spans="1:114" ht="14.65" customHeight="1" outlineLevel="1" x14ac:dyDescent="0.25">
      <c r="A82" s="2145"/>
      <c r="C82" s="49"/>
      <c r="D82" s="2398"/>
      <c r="E82" s="2402"/>
      <c r="F82" s="2403" t="str">
        <f t="shared" si="29"/>
        <v>CAC-SEER20_ER2_SF</v>
      </c>
      <c r="G82" s="2403"/>
      <c r="H82" s="2403"/>
      <c r="I82" s="1268" t="str">
        <f t="shared" si="30"/>
        <v>351180_2024_12_</v>
      </c>
      <c r="J82" s="1530">
        <v>43308.988764000002</v>
      </c>
      <c r="K82" s="20">
        <f t="shared" si="31"/>
        <v>3.6090823970000003</v>
      </c>
      <c r="L82" s="1518" t="s">
        <v>930</v>
      </c>
      <c r="M82" s="534"/>
      <c r="N82" s="532"/>
      <c r="T82" s="50"/>
      <c r="U82" s="50"/>
      <c r="V82" s="2383"/>
      <c r="W82" s="1268"/>
      <c r="X82" s="779"/>
      <c r="Y82" s="779"/>
      <c r="Z82" s="779">
        <v>36000</v>
      </c>
      <c r="AA82" s="1268">
        <v>36000</v>
      </c>
      <c r="AB82" s="893">
        <v>36000</v>
      </c>
      <c r="AC82" s="775">
        <v>41052.631578947367</v>
      </c>
      <c r="AD82" s="690">
        <v>40910.503597122304</v>
      </c>
      <c r="AE82" s="690">
        <v>40619.469026548672</v>
      </c>
      <c r="AF82" s="253">
        <v>43308.988764000002</v>
      </c>
      <c r="AG82" s="253">
        <f t="shared" si="27"/>
        <v>43308.988764000002</v>
      </c>
      <c r="DG82" s="543"/>
      <c r="DH82" s="172"/>
      <c r="DI82" s="1020"/>
      <c r="DJ82" s="2045"/>
    </row>
    <row r="83" spans="1:114" ht="14.65" customHeight="1" outlineLevel="1" x14ac:dyDescent="0.25">
      <c r="A83" s="2145"/>
      <c r="C83" s="49"/>
      <c r="D83" s="2398"/>
      <c r="E83" s="2402"/>
      <c r="F83" s="2403" t="str">
        <f t="shared" si="29"/>
        <v>CAC-SEER20_ROF_SF</v>
      </c>
      <c r="G83" s="2403"/>
      <c r="H83" s="2403"/>
      <c r="I83" s="1268" t="str">
        <f t="shared" si="30"/>
        <v>351181_2024_12_</v>
      </c>
      <c r="J83" s="1530">
        <v>45285</v>
      </c>
      <c r="K83" s="20">
        <f t="shared" si="31"/>
        <v>3.7737500000000002</v>
      </c>
      <c r="L83" s="1518" t="s">
        <v>930</v>
      </c>
      <c r="M83" s="534"/>
      <c r="N83" s="532"/>
      <c r="T83" s="50"/>
      <c r="U83" s="50"/>
      <c r="V83" s="2383"/>
      <c r="W83" s="1268"/>
      <c r="X83" s="779"/>
      <c r="Y83" s="779"/>
      <c r="Z83" s="779">
        <v>36000</v>
      </c>
      <c r="AA83" s="1268">
        <v>36000</v>
      </c>
      <c r="AB83" s="893">
        <v>36000</v>
      </c>
      <c r="AC83" s="775">
        <v>39000</v>
      </c>
      <c r="AD83" s="690">
        <v>40333.333333333336</v>
      </c>
      <c r="AE83" s="690">
        <v>35602.5</v>
      </c>
      <c r="AF83" s="253">
        <v>45285</v>
      </c>
      <c r="AG83" s="253">
        <f t="shared" si="27"/>
        <v>45285</v>
      </c>
      <c r="DG83" s="543"/>
      <c r="DH83" s="172"/>
      <c r="DI83" s="1020"/>
      <c r="DJ83" s="2045"/>
    </row>
    <row r="84" spans="1:114" ht="14.65" customHeight="1" outlineLevel="1" x14ac:dyDescent="0.25">
      <c r="A84" s="2145"/>
      <c r="C84" s="49"/>
      <c r="D84" s="2398"/>
      <c r="E84" s="2402"/>
      <c r="F84" s="2403" t="str">
        <f t="shared" si="29"/>
        <v>CAC-SEER21+_ER1_SF</v>
      </c>
      <c r="G84" s="2403"/>
      <c r="H84" s="2403"/>
      <c r="I84" s="1268" t="str">
        <f t="shared" si="30"/>
        <v>351190_2024_12_</v>
      </c>
      <c r="J84" s="1530">
        <v>39574.489795959191</v>
      </c>
      <c r="K84" s="20">
        <f t="shared" si="31"/>
        <v>3.297874149663266</v>
      </c>
      <c r="L84" s="1518" t="s">
        <v>930</v>
      </c>
      <c r="M84" s="534"/>
      <c r="N84" s="532"/>
      <c r="T84" s="50"/>
      <c r="U84" s="50"/>
      <c r="V84" s="2383"/>
      <c r="W84" s="1268"/>
      <c r="X84" s="892"/>
      <c r="Y84" s="779"/>
      <c r="Z84" s="779">
        <v>36000</v>
      </c>
      <c r="AA84" s="1268">
        <v>36000</v>
      </c>
      <c r="AB84" s="893">
        <v>36000</v>
      </c>
      <c r="AC84" s="775">
        <v>39974.025974025972</v>
      </c>
      <c r="AD84" s="690">
        <v>38854.368932038837</v>
      </c>
      <c r="AE84" s="690">
        <v>38672.727272727272</v>
      </c>
      <c r="AF84" s="253">
        <v>39574.489795959191</v>
      </c>
      <c r="AG84" s="253">
        <f t="shared" si="27"/>
        <v>39574.489795959191</v>
      </c>
      <c r="DG84" s="543"/>
      <c r="DH84" s="172"/>
      <c r="DI84" s="1020"/>
      <c r="DJ84" s="2045"/>
    </row>
    <row r="85" spans="1:114" ht="14.65" customHeight="1" outlineLevel="1" x14ac:dyDescent="0.25">
      <c r="A85" s="2145"/>
      <c r="C85" s="49"/>
      <c r="D85" s="2398"/>
      <c r="E85" s="2402"/>
      <c r="F85" s="2403" t="str">
        <f t="shared" si="29"/>
        <v>CAC-SEER21+_ER2_SF</v>
      </c>
      <c r="G85" s="2403"/>
      <c r="H85" s="2403"/>
      <c r="I85" s="1268" t="str">
        <f t="shared" si="30"/>
        <v>351190_2024_12_</v>
      </c>
      <c r="J85" s="1530">
        <v>39574.489795959191</v>
      </c>
      <c r="K85" s="20">
        <f t="shared" ref="K85:K86" si="34">J85/12000</f>
        <v>3.297874149663266</v>
      </c>
      <c r="L85" s="1518" t="s">
        <v>930</v>
      </c>
      <c r="M85" s="534"/>
      <c r="N85" s="532"/>
      <c r="T85" s="50"/>
      <c r="U85" s="50"/>
      <c r="V85" s="2383"/>
      <c r="W85" s="1268"/>
      <c r="X85" s="892"/>
      <c r="Y85" s="779"/>
      <c r="Z85" s="779">
        <v>36000</v>
      </c>
      <c r="AA85" s="1268">
        <v>36000</v>
      </c>
      <c r="AB85" s="893">
        <v>36000</v>
      </c>
      <c r="AC85" s="775">
        <v>39974.025974025972</v>
      </c>
      <c r="AD85" s="690">
        <v>38854.368932038837</v>
      </c>
      <c r="AE85" s="690">
        <v>38672.727272727272</v>
      </c>
      <c r="AF85" s="253">
        <v>39574.489795959191</v>
      </c>
      <c r="AG85" s="253">
        <f t="shared" si="27"/>
        <v>39574.489795959191</v>
      </c>
      <c r="DG85" s="543"/>
      <c r="DH85" s="172"/>
      <c r="DI85" s="1020"/>
      <c r="DJ85" s="2045"/>
    </row>
    <row r="86" spans="1:114" ht="14.65" customHeight="1" outlineLevel="1" x14ac:dyDescent="0.25">
      <c r="A86" s="2145"/>
      <c r="C86" s="49"/>
      <c r="D86" s="2398"/>
      <c r="E86" s="2402"/>
      <c r="F86" s="2403" t="str">
        <f t="shared" si="29"/>
        <v>CAC-SEER21+_ROF_SF</v>
      </c>
      <c r="G86" s="2403"/>
      <c r="H86" s="2403"/>
      <c r="I86" s="1268" t="str">
        <f t="shared" si="30"/>
        <v>351191_2024_12_</v>
      </c>
      <c r="J86" s="1530">
        <v>40520.270270270266</v>
      </c>
      <c r="K86" s="20">
        <f t="shared" si="34"/>
        <v>3.376689189189189</v>
      </c>
      <c r="L86" s="1518" t="s">
        <v>930</v>
      </c>
      <c r="M86" s="534"/>
      <c r="N86" s="532"/>
      <c r="T86" s="50"/>
      <c r="U86" s="50"/>
      <c r="V86" s="2383"/>
      <c r="W86" s="1268"/>
      <c r="X86" s="892"/>
      <c r="Y86" s="779"/>
      <c r="Z86" s="779">
        <v>36000</v>
      </c>
      <c r="AA86" s="1268">
        <v>36000</v>
      </c>
      <c r="AB86" s="893">
        <v>36000</v>
      </c>
      <c r="AC86" s="775">
        <v>37714.28571428571</v>
      </c>
      <c r="AD86" s="690">
        <v>38250</v>
      </c>
      <c r="AE86" s="690">
        <v>42000</v>
      </c>
      <c r="AF86" s="253">
        <v>40520.270270270266</v>
      </c>
      <c r="AG86" s="253">
        <f t="shared" si="27"/>
        <v>40520.270270270266</v>
      </c>
      <c r="DG86" s="543"/>
      <c r="DH86" s="172"/>
      <c r="DI86" s="1020"/>
      <c r="DJ86" s="2045"/>
    </row>
    <row r="87" spans="1:114" outlineLevel="1" x14ac:dyDescent="0.25">
      <c r="A87" s="2145"/>
      <c r="C87" s="49"/>
      <c r="D87" s="2397" t="s">
        <v>933</v>
      </c>
      <c r="E87" s="2397" t="s">
        <v>934</v>
      </c>
      <c r="F87" s="2403" t="str">
        <f t="shared" si="29"/>
        <v>CAC-SEER15_ER1_SF</v>
      </c>
      <c r="G87" s="2403"/>
      <c r="H87" s="2403"/>
      <c r="I87" s="1268" t="str">
        <f t="shared" si="30"/>
        <v>350600_2024_12_</v>
      </c>
      <c r="J87" s="1807"/>
      <c r="K87" s="1307"/>
      <c r="L87" s="1249"/>
      <c r="M87" s="49"/>
      <c r="N87" s="532"/>
      <c r="O87" s="49"/>
      <c r="T87" s="50"/>
      <c r="U87" s="50"/>
      <c r="V87" s="2415"/>
      <c r="W87" s="1268">
        <v>10</v>
      </c>
      <c r="X87" s="779"/>
      <c r="Y87" s="779"/>
      <c r="Z87" s="779"/>
      <c r="AA87" s="1268"/>
      <c r="AB87" s="892"/>
      <c r="AC87" s="1268"/>
      <c r="AD87" s="1268"/>
      <c r="AE87" s="691"/>
      <c r="AF87" s="253" t="s">
        <v>935</v>
      </c>
      <c r="AG87" s="1980"/>
      <c r="DG87" s="543"/>
      <c r="DH87" s="172"/>
      <c r="DI87" s="1020"/>
      <c r="DJ87" s="2045"/>
    </row>
    <row r="88" spans="1:114" outlineLevel="1" x14ac:dyDescent="0.25">
      <c r="A88" s="2145"/>
      <c r="C88" s="49"/>
      <c r="D88" s="2398"/>
      <c r="E88" s="2398"/>
      <c r="F88" s="2403" t="str">
        <f t="shared" si="29"/>
        <v>CAC-SEER15_ER2_SF</v>
      </c>
      <c r="G88" s="2403"/>
      <c r="H88" s="2403"/>
      <c r="I88" s="1268" t="str">
        <f t="shared" si="30"/>
        <v>350600_2024_12_</v>
      </c>
      <c r="J88" s="1807">
        <v>13.4</v>
      </c>
      <c r="K88" s="1307"/>
      <c r="L88" s="1249" t="s">
        <v>936</v>
      </c>
      <c r="M88" s="49"/>
      <c r="N88" s="532"/>
      <c r="O88" s="49"/>
      <c r="T88" s="50"/>
      <c r="U88" s="50"/>
      <c r="V88" s="2415"/>
      <c r="W88" s="1268">
        <v>13</v>
      </c>
      <c r="X88" s="1268">
        <v>13</v>
      </c>
      <c r="Y88" s="1268">
        <v>13</v>
      </c>
      <c r="Z88" s="1268">
        <v>13</v>
      </c>
      <c r="AA88" s="1268">
        <v>13</v>
      </c>
      <c r="AB88" s="892">
        <v>13</v>
      </c>
      <c r="AC88" s="1268">
        <v>13</v>
      </c>
      <c r="AD88" s="1268">
        <v>13</v>
      </c>
      <c r="AE88" s="691">
        <v>14</v>
      </c>
      <c r="AF88" s="253">
        <v>13.4</v>
      </c>
      <c r="AG88" s="253">
        <f>IF(J88&lt;&gt;"",J88,"")</f>
        <v>13.4</v>
      </c>
      <c r="DG88" s="543"/>
      <c r="DH88" s="172"/>
      <c r="DI88" s="1020"/>
      <c r="DJ88" s="2045"/>
    </row>
    <row r="89" spans="1:114" outlineLevel="1" x14ac:dyDescent="0.25">
      <c r="A89" s="2145"/>
      <c r="C89" s="49"/>
      <c r="D89" s="2398"/>
      <c r="E89" s="2398"/>
      <c r="F89" s="2403" t="str">
        <f t="shared" si="29"/>
        <v>CAC-SEER15_ROF_SF</v>
      </c>
      <c r="G89" s="2403"/>
      <c r="H89" s="2403"/>
      <c r="I89" s="1268" t="str">
        <f t="shared" si="30"/>
        <v>350650_2024_12_</v>
      </c>
      <c r="J89" s="1807">
        <v>13.4</v>
      </c>
      <c r="K89" s="1307"/>
      <c r="L89" s="1249" t="s">
        <v>936</v>
      </c>
      <c r="M89" s="49"/>
      <c r="N89" s="532"/>
      <c r="O89" s="49"/>
      <c r="T89" s="50"/>
      <c r="U89" s="50"/>
      <c r="V89" s="2415"/>
      <c r="W89" s="1268">
        <v>13</v>
      </c>
      <c r="X89" s="1268">
        <v>13</v>
      </c>
      <c r="Y89" s="1268">
        <v>13</v>
      </c>
      <c r="Z89" s="1268">
        <v>13</v>
      </c>
      <c r="AA89" s="1268">
        <v>13</v>
      </c>
      <c r="AB89" s="892">
        <v>13</v>
      </c>
      <c r="AC89" s="1268">
        <v>13</v>
      </c>
      <c r="AD89" s="1268">
        <v>13</v>
      </c>
      <c r="AE89" s="691">
        <v>14</v>
      </c>
      <c r="AF89" s="253">
        <v>13.4</v>
      </c>
      <c r="AG89" s="253">
        <f t="shared" ref="AG89:AG152" si="35">IF(J89&lt;&gt;"",J89,"")</f>
        <v>13.4</v>
      </c>
      <c r="DG89" s="543"/>
      <c r="DH89" s="172"/>
      <c r="DI89" s="1020"/>
      <c r="DJ89" s="2045"/>
    </row>
    <row r="90" spans="1:114" outlineLevel="1" x14ac:dyDescent="0.25">
      <c r="A90" s="2145"/>
      <c r="C90" s="49"/>
      <c r="D90" s="2398"/>
      <c r="E90" s="2398"/>
      <c r="F90" s="2403" t="str">
        <f t="shared" si="29"/>
        <v>CAC-SEER16_ER1_SF</v>
      </c>
      <c r="G90" s="2403"/>
      <c r="H90" s="2403"/>
      <c r="I90" s="1268" t="str">
        <f t="shared" si="30"/>
        <v>350800_2024_12_</v>
      </c>
      <c r="J90" s="1807"/>
      <c r="K90" s="1307"/>
      <c r="L90" s="1249"/>
      <c r="M90" s="49"/>
      <c r="N90" s="532"/>
      <c r="O90" s="49"/>
      <c r="T90" s="50"/>
      <c r="U90" s="50"/>
      <c r="V90" s="2415"/>
      <c r="W90" s="1268">
        <v>10</v>
      </c>
      <c r="X90" s="779"/>
      <c r="Y90" s="779"/>
      <c r="Z90" s="779"/>
      <c r="AA90" s="1268"/>
      <c r="AB90" s="892"/>
      <c r="AC90" s="1268"/>
      <c r="AD90" s="1268"/>
      <c r="AE90" s="691"/>
      <c r="AF90" s="253" t="s">
        <v>935</v>
      </c>
      <c r="AG90" s="253" t="str">
        <f t="shared" si="35"/>
        <v/>
      </c>
      <c r="DG90" s="543"/>
      <c r="DH90" s="172"/>
      <c r="DI90" s="1020"/>
      <c r="DJ90" s="2045"/>
    </row>
    <row r="91" spans="1:114" outlineLevel="1" x14ac:dyDescent="0.25">
      <c r="A91" s="2145"/>
      <c r="C91" s="49"/>
      <c r="D91" s="2398"/>
      <c r="E91" s="2398"/>
      <c r="F91" s="2403" t="str">
        <f t="shared" si="29"/>
        <v>CAC-SEER16_ER2_SF</v>
      </c>
      <c r="G91" s="2403"/>
      <c r="H91" s="2403"/>
      <c r="I91" s="1268" t="str">
        <f t="shared" si="30"/>
        <v>350800_2024_12_</v>
      </c>
      <c r="J91" s="1807">
        <v>13.4</v>
      </c>
      <c r="K91" s="1307"/>
      <c r="L91" s="1249" t="s">
        <v>936</v>
      </c>
      <c r="M91" s="49"/>
      <c r="N91" s="532"/>
      <c r="O91" s="49"/>
      <c r="T91" s="50"/>
      <c r="U91" s="50"/>
      <c r="V91" s="2415"/>
      <c r="W91" s="1268">
        <v>13</v>
      </c>
      <c r="X91" s="1268">
        <v>13</v>
      </c>
      <c r="Y91" s="1268">
        <v>13</v>
      </c>
      <c r="Z91" s="1268">
        <v>13</v>
      </c>
      <c r="AA91" s="1268">
        <v>13</v>
      </c>
      <c r="AB91" s="892">
        <v>13</v>
      </c>
      <c r="AC91" s="1268">
        <v>13</v>
      </c>
      <c r="AD91" s="1268">
        <v>13</v>
      </c>
      <c r="AE91" s="691">
        <v>14</v>
      </c>
      <c r="AF91" s="253">
        <v>13.4</v>
      </c>
      <c r="AG91" s="253">
        <f t="shared" si="35"/>
        <v>13.4</v>
      </c>
      <c r="DG91" s="543"/>
      <c r="DH91" s="172"/>
      <c r="DI91" s="1020"/>
      <c r="DJ91" s="2045"/>
    </row>
    <row r="92" spans="1:114" outlineLevel="1" x14ac:dyDescent="0.25">
      <c r="A92" s="2145"/>
      <c r="C92" s="49"/>
      <c r="D92" s="2398"/>
      <c r="E92" s="2398"/>
      <c r="F92" s="2403" t="str">
        <f t="shared" si="29"/>
        <v>CAC-SEER16_ROF_SF</v>
      </c>
      <c r="G92" s="2403"/>
      <c r="H92" s="2403"/>
      <c r="I92" s="1268" t="str">
        <f t="shared" si="30"/>
        <v>350850_2024_12_</v>
      </c>
      <c r="J92" s="1807">
        <v>13.4</v>
      </c>
      <c r="K92" s="1307"/>
      <c r="L92" s="1249" t="s">
        <v>936</v>
      </c>
      <c r="M92" s="49"/>
      <c r="N92" s="532"/>
      <c r="O92" s="49"/>
      <c r="T92" s="50"/>
      <c r="U92" s="50"/>
      <c r="V92" s="2415"/>
      <c r="W92" s="1268">
        <v>13</v>
      </c>
      <c r="X92" s="1268">
        <v>13</v>
      </c>
      <c r="Y92" s="1268">
        <v>13</v>
      </c>
      <c r="Z92" s="1268">
        <v>13</v>
      </c>
      <c r="AA92" s="1268">
        <v>13</v>
      </c>
      <c r="AB92" s="892">
        <v>13</v>
      </c>
      <c r="AC92" s="1268">
        <v>13</v>
      </c>
      <c r="AD92" s="1268">
        <v>13</v>
      </c>
      <c r="AE92" s="691">
        <v>14</v>
      </c>
      <c r="AF92" s="253">
        <v>13.4</v>
      </c>
      <c r="AG92" s="253">
        <f t="shared" si="35"/>
        <v>13.4</v>
      </c>
      <c r="DG92" s="543"/>
      <c r="DH92" s="172"/>
      <c r="DI92" s="1020"/>
      <c r="DJ92" s="2045"/>
    </row>
    <row r="93" spans="1:114" outlineLevel="1" x14ac:dyDescent="0.25">
      <c r="A93" s="2145"/>
      <c r="C93" s="49"/>
      <c r="D93" s="2398"/>
      <c r="E93" s="2398"/>
      <c r="F93" s="2403" t="str">
        <f t="shared" si="29"/>
        <v>CAC-SEER16_ER1_MF</v>
      </c>
      <c r="G93" s="2403"/>
      <c r="H93" s="2403"/>
      <c r="I93" s="1268" t="str">
        <f t="shared" si="30"/>
        <v>350900_2024_12_</v>
      </c>
      <c r="J93" s="1807"/>
      <c r="K93" s="1307"/>
      <c r="L93" s="1249"/>
      <c r="M93" s="49"/>
      <c r="N93" s="532"/>
      <c r="O93" s="49"/>
      <c r="T93" s="50"/>
      <c r="U93" s="50"/>
      <c r="V93" s="2415"/>
      <c r="W93" s="1268">
        <v>10</v>
      </c>
      <c r="X93" s="779"/>
      <c r="Y93" s="779"/>
      <c r="Z93" s="779"/>
      <c r="AA93" s="1268"/>
      <c r="AB93" s="892"/>
      <c r="AC93" s="1268"/>
      <c r="AD93" s="1268"/>
      <c r="AE93" s="691"/>
      <c r="AF93" s="253" t="s">
        <v>935</v>
      </c>
      <c r="AG93" s="253" t="str">
        <f t="shared" si="35"/>
        <v/>
      </c>
      <c r="DG93" s="543"/>
      <c r="DH93" s="172"/>
      <c r="DI93" s="1020"/>
      <c r="DJ93" s="2045"/>
    </row>
    <row r="94" spans="1:114" outlineLevel="1" x14ac:dyDescent="0.25">
      <c r="A94" s="2145"/>
      <c r="C94" s="49"/>
      <c r="D94" s="2398"/>
      <c r="E94" s="2398"/>
      <c r="F94" s="2403" t="str">
        <f t="shared" si="29"/>
        <v>CAC-SEER16_ER2_MF</v>
      </c>
      <c r="G94" s="2403"/>
      <c r="H94" s="2403"/>
      <c r="I94" s="1268" t="str">
        <f t="shared" si="30"/>
        <v>350900_2024_12_</v>
      </c>
      <c r="J94" s="1807">
        <v>13.4</v>
      </c>
      <c r="K94" s="1307"/>
      <c r="L94" s="1249" t="s">
        <v>936</v>
      </c>
      <c r="M94" s="49"/>
      <c r="N94" s="532"/>
      <c r="O94" s="49"/>
      <c r="T94" s="50"/>
      <c r="U94" s="50"/>
      <c r="V94" s="2415"/>
      <c r="W94" s="1268">
        <v>13</v>
      </c>
      <c r="X94" s="1268">
        <v>13</v>
      </c>
      <c r="Y94" s="1268">
        <v>13</v>
      </c>
      <c r="Z94" s="1268">
        <v>13</v>
      </c>
      <c r="AA94" s="1268">
        <v>13</v>
      </c>
      <c r="AB94" s="892">
        <v>13</v>
      </c>
      <c r="AC94" s="1268">
        <v>13</v>
      </c>
      <c r="AD94" s="1268">
        <v>13</v>
      </c>
      <c r="AE94" s="691">
        <v>14</v>
      </c>
      <c r="AF94" s="253">
        <v>13.4</v>
      </c>
      <c r="AG94" s="253">
        <f t="shared" si="35"/>
        <v>13.4</v>
      </c>
      <c r="DG94" s="543"/>
      <c r="DH94" s="172"/>
      <c r="DI94" s="1020"/>
      <c r="DJ94" s="2045"/>
    </row>
    <row r="95" spans="1:114" outlineLevel="1" x14ac:dyDescent="0.25">
      <c r="A95" s="2145"/>
      <c r="C95" s="49"/>
      <c r="D95" s="2398"/>
      <c r="E95" s="2398"/>
      <c r="F95" s="2403" t="str">
        <f t="shared" si="29"/>
        <v>CAC-SEER17_ER1_SF</v>
      </c>
      <c r="G95" s="2403"/>
      <c r="H95" s="2403"/>
      <c r="I95" s="1268" t="str">
        <f t="shared" si="30"/>
        <v>351000_2024_12_</v>
      </c>
      <c r="J95" s="1807"/>
      <c r="K95" s="1307"/>
      <c r="L95" s="1249"/>
      <c r="M95" s="49"/>
      <c r="N95" s="532"/>
      <c r="O95" s="49"/>
      <c r="T95" s="50"/>
      <c r="U95" s="50"/>
      <c r="V95" s="2415"/>
      <c r="W95" s="1268">
        <v>10</v>
      </c>
      <c r="X95" s="779"/>
      <c r="Y95" s="779"/>
      <c r="Z95" s="779"/>
      <c r="AA95" s="1268"/>
      <c r="AB95" s="892"/>
      <c r="AC95" s="1268"/>
      <c r="AD95" s="1268"/>
      <c r="AE95" s="691"/>
      <c r="AF95" s="253" t="s">
        <v>935</v>
      </c>
      <c r="AG95" s="253" t="str">
        <f t="shared" si="35"/>
        <v/>
      </c>
      <c r="DG95" s="543"/>
      <c r="DH95" s="172"/>
      <c r="DI95" s="1020"/>
      <c r="DJ95" s="2045"/>
    </row>
    <row r="96" spans="1:114" ht="14.65" customHeight="1" outlineLevel="1" x14ac:dyDescent="0.25">
      <c r="A96" s="2145"/>
      <c r="C96" s="49"/>
      <c r="D96" s="2398"/>
      <c r="E96" s="2398"/>
      <c r="F96" s="2403" t="str">
        <f t="shared" ref="F96:F127" si="36">F73</f>
        <v>CAC-SEER17_ER2_SF</v>
      </c>
      <c r="G96" s="2403"/>
      <c r="H96" s="2403"/>
      <c r="I96" s="1268" t="str">
        <f t="shared" ref="I96:I127" si="37">I73</f>
        <v>351000_2024_12_</v>
      </c>
      <c r="J96" s="1807">
        <v>13.4</v>
      </c>
      <c r="K96" s="1307"/>
      <c r="L96" s="1249" t="s">
        <v>936</v>
      </c>
      <c r="M96" s="49"/>
      <c r="N96" s="532"/>
      <c r="O96" s="49"/>
      <c r="T96" s="50"/>
      <c r="U96" s="50"/>
      <c r="V96" s="2415"/>
      <c r="W96" s="1268">
        <v>13</v>
      </c>
      <c r="X96" s="1268">
        <v>13</v>
      </c>
      <c r="Y96" s="1268">
        <v>13</v>
      </c>
      <c r="Z96" s="1268">
        <v>13</v>
      </c>
      <c r="AA96" s="1268">
        <v>13</v>
      </c>
      <c r="AB96" s="892">
        <v>13</v>
      </c>
      <c r="AC96" s="1268">
        <v>13</v>
      </c>
      <c r="AD96" s="1268">
        <v>13</v>
      </c>
      <c r="AE96" s="691">
        <v>14</v>
      </c>
      <c r="AF96" s="253">
        <v>13.4</v>
      </c>
      <c r="AG96" s="253">
        <f t="shared" si="35"/>
        <v>13.4</v>
      </c>
      <c r="DG96" s="543"/>
      <c r="DH96" s="172"/>
      <c r="DI96" s="1020"/>
      <c r="DJ96" s="2045"/>
    </row>
    <row r="97" spans="1:114" ht="14.65" customHeight="1" outlineLevel="1" x14ac:dyDescent="0.25">
      <c r="A97" s="2145"/>
      <c r="C97" s="49"/>
      <c r="D97" s="2398"/>
      <c r="E97" s="2398"/>
      <c r="F97" s="2403" t="str">
        <f t="shared" si="36"/>
        <v>CAC-SEER17_ROF_SF</v>
      </c>
      <c r="G97" s="2403"/>
      <c r="H97" s="2403"/>
      <c r="I97" s="1268" t="str">
        <f t="shared" si="37"/>
        <v>351050_2024_12_</v>
      </c>
      <c r="J97" s="1807">
        <v>13.4</v>
      </c>
      <c r="K97" s="1307"/>
      <c r="L97" s="1249" t="s">
        <v>936</v>
      </c>
      <c r="M97" s="49"/>
      <c r="N97" s="532"/>
      <c r="O97" s="49"/>
      <c r="T97" s="50"/>
      <c r="U97" s="50"/>
      <c r="V97" s="2415"/>
      <c r="W97" s="1268">
        <v>13</v>
      </c>
      <c r="X97" s="1268">
        <v>13</v>
      </c>
      <c r="Y97" s="1268">
        <v>13</v>
      </c>
      <c r="Z97" s="1268">
        <v>13</v>
      </c>
      <c r="AA97" s="1268">
        <v>13</v>
      </c>
      <c r="AB97" s="892">
        <v>13</v>
      </c>
      <c r="AC97" s="1268">
        <v>13</v>
      </c>
      <c r="AD97" s="1268">
        <v>13</v>
      </c>
      <c r="AE97" s="691">
        <v>14</v>
      </c>
      <c r="AF97" s="253">
        <v>13.4</v>
      </c>
      <c r="AG97" s="253">
        <f t="shared" si="35"/>
        <v>13.4</v>
      </c>
      <c r="DG97" s="543"/>
      <c r="DH97" s="172"/>
      <c r="DI97" s="1020"/>
      <c r="DJ97" s="2045"/>
    </row>
    <row r="98" spans="1:114" ht="14.65" customHeight="1" outlineLevel="1" x14ac:dyDescent="0.25">
      <c r="A98" s="2145"/>
      <c r="C98" s="49"/>
      <c r="D98" s="2398"/>
      <c r="E98" s="2398"/>
      <c r="F98" s="2403" t="str">
        <f t="shared" si="36"/>
        <v>CAC-SEER18_ER1_SF</v>
      </c>
      <c r="G98" s="2403"/>
      <c r="H98" s="2403"/>
      <c r="I98" s="1268" t="str">
        <f t="shared" si="37"/>
        <v>351160_2024_12_</v>
      </c>
      <c r="J98" s="1807"/>
      <c r="K98" s="1307"/>
      <c r="L98" s="1249"/>
      <c r="M98" s="534"/>
      <c r="N98" s="532"/>
      <c r="T98" s="50"/>
      <c r="U98" s="50"/>
      <c r="V98" s="2383"/>
      <c r="W98" s="1268"/>
      <c r="X98" s="779"/>
      <c r="Y98" s="779"/>
      <c r="Z98" s="779"/>
      <c r="AA98" s="1268"/>
      <c r="AB98" s="892"/>
      <c r="AC98" s="1268"/>
      <c r="AD98" s="1268"/>
      <c r="AE98" s="691"/>
      <c r="AF98" s="253" t="s">
        <v>935</v>
      </c>
      <c r="AG98" s="253" t="str">
        <f t="shared" si="35"/>
        <v/>
      </c>
      <c r="DG98" s="543"/>
      <c r="DH98" s="172"/>
      <c r="DI98" s="1020"/>
      <c r="DJ98" s="2045"/>
    </row>
    <row r="99" spans="1:114" ht="14.65" customHeight="1" outlineLevel="1" x14ac:dyDescent="0.25">
      <c r="A99" s="2145"/>
      <c r="C99" s="49"/>
      <c r="D99" s="2398"/>
      <c r="E99" s="2398"/>
      <c r="F99" s="2403" t="str">
        <f t="shared" si="36"/>
        <v>CAC-SEER18_ER2_SF</v>
      </c>
      <c r="G99" s="2403"/>
      <c r="H99" s="2403"/>
      <c r="I99" s="1268" t="str">
        <f t="shared" si="37"/>
        <v>351160_2024_12_</v>
      </c>
      <c r="J99" s="1807">
        <v>13.4</v>
      </c>
      <c r="K99" s="1307"/>
      <c r="L99" s="1249" t="s">
        <v>936</v>
      </c>
      <c r="M99" s="534"/>
      <c r="N99" s="532"/>
      <c r="T99" s="50"/>
      <c r="U99" s="50"/>
      <c r="V99" s="2383"/>
      <c r="W99" s="1268"/>
      <c r="X99" s="1268"/>
      <c r="Y99" s="1268"/>
      <c r="Z99" s="779">
        <v>13</v>
      </c>
      <c r="AA99" s="1268">
        <v>13</v>
      </c>
      <c r="AB99" s="892">
        <v>13</v>
      </c>
      <c r="AC99" s="1268">
        <v>13</v>
      </c>
      <c r="AD99" s="1268">
        <v>13</v>
      </c>
      <c r="AE99" s="691">
        <v>14</v>
      </c>
      <c r="AF99" s="253">
        <v>13.4</v>
      </c>
      <c r="AG99" s="253">
        <f t="shared" si="35"/>
        <v>13.4</v>
      </c>
      <c r="DG99" s="543"/>
      <c r="DH99" s="172"/>
      <c r="DI99" s="1020"/>
      <c r="DJ99" s="2045"/>
    </row>
    <row r="100" spans="1:114" ht="14.65" customHeight="1" outlineLevel="1" x14ac:dyDescent="0.25">
      <c r="A100" s="2145"/>
      <c r="C100" s="49"/>
      <c r="D100" s="2398"/>
      <c r="E100" s="2398"/>
      <c r="F100" s="2403" t="str">
        <f t="shared" si="36"/>
        <v>CAC-SEER18_ROF_SF</v>
      </c>
      <c r="G100" s="2403"/>
      <c r="H100" s="2403"/>
      <c r="I100" s="1268" t="str">
        <f t="shared" si="37"/>
        <v>351161_2024_12_</v>
      </c>
      <c r="J100" s="1807">
        <v>13.4</v>
      </c>
      <c r="K100" s="1307"/>
      <c r="L100" s="1249" t="s">
        <v>936</v>
      </c>
      <c r="M100" s="49"/>
      <c r="N100" s="532"/>
      <c r="O100" s="49"/>
      <c r="T100" s="50"/>
      <c r="U100" s="50"/>
      <c r="V100" s="2383"/>
      <c r="W100" s="1268"/>
      <c r="X100" s="1268"/>
      <c r="Y100" s="1268"/>
      <c r="Z100" s="779">
        <v>13</v>
      </c>
      <c r="AA100" s="1268">
        <v>13</v>
      </c>
      <c r="AB100" s="892">
        <v>13</v>
      </c>
      <c r="AC100" s="1268">
        <v>13</v>
      </c>
      <c r="AD100" s="1268">
        <v>13</v>
      </c>
      <c r="AE100" s="691">
        <v>14</v>
      </c>
      <c r="AF100" s="253">
        <v>13.4</v>
      </c>
      <c r="AG100" s="253">
        <f t="shared" si="35"/>
        <v>13.4</v>
      </c>
      <c r="DG100" s="543"/>
      <c r="DH100" s="172"/>
      <c r="DI100" s="1020"/>
      <c r="DJ100" s="2045"/>
    </row>
    <row r="101" spans="1:114" outlineLevel="1" x14ac:dyDescent="0.25">
      <c r="A101" s="2145"/>
      <c r="C101" s="49"/>
      <c r="D101" s="2398"/>
      <c r="E101" s="2398"/>
      <c r="F101" s="2403" t="str">
        <f t="shared" si="36"/>
        <v>CAC-SEER19_ER1_SF</v>
      </c>
      <c r="G101" s="2403"/>
      <c r="H101" s="2403"/>
      <c r="I101" s="1268" t="str">
        <f t="shared" si="37"/>
        <v>351170_2025_12_</v>
      </c>
      <c r="J101" s="1807"/>
      <c r="K101" s="1307"/>
      <c r="L101" s="1249"/>
      <c r="M101" s="49"/>
      <c r="N101" s="532"/>
      <c r="O101" s="49"/>
      <c r="T101" s="50"/>
      <c r="U101" s="50"/>
      <c r="V101" s="2383"/>
      <c r="W101" s="1268"/>
      <c r="X101" s="779"/>
      <c r="Y101" s="779"/>
      <c r="Z101" s="779"/>
      <c r="AA101" s="1268"/>
      <c r="AB101" s="892"/>
      <c r="AC101" s="1268"/>
      <c r="AD101" s="1268"/>
      <c r="AE101" s="691"/>
      <c r="AF101" s="253" t="s">
        <v>935</v>
      </c>
      <c r="AG101" s="253" t="str">
        <f t="shared" si="35"/>
        <v/>
      </c>
      <c r="DG101" s="543"/>
      <c r="DH101" s="172"/>
      <c r="DI101" s="1020"/>
      <c r="DJ101" s="2045"/>
    </row>
    <row r="102" spans="1:114" outlineLevel="1" x14ac:dyDescent="0.25">
      <c r="A102" s="2145"/>
      <c r="C102" s="49"/>
      <c r="D102" s="2398"/>
      <c r="E102" s="2398"/>
      <c r="F102" s="2403" t="str">
        <f t="shared" si="36"/>
        <v>CAC-SEER19_ER2_SF</v>
      </c>
      <c r="G102" s="2403"/>
      <c r="H102" s="2403"/>
      <c r="I102" s="1268" t="str">
        <f t="shared" si="37"/>
        <v>351170_2025_12_</v>
      </c>
      <c r="J102" s="1807">
        <v>13.4</v>
      </c>
      <c r="K102" s="1307"/>
      <c r="L102" s="1249" t="s">
        <v>936</v>
      </c>
      <c r="M102" s="49"/>
      <c r="N102" s="532"/>
      <c r="O102" s="49"/>
      <c r="T102" s="50"/>
      <c r="U102" s="50"/>
      <c r="V102" s="2383"/>
      <c r="W102" s="1268"/>
      <c r="X102" s="1268"/>
      <c r="Y102" s="1268"/>
      <c r="Z102" s="779">
        <v>13</v>
      </c>
      <c r="AA102" s="1268">
        <v>13</v>
      </c>
      <c r="AB102" s="892">
        <v>13</v>
      </c>
      <c r="AC102" s="1268">
        <v>13</v>
      </c>
      <c r="AD102" s="1268">
        <v>13</v>
      </c>
      <c r="AE102" s="691">
        <v>14</v>
      </c>
      <c r="AF102" s="253">
        <v>13.4</v>
      </c>
      <c r="AG102" s="253">
        <f t="shared" si="35"/>
        <v>13.4</v>
      </c>
      <c r="DG102" s="543"/>
      <c r="DH102" s="172"/>
      <c r="DI102" s="1020"/>
      <c r="DJ102" s="2045"/>
    </row>
    <row r="103" spans="1:114" outlineLevel="1" x14ac:dyDescent="0.25">
      <c r="A103" s="2145"/>
      <c r="C103" s="49"/>
      <c r="D103" s="2398"/>
      <c r="E103" s="2398"/>
      <c r="F103" s="2403" t="str">
        <f t="shared" si="36"/>
        <v>CAC-SEER19_ROF_SF</v>
      </c>
      <c r="G103" s="2403"/>
      <c r="H103" s="2403"/>
      <c r="I103" s="1268" t="str">
        <f t="shared" si="37"/>
        <v>351171_2025_12_</v>
      </c>
      <c r="J103" s="1807">
        <v>13.4</v>
      </c>
      <c r="K103" s="1307"/>
      <c r="L103" s="1249" t="s">
        <v>936</v>
      </c>
      <c r="M103" s="49"/>
      <c r="N103" s="532"/>
      <c r="O103" s="49"/>
      <c r="T103" s="50"/>
      <c r="U103" s="50"/>
      <c r="V103" s="2383"/>
      <c r="W103" s="1268"/>
      <c r="X103" s="1268"/>
      <c r="Y103" s="1268"/>
      <c r="Z103" s="779">
        <v>13</v>
      </c>
      <c r="AA103" s="1268">
        <v>13</v>
      </c>
      <c r="AB103" s="892">
        <v>13</v>
      </c>
      <c r="AC103" s="1268">
        <v>13</v>
      </c>
      <c r="AD103" s="1268">
        <v>13</v>
      </c>
      <c r="AE103" s="691">
        <v>14</v>
      </c>
      <c r="AF103" s="253">
        <v>13.4</v>
      </c>
      <c r="AG103" s="253">
        <f t="shared" si="35"/>
        <v>13.4</v>
      </c>
      <c r="DG103" s="543"/>
      <c r="DH103" s="172"/>
      <c r="DI103" s="1020"/>
      <c r="DJ103" s="2045"/>
    </row>
    <row r="104" spans="1:114" outlineLevel="1" x14ac:dyDescent="0.25">
      <c r="A104" s="2145"/>
      <c r="C104" s="49"/>
      <c r="D104" s="2398"/>
      <c r="E104" s="2398"/>
      <c r="F104" s="2403" t="str">
        <f t="shared" si="36"/>
        <v>CAC-SEER20_ER1_SF</v>
      </c>
      <c r="G104" s="2403"/>
      <c r="H104" s="2403"/>
      <c r="I104" s="1268" t="str">
        <f t="shared" si="37"/>
        <v>351180_2024_12_</v>
      </c>
      <c r="J104" s="1807"/>
      <c r="K104" s="1307"/>
      <c r="L104" s="1249"/>
      <c r="M104" s="49"/>
      <c r="N104" s="532"/>
      <c r="O104" s="49"/>
      <c r="T104" s="50"/>
      <c r="U104" s="50"/>
      <c r="V104" s="2383"/>
      <c r="W104" s="1268"/>
      <c r="X104" s="779"/>
      <c r="Y104" s="779"/>
      <c r="Z104" s="779"/>
      <c r="AA104" s="1268"/>
      <c r="AB104" s="892"/>
      <c r="AC104" s="1268"/>
      <c r="AD104" s="1268"/>
      <c r="AE104" s="691"/>
      <c r="AF104" s="253" t="s">
        <v>935</v>
      </c>
      <c r="AG104" s="253" t="str">
        <f t="shared" si="35"/>
        <v/>
      </c>
      <c r="DG104" s="543"/>
      <c r="DH104" s="172"/>
      <c r="DI104" s="1020"/>
      <c r="DJ104" s="2045"/>
    </row>
    <row r="105" spans="1:114" outlineLevel="1" x14ac:dyDescent="0.25">
      <c r="A105" s="2145"/>
      <c r="C105" s="49"/>
      <c r="D105" s="2398"/>
      <c r="E105" s="2398"/>
      <c r="F105" s="2403" t="str">
        <f t="shared" si="36"/>
        <v>CAC-SEER20_ER2_SF</v>
      </c>
      <c r="G105" s="2403"/>
      <c r="H105" s="2403"/>
      <c r="I105" s="1268" t="str">
        <f t="shared" si="37"/>
        <v>351180_2024_12_</v>
      </c>
      <c r="J105" s="1807">
        <v>13.4</v>
      </c>
      <c r="K105" s="1307"/>
      <c r="L105" s="1249" t="s">
        <v>936</v>
      </c>
      <c r="M105" s="49"/>
      <c r="N105" s="532"/>
      <c r="O105" s="49"/>
      <c r="T105" s="50"/>
      <c r="U105" s="50"/>
      <c r="V105" s="2383"/>
      <c r="W105" s="1268"/>
      <c r="X105" s="1268"/>
      <c r="Y105" s="1268"/>
      <c r="Z105" s="779">
        <v>13</v>
      </c>
      <c r="AA105" s="1268">
        <v>13</v>
      </c>
      <c r="AB105" s="892">
        <v>13</v>
      </c>
      <c r="AC105" s="1268">
        <v>13</v>
      </c>
      <c r="AD105" s="1268">
        <v>13</v>
      </c>
      <c r="AE105" s="691">
        <v>14</v>
      </c>
      <c r="AF105" s="253">
        <v>13.4</v>
      </c>
      <c r="AG105" s="253">
        <f t="shared" si="35"/>
        <v>13.4</v>
      </c>
      <c r="DG105" s="543"/>
      <c r="DH105" s="172"/>
      <c r="DI105" s="1020"/>
      <c r="DJ105" s="2045"/>
    </row>
    <row r="106" spans="1:114" outlineLevel="1" x14ac:dyDescent="0.25">
      <c r="A106" s="2145"/>
      <c r="C106" s="49"/>
      <c r="D106" s="2398"/>
      <c r="E106" s="2398"/>
      <c r="F106" s="2403" t="str">
        <f t="shared" si="36"/>
        <v>CAC-SEER20_ROF_SF</v>
      </c>
      <c r="G106" s="2403"/>
      <c r="H106" s="2403"/>
      <c r="I106" s="1268" t="str">
        <f t="shared" si="37"/>
        <v>351181_2024_12_</v>
      </c>
      <c r="J106" s="1807">
        <v>13.4</v>
      </c>
      <c r="K106" s="1307"/>
      <c r="L106" s="1249" t="s">
        <v>936</v>
      </c>
      <c r="M106" s="49"/>
      <c r="N106" s="532"/>
      <c r="O106" s="49"/>
      <c r="T106" s="50"/>
      <c r="U106" s="50"/>
      <c r="V106" s="2383"/>
      <c r="W106" s="1268"/>
      <c r="X106" s="1268"/>
      <c r="Y106" s="1268"/>
      <c r="Z106" s="779">
        <v>13</v>
      </c>
      <c r="AA106" s="1268">
        <v>13</v>
      </c>
      <c r="AB106" s="892">
        <v>13</v>
      </c>
      <c r="AC106" s="1268">
        <v>13</v>
      </c>
      <c r="AD106" s="1268">
        <v>13</v>
      </c>
      <c r="AE106" s="691">
        <v>14</v>
      </c>
      <c r="AF106" s="253">
        <v>13.4</v>
      </c>
      <c r="AG106" s="253">
        <f t="shared" si="35"/>
        <v>13.4</v>
      </c>
      <c r="DG106" s="543"/>
      <c r="DH106" s="172"/>
      <c r="DI106" s="1020"/>
      <c r="DJ106" s="2045"/>
    </row>
    <row r="107" spans="1:114" outlineLevel="1" x14ac:dyDescent="0.25">
      <c r="A107" s="2145"/>
      <c r="C107" s="49"/>
      <c r="D107" s="2398"/>
      <c r="E107" s="2398"/>
      <c r="F107" s="2403" t="str">
        <f t="shared" si="36"/>
        <v>CAC-SEER21+_ER1_SF</v>
      </c>
      <c r="G107" s="2403"/>
      <c r="H107" s="2403"/>
      <c r="I107" s="1268" t="str">
        <f t="shared" si="37"/>
        <v>351190_2024_12_</v>
      </c>
      <c r="J107" s="1807"/>
      <c r="K107" s="1307"/>
      <c r="L107" s="1249"/>
      <c r="M107" s="49"/>
      <c r="N107" s="532"/>
      <c r="O107" s="49"/>
      <c r="T107" s="50"/>
      <c r="U107" s="50"/>
      <c r="V107" s="2383"/>
      <c r="W107" s="1268"/>
      <c r="X107" s="779"/>
      <c r="Y107" s="779"/>
      <c r="Z107" s="779"/>
      <c r="AA107" s="1268"/>
      <c r="AB107" s="892"/>
      <c r="AC107" s="1268"/>
      <c r="AD107" s="1268"/>
      <c r="AE107" s="691"/>
      <c r="AF107" s="253" t="s">
        <v>935</v>
      </c>
      <c r="AG107" s="253" t="str">
        <f t="shared" si="35"/>
        <v/>
      </c>
      <c r="DG107" s="543"/>
      <c r="DH107" s="172"/>
      <c r="DI107" s="1020"/>
      <c r="DJ107" s="2045"/>
    </row>
    <row r="108" spans="1:114" ht="14.65" customHeight="1" outlineLevel="1" x14ac:dyDescent="0.25">
      <c r="A108" s="2145"/>
      <c r="C108" s="49"/>
      <c r="D108" s="2398"/>
      <c r="E108" s="2398"/>
      <c r="F108" s="2403" t="str">
        <f t="shared" si="36"/>
        <v>CAC-SEER21+_ER2_SF</v>
      </c>
      <c r="G108" s="2403"/>
      <c r="H108" s="2403"/>
      <c r="I108" s="1268" t="str">
        <f t="shared" si="37"/>
        <v>351190_2024_12_</v>
      </c>
      <c r="J108" s="1807">
        <v>13.4</v>
      </c>
      <c r="K108" s="1307"/>
      <c r="L108" s="1249" t="s">
        <v>936</v>
      </c>
      <c r="M108" s="49"/>
      <c r="N108" s="532"/>
      <c r="O108" s="49"/>
      <c r="T108" s="50"/>
      <c r="U108" s="50"/>
      <c r="V108" s="2383"/>
      <c r="W108" s="1268"/>
      <c r="X108" s="1268"/>
      <c r="Y108" s="1268"/>
      <c r="Z108" s="779">
        <v>13</v>
      </c>
      <c r="AA108" s="1268">
        <v>13</v>
      </c>
      <c r="AB108" s="892">
        <v>13</v>
      </c>
      <c r="AC108" s="1268">
        <v>13</v>
      </c>
      <c r="AD108" s="1268">
        <v>13</v>
      </c>
      <c r="AE108" s="691">
        <v>14</v>
      </c>
      <c r="AF108" s="253">
        <v>13.4</v>
      </c>
      <c r="AG108" s="253">
        <f t="shared" si="35"/>
        <v>13.4</v>
      </c>
      <c r="DG108" s="543"/>
      <c r="DH108" s="172"/>
      <c r="DI108" s="1020"/>
      <c r="DJ108" s="2045"/>
    </row>
    <row r="109" spans="1:114" ht="14.65" customHeight="1" outlineLevel="1" x14ac:dyDescent="0.25">
      <c r="A109" s="2145"/>
      <c r="C109" s="49"/>
      <c r="D109" s="2398"/>
      <c r="E109" s="2398"/>
      <c r="F109" s="2403" t="str">
        <f t="shared" si="36"/>
        <v>CAC-SEER21+_ROF_SF</v>
      </c>
      <c r="G109" s="2403"/>
      <c r="H109" s="2403"/>
      <c r="I109" s="1268" t="str">
        <f t="shared" si="37"/>
        <v>351191_2024_12_</v>
      </c>
      <c r="J109" s="1807">
        <v>13.4</v>
      </c>
      <c r="K109" s="1307"/>
      <c r="L109" s="1249" t="s">
        <v>936</v>
      </c>
      <c r="M109" s="49"/>
      <c r="N109" s="532"/>
      <c r="O109" s="49"/>
      <c r="T109" s="50"/>
      <c r="U109" s="50"/>
      <c r="V109" s="2383"/>
      <c r="W109" s="1268"/>
      <c r="X109" s="1268"/>
      <c r="Y109" s="1268"/>
      <c r="Z109" s="779">
        <v>13</v>
      </c>
      <c r="AA109" s="1268">
        <v>13</v>
      </c>
      <c r="AB109" s="892">
        <v>13</v>
      </c>
      <c r="AC109" s="1268">
        <v>13</v>
      </c>
      <c r="AD109" s="1268">
        <v>13</v>
      </c>
      <c r="AE109" s="691">
        <v>14</v>
      </c>
      <c r="AF109" s="253">
        <v>13.4</v>
      </c>
      <c r="AG109" s="253">
        <f t="shared" si="35"/>
        <v>13.4</v>
      </c>
      <c r="DG109" s="543"/>
      <c r="DH109" s="172"/>
      <c r="DI109" s="1020"/>
      <c r="DJ109" s="2045"/>
    </row>
    <row r="110" spans="1:114" outlineLevel="1" x14ac:dyDescent="0.25">
      <c r="A110" s="2145"/>
      <c r="C110" s="49"/>
      <c r="D110" s="2397" t="s">
        <v>937</v>
      </c>
      <c r="E110" s="2397" t="s">
        <v>938</v>
      </c>
      <c r="F110" s="2403" t="str">
        <f t="shared" si="36"/>
        <v>CAC-SEER15_ER1_SF</v>
      </c>
      <c r="G110" s="2403"/>
      <c r="H110" s="2403"/>
      <c r="I110" s="1268" t="str">
        <f t="shared" si="37"/>
        <v>350600_2024_12_</v>
      </c>
      <c r="J110" s="1525">
        <v>15.10681605975719</v>
      </c>
      <c r="K110" s="1249"/>
      <c r="L110" s="1518" t="s">
        <v>929</v>
      </c>
      <c r="M110" s="49"/>
      <c r="N110" s="532"/>
      <c r="O110" s="49"/>
      <c r="T110" s="50"/>
      <c r="U110" s="50"/>
      <c r="V110" s="2415"/>
      <c r="W110" s="1268">
        <v>15.2</v>
      </c>
      <c r="X110" s="195">
        <v>15.16</v>
      </c>
      <c r="Y110" s="195">
        <v>15.16</v>
      </c>
      <c r="Z110" s="194">
        <v>15.16</v>
      </c>
      <c r="AA110" s="194">
        <v>15.16</v>
      </c>
      <c r="AB110" s="691">
        <v>15.107566616390109</v>
      </c>
      <c r="AC110" s="691">
        <v>15.097858431018889</v>
      </c>
      <c r="AD110" s="882">
        <v>15.105013250883337</v>
      </c>
      <c r="AE110" s="882">
        <v>15.10681605975719</v>
      </c>
      <c r="AF110" s="253">
        <v>15.10681605975719</v>
      </c>
      <c r="AG110" s="253">
        <f t="shared" si="35"/>
        <v>15.10681605975719</v>
      </c>
      <c r="DG110" s="543"/>
      <c r="DH110" s="172"/>
      <c r="DI110" s="1020"/>
      <c r="DJ110" s="2045"/>
    </row>
    <row r="111" spans="1:114" outlineLevel="1" x14ac:dyDescent="0.25">
      <c r="A111" s="2145"/>
      <c r="C111" s="49"/>
      <c r="D111" s="2398"/>
      <c r="E111" s="2398"/>
      <c r="F111" s="2403" t="str">
        <f t="shared" si="36"/>
        <v>CAC-SEER15_ER2_SF</v>
      </c>
      <c r="G111" s="2403"/>
      <c r="H111" s="2403"/>
      <c r="I111" s="1268" t="str">
        <f t="shared" si="37"/>
        <v>350600_2024_12_</v>
      </c>
      <c r="J111" s="1517">
        <f>J110</f>
        <v>15.10681605975719</v>
      </c>
      <c r="K111" s="1249"/>
      <c r="L111" s="1518" t="s">
        <v>929</v>
      </c>
      <c r="M111" s="49"/>
      <c r="N111" s="532"/>
      <c r="O111" s="49"/>
      <c r="T111" s="50"/>
      <c r="U111" s="50"/>
      <c r="V111" s="2415"/>
      <c r="W111" s="1268">
        <v>15.2</v>
      </c>
      <c r="X111" s="195">
        <v>15.16</v>
      </c>
      <c r="Y111" s="195">
        <v>15.16</v>
      </c>
      <c r="Z111" s="194">
        <v>15.16</v>
      </c>
      <c r="AA111" s="194">
        <v>15.16</v>
      </c>
      <c r="AB111" s="691">
        <v>15.107566616390109</v>
      </c>
      <c r="AC111" s="691">
        <v>15.097858431018889</v>
      </c>
      <c r="AD111" s="691">
        <v>15.105013250883337</v>
      </c>
      <c r="AE111" s="691">
        <v>15.10681605975719</v>
      </c>
      <c r="AF111" s="253">
        <v>15.10681605975719</v>
      </c>
      <c r="AG111" s="253">
        <f t="shared" si="35"/>
        <v>15.10681605975719</v>
      </c>
      <c r="DG111" s="543"/>
      <c r="DH111" s="172"/>
      <c r="DI111" s="1020"/>
      <c r="DJ111" s="2045"/>
    </row>
    <row r="112" spans="1:114" outlineLevel="1" x14ac:dyDescent="0.25">
      <c r="A112" s="2145"/>
      <c r="C112" s="49"/>
      <c r="D112" s="2398"/>
      <c r="E112" s="2398"/>
      <c r="F112" s="2403" t="str">
        <f t="shared" si="36"/>
        <v>CAC-SEER15_ROF_SF</v>
      </c>
      <c r="G112" s="2403"/>
      <c r="H112" s="2403"/>
      <c r="I112" s="1268" t="str">
        <f t="shared" si="37"/>
        <v>350650_2024_12_</v>
      </c>
      <c r="J112" s="1525">
        <v>15.111256544502622</v>
      </c>
      <c r="K112" s="1249"/>
      <c r="L112" s="1518" t="s">
        <v>929</v>
      </c>
      <c r="M112" s="49"/>
      <c r="N112" s="532"/>
      <c r="O112" s="49"/>
      <c r="T112" s="50"/>
      <c r="U112" s="50"/>
      <c r="V112" s="2415"/>
      <c r="W112" s="1268">
        <v>15.1</v>
      </c>
      <c r="X112" s="195">
        <v>15.16</v>
      </c>
      <c r="Y112" s="195">
        <v>15.13</v>
      </c>
      <c r="Z112" s="194">
        <v>15.13</v>
      </c>
      <c r="AA112" s="194">
        <v>15.13</v>
      </c>
      <c r="AB112" s="691">
        <v>15.119400630914827</v>
      </c>
      <c r="AC112" s="691">
        <v>15.106015037593986</v>
      </c>
      <c r="AD112" s="882">
        <v>15.098944337811908</v>
      </c>
      <c r="AE112" s="882">
        <v>15.111256544502622</v>
      </c>
      <c r="AF112" s="253">
        <v>15.111256544502622</v>
      </c>
      <c r="AG112" s="253">
        <f t="shared" si="35"/>
        <v>15.111256544502622</v>
      </c>
      <c r="DG112" s="543"/>
      <c r="DH112" s="172"/>
      <c r="DI112" s="1020"/>
      <c r="DJ112" s="2045"/>
    </row>
    <row r="113" spans="1:114" outlineLevel="1" x14ac:dyDescent="0.25">
      <c r="A113" s="2145"/>
      <c r="C113" s="49"/>
      <c r="D113" s="2398"/>
      <c r="E113" s="2398"/>
      <c r="F113" s="2403" t="str">
        <f t="shared" si="36"/>
        <v>CAC-SEER16_ER1_SF</v>
      </c>
      <c r="G113" s="2403"/>
      <c r="H113" s="2403"/>
      <c r="I113" s="1268" t="str">
        <f t="shared" si="37"/>
        <v>350800_2024_12_</v>
      </c>
      <c r="J113" s="1525">
        <v>16.032257819617371</v>
      </c>
      <c r="K113" s="1249"/>
      <c r="L113" s="1518" t="s">
        <v>929</v>
      </c>
      <c r="M113" s="49"/>
      <c r="N113" s="532"/>
      <c r="O113" s="49"/>
      <c r="P113" s="50" t="s">
        <v>939</v>
      </c>
      <c r="T113" s="50"/>
      <c r="U113" s="50"/>
      <c r="V113" s="2415"/>
      <c r="W113" s="1268">
        <v>16</v>
      </c>
      <c r="X113" s="195">
        <v>16.350000000000001</v>
      </c>
      <c r="Y113" s="195">
        <v>16.36</v>
      </c>
      <c r="Z113" s="194">
        <v>16.36</v>
      </c>
      <c r="AA113" s="194">
        <v>16.36</v>
      </c>
      <c r="AB113" s="691">
        <v>16.028875215889464</v>
      </c>
      <c r="AC113" s="691">
        <v>16.027565046637211</v>
      </c>
      <c r="AD113" s="882">
        <v>16.025474924012158</v>
      </c>
      <c r="AE113" s="882">
        <v>16.032257819617371</v>
      </c>
      <c r="AF113" s="253">
        <v>16.032257819617371</v>
      </c>
      <c r="AG113" s="253">
        <f t="shared" si="35"/>
        <v>16.032257819617371</v>
      </c>
      <c r="DG113" s="543"/>
      <c r="DH113" s="172"/>
      <c r="DI113" s="1020"/>
      <c r="DJ113" s="2045"/>
    </row>
    <row r="114" spans="1:114" outlineLevel="1" x14ac:dyDescent="0.25">
      <c r="A114" s="2145"/>
      <c r="C114" s="49"/>
      <c r="D114" s="2398"/>
      <c r="E114" s="2398"/>
      <c r="F114" s="2403" t="str">
        <f t="shared" si="36"/>
        <v>CAC-SEER16_ER2_SF</v>
      </c>
      <c r="G114" s="2403"/>
      <c r="H114" s="2403"/>
      <c r="I114" s="1268" t="str">
        <f t="shared" si="37"/>
        <v>350800_2024_12_</v>
      </c>
      <c r="J114" s="1517">
        <f>J113</f>
        <v>16.032257819617371</v>
      </c>
      <c r="K114" s="1249"/>
      <c r="L114" s="1518" t="s">
        <v>929</v>
      </c>
      <c r="M114" s="49"/>
      <c r="N114" s="532"/>
      <c r="O114" s="49"/>
      <c r="P114" s="50" t="s">
        <v>939</v>
      </c>
      <c r="T114" s="50"/>
      <c r="U114" s="50"/>
      <c r="V114" s="2415"/>
      <c r="W114" s="1268">
        <v>16</v>
      </c>
      <c r="X114" s="195">
        <v>16.350000000000001</v>
      </c>
      <c r="Y114" s="195">
        <v>16.36</v>
      </c>
      <c r="Z114" s="194">
        <v>16.36</v>
      </c>
      <c r="AA114" s="194">
        <v>16.36</v>
      </c>
      <c r="AB114" s="691">
        <v>16.028875215889464</v>
      </c>
      <c r="AC114" s="691">
        <v>16.027565046637211</v>
      </c>
      <c r="AD114" s="691">
        <v>16.025474924012158</v>
      </c>
      <c r="AE114" s="691">
        <v>16.032257819617371</v>
      </c>
      <c r="AF114" s="253">
        <v>16.032257819617371</v>
      </c>
      <c r="AG114" s="253">
        <f t="shared" si="35"/>
        <v>16.032257819617371</v>
      </c>
      <c r="DG114" s="543"/>
      <c r="DH114" s="172"/>
      <c r="DI114" s="1020"/>
      <c r="DJ114" s="2045"/>
    </row>
    <row r="115" spans="1:114" outlineLevel="1" x14ac:dyDescent="0.25">
      <c r="A115" s="2145"/>
      <c r="C115" s="49"/>
      <c r="D115" s="2398"/>
      <c r="E115" s="2398"/>
      <c r="F115" s="2403" t="str">
        <f t="shared" si="36"/>
        <v>CAC-SEER16_ROF_SF</v>
      </c>
      <c r="G115" s="2403"/>
      <c r="H115" s="2403"/>
      <c r="I115" s="1268" t="str">
        <f t="shared" si="37"/>
        <v>350850_2024_12_</v>
      </c>
      <c r="J115" s="1525">
        <v>16.037510692899918</v>
      </c>
      <c r="K115" s="1249"/>
      <c r="L115" s="1518" t="s">
        <v>931</v>
      </c>
      <c r="M115" s="49"/>
      <c r="N115" s="532"/>
      <c r="O115" s="49"/>
      <c r="T115" s="50"/>
      <c r="U115" s="50"/>
      <c r="V115" s="2415"/>
      <c r="W115" s="1268">
        <v>16</v>
      </c>
      <c r="X115" s="195">
        <v>16.350000000000001</v>
      </c>
      <c r="Y115" s="195">
        <v>16.37</v>
      </c>
      <c r="Z115" s="194">
        <v>16.37</v>
      </c>
      <c r="AA115" s="194">
        <v>16.37</v>
      </c>
      <c r="AB115" s="691">
        <v>16.036909448818896</v>
      </c>
      <c r="AC115" s="691">
        <v>16.031308411214955</v>
      </c>
      <c r="AD115" s="882">
        <v>16.037510692899918</v>
      </c>
      <c r="AE115" s="975">
        <v>16.037510692899918</v>
      </c>
      <c r="AF115" s="253">
        <v>16.037510692899918</v>
      </c>
      <c r="AG115" s="253">
        <f t="shared" si="35"/>
        <v>16.037510692899918</v>
      </c>
      <c r="DG115" s="543"/>
      <c r="DH115" s="172"/>
      <c r="DI115" s="1020"/>
      <c r="DJ115" s="2045"/>
    </row>
    <row r="116" spans="1:114" outlineLevel="1" x14ac:dyDescent="0.25">
      <c r="A116" s="2145"/>
      <c r="C116" s="49"/>
      <c r="D116" s="2398"/>
      <c r="E116" s="2398"/>
      <c r="F116" s="2403" t="str">
        <f t="shared" si="36"/>
        <v>CAC-SEER16_ER1_MF</v>
      </c>
      <c r="G116" s="2403"/>
      <c r="H116" s="2403"/>
      <c r="I116" s="1268" t="str">
        <f t="shared" si="37"/>
        <v>350900_2024_12_</v>
      </c>
      <c r="J116" s="1517">
        <v>16.035714285714285</v>
      </c>
      <c r="K116" s="1249"/>
      <c r="L116" s="1518" t="s">
        <v>929</v>
      </c>
      <c r="M116" s="49"/>
      <c r="N116" s="532"/>
      <c r="O116" s="49"/>
      <c r="P116" s="50" t="s">
        <v>939</v>
      </c>
      <c r="T116" s="50"/>
      <c r="U116" s="50"/>
      <c r="V116" s="2415"/>
      <c r="W116" s="1268">
        <v>16</v>
      </c>
      <c r="X116" s="195">
        <v>16</v>
      </c>
      <c r="Y116" s="194">
        <v>16</v>
      </c>
      <c r="Z116" s="194">
        <v>16</v>
      </c>
      <c r="AA116" s="194">
        <v>16</v>
      </c>
      <c r="AB116" s="691">
        <v>16.040816326530614</v>
      </c>
      <c r="AC116" s="691">
        <v>16.006024096385541</v>
      </c>
      <c r="AD116" s="691">
        <v>16.005494505494507</v>
      </c>
      <c r="AE116" s="691">
        <v>16.035714285714285</v>
      </c>
      <c r="AF116" s="253">
        <v>16.035714285714285</v>
      </c>
      <c r="AG116" s="253">
        <f t="shared" si="35"/>
        <v>16.035714285714285</v>
      </c>
      <c r="DG116" s="543"/>
      <c r="DH116" s="172"/>
      <c r="DI116" s="1020"/>
      <c r="DJ116" s="2045"/>
    </row>
    <row r="117" spans="1:114" outlineLevel="1" x14ac:dyDescent="0.25">
      <c r="A117" s="2145"/>
      <c r="C117" s="49"/>
      <c r="D117" s="2398"/>
      <c r="E117" s="2398"/>
      <c r="F117" s="2403" t="str">
        <f t="shared" si="36"/>
        <v>CAC-SEER16_ER2_MF</v>
      </c>
      <c r="G117" s="2403"/>
      <c r="H117" s="2403"/>
      <c r="I117" s="1268" t="str">
        <f t="shared" si="37"/>
        <v>350900_2024_12_</v>
      </c>
      <c r="J117" s="1517">
        <f>J116</f>
        <v>16.035714285714285</v>
      </c>
      <c r="K117" s="1249"/>
      <c r="L117" s="1518" t="s">
        <v>929</v>
      </c>
      <c r="M117" s="49"/>
      <c r="N117" s="532"/>
      <c r="O117" s="49"/>
      <c r="P117" s="50" t="s">
        <v>939</v>
      </c>
      <c r="T117" s="50"/>
      <c r="U117" s="50"/>
      <c r="V117" s="2415"/>
      <c r="W117" s="1268">
        <v>16</v>
      </c>
      <c r="X117" s="195">
        <v>16</v>
      </c>
      <c r="Y117" s="194">
        <v>16</v>
      </c>
      <c r="Z117" s="194">
        <v>16</v>
      </c>
      <c r="AA117" s="194">
        <v>16</v>
      </c>
      <c r="AB117" s="691">
        <v>16.040816326530614</v>
      </c>
      <c r="AC117" s="691">
        <v>16.006024096385541</v>
      </c>
      <c r="AD117" s="691">
        <v>16.005494505494507</v>
      </c>
      <c r="AE117" s="691">
        <v>16.035714285714285</v>
      </c>
      <c r="AF117" s="253">
        <v>16.035714285714285</v>
      </c>
      <c r="AG117" s="253">
        <f t="shared" si="35"/>
        <v>16.035714285714285</v>
      </c>
      <c r="DG117" s="543"/>
      <c r="DH117" s="172"/>
      <c r="DI117" s="1020"/>
      <c r="DJ117" s="2045"/>
    </row>
    <row r="118" spans="1:114" outlineLevel="1" x14ac:dyDescent="0.25">
      <c r="A118" s="2145"/>
      <c r="C118" s="49"/>
      <c r="D118" s="2398"/>
      <c r="E118" s="2398"/>
      <c r="F118" s="2403" t="str">
        <f t="shared" si="36"/>
        <v>CAC-SEER17_ER1_SF</v>
      </c>
      <c r="G118" s="2403"/>
      <c r="H118" s="2403"/>
      <c r="I118" s="1268" t="str">
        <f t="shared" si="37"/>
        <v>351000_2024_12_</v>
      </c>
      <c r="J118" s="1517">
        <v>17.076594157862026</v>
      </c>
      <c r="K118" s="1249"/>
      <c r="L118" s="1518" t="s">
        <v>931</v>
      </c>
      <c r="M118" s="49"/>
      <c r="N118" s="532"/>
      <c r="O118" s="49"/>
      <c r="T118" s="50"/>
      <c r="U118" s="50"/>
      <c r="V118" s="2415"/>
      <c r="W118" s="1268">
        <v>17</v>
      </c>
      <c r="X118" s="194">
        <f t="shared" ref="X118:X120" si="38">W118</f>
        <v>17</v>
      </c>
      <c r="Y118" s="194">
        <v>17</v>
      </c>
      <c r="Z118" s="194">
        <v>17</v>
      </c>
      <c r="AA118" s="194">
        <v>17</v>
      </c>
      <c r="AB118" s="691">
        <v>17.598210862619805</v>
      </c>
      <c r="AC118" s="691">
        <v>17.256511771995044</v>
      </c>
      <c r="AD118" s="691">
        <v>17.076594157862026</v>
      </c>
      <c r="AE118" s="696">
        <v>17.076594157862026</v>
      </c>
      <c r="AF118" s="253">
        <v>17.076594157862026</v>
      </c>
      <c r="AG118" s="253">
        <f t="shared" si="35"/>
        <v>17.076594157862026</v>
      </c>
      <c r="DG118" s="543"/>
      <c r="DH118" s="172"/>
      <c r="DI118" s="1020"/>
      <c r="DJ118" s="2045"/>
    </row>
    <row r="119" spans="1:114" ht="14.65" customHeight="1" outlineLevel="1" x14ac:dyDescent="0.25">
      <c r="A119" s="2145"/>
      <c r="C119" s="49"/>
      <c r="D119" s="2398"/>
      <c r="E119" s="2398"/>
      <c r="F119" s="2403" t="str">
        <f t="shared" si="36"/>
        <v>CAC-SEER17_ER2_SF</v>
      </c>
      <c r="G119" s="2403"/>
      <c r="H119" s="2403"/>
      <c r="I119" s="1268" t="str">
        <f t="shared" si="37"/>
        <v>351000_2024_12_</v>
      </c>
      <c r="J119" s="1517">
        <f>J118</f>
        <v>17.076594157862026</v>
      </c>
      <c r="K119" s="1249"/>
      <c r="L119" s="1518" t="s">
        <v>931</v>
      </c>
      <c r="M119" s="49"/>
      <c r="N119" s="532"/>
      <c r="O119" s="49"/>
      <c r="T119" s="50"/>
      <c r="U119" s="50"/>
      <c r="V119" s="2415"/>
      <c r="W119" s="1268">
        <v>17</v>
      </c>
      <c r="X119" s="194">
        <f t="shared" si="38"/>
        <v>17</v>
      </c>
      <c r="Y119" s="194">
        <v>17</v>
      </c>
      <c r="Z119" s="194">
        <v>17</v>
      </c>
      <c r="AA119" s="194">
        <v>17</v>
      </c>
      <c r="AB119" s="691">
        <v>17.598210862619805</v>
      </c>
      <c r="AC119" s="691">
        <v>17.256511771995044</v>
      </c>
      <c r="AD119" s="691">
        <v>17.076594157862026</v>
      </c>
      <c r="AE119" s="696">
        <v>17.076594157862026</v>
      </c>
      <c r="AF119" s="253">
        <v>17.076594157862026</v>
      </c>
      <c r="AG119" s="253">
        <f t="shared" si="35"/>
        <v>17.076594157862026</v>
      </c>
      <c r="DG119" s="543"/>
      <c r="DH119" s="172"/>
      <c r="DI119" s="1020"/>
      <c r="DJ119" s="2045"/>
    </row>
    <row r="120" spans="1:114" ht="14.65" customHeight="1" outlineLevel="1" x14ac:dyDescent="0.25">
      <c r="A120" s="2145"/>
      <c r="C120" s="49"/>
      <c r="D120" s="2398"/>
      <c r="E120" s="2398"/>
      <c r="F120" s="2403" t="str">
        <f t="shared" si="36"/>
        <v>CAC-SEER17_ROF_SF</v>
      </c>
      <c r="G120" s="2403"/>
      <c r="H120" s="2403"/>
      <c r="I120" s="1268" t="str">
        <f t="shared" si="37"/>
        <v>351050_2024_12_</v>
      </c>
      <c r="J120" s="1517">
        <v>17.056686930091182</v>
      </c>
      <c r="K120" s="1249"/>
      <c r="L120" s="1518" t="s">
        <v>929</v>
      </c>
      <c r="M120" s="49"/>
      <c r="N120" s="532"/>
      <c r="O120" s="49"/>
      <c r="T120" s="50"/>
      <c r="U120" s="50"/>
      <c r="V120" s="2415"/>
      <c r="W120" s="1268">
        <v>17</v>
      </c>
      <c r="X120" s="194">
        <f t="shared" si="38"/>
        <v>17</v>
      </c>
      <c r="Y120" s="194">
        <v>17</v>
      </c>
      <c r="Z120" s="194">
        <v>17</v>
      </c>
      <c r="AA120" s="194">
        <v>17</v>
      </c>
      <c r="AB120" s="691">
        <v>17.546938775510206</v>
      </c>
      <c r="AC120" s="691">
        <v>17.227010869565216</v>
      </c>
      <c r="AD120" s="691">
        <v>17.078014184397162</v>
      </c>
      <c r="AE120" s="691">
        <v>17.056686930091182</v>
      </c>
      <c r="AF120" s="253">
        <v>17.056686930091182</v>
      </c>
      <c r="AG120" s="253">
        <f t="shared" si="35"/>
        <v>17.056686930091182</v>
      </c>
      <c r="DG120" s="543"/>
      <c r="DH120" s="172"/>
      <c r="DI120" s="1020"/>
      <c r="DJ120" s="2045"/>
    </row>
    <row r="121" spans="1:114" ht="14.65" customHeight="1" outlineLevel="1" x14ac:dyDescent="0.25">
      <c r="A121" s="2145"/>
      <c r="C121" s="49"/>
      <c r="D121" s="2398"/>
      <c r="E121" s="2398"/>
      <c r="F121" s="2403" t="str">
        <f t="shared" si="36"/>
        <v>CAC-SEER18_ER1_SF</v>
      </c>
      <c r="G121" s="2403"/>
      <c r="H121" s="2403"/>
      <c r="I121" s="1268" t="str">
        <f t="shared" si="37"/>
        <v>351160_2024_12_</v>
      </c>
      <c r="J121" s="1525">
        <v>18.005837563451777</v>
      </c>
      <c r="K121" s="1249"/>
      <c r="L121" s="1518" t="s">
        <v>931</v>
      </c>
      <c r="M121" s="49"/>
      <c r="N121" s="532"/>
      <c r="O121" s="49"/>
      <c r="P121" s="50" t="s">
        <v>939</v>
      </c>
      <c r="T121" s="50"/>
      <c r="U121" s="50"/>
      <c r="V121" s="2383"/>
      <c r="W121" s="1268"/>
      <c r="X121" s="195"/>
      <c r="Y121" s="195"/>
      <c r="Z121" s="779">
        <v>18</v>
      </c>
      <c r="AA121" s="194">
        <v>18</v>
      </c>
      <c r="AB121" s="894">
        <v>18</v>
      </c>
      <c r="AC121" s="691">
        <v>18.00561797752809</v>
      </c>
      <c r="AD121" s="882">
        <v>18.005837563451777</v>
      </c>
      <c r="AE121" s="975">
        <v>18.005837563451777</v>
      </c>
      <c r="AF121" s="253">
        <v>18.005837563451777</v>
      </c>
      <c r="AG121" s="253">
        <f t="shared" si="35"/>
        <v>18.005837563451777</v>
      </c>
      <c r="DG121" s="543"/>
      <c r="DH121" s="172"/>
      <c r="DI121" s="1020"/>
      <c r="DJ121" s="2045"/>
    </row>
    <row r="122" spans="1:114" ht="14.65" customHeight="1" outlineLevel="1" x14ac:dyDescent="0.25">
      <c r="A122" s="2145"/>
      <c r="C122" s="49"/>
      <c r="D122" s="2398"/>
      <c r="E122" s="2398"/>
      <c r="F122" s="2403" t="str">
        <f t="shared" si="36"/>
        <v>CAC-SEER18_ER2_SF</v>
      </c>
      <c r="G122" s="2403"/>
      <c r="H122" s="2403"/>
      <c r="I122" s="1268" t="str">
        <f t="shared" si="37"/>
        <v>351160_2024_12_</v>
      </c>
      <c r="J122" s="1517">
        <f>J121</f>
        <v>18.005837563451777</v>
      </c>
      <c r="K122" s="1249"/>
      <c r="L122" s="1518" t="s">
        <v>931</v>
      </c>
      <c r="M122" s="49"/>
      <c r="N122" s="532"/>
      <c r="O122" s="49"/>
      <c r="P122" s="50" t="s">
        <v>939</v>
      </c>
      <c r="T122" s="50"/>
      <c r="U122" s="50"/>
      <c r="V122" s="2383"/>
      <c r="W122" s="1268"/>
      <c r="X122" s="195"/>
      <c r="Y122" s="195"/>
      <c r="Z122" s="779">
        <v>18</v>
      </c>
      <c r="AA122" s="194">
        <v>18</v>
      </c>
      <c r="AB122" s="894">
        <v>18</v>
      </c>
      <c r="AC122" s="894">
        <v>18</v>
      </c>
      <c r="AD122" s="691">
        <v>18.005837563451777</v>
      </c>
      <c r="AE122" s="696">
        <v>18.005837563451777</v>
      </c>
      <c r="AF122" s="253">
        <v>18.005837563451777</v>
      </c>
      <c r="AG122" s="253">
        <f t="shared" si="35"/>
        <v>18.005837563451777</v>
      </c>
      <c r="DG122" s="543"/>
      <c r="DH122" s="172"/>
      <c r="DI122" s="1020"/>
      <c r="DJ122" s="2045"/>
    </row>
    <row r="123" spans="1:114" ht="14.65" customHeight="1" outlineLevel="1" x14ac:dyDescent="0.25">
      <c r="A123" s="2145"/>
      <c r="C123" s="49"/>
      <c r="D123" s="2398"/>
      <c r="E123" s="2398"/>
      <c r="F123" s="2403" t="str">
        <f t="shared" si="36"/>
        <v>CAC-SEER18_ROF_SF</v>
      </c>
      <c r="G123" s="2403"/>
      <c r="H123" s="2403"/>
      <c r="I123" s="1268" t="str">
        <f t="shared" si="37"/>
        <v>351161_2024_12_</v>
      </c>
      <c r="J123" s="1525">
        <v>18</v>
      </c>
      <c r="K123" s="1249"/>
      <c r="L123" s="1518" t="s">
        <v>931</v>
      </c>
      <c r="M123" s="49"/>
      <c r="N123" s="532"/>
      <c r="O123" s="49"/>
      <c r="T123" s="50"/>
      <c r="U123" s="50"/>
      <c r="V123" s="2383"/>
      <c r="W123" s="1268"/>
      <c r="X123" s="195"/>
      <c r="Y123" s="195"/>
      <c r="Z123" s="779">
        <v>18</v>
      </c>
      <c r="AA123" s="194">
        <v>18</v>
      </c>
      <c r="AB123" s="894">
        <v>18</v>
      </c>
      <c r="AC123" s="691">
        <v>18.012820512820515</v>
      </c>
      <c r="AD123" s="882">
        <v>18</v>
      </c>
      <c r="AE123" s="975">
        <v>18</v>
      </c>
      <c r="AF123" s="253">
        <v>18</v>
      </c>
      <c r="AG123" s="253">
        <f t="shared" si="35"/>
        <v>18</v>
      </c>
      <c r="DG123" s="543"/>
      <c r="DH123" s="172"/>
      <c r="DI123" s="1020"/>
      <c r="DJ123" s="2045"/>
    </row>
    <row r="124" spans="1:114" outlineLevel="1" x14ac:dyDescent="0.25">
      <c r="A124" s="2145"/>
      <c r="C124" s="49"/>
      <c r="D124" s="2398"/>
      <c r="E124" s="2398"/>
      <c r="F124" s="2403" t="str">
        <f t="shared" si="36"/>
        <v>CAC-SEER19_ER1_SF</v>
      </c>
      <c r="G124" s="2403"/>
      <c r="H124" s="2403"/>
      <c r="I124" s="1268" t="str">
        <f t="shared" si="37"/>
        <v>351170_2025_12_</v>
      </c>
      <c r="J124" s="1525">
        <v>19.138095238095239</v>
      </c>
      <c r="K124" s="1249"/>
      <c r="L124" s="1518" t="s">
        <v>929</v>
      </c>
      <c r="M124" s="49"/>
      <c r="N124" s="532"/>
      <c r="O124" s="49"/>
      <c r="T124" s="50"/>
      <c r="U124" s="50"/>
      <c r="V124" s="2383"/>
      <c r="W124" s="1268"/>
      <c r="X124" s="195"/>
      <c r="Y124" s="195"/>
      <c r="Z124" s="779">
        <v>19</v>
      </c>
      <c r="AA124" s="194">
        <v>19</v>
      </c>
      <c r="AB124" s="894">
        <v>19</v>
      </c>
      <c r="AC124" s="691">
        <v>19.164705882352941</v>
      </c>
      <c r="AD124" s="882">
        <v>19.163043478260871</v>
      </c>
      <c r="AE124" s="882">
        <v>19.138095238095239</v>
      </c>
      <c r="AF124" s="253">
        <v>19.138095238095239</v>
      </c>
      <c r="AG124" s="253">
        <f t="shared" si="35"/>
        <v>19.138095238095239</v>
      </c>
      <c r="DG124" s="543"/>
      <c r="DH124" s="172"/>
      <c r="DI124" s="1020"/>
      <c r="DJ124" s="2045"/>
    </row>
    <row r="125" spans="1:114" outlineLevel="1" x14ac:dyDescent="0.25">
      <c r="A125" s="2145"/>
      <c r="C125" s="49"/>
      <c r="D125" s="2398"/>
      <c r="E125" s="2398"/>
      <c r="F125" s="2403" t="str">
        <f t="shared" si="36"/>
        <v>CAC-SEER19_ER2_SF</v>
      </c>
      <c r="G125" s="2403"/>
      <c r="H125" s="2403"/>
      <c r="I125" s="1268" t="str">
        <f t="shared" si="37"/>
        <v>351170_2025_12_</v>
      </c>
      <c r="J125" s="1517">
        <f>J124</f>
        <v>19.138095238095239</v>
      </c>
      <c r="K125" s="1249"/>
      <c r="L125" s="1518" t="s">
        <v>929</v>
      </c>
      <c r="M125" s="49"/>
      <c r="N125" s="532"/>
      <c r="O125" s="49"/>
      <c r="T125" s="50"/>
      <c r="U125" s="50"/>
      <c r="V125" s="2383"/>
      <c r="W125" s="1268"/>
      <c r="X125" s="195"/>
      <c r="Y125" s="195"/>
      <c r="Z125" s="779">
        <v>19</v>
      </c>
      <c r="AA125" s="194">
        <v>19</v>
      </c>
      <c r="AB125" s="894">
        <v>19</v>
      </c>
      <c r="AC125" s="691">
        <v>19.164705882352941</v>
      </c>
      <c r="AD125" s="691">
        <v>19.163043478260871</v>
      </c>
      <c r="AE125" s="691">
        <v>19.138095238095239</v>
      </c>
      <c r="AF125" s="253">
        <v>19.138095238095239</v>
      </c>
      <c r="AG125" s="253">
        <f t="shared" si="35"/>
        <v>19.138095238095239</v>
      </c>
      <c r="DG125" s="543"/>
      <c r="DH125" s="172"/>
      <c r="DI125" s="1020"/>
      <c r="DJ125" s="2045"/>
    </row>
    <row r="126" spans="1:114" outlineLevel="1" x14ac:dyDescent="0.25">
      <c r="A126" s="2145"/>
      <c r="C126" s="49"/>
      <c r="D126" s="2398"/>
      <c r="E126" s="2398"/>
      <c r="F126" s="2403" t="str">
        <f t="shared" si="36"/>
        <v>CAC-SEER19_ROF_SF</v>
      </c>
      <c r="G126" s="2403"/>
      <c r="H126" s="2403"/>
      <c r="I126" s="1268" t="str">
        <f t="shared" si="37"/>
        <v>351171_2025_12_</v>
      </c>
      <c r="J126" s="1525">
        <v>19.1875</v>
      </c>
      <c r="K126" s="1249"/>
      <c r="L126" s="1518" t="s">
        <v>929</v>
      </c>
      <c r="M126" s="49"/>
      <c r="N126" s="532"/>
      <c r="O126" s="49"/>
      <c r="T126" s="50"/>
      <c r="U126" s="50"/>
      <c r="V126" s="2383"/>
      <c r="W126" s="1268"/>
      <c r="X126" s="195"/>
      <c r="Y126" s="195"/>
      <c r="Z126" s="779">
        <v>19</v>
      </c>
      <c r="AA126" s="194">
        <v>19</v>
      </c>
      <c r="AB126" s="894">
        <v>19</v>
      </c>
      <c r="AC126" s="691">
        <v>19.142857142857142</v>
      </c>
      <c r="AD126" s="882">
        <v>19.21875</v>
      </c>
      <c r="AE126" s="882">
        <v>19.1875</v>
      </c>
      <c r="AF126" s="253">
        <v>19.1875</v>
      </c>
      <c r="AG126" s="253">
        <f t="shared" si="35"/>
        <v>19.1875</v>
      </c>
      <c r="DG126" s="543"/>
      <c r="DH126" s="172"/>
      <c r="DI126" s="1020"/>
      <c r="DJ126" s="2045"/>
    </row>
    <row r="127" spans="1:114" outlineLevel="1" x14ac:dyDescent="0.25">
      <c r="A127" s="2145"/>
      <c r="C127" s="49"/>
      <c r="D127" s="2398"/>
      <c r="E127" s="2398"/>
      <c r="F127" s="2403" t="str">
        <f t="shared" si="36"/>
        <v>CAC-SEER20_ER1_SF</v>
      </c>
      <c r="G127" s="2403"/>
      <c r="H127" s="2403"/>
      <c r="I127" s="1268" t="str">
        <f t="shared" si="37"/>
        <v>351180_2024_12_</v>
      </c>
      <c r="J127" s="1525">
        <v>20.110619469026549</v>
      </c>
      <c r="K127" s="1249"/>
      <c r="L127" s="1518" t="s">
        <v>929</v>
      </c>
      <c r="M127" s="49"/>
      <c r="N127" s="532"/>
      <c r="O127" s="49"/>
      <c r="T127" s="50"/>
      <c r="U127" s="50"/>
      <c r="V127" s="2383"/>
      <c r="W127" s="1268"/>
      <c r="X127" s="195"/>
      <c r="Y127" s="195"/>
      <c r="Z127" s="779">
        <v>20</v>
      </c>
      <c r="AA127" s="194">
        <v>20</v>
      </c>
      <c r="AB127" s="894">
        <v>20</v>
      </c>
      <c r="AC127" s="691">
        <v>20.194078947368421</v>
      </c>
      <c r="AD127" s="882">
        <v>20.136690647482013</v>
      </c>
      <c r="AE127" s="882">
        <v>20.110619469026549</v>
      </c>
      <c r="AF127" s="253">
        <v>20.110619469026549</v>
      </c>
      <c r="AG127" s="253">
        <f t="shared" si="35"/>
        <v>20.110619469026549</v>
      </c>
      <c r="DG127" s="543"/>
      <c r="DH127" s="172"/>
      <c r="DI127" s="1020"/>
      <c r="DJ127" s="2045"/>
    </row>
    <row r="128" spans="1:114" outlineLevel="1" x14ac:dyDescent="0.25">
      <c r="A128" s="2145"/>
      <c r="C128" s="49"/>
      <c r="D128" s="2398"/>
      <c r="E128" s="2398"/>
      <c r="F128" s="2403" t="str">
        <f t="shared" ref="F128:F159" si="39">F105</f>
        <v>CAC-SEER20_ER2_SF</v>
      </c>
      <c r="G128" s="2403"/>
      <c r="H128" s="2403"/>
      <c r="I128" s="1268" t="str">
        <f t="shared" ref="I128:I159" si="40">I105</f>
        <v>351180_2024_12_</v>
      </c>
      <c r="J128" s="1525">
        <f>J127</f>
        <v>20.110619469026549</v>
      </c>
      <c r="K128" s="1249"/>
      <c r="L128" s="1518" t="s">
        <v>929</v>
      </c>
      <c r="M128" s="49"/>
      <c r="N128" s="532"/>
      <c r="O128" s="49"/>
      <c r="T128" s="50"/>
      <c r="U128" s="50"/>
      <c r="V128" s="2383"/>
      <c r="W128" s="1268"/>
      <c r="X128" s="195"/>
      <c r="Y128" s="195"/>
      <c r="Z128" s="779">
        <v>20</v>
      </c>
      <c r="AA128" s="194">
        <v>20</v>
      </c>
      <c r="AB128" s="894">
        <v>20</v>
      </c>
      <c r="AC128" s="691">
        <v>20.194078947368421</v>
      </c>
      <c r="AD128" s="882">
        <v>20.136690647482013</v>
      </c>
      <c r="AE128" s="882">
        <v>20.110619469026549</v>
      </c>
      <c r="AF128" s="253">
        <v>20.110619469026549</v>
      </c>
      <c r="AG128" s="253">
        <f t="shared" si="35"/>
        <v>20.110619469026549</v>
      </c>
      <c r="DG128" s="543"/>
      <c r="DH128" s="172"/>
      <c r="DI128" s="1020"/>
      <c r="DJ128" s="2045"/>
    </row>
    <row r="129" spans="1:114" outlineLevel="1" x14ac:dyDescent="0.25">
      <c r="A129" s="2145"/>
      <c r="C129" s="49"/>
      <c r="D129" s="2398"/>
      <c r="E129" s="2398"/>
      <c r="F129" s="2403" t="str">
        <f t="shared" si="39"/>
        <v>CAC-SEER20_ROF_SF</v>
      </c>
      <c r="G129" s="2403"/>
      <c r="H129" s="2403"/>
      <c r="I129" s="1268" t="str">
        <f t="shared" si="40"/>
        <v>351181_2024_12_</v>
      </c>
      <c r="J129" s="1525">
        <v>20.015625</v>
      </c>
      <c r="K129" s="1249"/>
      <c r="L129" s="1518" t="s">
        <v>929</v>
      </c>
      <c r="M129" s="49"/>
      <c r="N129" s="532"/>
      <c r="O129" s="49"/>
      <c r="T129" s="50"/>
      <c r="U129" s="50"/>
      <c r="V129" s="2383"/>
      <c r="W129" s="1268"/>
      <c r="X129" s="195"/>
      <c r="Y129" s="195"/>
      <c r="Z129" s="779">
        <v>20</v>
      </c>
      <c r="AA129" s="194">
        <v>20</v>
      </c>
      <c r="AB129" s="894">
        <v>20</v>
      </c>
      <c r="AC129" s="691">
        <v>20.083333333333332</v>
      </c>
      <c r="AD129" s="882">
        <v>20.111111111111111</v>
      </c>
      <c r="AE129" s="882">
        <v>20.015625</v>
      </c>
      <c r="AF129" s="253">
        <v>20.015625</v>
      </c>
      <c r="AG129" s="253">
        <f t="shared" si="35"/>
        <v>20.015625</v>
      </c>
      <c r="DG129" s="543"/>
      <c r="DH129" s="172"/>
      <c r="DI129" s="1020"/>
      <c r="DJ129" s="2045"/>
    </row>
    <row r="130" spans="1:114" outlineLevel="1" x14ac:dyDescent="0.25">
      <c r="A130" s="2145"/>
      <c r="C130" s="49"/>
      <c r="D130" s="2398"/>
      <c r="E130" s="2398"/>
      <c r="F130" s="2403" t="str">
        <f t="shared" si="39"/>
        <v>CAC-SEER21+_ER1_SF</v>
      </c>
      <c r="G130" s="2403"/>
      <c r="H130" s="2403"/>
      <c r="I130" s="1268" t="str">
        <f t="shared" si="40"/>
        <v>351190_2024_12_</v>
      </c>
      <c r="J130" s="1517">
        <v>22.131818181818183</v>
      </c>
      <c r="K130" s="1249"/>
      <c r="L130" s="1518" t="s">
        <v>931</v>
      </c>
      <c r="M130" s="49"/>
      <c r="N130" s="532"/>
      <c r="O130" s="49"/>
      <c r="T130" s="50"/>
      <c r="U130" s="50"/>
      <c r="V130" s="2383"/>
      <c r="W130" s="1268"/>
      <c r="X130" s="194"/>
      <c r="Y130" s="194"/>
      <c r="Z130" s="779">
        <v>21</v>
      </c>
      <c r="AA130" s="194">
        <v>21</v>
      </c>
      <c r="AB130" s="894">
        <v>21</v>
      </c>
      <c r="AC130" s="691">
        <v>21.873376623376622</v>
      </c>
      <c r="AD130" s="691">
        <v>21.924757281553397</v>
      </c>
      <c r="AE130" s="691">
        <v>22.131818181818183</v>
      </c>
      <c r="AF130" s="253">
        <v>22.131818181818183</v>
      </c>
      <c r="AG130" s="253">
        <f t="shared" si="35"/>
        <v>22.131818181818183</v>
      </c>
      <c r="DG130" s="543"/>
      <c r="DH130" s="172"/>
      <c r="DI130" s="1020"/>
      <c r="DJ130" s="2045"/>
    </row>
    <row r="131" spans="1:114" ht="14.65" customHeight="1" outlineLevel="1" x14ac:dyDescent="0.25">
      <c r="A131" s="2145"/>
      <c r="C131" s="49"/>
      <c r="D131" s="2398"/>
      <c r="E131" s="2398"/>
      <c r="F131" s="2403" t="str">
        <f t="shared" si="39"/>
        <v>CAC-SEER21+_ER2_SF</v>
      </c>
      <c r="G131" s="2403"/>
      <c r="H131" s="2403"/>
      <c r="I131" s="1268" t="str">
        <f t="shared" si="40"/>
        <v>351190_2024_12_</v>
      </c>
      <c r="J131" s="1517">
        <f>J130</f>
        <v>22.131818181818183</v>
      </c>
      <c r="K131" s="1249"/>
      <c r="L131" s="1518" t="s">
        <v>931</v>
      </c>
      <c r="M131" s="49"/>
      <c r="N131" s="532"/>
      <c r="O131" s="49"/>
      <c r="T131" s="50"/>
      <c r="U131" s="50"/>
      <c r="V131" s="2383"/>
      <c r="W131" s="1268"/>
      <c r="X131" s="194"/>
      <c r="Y131" s="194"/>
      <c r="Z131" s="779">
        <v>21</v>
      </c>
      <c r="AA131" s="194">
        <v>21</v>
      </c>
      <c r="AB131" s="894">
        <v>21</v>
      </c>
      <c r="AC131" s="691">
        <v>21.873376623376622</v>
      </c>
      <c r="AD131" s="691">
        <v>21.924757281553397</v>
      </c>
      <c r="AE131" s="691">
        <v>22.131818181818183</v>
      </c>
      <c r="AF131" s="253">
        <v>22.131818181818183</v>
      </c>
      <c r="AG131" s="253">
        <f t="shared" si="35"/>
        <v>22.131818181818183</v>
      </c>
      <c r="DG131" s="543"/>
      <c r="DH131" s="172"/>
      <c r="DI131" s="1020"/>
      <c r="DJ131" s="2045"/>
    </row>
    <row r="132" spans="1:114" ht="14.65" customHeight="1" outlineLevel="1" x14ac:dyDescent="0.25">
      <c r="A132" s="2145"/>
      <c r="C132" s="49"/>
      <c r="D132" s="2398"/>
      <c r="E132" s="2398"/>
      <c r="F132" s="2403" t="str">
        <f t="shared" si="39"/>
        <v>CAC-SEER21+_ROF_SF</v>
      </c>
      <c r="G132" s="2403"/>
      <c r="H132" s="2403"/>
      <c r="I132" s="1268" t="str">
        <f t="shared" si="40"/>
        <v>351191_2024_12_</v>
      </c>
      <c r="J132" s="1525">
        <v>22.6</v>
      </c>
      <c r="K132" s="1249"/>
      <c r="L132" s="1518" t="s">
        <v>931</v>
      </c>
      <c r="M132" s="49"/>
      <c r="N132" s="532"/>
      <c r="O132" s="49"/>
      <c r="T132" s="50"/>
      <c r="U132" s="50"/>
      <c r="V132" s="2383"/>
      <c r="W132" s="1268"/>
      <c r="X132" s="194"/>
      <c r="Y132" s="194"/>
      <c r="Z132" s="779">
        <v>21</v>
      </c>
      <c r="AA132" s="194">
        <v>21</v>
      </c>
      <c r="AB132" s="894">
        <v>21</v>
      </c>
      <c r="AC132" s="691">
        <v>21.714285714285715</v>
      </c>
      <c r="AD132" s="882">
        <v>22.375</v>
      </c>
      <c r="AE132" s="882">
        <v>22.6</v>
      </c>
      <c r="AF132" s="253">
        <v>22.6</v>
      </c>
      <c r="AG132" s="253">
        <f t="shared" si="35"/>
        <v>22.6</v>
      </c>
      <c r="DG132" s="543"/>
      <c r="DH132" s="172"/>
      <c r="DI132" s="1020"/>
      <c r="DJ132" s="2045"/>
    </row>
    <row r="133" spans="1:114" outlineLevel="1" x14ac:dyDescent="0.25">
      <c r="A133" s="2145"/>
      <c r="C133" s="49"/>
      <c r="D133" s="2399" t="s">
        <v>940</v>
      </c>
      <c r="E133" s="2397" t="s">
        <v>941</v>
      </c>
      <c r="F133" s="2403" t="str">
        <f t="shared" si="39"/>
        <v>CAC-SEER15_ER1_SF</v>
      </c>
      <c r="G133" s="2403"/>
      <c r="H133" s="2403"/>
      <c r="I133" s="1268" t="str">
        <f t="shared" si="40"/>
        <v>350600_2024_12_</v>
      </c>
      <c r="J133" s="1525">
        <v>7.6205760700821035</v>
      </c>
      <c r="K133" s="53"/>
      <c r="L133" s="1504" t="s">
        <v>929</v>
      </c>
      <c r="M133" s="49"/>
      <c r="N133" s="532"/>
      <c r="O133" s="49"/>
      <c r="T133" s="50"/>
      <c r="U133" s="50"/>
      <c r="V133" s="2415"/>
      <c r="W133" s="1268">
        <v>8.1999999999999993</v>
      </c>
      <c r="X133" s="779">
        <v>8.33</v>
      </c>
      <c r="Y133" s="1268">
        <v>8.33</v>
      </c>
      <c r="Z133" s="1268">
        <v>8.33</v>
      </c>
      <c r="AA133" s="1268">
        <v>8.33</v>
      </c>
      <c r="AB133" s="691">
        <v>7.5274715869040065</v>
      </c>
      <c r="AC133" s="691">
        <v>8.2517061990859339</v>
      </c>
      <c r="AD133" s="882">
        <v>7.4529882194918962</v>
      </c>
      <c r="AE133" s="882">
        <v>7.6205760700821035</v>
      </c>
      <c r="AF133" s="253">
        <v>7.6205760700821035</v>
      </c>
      <c r="AG133" s="253">
        <f t="shared" si="35"/>
        <v>7.6205760700821035</v>
      </c>
      <c r="DG133" s="543"/>
      <c r="DH133" s="172"/>
      <c r="DI133" s="1020"/>
      <c r="DJ133" s="2045"/>
    </row>
    <row r="134" spans="1:114" outlineLevel="1" x14ac:dyDescent="0.25">
      <c r="A134" s="2145"/>
      <c r="C134" s="49"/>
      <c r="D134" s="2400"/>
      <c r="E134" s="2398"/>
      <c r="F134" s="2403" t="str">
        <f t="shared" si="39"/>
        <v>CAC-SEER15_ER2_SF</v>
      </c>
      <c r="G134" s="2403"/>
      <c r="H134" s="2403"/>
      <c r="I134" s="1268" t="str">
        <f t="shared" si="40"/>
        <v>350600_2024_12_</v>
      </c>
      <c r="J134" s="1517"/>
      <c r="K134" s="53"/>
      <c r="L134" s="1527"/>
      <c r="M134" s="49"/>
      <c r="N134" s="532"/>
      <c r="O134" s="49"/>
      <c r="T134" s="50"/>
      <c r="U134" s="50"/>
      <c r="V134" s="2415"/>
      <c r="W134" s="1268"/>
      <c r="X134" s="1268"/>
      <c r="Y134" s="1268"/>
      <c r="Z134" s="1268"/>
      <c r="AA134" s="1268"/>
      <c r="AB134" s="894"/>
      <c r="AC134" s="696"/>
      <c r="AD134" s="696"/>
      <c r="AE134" s="696"/>
      <c r="AF134" s="253" t="s">
        <v>935</v>
      </c>
      <c r="AG134" s="253" t="str">
        <f t="shared" si="35"/>
        <v/>
      </c>
      <c r="DG134" s="543"/>
      <c r="DH134" s="172"/>
      <c r="DI134" s="1020"/>
      <c r="DJ134" s="2045"/>
    </row>
    <row r="135" spans="1:114" outlineLevel="1" x14ac:dyDescent="0.25">
      <c r="A135" s="2145"/>
      <c r="C135" s="49"/>
      <c r="D135" s="2400"/>
      <c r="E135" s="2398"/>
      <c r="F135" s="2403" t="str">
        <f t="shared" si="39"/>
        <v>CAC-SEER15_ROF_SF</v>
      </c>
      <c r="G135" s="2403"/>
      <c r="H135" s="2403"/>
      <c r="I135" s="1268" t="str">
        <f t="shared" si="40"/>
        <v>350650_2024_12_</v>
      </c>
      <c r="J135" s="1517"/>
      <c r="K135" s="53"/>
      <c r="L135" s="1527"/>
      <c r="M135" s="49"/>
      <c r="N135" s="532"/>
      <c r="O135" s="49"/>
      <c r="T135" s="50"/>
      <c r="U135" s="50"/>
      <c r="V135" s="2415"/>
      <c r="W135" s="1268"/>
      <c r="X135" s="1268"/>
      <c r="Y135" s="1268"/>
      <c r="Z135" s="1268"/>
      <c r="AA135" s="1268"/>
      <c r="AB135" s="894"/>
      <c r="AC135" s="696"/>
      <c r="AD135" s="696"/>
      <c r="AE135" s="696"/>
      <c r="AF135" s="253" t="s">
        <v>935</v>
      </c>
      <c r="AG135" s="253" t="str">
        <f t="shared" si="35"/>
        <v/>
      </c>
      <c r="DG135" s="543"/>
      <c r="DH135" s="172"/>
      <c r="DI135" s="1020"/>
      <c r="DJ135" s="2045"/>
    </row>
    <row r="136" spans="1:114" outlineLevel="1" x14ac:dyDescent="0.25">
      <c r="A136" s="2145"/>
      <c r="C136" s="49"/>
      <c r="D136" s="2400"/>
      <c r="E136" s="2398"/>
      <c r="F136" s="2403" t="str">
        <f t="shared" si="39"/>
        <v>CAC-SEER16_ER1_SF</v>
      </c>
      <c r="G136" s="2403"/>
      <c r="H136" s="2403"/>
      <c r="I136" s="1268" t="str">
        <f t="shared" si="40"/>
        <v>350800_2024_12_</v>
      </c>
      <c r="J136" s="1525">
        <v>7.3876970461088041</v>
      </c>
      <c r="K136" s="53"/>
      <c r="L136" s="1518" t="s">
        <v>942</v>
      </c>
      <c r="M136" s="49"/>
      <c r="N136" s="532"/>
      <c r="O136" s="49"/>
      <c r="T136" s="50"/>
      <c r="U136" s="50"/>
      <c r="V136" s="2415"/>
      <c r="W136" s="1268">
        <v>8.1999999999999993</v>
      </c>
      <c r="X136" s="779">
        <v>8.33</v>
      </c>
      <c r="Y136" s="1268">
        <v>8.33</v>
      </c>
      <c r="Z136" s="1268">
        <v>8.33</v>
      </c>
      <c r="AA136" s="1268">
        <v>8.33</v>
      </c>
      <c r="AB136" s="691">
        <v>7.508722873173407</v>
      </c>
      <c r="AC136" s="691">
        <v>8.2475141229575382</v>
      </c>
      <c r="AD136" s="882">
        <v>7.4712867392476277</v>
      </c>
      <c r="AE136" s="882">
        <v>7.5476111173509768</v>
      </c>
      <c r="AF136" s="253">
        <v>7.3876970461088041</v>
      </c>
      <c r="AG136" s="253">
        <f t="shared" si="35"/>
        <v>7.3876970461088041</v>
      </c>
      <c r="DG136" s="543"/>
      <c r="DH136" s="172"/>
      <c r="DI136" s="1020"/>
      <c r="DJ136" s="2045"/>
    </row>
    <row r="137" spans="1:114" outlineLevel="1" x14ac:dyDescent="0.25">
      <c r="A137" s="2145"/>
      <c r="C137" s="49"/>
      <c r="D137" s="2400"/>
      <c r="E137" s="2398"/>
      <c r="F137" s="2403" t="str">
        <f t="shared" si="39"/>
        <v>CAC-SEER16_ER2_SF</v>
      </c>
      <c r="G137" s="2403"/>
      <c r="H137" s="2403"/>
      <c r="I137" s="1268" t="str">
        <f t="shared" si="40"/>
        <v>350800_2024_12_</v>
      </c>
      <c r="J137" s="1517"/>
      <c r="K137" s="53"/>
      <c r="L137" s="1504"/>
      <c r="M137" s="49"/>
      <c r="N137" s="532"/>
      <c r="O137" s="49"/>
      <c r="T137" s="50"/>
      <c r="U137" s="50"/>
      <c r="V137" s="2415"/>
      <c r="W137" s="1268"/>
      <c r="X137" s="1268"/>
      <c r="Y137" s="1268"/>
      <c r="Z137" s="1268"/>
      <c r="AA137" s="1268"/>
      <c r="AB137" s="894"/>
      <c r="AC137" s="696"/>
      <c r="AD137" s="696"/>
      <c r="AE137" s="696"/>
      <c r="AF137" s="253" t="s">
        <v>935</v>
      </c>
      <c r="AG137" s="253" t="str">
        <f t="shared" si="35"/>
        <v/>
      </c>
      <c r="DG137" s="543"/>
      <c r="DH137" s="172"/>
      <c r="DI137" s="1020"/>
      <c r="DJ137" s="2045"/>
    </row>
    <row r="138" spans="1:114" outlineLevel="1" x14ac:dyDescent="0.25">
      <c r="A138" s="2145"/>
      <c r="C138" s="49"/>
      <c r="D138" s="2400"/>
      <c r="E138" s="2398"/>
      <c r="F138" s="2403" t="str">
        <f t="shared" si="39"/>
        <v>CAC-SEER16_ROF_SF</v>
      </c>
      <c r="G138" s="2403"/>
      <c r="H138" s="2403"/>
      <c r="I138" s="1268" t="str">
        <f t="shared" si="40"/>
        <v>350850_2024_12_</v>
      </c>
      <c r="J138" s="1517"/>
      <c r="K138" s="53"/>
      <c r="L138" s="1527"/>
      <c r="M138" s="49"/>
      <c r="N138" s="532"/>
      <c r="O138" s="49"/>
      <c r="T138" s="50"/>
      <c r="U138" s="50"/>
      <c r="V138" s="2415"/>
      <c r="W138" s="1268"/>
      <c r="X138" s="1268"/>
      <c r="Y138" s="1268"/>
      <c r="Z138" s="1268"/>
      <c r="AA138" s="1268"/>
      <c r="AB138" s="894"/>
      <c r="AC138" s="696"/>
      <c r="AD138" s="696"/>
      <c r="AE138" s="696"/>
      <c r="AF138" s="253" t="s">
        <v>935</v>
      </c>
      <c r="AG138" s="253" t="str">
        <f t="shared" si="35"/>
        <v/>
      </c>
      <c r="DG138" s="543"/>
      <c r="DH138" s="172"/>
      <c r="DI138" s="1020"/>
      <c r="DJ138" s="2045"/>
    </row>
    <row r="139" spans="1:114" outlineLevel="1" x14ac:dyDescent="0.25">
      <c r="A139" s="2145"/>
      <c r="C139" s="49"/>
      <c r="D139" s="2400"/>
      <c r="E139" s="2398"/>
      <c r="F139" s="2403" t="str">
        <f t="shared" si="39"/>
        <v>CAC-SEER16_ER1_MF</v>
      </c>
      <c r="G139" s="2403"/>
      <c r="H139" s="2403"/>
      <c r="I139" s="1268" t="str">
        <f t="shared" si="40"/>
        <v>350900_2024_12_</v>
      </c>
      <c r="J139" s="1525">
        <v>7.4410849195197439</v>
      </c>
      <c r="K139" s="53"/>
      <c r="L139" s="1518" t="s">
        <v>942</v>
      </c>
      <c r="M139" s="49"/>
      <c r="N139" s="532"/>
      <c r="O139" s="49"/>
      <c r="T139" s="50"/>
      <c r="U139" s="50"/>
      <c r="V139" s="2415"/>
      <c r="W139" s="1268">
        <v>8.1999999999999993</v>
      </c>
      <c r="X139" s="779">
        <v>8.33</v>
      </c>
      <c r="Y139" s="1268">
        <v>8.33</v>
      </c>
      <c r="Z139" s="1268">
        <v>8.33</v>
      </c>
      <c r="AA139" s="1268">
        <v>8.33</v>
      </c>
      <c r="AB139" s="691">
        <v>7.983392742151227</v>
      </c>
      <c r="AC139" s="691">
        <v>8.3039211249486229</v>
      </c>
      <c r="AD139" s="882">
        <v>7.6056879052271524</v>
      </c>
      <c r="AE139" s="882">
        <v>7.5627579008933568</v>
      </c>
      <c r="AF139" s="253">
        <v>7.4410849195197439</v>
      </c>
      <c r="AG139" s="253">
        <f t="shared" si="35"/>
        <v>7.4410849195197439</v>
      </c>
      <c r="DG139" s="543"/>
      <c r="DH139" s="172"/>
      <c r="DI139" s="1020"/>
      <c r="DJ139" s="2045"/>
    </row>
    <row r="140" spans="1:114" outlineLevel="1" x14ac:dyDescent="0.25">
      <c r="A140" s="2145"/>
      <c r="C140" s="49"/>
      <c r="D140" s="2400"/>
      <c r="E140" s="2398"/>
      <c r="F140" s="2403" t="str">
        <f t="shared" si="39"/>
        <v>CAC-SEER16_ER2_MF</v>
      </c>
      <c r="G140" s="2403"/>
      <c r="H140" s="2403"/>
      <c r="I140" s="1268" t="str">
        <f t="shared" si="40"/>
        <v>350900_2024_12_</v>
      </c>
      <c r="J140" s="1517"/>
      <c r="K140" s="53"/>
      <c r="L140" s="1504"/>
      <c r="M140" s="49"/>
      <c r="N140" s="532"/>
      <c r="O140" s="49"/>
      <c r="T140" s="50"/>
      <c r="U140" s="50"/>
      <c r="V140" s="2415"/>
      <c r="W140" s="1268"/>
      <c r="X140" s="1268"/>
      <c r="Y140" s="1268"/>
      <c r="Z140" s="1268"/>
      <c r="AA140" s="1268"/>
      <c r="AB140" s="894"/>
      <c r="AC140" s="696"/>
      <c r="AD140" s="696"/>
      <c r="AE140" s="696"/>
      <c r="AF140" s="253" t="s">
        <v>935</v>
      </c>
      <c r="AG140" s="253" t="str">
        <f t="shared" si="35"/>
        <v/>
      </c>
      <c r="DG140" s="543"/>
      <c r="DH140" s="172"/>
      <c r="DI140" s="1020"/>
      <c r="DJ140" s="2045"/>
    </row>
    <row r="141" spans="1:114" outlineLevel="1" x14ac:dyDescent="0.25">
      <c r="A141" s="2145"/>
      <c r="C141" s="49"/>
      <c r="D141" s="2400"/>
      <c r="E141" s="2398"/>
      <c r="F141" s="2403" t="str">
        <f t="shared" si="39"/>
        <v>CAC-SEER17_ER1_SF</v>
      </c>
      <c r="G141" s="2403"/>
      <c r="H141" s="2403"/>
      <c r="I141" s="1268" t="str">
        <f t="shared" si="40"/>
        <v>351000_2024_12_</v>
      </c>
      <c r="J141" s="1525">
        <v>7.6500934614747482</v>
      </c>
      <c r="K141" s="53"/>
      <c r="L141" s="1518" t="s">
        <v>942</v>
      </c>
      <c r="M141" s="49"/>
      <c r="N141" s="532"/>
      <c r="O141" s="49"/>
      <c r="T141" s="50"/>
      <c r="U141" s="50"/>
      <c r="V141" s="2415"/>
      <c r="W141" s="1268">
        <v>8.1999999999999993</v>
      </c>
      <c r="X141" s="779">
        <v>8.33</v>
      </c>
      <c r="Y141" s="1268">
        <v>8.33</v>
      </c>
      <c r="Z141" s="1268">
        <v>8.33</v>
      </c>
      <c r="AA141" s="1268">
        <v>8.33</v>
      </c>
      <c r="AB141" s="691">
        <v>7.5482963446217566</v>
      </c>
      <c r="AC141" s="691">
        <v>8.3071815083938851</v>
      </c>
      <c r="AD141" s="882">
        <v>7.5336948652838496</v>
      </c>
      <c r="AE141" s="975">
        <v>7.5336948652838496</v>
      </c>
      <c r="AF141" s="253">
        <v>7.6500934614747482</v>
      </c>
      <c r="AG141" s="253">
        <f t="shared" si="35"/>
        <v>7.6500934614747482</v>
      </c>
      <c r="DG141" s="543"/>
      <c r="DH141" s="172"/>
      <c r="DI141" s="1020"/>
      <c r="DJ141" s="2045"/>
    </row>
    <row r="142" spans="1:114" ht="14.65" customHeight="1" outlineLevel="1" x14ac:dyDescent="0.25">
      <c r="A142" s="2145"/>
      <c r="C142" s="49"/>
      <c r="D142" s="2400"/>
      <c r="E142" s="2398"/>
      <c r="F142" s="2403" t="str">
        <f t="shared" si="39"/>
        <v>CAC-SEER17_ER2_SF</v>
      </c>
      <c r="G142" s="2403"/>
      <c r="H142" s="2403"/>
      <c r="I142" s="1268" t="str">
        <f t="shared" si="40"/>
        <v>351000_2024_12_</v>
      </c>
      <c r="J142" s="1517"/>
      <c r="K142" s="53"/>
      <c r="L142" s="1504"/>
      <c r="M142" s="49"/>
      <c r="N142" s="532"/>
      <c r="O142" s="49"/>
      <c r="T142" s="50"/>
      <c r="U142" s="50"/>
      <c r="V142" s="2415"/>
      <c r="W142" s="1268"/>
      <c r="X142" s="1268"/>
      <c r="Y142" s="1268"/>
      <c r="Z142" s="1268"/>
      <c r="AA142" s="1268"/>
      <c r="AB142" s="894"/>
      <c r="AC142" s="696"/>
      <c r="AD142" s="696"/>
      <c r="AE142" s="696"/>
      <c r="AF142" s="253" t="s">
        <v>935</v>
      </c>
      <c r="AG142" s="253" t="str">
        <f t="shared" si="35"/>
        <v/>
      </c>
      <c r="DG142" s="543"/>
      <c r="DH142" s="172"/>
      <c r="DI142" s="1020"/>
      <c r="DJ142" s="2045"/>
    </row>
    <row r="143" spans="1:114" ht="14.65" customHeight="1" outlineLevel="1" x14ac:dyDescent="0.25">
      <c r="A143" s="2145"/>
      <c r="C143" s="49"/>
      <c r="D143" s="2400"/>
      <c r="E143" s="2398"/>
      <c r="F143" s="2403" t="str">
        <f t="shared" si="39"/>
        <v>CAC-SEER17_ROF_SF</v>
      </c>
      <c r="G143" s="2403"/>
      <c r="H143" s="2403"/>
      <c r="I143" s="1268" t="str">
        <f t="shared" si="40"/>
        <v>351050_2024_12_</v>
      </c>
      <c r="J143" s="1517"/>
      <c r="K143" s="53"/>
      <c r="L143" s="1527"/>
      <c r="M143" s="49"/>
      <c r="N143" s="532"/>
      <c r="O143" s="49"/>
      <c r="T143" s="50"/>
      <c r="U143" s="50"/>
      <c r="V143" s="2415"/>
      <c r="W143" s="1268"/>
      <c r="X143" s="1268"/>
      <c r="Y143" s="1268"/>
      <c r="Z143" s="1268"/>
      <c r="AA143" s="1268"/>
      <c r="AB143" s="894"/>
      <c r="AC143" s="696"/>
      <c r="AD143" s="696"/>
      <c r="AE143" s="696"/>
      <c r="AF143" s="253" t="s">
        <v>935</v>
      </c>
      <c r="AG143" s="253" t="str">
        <f t="shared" si="35"/>
        <v/>
      </c>
      <c r="DG143" s="543"/>
      <c r="DH143" s="172"/>
      <c r="DI143" s="1020"/>
      <c r="DJ143" s="2045"/>
    </row>
    <row r="144" spans="1:114" ht="14.65" customHeight="1" outlineLevel="1" x14ac:dyDescent="0.25">
      <c r="A144" s="2145"/>
      <c r="C144" s="49"/>
      <c r="D144" s="2400"/>
      <c r="E144" s="2398"/>
      <c r="F144" s="2403" t="str">
        <f t="shared" si="39"/>
        <v>CAC-SEER18_ER1_SF</v>
      </c>
      <c r="G144" s="2403"/>
      <c r="H144" s="2403"/>
      <c r="I144" s="1268" t="str">
        <f t="shared" si="40"/>
        <v>351160_2024_12_</v>
      </c>
      <c r="J144" s="1525">
        <v>7.8048008052100615</v>
      </c>
      <c r="K144" s="53"/>
      <c r="L144" s="1504" t="s">
        <v>931</v>
      </c>
      <c r="M144" s="49"/>
      <c r="N144" s="532"/>
      <c r="O144" s="49"/>
      <c r="T144" s="50"/>
      <c r="U144" s="50"/>
      <c r="V144" s="2383"/>
      <c r="W144" s="1268"/>
      <c r="X144" s="779"/>
      <c r="Y144" s="1268"/>
      <c r="Z144" s="779">
        <v>8.33</v>
      </c>
      <c r="AA144" s="1268">
        <v>8.33</v>
      </c>
      <c r="AB144" s="894">
        <v>8.33</v>
      </c>
      <c r="AC144" s="691">
        <v>8.2545556293481042</v>
      </c>
      <c r="AD144" s="882">
        <v>7.8048008052100615</v>
      </c>
      <c r="AE144" s="975">
        <v>7.8048008052100615</v>
      </c>
      <c r="AF144" s="253">
        <v>7.8048008052100615</v>
      </c>
      <c r="AG144" s="253">
        <f t="shared" si="35"/>
        <v>7.8048008052100615</v>
      </c>
      <c r="DG144" s="543"/>
      <c r="DH144" s="172"/>
      <c r="DI144" s="1020"/>
      <c r="DJ144" s="2045"/>
    </row>
    <row r="145" spans="1:114" ht="14.65" customHeight="1" outlineLevel="1" x14ac:dyDescent="0.25">
      <c r="A145" s="2145"/>
      <c r="C145" s="49"/>
      <c r="D145" s="2400"/>
      <c r="E145" s="2398"/>
      <c r="F145" s="2403" t="str">
        <f t="shared" si="39"/>
        <v>CAC-SEER18_ER2_SF</v>
      </c>
      <c r="G145" s="2403"/>
      <c r="H145" s="2403"/>
      <c r="I145" s="1268" t="str">
        <f t="shared" si="40"/>
        <v>351160_2024_12_</v>
      </c>
      <c r="J145" s="1517"/>
      <c r="K145" s="53"/>
      <c r="L145" s="1527"/>
      <c r="M145" s="49"/>
      <c r="N145" s="532"/>
      <c r="O145" s="49"/>
      <c r="T145" s="50"/>
      <c r="U145" s="50"/>
      <c r="V145" s="2383"/>
      <c r="W145" s="1268"/>
      <c r="X145" s="1268"/>
      <c r="Y145" s="1268"/>
      <c r="Z145" s="779"/>
      <c r="AA145" s="1268"/>
      <c r="AB145" s="894"/>
      <c r="AC145" s="696"/>
      <c r="AD145" s="696"/>
      <c r="AE145" s="696"/>
      <c r="AF145" s="253" t="s">
        <v>935</v>
      </c>
      <c r="AG145" s="253" t="str">
        <f t="shared" si="35"/>
        <v/>
      </c>
      <c r="DG145" s="543"/>
      <c r="DH145" s="172"/>
      <c r="DI145" s="1020"/>
      <c r="DJ145" s="2045"/>
    </row>
    <row r="146" spans="1:114" ht="14.65" customHeight="1" outlineLevel="1" x14ac:dyDescent="0.25">
      <c r="A146" s="2145"/>
      <c r="C146" s="49"/>
      <c r="D146" s="2400"/>
      <c r="E146" s="2398"/>
      <c r="F146" s="2403" t="str">
        <f t="shared" si="39"/>
        <v>CAC-SEER18_ROF_SF</v>
      </c>
      <c r="G146" s="2403"/>
      <c r="H146" s="2403"/>
      <c r="I146" s="1268" t="str">
        <f t="shared" si="40"/>
        <v>351161_2024_12_</v>
      </c>
      <c r="J146" s="1517"/>
      <c r="K146" s="53"/>
      <c r="L146" s="1527"/>
      <c r="M146" s="49"/>
      <c r="N146" s="532"/>
      <c r="O146" s="49"/>
      <c r="T146" s="50"/>
      <c r="U146" s="50"/>
      <c r="V146" s="2383"/>
      <c r="W146" s="1268"/>
      <c r="X146" s="1268"/>
      <c r="Y146" s="1268"/>
      <c r="Z146" s="779"/>
      <c r="AA146" s="1268"/>
      <c r="AB146" s="894"/>
      <c r="AC146" s="696"/>
      <c r="AD146" s="696"/>
      <c r="AE146" s="696"/>
      <c r="AF146" s="253" t="s">
        <v>935</v>
      </c>
      <c r="AG146" s="253" t="str">
        <f t="shared" si="35"/>
        <v/>
      </c>
      <c r="DG146" s="543"/>
      <c r="DH146" s="172"/>
      <c r="DI146" s="1020"/>
      <c r="DJ146" s="2045"/>
    </row>
    <row r="147" spans="1:114" outlineLevel="1" x14ac:dyDescent="0.25">
      <c r="A147" s="2145"/>
      <c r="C147" s="49"/>
      <c r="D147" s="2400"/>
      <c r="E147" s="2398"/>
      <c r="F147" s="2403" t="str">
        <f t="shared" si="39"/>
        <v>CAC-SEER19_ER1_SF</v>
      </c>
      <c r="G147" s="2403"/>
      <c r="H147" s="2403"/>
      <c r="I147" s="1268" t="str">
        <f t="shared" si="40"/>
        <v>351170_2025_12_</v>
      </c>
      <c r="J147" s="1525">
        <v>7.7096367887427188</v>
      </c>
      <c r="K147" s="53"/>
      <c r="L147" s="1504" t="s">
        <v>929</v>
      </c>
      <c r="M147" s="49"/>
      <c r="N147" s="532"/>
      <c r="O147" s="49"/>
      <c r="T147" s="50"/>
      <c r="U147" s="50"/>
      <c r="V147" s="2383"/>
      <c r="W147" s="1268"/>
      <c r="X147" s="779"/>
      <c r="Y147" s="1268"/>
      <c r="Z147" s="779">
        <v>8.33</v>
      </c>
      <c r="AA147" s="1268">
        <v>8.33</v>
      </c>
      <c r="AB147" s="894">
        <v>8.33</v>
      </c>
      <c r="AC147" s="691">
        <v>8.1633174958765817</v>
      </c>
      <c r="AD147" s="882">
        <v>7.8804195940950725</v>
      </c>
      <c r="AE147" s="882">
        <v>7.7096367887427188</v>
      </c>
      <c r="AF147" s="253">
        <v>7.7096367887427188</v>
      </c>
      <c r="AG147" s="253">
        <f t="shared" si="35"/>
        <v>7.7096367887427188</v>
      </c>
      <c r="DG147" s="543"/>
      <c r="DH147" s="172"/>
      <c r="DI147" s="1020"/>
      <c r="DJ147" s="2045"/>
    </row>
    <row r="148" spans="1:114" outlineLevel="1" x14ac:dyDescent="0.25">
      <c r="A148" s="2145"/>
      <c r="C148" s="49"/>
      <c r="D148" s="2400"/>
      <c r="E148" s="2398"/>
      <c r="F148" s="2403" t="str">
        <f t="shared" si="39"/>
        <v>CAC-SEER19_ER2_SF</v>
      </c>
      <c r="G148" s="2403"/>
      <c r="H148" s="2403"/>
      <c r="I148" s="1268" t="str">
        <f t="shared" si="40"/>
        <v>351170_2025_12_</v>
      </c>
      <c r="J148" s="1517"/>
      <c r="K148" s="53"/>
      <c r="L148" s="1527"/>
      <c r="M148" s="49"/>
      <c r="N148" s="532"/>
      <c r="O148" s="49"/>
      <c r="T148" s="50"/>
      <c r="U148" s="50"/>
      <c r="V148" s="2383"/>
      <c r="W148" s="1268"/>
      <c r="X148" s="1268"/>
      <c r="Y148" s="1268"/>
      <c r="Z148" s="779"/>
      <c r="AA148" s="1268"/>
      <c r="AB148" s="894"/>
      <c r="AC148" s="696"/>
      <c r="AD148" s="696"/>
      <c r="AE148" s="696"/>
      <c r="AF148" s="253" t="s">
        <v>935</v>
      </c>
      <c r="AG148" s="253" t="str">
        <f t="shared" si="35"/>
        <v/>
      </c>
      <c r="DG148" s="543"/>
      <c r="DH148" s="172"/>
      <c r="DI148" s="1020"/>
      <c r="DJ148" s="2045"/>
    </row>
    <row r="149" spans="1:114" outlineLevel="1" x14ac:dyDescent="0.25">
      <c r="A149" s="2145"/>
      <c r="C149" s="49"/>
      <c r="D149" s="2400"/>
      <c r="E149" s="2398"/>
      <c r="F149" s="2403" t="str">
        <f t="shared" si="39"/>
        <v>CAC-SEER19_ROF_SF</v>
      </c>
      <c r="G149" s="2403"/>
      <c r="H149" s="2403"/>
      <c r="I149" s="1268" t="str">
        <f t="shared" si="40"/>
        <v>351171_2025_12_</v>
      </c>
      <c r="J149" s="1517"/>
      <c r="K149" s="53"/>
      <c r="L149" s="1527"/>
      <c r="M149" s="49"/>
      <c r="N149" s="532"/>
      <c r="O149" s="49"/>
      <c r="T149" s="50"/>
      <c r="U149" s="50"/>
      <c r="V149" s="2383"/>
      <c r="W149" s="1268"/>
      <c r="X149" s="1268"/>
      <c r="Y149" s="1268"/>
      <c r="Z149" s="779"/>
      <c r="AA149" s="1268"/>
      <c r="AB149" s="894"/>
      <c r="AC149" s="696"/>
      <c r="AD149" s="696"/>
      <c r="AE149" s="696"/>
      <c r="AF149" s="253" t="s">
        <v>935</v>
      </c>
      <c r="AG149" s="253" t="str">
        <f t="shared" si="35"/>
        <v/>
      </c>
      <c r="DG149" s="543"/>
      <c r="DH149" s="172"/>
      <c r="DI149" s="1020"/>
      <c r="DJ149" s="2045"/>
    </row>
    <row r="150" spans="1:114" outlineLevel="1" x14ac:dyDescent="0.25">
      <c r="A150" s="2145"/>
      <c r="C150" s="49"/>
      <c r="D150" s="2400"/>
      <c r="E150" s="2398"/>
      <c r="F150" s="2403" t="str">
        <f t="shared" si="39"/>
        <v>CAC-SEER20_ER1_SF</v>
      </c>
      <c r="G150" s="2403"/>
      <c r="H150" s="2403"/>
      <c r="I150" s="1268" t="str">
        <f t="shared" si="40"/>
        <v>351180_2024_12_</v>
      </c>
      <c r="J150" s="1525">
        <v>7.9987867945547162</v>
      </c>
      <c r="K150" s="53"/>
      <c r="L150" s="1518" t="s">
        <v>942</v>
      </c>
      <c r="M150" s="49"/>
      <c r="N150" s="532"/>
      <c r="O150" s="49"/>
      <c r="T150" s="50"/>
      <c r="U150" s="50"/>
      <c r="V150" s="2383"/>
      <c r="W150" s="1268"/>
      <c r="X150" s="779"/>
      <c r="Y150" s="1268"/>
      <c r="Z150" s="779">
        <v>8.33</v>
      </c>
      <c r="AA150" s="1268">
        <v>8.33</v>
      </c>
      <c r="AB150" s="894">
        <v>8.33</v>
      </c>
      <c r="AC150" s="691">
        <v>8.3552367744076541</v>
      </c>
      <c r="AD150" s="882">
        <v>7.6176123405448148</v>
      </c>
      <c r="AE150" s="882">
        <v>7.8258652574658409</v>
      </c>
      <c r="AF150" s="253">
        <v>7.9987867945547162</v>
      </c>
      <c r="AG150" s="253">
        <f t="shared" si="35"/>
        <v>7.9987867945547162</v>
      </c>
      <c r="DG150" s="543"/>
      <c r="DH150" s="172"/>
      <c r="DI150" s="1020"/>
      <c r="DJ150" s="2045"/>
    </row>
    <row r="151" spans="1:114" outlineLevel="1" x14ac:dyDescent="0.25">
      <c r="A151" s="2145"/>
      <c r="C151" s="49"/>
      <c r="D151" s="2400"/>
      <c r="E151" s="2398"/>
      <c r="F151" s="2403" t="str">
        <f t="shared" si="39"/>
        <v>CAC-SEER20_ER2_SF</v>
      </c>
      <c r="G151" s="2403"/>
      <c r="H151" s="2403"/>
      <c r="I151" s="1268" t="str">
        <f t="shared" si="40"/>
        <v>351180_2024_12_</v>
      </c>
      <c r="J151" s="1517"/>
      <c r="K151" s="53"/>
      <c r="L151" s="1504"/>
      <c r="M151" s="49"/>
      <c r="N151" s="532"/>
      <c r="O151" s="49"/>
      <c r="T151" s="50"/>
      <c r="U151" s="50"/>
      <c r="V151" s="2383"/>
      <c r="W151" s="1268"/>
      <c r="X151" s="1268"/>
      <c r="Y151" s="1268"/>
      <c r="Z151" s="779"/>
      <c r="AA151" s="1268"/>
      <c r="AB151" s="894"/>
      <c r="AC151" s="696"/>
      <c r="AD151" s="696"/>
      <c r="AE151" s="696"/>
      <c r="AF151" s="253" t="s">
        <v>935</v>
      </c>
      <c r="AG151" s="253" t="str">
        <f t="shared" si="35"/>
        <v/>
      </c>
      <c r="DG151" s="543"/>
      <c r="DH151" s="172"/>
      <c r="DI151" s="1020"/>
      <c r="DJ151" s="2045"/>
    </row>
    <row r="152" spans="1:114" outlineLevel="1" x14ac:dyDescent="0.25">
      <c r="A152" s="2145"/>
      <c r="C152" s="49"/>
      <c r="D152" s="2400"/>
      <c r="E152" s="2398"/>
      <c r="F152" s="2403" t="str">
        <f t="shared" si="39"/>
        <v>CAC-SEER20_ROF_SF</v>
      </c>
      <c r="G152" s="2403"/>
      <c r="H152" s="2403"/>
      <c r="I152" s="1268" t="str">
        <f t="shared" si="40"/>
        <v>351181_2024_12_</v>
      </c>
      <c r="J152" s="1517"/>
      <c r="K152" s="53"/>
      <c r="L152" s="1527"/>
      <c r="M152" s="49"/>
      <c r="N152" s="532"/>
      <c r="O152" s="49"/>
      <c r="T152" s="50"/>
      <c r="U152" s="50"/>
      <c r="V152" s="2383"/>
      <c r="W152" s="1268"/>
      <c r="X152" s="1268"/>
      <c r="Y152" s="1268"/>
      <c r="Z152" s="779"/>
      <c r="AA152" s="1268"/>
      <c r="AB152" s="894"/>
      <c r="AC152" s="696"/>
      <c r="AD152" s="696"/>
      <c r="AE152" s="696"/>
      <c r="AF152" s="253" t="s">
        <v>935</v>
      </c>
      <c r="AG152" s="253" t="str">
        <f t="shared" si="35"/>
        <v/>
      </c>
      <c r="DG152" s="543"/>
      <c r="DH152" s="172"/>
      <c r="DI152" s="1020"/>
      <c r="DJ152" s="2045"/>
    </row>
    <row r="153" spans="1:114" outlineLevel="1" x14ac:dyDescent="0.25">
      <c r="A153" s="2145"/>
      <c r="C153" s="49"/>
      <c r="D153" s="2400"/>
      <c r="E153" s="2398"/>
      <c r="F153" s="2403" t="str">
        <f t="shared" si="39"/>
        <v>CAC-SEER21+_ER1_SF</v>
      </c>
      <c r="G153" s="2403"/>
      <c r="H153" s="2403"/>
      <c r="I153" s="1268" t="str">
        <f t="shared" si="40"/>
        <v>351190_2024_12_</v>
      </c>
      <c r="J153" s="1525">
        <v>8.0285797341563221</v>
      </c>
      <c r="K153" s="53"/>
      <c r="L153" s="1518" t="s">
        <v>942</v>
      </c>
      <c r="M153" s="49"/>
      <c r="N153" s="532"/>
      <c r="O153" s="49"/>
      <c r="T153" s="50"/>
      <c r="U153" s="50"/>
      <c r="V153" s="2383"/>
      <c r="W153" s="1268"/>
      <c r="X153" s="779"/>
      <c r="Y153" s="1268"/>
      <c r="Z153" s="779">
        <v>8.33</v>
      </c>
      <c r="AA153" s="1268">
        <v>8.33</v>
      </c>
      <c r="AB153" s="894">
        <v>8.33</v>
      </c>
      <c r="AC153" s="691">
        <v>8.45383975017978</v>
      </c>
      <c r="AD153" s="882">
        <v>7.6821918988181608</v>
      </c>
      <c r="AE153" s="882">
        <v>8.0110213856427208</v>
      </c>
      <c r="AF153" s="253">
        <v>8.0285797341563221</v>
      </c>
      <c r="AG153" s="253">
        <f t="shared" ref="AG153:AG216" si="41">IF(J153&lt;&gt;"",J153,"")</f>
        <v>8.0285797341563221</v>
      </c>
      <c r="DG153" s="543"/>
      <c r="DH153" s="172"/>
      <c r="DI153" s="1020"/>
      <c r="DJ153" s="2045"/>
    </row>
    <row r="154" spans="1:114" ht="14.65" customHeight="1" outlineLevel="1" x14ac:dyDescent="0.25">
      <c r="A154" s="2145"/>
      <c r="C154" s="49"/>
      <c r="D154" s="2400"/>
      <c r="E154" s="2398"/>
      <c r="F154" s="2403" t="str">
        <f t="shared" si="39"/>
        <v>CAC-SEER21+_ER2_SF</v>
      </c>
      <c r="G154" s="2403"/>
      <c r="H154" s="2403"/>
      <c r="I154" s="1268" t="str">
        <f t="shared" si="40"/>
        <v>351190_2024_12_</v>
      </c>
      <c r="J154" s="1517"/>
      <c r="K154" s="53"/>
      <c r="L154" s="1504"/>
      <c r="M154" s="49"/>
      <c r="N154" s="532"/>
      <c r="O154" s="49"/>
      <c r="T154" s="50"/>
      <c r="U154" s="50"/>
      <c r="V154" s="2383"/>
      <c r="W154" s="1268"/>
      <c r="X154" s="1268"/>
      <c r="Y154" s="1268"/>
      <c r="Z154" s="779"/>
      <c r="AA154" s="1268"/>
      <c r="AB154" s="894"/>
      <c r="AC154" s="696"/>
      <c r="AD154" s="696"/>
      <c r="AE154" s="696"/>
      <c r="AF154" s="253" t="s">
        <v>935</v>
      </c>
      <c r="AG154" s="253" t="str">
        <f t="shared" si="41"/>
        <v/>
      </c>
      <c r="DG154" s="543"/>
      <c r="DH154" s="172"/>
      <c r="DI154" s="1020"/>
      <c r="DJ154" s="2045"/>
    </row>
    <row r="155" spans="1:114" ht="14.65" customHeight="1" outlineLevel="1" x14ac:dyDescent="0.25">
      <c r="A155" s="2145"/>
      <c r="C155" s="49"/>
      <c r="D155" s="2400"/>
      <c r="E155" s="2398"/>
      <c r="F155" s="2403" t="str">
        <f t="shared" si="39"/>
        <v>CAC-SEER21+_ROF_SF</v>
      </c>
      <c r="G155" s="2403"/>
      <c r="H155" s="2403"/>
      <c r="I155" s="1268" t="str">
        <f t="shared" si="40"/>
        <v>351191_2024_12_</v>
      </c>
      <c r="J155" s="1517"/>
      <c r="K155" s="53"/>
      <c r="L155" s="1527"/>
      <c r="M155" s="49"/>
      <c r="N155" s="532"/>
      <c r="O155" s="49"/>
      <c r="T155" s="50"/>
      <c r="U155" s="50"/>
      <c r="V155" s="2383"/>
      <c r="W155" s="1268"/>
      <c r="X155" s="1268"/>
      <c r="Y155" s="1268"/>
      <c r="Z155" s="779"/>
      <c r="AA155" s="1268"/>
      <c r="AB155" s="894"/>
      <c r="AC155" s="696"/>
      <c r="AD155" s="696"/>
      <c r="AE155" s="696"/>
      <c r="AF155" s="253" t="s">
        <v>935</v>
      </c>
      <c r="AG155" s="253" t="str">
        <f t="shared" si="41"/>
        <v/>
      </c>
      <c r="DG155" s="543"/>
      <c r="DH155" s="172"/>
      <c r="DI155" s="1020"/>
      <c r="DJ155" s="2045"/>
    </row>
    <row r="156" spans="1:114" ht="14.65" customHeight="1" outlineLevel="1" x14ac:dyDescent="0.25">
      <c r="A156" s="2145"/>
      <c r="C156" s="49"/>
      <c r="D156" s="2401" t="s">
        <v>730</v>
      </c>
      <c r="E156" s="2397" t="s">
        <v>943</v>
      </c>
      <c r="F156" s="2403" t="str">
        <f t="shared" si="39"/>
        <v>CAC-SEER15_ER1_SF</v>
      </c>
      <c r="G156" s="2403"/>
      <c r="H156" s="2403"/>
      <c r="I156" s="871" t="str">
        <f t="shared" si="40"/>
        <v>350600_2024_12_</v>
      </c>
      <c r="J156" s="1458">
        <v>1</v>
      </c>
      <c r="K156" s="1307"/>
      <c r="L156" s="1307"/>
      <c r="M156" s="49"/>
      <c r="N156" s="532"/>
      <c r="O156" s="49"/>
      <c r="T156" s="50"/>
      <c r="U156" s="50"/>
      <c r="V156" s="2415"/>
      <c r="W156" s="196">
        <v>1</v>
      </c>
      <c r="X156" s="196">
        <f t="shared" ref="X156:X161" si="42">W156</f>
        <v>1</v>
      </c>
      <c r="Y156" s="196">
        <v>1</v>
      </c>
      <c r="Z156" s="196">
        <v>1</v>
      </c>
      <c r="AA156" s="196">
        <v>1</v>
      </c>
      <c r="AB156" s="196">
        <v>1</v>
      </c>
      <c r="AC156" s="196">
        <v>1</v>
      </c>
      <c r="AD156" s="196">
        <v>1</v>
      </c>
      <c r="AE156" s="196">
        <v>1</v>
      </c>
      <c r="AF156" s="253">
        <v>1</v>
      </c>
      <c r="AG156" s="253">
        <f t="shared" si="41"/>
        <v>1</v>
      </c>
      <c r="DG156" s="1022"/>
      <c r="DH156" s="172"/>
      <c r="DI156" s="1020"/>
      <c r="DJ156" s="2045"/>
    </row>
    <row r="157" spans="1:114" ht="14.65" customHeight="1" outlineLevel="1" x14ac:dyDescent="0.25">
      <c r="A157" s="2145"/>
      <c r="C157" s="49"/>
      <c r="D157" s="2402"/>
      <c r="E157" s="2398"/>
      <c r="F157" s="2403" t="str">
        <f t="shared" si="39"/>
        <v>CAC-SEER15_ER2_SF</v>
      </c>
      <c r="G157" s="2403"/>
      <c r="H157" s="2403"/>
      <c r="I157" s="871" t="str">
        <f t="shared" si="40"/>
        <v>350600_2024_12_</v>
      </c>
      <c r="J157" s="1458">
        <v>1</v>
      </c>
      <c r="K157" s="1307"/>
      <c r="L157" s="1307"/>
      <c r="M157" s="49"/>
      <c r="N157" s="532"/>
      <c r="O157" s="49"/>
      <c r="T157" s="50"/>
      <c r="U157" s="50"/>
      <c r="V157" s="2415"/>
      <c r="W157" s="196">
        <v>1</v>
      </c>
      <c r="X157" s="196">
        <f t="shared" si="42"/>
        <v>1</v>
      </c>
      <c r="Y157" s="196">
        <v>1</v>
      </c>
      <c r="Z157" s="196">
        <v>1</v>
      </c>
      <c r="AA157" s="196">
        <v>1</v>
      </c>
      <c r="AB157" s="196">
        <v>1</v>
      </c>
      <c r="AC157" s="196">
        <v>1</v>
      </c>
      <c r="AD157" s="196">
        <v>1</v>
      </c>
      <c r="AE157" s="196">
        <v>1</v>
      </c>
      <c r="AF157" s="253">
        <v>1</v>
      </c>
      <c r="AG157" s="253">
        <f t="shared" si="41"/>
        <v>1</v>
      </c>
      <c r="DG157" s="1022"/>
      <c r="DH157" s="172"/>
      <c r="DI157" s="1020"/>
      <c r="DJ157" s="2045"/>
    </row>
    <row r="158" spans="1:114" ht="14.65" customHeight="1" outlineLevel="1" x14ac:dyDescent="0.25">
      <c r="A158" s="2145"/>
      <c r="C158" s="49"/>
      <c r="D158" s="2402"/>
      <c r="E158" s="2398"/>
      <c r="F158" s="2403" t="str">
        <f t="shared" si="39"/>
        <v>CAC-SEER15_ROF_SF</v>
      </c>
      <c r="G158" s="2403"/>
      <c r="H158" s="2403"/>
      <c r="I158" s="871" t="str">
        <f t="shared" si="40"/>
        <v>350650_2024_12_</v>
      </c>
      <c r="J158" s="1458">
        <v>1</v>
      </c>
      <c r="K158" s="1307"/>
      <c r="L158" s="1307"/>
      <c r="M158" s="49"/>
      <c r="N158" s="532"/>
      <c r="O158" s="49"/>
      <c r="T158" s="50"/>
      <c r="U158" s="50"/>
      <c r="V158" s="2415"/>
      <c r="W158" s="196">
        <v>1</v>
      </c>
      <c r="X158" s="196">
        <f t="shared" si="42"/>
        <v>1</v>
      </c>
      <c r="Y158" s="196">
        <v>1</v>
      </c>
      <c r="Z158" s="196">
        <v>1</v>
      </c>
      <c r="AA158" s="196">
        <v>1</v>
      </c>
      <c r="AB158" s="196">
        <v>1</v>
      </c>
      <c r="AC158" s="196">
        <v>1</v>
      </c>
      <c r="AD158" s="196">
        <v>1</v>
      </c>
      <c r="AE158" s="196">
        <v>1</v>
      </c>
      <c r="AF158" s="253">
        <v>1</v>
      </c>
      <c r="AG158" s="253">
        <f t="shared" si="41"/>
        <v>1</v>
      </c>
      <c r="DG158" s="1022"/>
      <c r="DH158" s="172"/>
      <c r="DI158" s="1020"/>
      <c r="DJ158" s="2045"/>
    </row>
    <row r="159" spans="1:114" ht="14.65" customHeight="1" outlineLevel="1" x14ac:dyDescent="0.25">
      <c r="A159" s="2145"/>
      <c r="C159" s="49"/>
      <c r="D159" s="2402"/>
      <c r="E159" s="2398"/>
      <c r="F159" s="2403" t="str">
        <f t="shared" si="39"/>
        <v>CAC-SEER16_ER1_SF</v>
      </c>
      <c r="G159" s="2403"/>
      <c r="H159" s="2403"/>
      <c r="I159" s="871" t="str">
        <f t="shared" si="40"/>
        <v>350800_2024_12_</v>
      </c>
      <c r="J159" s="1458">
        <v>1</v>
      </c>
      <c r="K159" s="1307"/>
      <c r="L159" s="1307"/>
      <c r="M159" s="49"/>
      <c r="N159" s="532"/>
      <c r="O159" s="49"/>
      <c r="T159" s="50"/>
      <c r="U159" s="50"/>
      <c r="V159" s="2415"/>
      <c r="W159" s="196">
        <v>1</v>
      </c>
      <c r="X159" s="196">
        <f t="shared" si="42"/>
        <v>1</v>
      </c>
      <c r="Y159" s="196">
        <v>1</v>
      </c>
      <c r="Z159" s="196">
        <v>1</v>
      </c>
      <c r="AA159" s="196">
        <v>1</v>
      </c>
      <c r="AB159" s="196">
        <v>1</v>
      </c>
      <c r="AC159" s="196">
        <v>1</v>
      </c>
      <c r="AD159" s="196">
        <v>1</v>
      </c>
      <c r="AE159" s="196">
        <v>1</v>
      </c>
      <c r="AF159" s="253">
        <v>1</v>
      </c>
      <c r="AG159" s="253">
        <f t="shared" si="41"/>
        <v>1</v>
      </c>
      <c r="DG159" s="1022"/>
      <c r="DH159" s="172"/>
      <c r="DI159" s="1020"/>
      <c r="DJ159" s="2045"/>
    </row>
    <row r="160" spans="1:114" ht="14.65" customHeight="1" outlineLevel="1" x14ac:dyDescent="0.25">
      <c r="A160" s="2145"/>
      <c r="C160" s="49"/>
      <c r="D160" s="2402"/>
      <c r="E160" s="2398"/>
      <c r="F160" s="2403" t="str">
        <f t="shared" ref="F160:F178" si="43">F137</f>
        <v>CAC-SEER16_ER2_SF</v>
      </c>
      <c r="G160" s="2403"/>
      <c r="H160" s="2403"/>
      <c r="I160" s="871" t="str">
        <f t="shared" ref="I160:I178" si="44">I137</f>
        <v>350800_2024_12_</v>
      </c>
      <c r="J160" s="1458">
        <v>1</v>
      </c>
      <c r="K160" s="1307"/>
      <c r="L160" s="1307"/>
      <c r="M160" s="49"/>
      <c r="N160" s="532"/>
      <c r="O160" s="49"/>
      <c r="T160" s="50"/>
      <c r="U160" s="50"/>
      <c r="V160" s="2415"/>
      <c r="W160" s="196">
        <v>1</v>
      </c>
      <c r="X160" s="196">
        <f t="shared" si="42"/>
        <v>1</v>
      </c>
      <c r="Y160" s="196">
        <v>1</v>
      </c>
      <c r="Z160" s="196">
        <v>1</v>
      </c>
      <c r="AA160" s="196">
        <v>1</v>
      </c>
      <c r="AB160" s="196">
        <v>1</v>
      </c>
      <c r="AC160" s="196">
        <v>1</v>
      </c>
      <c r="AD160" s="196">
        <v>1</v>
      </c>
      <c r="AE160" s="196">
        <v>1</v>
      </c>
      <c r="AF160" s="253">
        <v>1</v>
      </c>
      <c r="AG160" s="253">
        <f t="shared" si="41"/>
        <v>1</v>
      </c>
      <c r="DG160" s="1022"/>
      <c r="DH160" s="172"/>
      <c r="DI160" s="1020"/>
      <c r="DJ160" s="2045"/>
    </row>
    <row r="161" spans="1:114" ht="14.65" customHeight="1" outlineLevel="1" x14ac:dyDescent="0.25">
      <c r="A161" s="2145"/>
      <c r="C161" s="49"/>
      <c r="D161" s="2402"/>
      <c r="E161" s="2398"/>
      <c r="F161" s="2403" t="str">
        <f t="shared" si="43"/>
        <v>CAC-SEER16_ROF_SF</v>
      </c>
      <c r="G161" s="2403"/>
      <c r="H161" s="2403"/>
      <c r="I161" s="871" t="str">
        <f t="shared" si="44"/>
        <v>350850_2024_12_</v>
      </c>
      <c r="J161" s="1458">
        <v>1</v>
      </c>
      <c r="K161" s="1307"/>
      <c r="L161" s="1307"/>
      <c r="M161" s="49"/>
      <c r="N161" s="532"/>
      <c r="O161" s="49"/>
      <c r="T161" s="50"/>
      <c r="U161" s="50"/>
      <c r="V161" s="2415"/>
      <c r="W161" s="196">
        <v>1</v>
      </c>
      <c r="X161" s="196">
        <f t="shared" si="42"/>
        <v>1</v>
      </c>
      <c r="Y161" s="196">
        <v>1</v>
      </c>
      <c r="Z161" s="196">
        <v>1</v>
      </c>
      <c r="AA161" s="196">
        <v>1</v>
      </c>
      <c r="AB161" s="196">
        <v>1</v>
      </c>
      <c r="AC161" s="196">
        <v>1</v>
      </c>
      <c r="AD161" s="196">
        <v>1</v>
      </c>
      <c r="AE161" s="196">
        <v>1</v>
      </c>
      <c r="AF161" s="253">
        <v>1</v>
      </c>
      <c r="AG161" s="253">
        <f t="shared" si="41"/>
        <v>1</v>
      </c>
      <c r="DG161" s="1022"/>
      <c r="DH161" s="172"/>
      <c r="DI161" s="1020"/>
      <c r="DJ161" s="2045"/>
    </row>
    <row r="162" spans="1:114" ht="14.65" customHeight="1" outlineLevel="1" x14ac:dyDescent="0.25">
      <c r="A162" s="2145"/>
      <c r="C162" s="49"/>
      <c r="D162" s="2402"/>
      <c r="E162" s="2398"/>
      <c r="F162" s="2403" t="str">
        <f t="shared" si="43"/>
        <v>CAC-SEER16_ER1_MF</v>
      </c>
      <c r="G162" s="2403"/>
      <c r="H162" s="2403"/>
      <c r="I162" s="871" t="str">
        <f t="shared" si="44"/>
        <v>350900_2024_12_</v>
      </c>
      <c r="J162" s="1458">
        <v>1</v>
      </c>
      <c r="K162" s="1307"/>
      <c r="L162" s="1307"/>
      <c r="M162" s="49"/>
      <c r="N162" s="532"/>
      <c r="O162" s="49"/>
      <c r="T162" s="50"/>
      <c r="U162" s="50"/>
      <c r="V162" s="2415"/>
      <c r="W162" s="196">
        <v>0.65</v>
      </c>
      <c r="X162" s="197">
        <v>1</v>
      </c>
      <c r="Y162" s="196">
        <v>1</v>
      </c>
      <c r="Z162" s="196">
        <v>1</v>
      </c>
      <c r="AA162" s="196">
        <v>1</v>
      </c>
      <c r="AB162" s="196">
        <v>1</v>
      </c>
      <c r="AC162" s="196">
        <v>1</v>
      </c>
      <c r="AD162" s="196">
        <v>1</v>
      </c>
      <c r="AE162" s="196">
        <v>1</v>
      </c>
      <c r="AF162" s="253">
        <v>1</v>
      </c>
      <c r="AG162" s="253">
        <f t="shared" si="41"/>
        <v>1</v>
      </c>
      <c r="DG162" s="1022"/>
      <c r="DH162" s="172"/>
      <c r="DI162" s="1020"/>
      <c r="DJ162" s="2045"/>
    </row>
    <row r="163" spans="1:114" ht="14.65" customHeight="1" outlineLevel="1" x14ac:dyDescent="0.25">
      <c r="A163" s="2145"/>
      <c r="C163" s="49"/>
      <c r="D163" s="2402"/>
      <c r="E163" s="2398"/>
      <c r="F163" s="2403" t="str">
        <f t="shared" si="43"/>
        <v>CAC-SEER16_ER2_MF</v>
      </c>
      <c r="G163" s="2403"/>
      <c r="H163" s="2403"/>
      <c r="I163" s="871" t="str">
        <f t="shared" si="44"/>
        <v>350900_2024_12_</v>
      </c>
      <c r="J163" s="1458">
        <v>1</v>
      </c>
      <c r="K163" s="1307"/>
      <c r="L163" s="1307"/>
      <c r="M163" s="49"/>
      <c r="N163" s="532"/>
      <c r="O163" s="49"/>
      <c r="T163" s="50"/>
      <c r="U163" s="50"/>
      <c r="V163" s="2415"/>
      <c r="W163" s="196">
        <v>0.65</v>
      </c>
      <c r="X163" s="197">
        <v>1</v>
      </c>
      <c r="Y163" s="196">
        <v>1</v>
      </c>
      <c r="Z163" s="196">
        <v>1</v>
      </c>
      <c r="AA163" s="196">
        <v>1</v>
      </c>
      <c r="AB163" s="196">
        <v>1</v>
      </c>
      <c r="AC163" s="196">
        <v>1</v>
      </c>
      <c r="AD163" s="196">
        <v>1</v>
      </c>
      <c r="AE163" s="196">
        <v>1</v>
      </c>
      <c r="AF163" s="253">
        <v>1</v>
      </c>
      <c r="AG163" s="253">
        <f t="shared" si="41"/>
        <v>1</v>
      </c>
      <c r="DG163" s="1022"/>
      <c r="DH163" s="172"/>
      <c r="DI163" s="1020"/>
      <c r="DJ163" s="2045"/>
    </row>
    <row r="164" spans="1:114" ht="14.65" customHeight="1" outlineLevel="1" x14ac:dyDescent="0.25">
      <c r="A164" s="2145"/>
      <c r="C164" s="49"/>
      <c r="D164" s="2402"/>
      <c r="E164" s="2398"/>
      <c r="F164" s="2403" t="str">
        <f t="shared" si="43"/>
        <v>CAC-SEER17_ER1_SF</v>
      </c>
      <c r="G164" s="2403"/>
      <c r="H164" s="2403"/>
      <c r="I164" s="871" t="str">
        <f t="shared" si="44"/>
        <v>351000_2024_12_</v>
      </c>
      <c r="J164" s="1458">
        <v>1</v>
      </c>
      <c r="K164" s="1307"/>
      <c r="L164" s="1307"/>
      <c r="M164" s="49"/>
      <c r="N164" s="532"/>
      <c r="O164" s="49"/>
      <c r="T164" s="50"/>
      <c r="U164" s="50"/>
      <c r="V164" s="2415"/>
      <c r="W164" s="196">
        <v>1</v>
      </c>
      <c r="X164" s="196">
        <f>W164</f>
        <v>1</v>
      </c>
      <c r="Y164" s="196">
        <v>1</v>
      </c>
      <c r="Z164" s="196">
        <v>1</v>
      </c>
      <c r="AA164" s="196">
        <v>1</v>
      </c>
      <c r="AB164" s="196">
        <v>1</v>
      </c>
      <c r="AC164" s="196">
        <v>1</v>
      </c>
      <c r="AD164" s="196">
        <v>1</v>
      </c>
      <c r="AE164" s="196">
        <v>1</v>
      </c>
      <c r="AF164" s="253">
        <v>1</v>
      </c>
      <c r="AG164" s="253">
        <f t="shared" si="41"/>
        <v>1</v>
      </c>
      <c r="DG164" s="1022"/>
      <c r="DH164" s="172"/>
      <c r="DI164" s="1020"/>
      <c r="DJ164" s="2045"/>
    </row>
    <row r="165" spans="1:114" ht="14.65" customHeight="1" outlineLevel="1" x14ac:dyDescent="0.25">
      <c r="A165" s="2145"/>
      <c r="C165" s="49"/>
      <c r="D165" s="2402"/>
      <c r="E165" s="2398"/>
      <c r="F165" s="2403" t="str">
        <f t="shared" si="43"/>
        <v>CAC-SEER17_ER2_SF</v>
      </c>
      <c r="G165" s="2403"/>
      <c r="H165" s="2403"/>
      <c r="I165" s="871" t="str">
        <f t="shared" si="44"/>
        <v>351000_2024_12_</v>
      </c>
      <c r="J165" s="1458">
        <v>1</v>
      </c>
      <c r="K165" s="1307"/>
      <c r="L165" s="1307"/>
      <c r="M165" s="49"/>
      <c r="N165" s="532"/>
      <c r="O165" s="49"/>
      <c r="T165" s="50"/>
      <c r="U165" s="50"/>
      <c r="V165" s="2415"/>
      <c r="W165" s="196">
        <v>1</v>
      </c>
      <c r="X165" s="196">
        <f>W165</f>
        <v>1</v>
      </c>
      <c r="Y165" s="196">
        <v>1</v>
      </c>
      <c r="Z165" s="196">
        <v>1</v>
      </c>
      <c r="AA165" s="196">
        <v>1</v>
      </c>
      <c r="AB165" s="196">
        <v>1</v>
      </c>
      <c r="AC165" s="196">
        <v>1</v>
      </c>
      <c r="AD165" s="196">
        <v>1</v>
      </c>
      <c r="AE165" s="196">
        <v>1</v>
      </c>
      <c r="AF165" s="253">
        <v>1</v>
      </c>
      <c r="AG165" s="253">
        <f t="shared" si="41"/>
        <v>1</v>
      </c>
      <c r="DG165" s="1022"/>
      <c r="DH165" s="172"/>
      <c r="DI165" s="1020"/>
      <c r="DJ165" s="2045"/>
    </row>
    <row r="166" spans="1:114" ht="14.65" customHeight="1" outlineLevel="1" x14ac:dyDescent="0.25">
      <c r="A166" s="2145"/>
      <c r="C166" s="49"/>
      <c r="D166" s="2402"/>
      <c r="E166" s="2398"/>
      <c r="F166" s="2403" t="str">
        <f t="shared" si="43"/>
        <v>CAC-SEER17_ROF_SF</v>
      </c>
      <c r="G166" s="2403"/>
      <c r="H166" s="2403"/>
      <c r="I166" s="871" t="str">
        <f t="shared" si="44"/>
        <v>351050_2024_12_</v>
      </c>
      <c r="J166" s="1458">
        <v>1</v>
      </c>
      <c r="K166" s="1307"/>
      <c r="L166" s="1307"/>
      <c r="M166" s="49"/>
      <c r="N166" s="532"/>
      <c r="O166" s="49"/>
      <c r="T166" s="50"/>
      <c r="U166" s="50"/>
      <c r="V166" s="2415"/>
      <c r="W166" s="196">
        <v>1</v>
      </c>
      <c r="X166" s="196">
        <f>W166</f>
        <v>1</v>
      </c>
      <c r="Y166" s="196">
        <v>1</v>
      </c>
      <c r="Z166" s="196">
        <v>1</v>
      </c>
      <c r="AA166" s="196">
        <v>1</v>
      </c>
      <c r="AB166" s="196">
        <v>1</v>
      </c>
      <c r="AC166" s="196">
        <v>1</v>
      </c>
      <c r="AD166" s="196">
        <v>1</v>
      </c>
      <c r="AE166" s="196">
        <v>1</v>
      </c>
      <c r="AF166" s="253">
        <v>1</v>
      </c>
      <c r="AG166" s="253">
        <f t="shared" si="41"/>
        <v>1</v>
      </c>
      <c r="DG166" s="1022"/>
      <c r="DH166" s="172"/>
      <c r="DI166" s="1020"/>
      <c r="DJ166" s="2045"/>
    </row>
    <row r="167" spans="1:114" ht="14.65" customHeight="1" outlineLevel="1" x14ac:dyDescent="0.25">
      <c r="A167" s="2145"/>
      <c r="C167" s="49"/>
      <c r="D167" s="2402"/>
      <c r="E167" s="2398"/>
      <c r="F167" s="2403" t="str">
        <f t="shared" si="43"/>
        <v>CAC-SEER18_ER1_SF</v>
      </c>
      <c r="G167" s="2403"/>
      <c r="H167" s="2403"/>
      <c r="I167" s="871" t="str">
        <f t="shared" si="44"/>
        <v>351160_2024_12_</v>
      </c>
      <c r="J167" s="1458">
        <v>1</v>
      </c>
      <c r="K167" s="1307"/>
      <c r="L167" s="1307"/>
      <c r="M167" s="49"/>
      <c r="N167" s="532"/>
      <c r="O167" s="49"/>
      <c r="T167" s="50"/>
      <c r="U167" s="50"/>
      <c r="V167" s="2383"/>
      <c r="W167" s="196"/>
      <c r="X167" s="196"/>
      <c r="Y167" s="196"/>
      <c r="Z167" s="197">
        <v>1</v>
      </c>
      <c r="AA167" s="196">
        <v>1</v>
      </c>
      <c r="AB167" s="196">
        <v>1</v>
      </c>
      <c r="AC167" s="196">
        <v>1</v>
      </c>
      <c r="AD167" s="196">
        <v>1</v>
      </c>
      <c r="AE167" s="196">
        <v>1</v>
      </c>
      <c r="AF167" s="253">
        <v>1</v>
      </c>
      <c r="AG167" s="253">
        <f t="shared" si="41"/>
        <v>1</v>
      </c>
      <c r="DG167" s="1022"/>
      <c r="DH167" s="172"/>
      <c r="DI167" s="1020"/>
      <c r="DJ167" s="2045"/>
    </row>
    <row r="168" spans="1:114" ht="14.65" customHeight="1" outlineLevel="1" x14ac:dyDescent="0.25">
      <c r="A168" s="2145"/>
      <c r="C168" s="49"/>
      <c r="D168" s="2402"/>
      <c r="E168" s="2398"/>
      <c r="F168" s="2403" t="str">
        <f t="shared" si="43"/>
        <v>CAC-SEER18_ER2_SF</v>
      </c>
      <c r="G168" s="2403"/>
      <c r="H168" s="2403"/>
      <c r="I168" s="871" t="str">
        <f t="shared" si="44"/>
        <v>351160_2024_12_</v>
      </c>
      <c r="J168" s="1458">
        <v>1</v>
      </c>
      <c r="K168" s="1307"/>
      <c r="L168" s="1307"/>
      <c r="M168" s="49"/>
      <c r="N168" s="532"/>
      <c r="O168" s="49"/>
      <c r="T168" s="50"/>
      <c r="U168" s="50"/>
      <c r="V168" s="2383"/>
      <c r="W168" s="196"/>
      <c r="X168" s="196"/>
      <c r="Y168" s="196"/>
      <c r="Z168" s="197">
        <v>1</v>
      </c>
      <c r="AA168" s="196">
        <v>1</v>
      </c>
      <c r="AB168" s="196">
        <v>1</v>
      </c>
      <c r="AC168" s="196">
        <v>1</v>
      </c>
      <c r="AD168" s="196">
        <v>1</v>
      </c>
      <c r="AE168" s="196">
        <v>1</v>
      </c>
      <c r="AF168" s="253">
        <v>1</v>
      </c>
      <c r="AG168" s="253">
        <f t="shared" si="41"/>
        <v>1</v>
      </c>
      <c r="DG168" s="1022"/>
      <c r="DH168" s="172"/>
      <c r="DI168" s="1020"/>
      <c r="DJ168" s="2045"/>
    </row>
    <row r="169" spans="1:114" ht="14.65" customHeight="1" outlineLevel="1" x14ac:dyDescent="0.25">
      <c r="A169" s="2145"/>
      <c r="C169" s="49"/>
      <c r="D169" s="2402"/>
      <c r="E169" s="2398"/>
      <c r="F169" s="2403" t="str">
        <f t="shared" si="43"/>
        <v>CAC-SEER18_ROF_SF</v>
      </c>
      <c r="G169" s="2403"/>
      <c r="H169" s="2403"/>
      <c r="I169" s="871" t="str">
        <f t="shared" si="44"/>
        <v>351161_2024_12_</v>
      </c>
      <c r="J169" s="1458">
        <v>1</v>
      </c>
      <c r="K169" s="1307"/>
      <c r="L169" s="1307"/>
      <c r="M169" s="49"/>
      <c r="N169" s="532"/>
      <c r="O169" s="49"/>
      <c r="T169" s="50"/>
      <c r="U169" s="50"/>
      <c r="V169" s="2383"/>
      <c r="W169" s="196"/>
      <c r="X169" s="196"/>
      <c r="Y169" s="196"/>
      <c r="Z169" s="197">
        <v>1</v>
      </c>
      <c r="AA169" s="196">
        <v>1</v>
      </c>
      <c r="AB169" s="196">
        <v>1</v>
      </c>
      <c r="AC169" s="196">
        <v>1</v>
      </c>
      <c r="AD169" s="196">
        <v>1</v>
      </c>
      <c r="AE169" s="196">
        <v>1</v>
      </c>
      <c r="AF169" s="253">
        <v>1</v>
      </c>
      <c r="AG169" s="253">
        <f t="shared" si="41"/>
        <v>1</v>
      </c>
      <c r="DG169" s="1022"/>
      <c r="DH169" s="172"/>
      <c r="DI169" s="1020"/>
      <c r="DJ169" s="2045"/>
    </row>
    <row r="170" spans="1:114" ht="14.65" customHeight="1" outlineLevel="1" x14ac:dyDescent="0.25">
      <c r="A170" s="2145"/>
      <c r="C170" s="49"/>
      <c r="D170" s="2402"/>
      <c r="E170" s="2398"/>
      <c r="F170" s="2403" t="str">
        <f t="shared" si="43"/>
        <v>CAC-SEER19_ER1_SF</v>
      </c>
      <c r="G170" s="2403"/>
      <c r="H170" s="2403"/>
      <c r="I170" s="871" t="str">
        <f t="shared" si="44"/>
        <v>351170_2025_12_</v>
      </c>
      <c r="J170" s="1458">
        <v>1</v>
      </c>
      <c r="K170" s="1307"/>
      <c r="L170" s="1307"/>
      <c r="M170" s="49"/>
      <c r="N170" s="532"/>
      <c r="O170" s="49"/>
      <c r="T170" s="50"/>
      <c r="U170" s="50"/>
      <c r="V170" s="2383"/>
      <c r="W170" s="196"/>
      <c r="X170" s="196"/>
      <c r="Y170" s="196"/>
      <c r="Z170" s="197">
        <v>1</v>
      </c>
      <c r="AA170" s="196">
        <v>1</v>
      </c>
      <c r="AB170" s="196">
        <v>1</v>
      </c>
      <c r="AC170" s="196">
        <v>1</v>
      </c>
      <c r="AD170" s="196">
        <v>1</v>
      </c>
      <c r="AE170" s="196">
        <v>1</v>
      </c>
      <c r="AF170" s="253">
        <v>1</v>
      </c>
      <c r="AG170" s="253">
        <f t="shared" si="41"/>
        <v>1</v>
      </c>
      <c r="DG170" s="1022"/>
      <c r="DH170" s="172"/>
      <c r="DI170" s="1020"/>
      <c r="DJ170" s="2045"/>
    </row>
    <row r="171" spans="1:114" ht="14.65" customHeight="1" outlineLevel="1" x14ac:dyDescent="0.25">
      <c r="A171" s="2145"/>
      <c r="C171" s="49"/>
      <c r="D171" s="2402"/>
      <c r="E171" s="2398"/>
      <c r="F171" s="2403" t="str">
        <f t="shared" si="43"/>
        <v>CAC-SEER19_ER2_SF</v>
      </c>
      <c r="G171" s="2403"/>
      <c r="H171" s="2403"/>
      <c r="I171" s="871" t="str">
        <f t="shared" si="44"/>
        <v>351170_2025_12_</v>
      </c>
      <c r="J171" s="1458">
        <v>1</v>
      </c>
      <c r="K171" s="1307"/>
      <c r="L171" s="1307"/>
      <c r="M171" s="49"/>
      <c r="N171" s="532"/>
      <c r="O171" s="49"/>
      <c r="T171" s="50"/>
      <c r="U171" s="50"/>
      <c r="V171" s="2383"/>
      <c r="W171" s="196"/>
      <c r="X171" s="196"/>
      <c r="Y171" s="196"/>
      <c r="Z171" s="197">
        <v>1</v>
      </c>
      <c r="AA171" s="196">
        <v>1</v>
      </c>
      <c r="AB171" s="196">
        <v>1</v>
      </c>
      <c r="AC171" s="196">
        <v>1</v>
      </c>
      <c r="AD171" s="196">
        <v>1</v>
      </c>
      <c r="AE171" s="196">
        <v>1</v>
      </c>
      <c r="AF171" s="253">
        <v>1</v>
      </c>
      <c r="AG171" s="253">
        <f t="shared" si="41"/>
        <v>1</v>
      </c>
      <c r="DG171" s="1022"/>
      <c r="DH171" s="172"/>
      <c r="DI171" s="1020"/>
      <c r="DJ171" s="2045"/>
    </row>
    <row r="172" spans="1:114" ht="14.65" customHeight="1" outlineLevel="1" x14ac:dyDescent="0.25">
      <c r="A172" s="2145"/>
      <c r="C172" s="49"/>
      <c r="D172" s="2402"/>
      <c r="E172" s="2398"/>
      <c r="F172" s="2403" t="str">
        <f t="shared" si="43"/>
        <v>CAC-SEER19_ROF_SF</v>
      </c>
      <c r="G172" s="2403"/>
      <c r="H172" s="2403"/>
      <c r="I172" s="871" t="str">
        <f t="shared" si="44"/>
        <v>351171_2025_12_</v>
      </c>
      <c r="J172" s="1458">
        <v>1</v>
      </c>
      <c r="K172" s="1307"/>
      <c r="L172" s="1307"/>
      <c r="M172" s="49"/>
      <c r="N172" s="532"/>
      <c r="O172" s="49"/>
      <c r="T172" s="50"/>
      <c r="U172" s="50"/>
      <c r="V172" s="2383"/>
      <c r="W172" s="196"/>
      <c r="X172" s="196"/>
      <c r="Y172" s="196"/>
      <c r="Z172" s="197">
        <v>1</v>
      </c>
      <c r="AA172" s="196">
        <v>1</v>
      </c>
      <c r="AB172" s="196">
        <v>1</v>
      </c>
      <c r="AC172" s="196">
        <v>1</v>
      </c>
      <c r="AD172" s="196">
        <v>1</v>
      </c>
      <c r="AE172" s="196">
        <v>1</v>
      </c>
      <c r="AF172" s="253">
        <v>1</v>
      </c>
      <c r="AG172" s="253">
        <f t="shared" si="41"/>
        <v>1</v>
      </c>
      <c r="DG172" s="1022"/>
      <c r="DH172" s="172"/>
      <c r="DI172" s="1020"/>
      <c r="DJ172" s="2045"/>
    </row>
    <row r="173" spans="1:114" ht="14.65" customHeight="1" outlineLevel="1" x14ac:dyDescent="0.25">
      <c r="A173" s="2145"/>
      <c r="C173" s="49"/>
      <c r="D173" s="2402"/>
      <c r="E173" s="2398"/>
      <c r="F173" s="2403" t="str">
        <f t="shared" si="43"/>
        <v>CAC-SEER20_ER1_SF</v>
      </c>
      <c r="G173" s="2403"/>
      <c r="H173" s="2403"/>
      <c r="I173" s="871" t="str">
        <f t="shared" si="44"/>
        <v>351180_2024_12_</v>
      </c>
      <c r="J173" s="1458">
        <v>1</v>
      </c>
      <c r="K173" s="1307"/>
      <c r="L173" s="1307"/>
      <c r="M173" s="49"/>
      <c r="N173" s="532"/>
      <c r="O173" s="49"/>
      <c r="T173" s="50"/>
      <c r="U173" s="50"/>
      <c r="V173" s="2383"/>
      <c r="W173" s="196"/>
      <c r="X173" s="196"/>
      <c r="Y173" s="196"/>
      <c r="Z173" s="197">
        <v>1</v>
      </c>
      <c r="AA173" s="196">
        <v>1</v>
      </c>
      <c r="AB173" s="196">
        <v>1</v>
      </c>
      <c r="AC173" s="196">
        <v>1</v>
      </c>
      <c r="AD173" s="196">
        <v>1</v>
      </c>
      <c r="AE173" s="196">
        <v>1</v>
      </c>
      <c r="AF173" s="253">
        <v>1</v>
      </c>
      <c r="AG173" s="253">
        <f t="shared" si="41"/>
        <v>1</v>
      </c>
      <c r="DG173" s="1022"/>
      <c r="DH173" s="172"/>
      <c r="DI173" s="1020"/>
      <c r="DJ173" s="2045"/>
    </row>
    <row r="174" spans="1:114" ht="14.65" customHeight="1" outlineLevel="1" x14ac:dyDescent="0.25">
      <c r="A174" s="2145"/>
      <c r="C174" s="49"/>
      <c r="D174" s="2402"/>
      <c r="E174" s="2398"/>
      <c r="F174" s="2403" t="str">
        <f t="shared" si="43"/>
        <v>CAC-SEER20_ER2_SF</v>
      </c>
      <c r="G174" s="2403"/>
      <c r="H174" s="2403"/>
      <c r="I174" s="871" t="str">
        <f t="shared" si="44"/>
        <v>351180_2024_12_</v>
      </c>
      <c r="J174" s="1458">
        <v>1</v>
      </c>
      <c r="K174" s="1307"/>
      <c r="L174" s="1307"/>
      <c r="M174" s="49"/>
      <c r="N174" s="532"/>
      <c r="O174" s="49"/>
      <c r="T174" s="50"/>
      <c r="U174" s="50"/>
      <c r="V174" s="2383"/>
      <c r="W174" s="196"/>
      <c r="X174" s="196"/>
      <c r="Y174" s="196"/>
      <c r="Z174" s="197">
        <v>1</v>
      </c>
      <c r="AA174" s="196">
        <v>1</v>
      </c>
      <c r="AB174" s="196">
        <v>1</v>
      </c>
      <c r="AC174" s="196">
        <v>1</v>
      </c>
      <c r="AD174" s="196">
        <v>1</v>
      </c>
      <c r="AE174" s="196">
        <v>1</v>
      </c>
      <c r="AF174" s="253">
        <v>1</v>
      </c>
      <c r="AG174" s="253">
        <f t="shared" si="41"/>
        <v>1</v>
      </c>
      <c r="DG174" s="1022"/>
      <c r="DH174" s="172"/>
      <c r="DI174" s="1020"/>
      <c r="DJ174" s="2045"/>
    </row>
    <row r="175" spans="1:114" ht="14.65" customHeight="1" outlineLevel="1" x14ac:dyDescent="0.25">
      <c r="A175" s="2145"/>
      <c r="C175" s="49"/>
      <c r="D175" s="2402"/>
      <c r="E175" s="2398"/>
      <c r="F175" s="2403" t="str">
        <f t="shared" si="43"/>
        <v>CAC-SEER20_ROF_SF</v>
      </c>
      <c r="G175" s="2403"/>
      <c r="H175" s="2403"/>
      <c r="I175" s="871" t="str">
        <f t="shared" si="44"/>
        <v>351181_2024_12_</v>
      </c>
      <c r="J175" s="1458">
        <v>1</v>
      </c>
      <c r="K175" s="1307"/>
      <c r="L175" s="1307"/>
      <c r="M175" s="49"/>
      <c r="N175" s="532"/>
      <c r="O175" s="49"/>
      <c r="T175" s="50"/>
      <c r="U175" s="50"/>
      <c r="V175" s="2383"/>
      <c r="W175" s="196"/>
      <c r="X175" s="196"/>
      <c r="Y175" s="196"/>
      <c r="Z175" s="197">
        <v>1</v>
      </c>
      <c r="AA175" s="196">
        <v>1</v>
      </c>
      <c r="AB175" s="196">
        <v>1</v>
      </c>
      <c r="AC175" s="196">
        <v>1</v>
      </c>
      <c r="AD175" s="196">
        <v>1</v>
      </c>
      <c r="AE175" s="196">
        <v>1</v>
      </c>
      <c r="AF175" s="253">
        <v>1</v>
      </c>
      <c r="AG175" s="253">
        <f t="shared" si="41"/>
        <v>1</v>
      </c>
      <c r="DG175" s="1022"/>
      <c r="DH175" s="172"/>
      <c r="DI175" s="1020"/>
      <c r="DJ175" s="2045"/>
    </row>
    <row r="176" spans="1:114" ht="14.65" customHeight="1" outlineLevel="1" x14ac:dyDescent="0.25">
      <c r="A176" s="2145"/>
      <c r="C176" s="49"/>
      <c r="D176" s="2402"/>
      <c r="E176" s="2398"/>
      <c r="F176" s="2403" t="str">
        <f t="shared" si="43"/>
        <v>CAC-SEER21+_ER1_SF</v>
      </c>
      <c r="G176" s="2403"/>
      <c r="H176" s="2403"/>
      <c r="I176" s="871" t="str">
        <f t="shared" si="44"/>
        <v>351190_2024_12_</v>
      </c>
      <c r="J176" s="1458">
        <v>1</v>
      </c>
      <c r="K176" s="1307"/>
      <c r="L176" s="1307"/>
      <c r="M176" s="49"/>
      <c r="N176" s="532"/>
      <c r="O176" s="49"/>
      <c r="T176" s="50"/>
      <c r="U176" s="50"/>
      <c r="V176" s="2383"/>
      <c r="W176" s="196"/>
      <c r="X176" s="196"/>
      <c r="Y176" s="196"/>
      <c r="Z176" s="197">
        <v>1</v>
      </c>
      <c r="AA176" s="196">
        <v>1</v>
      </c>
      <c r="AB176" s="196">
        <v>1</v>
      </c>
      <c r="AC176" s="196">
        <v>1</v>
      </c>
      <c r="AD176" s="196">
        <v>1</v>
      </c>
      <c r="AE176" s="196">
        <v>1</v>
      </c>
      <c r="AF176" s="253">
        <v>1</v>
      </c>
      <c r="AG176" s="253">
        <f t="shared" si="41"/>
        <v>1</v>
      </c>
      <c r="DG176" s="1022"/>
      <c r="DH176" s="172"/>
      <c r="DI176" s="1020"/>
      <c r="DJ176" s="2045"/>
    </row>
    <row r="177" spans="1:114" ht="14.65" customHeight="1" outlineLevel="1" x14ac:dyDescent="0.25">
      <c r="A177" s="2145"/>
      <c r="C177" s="49"/>
      <c r="D177" s="2402"/>
      <c r="E177" s="2398"/>
      <c r="F177" s="2403" t="str">
        <f t="shared" si="43"/>
        <v>CAC-SEER21+_ER2_SF</v>
      </c>
      <c r="G177" s="2403"/>
      <c r="H177" s="2403"/>
      <c r="I177" s="871" t="str">
        <f t="shared" si="44"/>
        <v>351190_2024_12_</v>
      </c>
      <c r="J177" s="1458">
        <v>1</v>
      </c>
      <c r="K177" s="1307"/>
      <c r="L177" s="1307"/>
      <c r="M177" s="49"/>
      <c r="N177" s="532"/>
      <c r="O177" s="49"/>
      <c r="T177" s="50"/>
      <c r="U177" s="50"/>
      <c r="V177" s="2383"/>
      <c r="W177" s="196"/>
      <c r="X177" s="196"/>
      <c r="Y177" s="196"/>
      <c r="Z177" s="197">
        <v>1</v>
      </c>
      <c r="AA177" s="196">
        <v>1</v>
      </c>
      <c r="AB177" s="196">
        <v>1</v>
      </c>
      <c r="AC177" s="196">
        <v>1</v>
      </c>
      <c r="AD177" s="196">
        <v>1</v>
      </c>
      <c r="AE177" s="196">
        <v>1</v>
      </c>
      <c r="AF177" s="253">
        <v>1</v>
      </c>
      <c r="AG177" s="253">
        <f t="shared" si="41"/>
        <v>1</v>
      </c>
      <c r="DG177" s="1022"/>
      <c r="DH177" s="172"/>
      <c r="DI177" s="1020"/>
      <c r="DJ177" s="2045"/>
    </row>
    <row r="178" spans="1:114" ht="14.65" customHeight="1" outlineLevel="1" x14ac:dyDescent="0.25">
      <c r="A178" s="2145"/>
      <c r="C178" s="49"/>
      <c r="D178" s="2402"/>
      <c r="E178" s="2398"/>
      <c r="F178" s="2403" t="str">
        <f t="shared" si="43"/>
        <v>CAC-SEER21+_ROF_SF</v>
      </c>
      <c r="G178" s="2403"/>
      <c r="H178" s="2403"/>
      <c r="I178" s="871" t="str">
        <f t="shared" si="44"/>
        <v>351191_2024_12_</v>
      </c>
      <c r="J178" s="1458">
        <v>1</v>
      </c>
      <c r="K178" s="1307"/>
      <c r="L178" s="1307"/>
      <c r="M178" s="49"/>
      <c r="N178" s="532"/>
      <c r="O178" s="49"/>
      <c r="T178" s="50"/>
      <c r="U178" s="50"/>
      <c r="V178" s="2383"/>
      <c r="W178" s="196"/>
      <c r="X178" s="196"/>
      <c r="Y178" s="196"/>
      <c r="Z178" s="197">
        <v>1</v>
      </c>
      <c r="AA178" s="196">
        <v>1</v>
      </c>
      <c r="AB178" s="196">
        <v>1</v>
      </c>
      <c r="AC178" s="196">
        <v>1</v>
      </c>
      <c r="AD178" s="196">
        <v>1</v>
      </c>
      <c r="AE178" s="196">
        <v>1</v>
      </c>
      <c r="AF178" s="253">
        <v>1</v>
      </c>
      <c r="AG178" s="253">
        <f t="shared" si="41"/>
        <v>1</v>
      </c>
      <c r="DG178" s="1022"/>
      <c r="DH178" s="172"/>
      <c r="DI178" s="1020"/>
      <c r="DJ178" s="2045"/>
    </row>
    <row r="179" spans="1:114" outlineLevel="1" x14ac:dyDescent="0.25">
      <c r="A179" s="2145"/>
      <c r="C179" s="49"/>
      <c r="D179" s="1248" t="s">
        <v>105</v>
      </c>
      <c r="E179" s="1248" t="s">
        <v>944</v>
      </c>
      <c r="F179" s="2431" t="s">
        <v>742</v>
      </c>
      <c r="G179" s="2431"/>
      <c r="H179" s="2431"/>
      <c r="I179" s="1519" t="s">
        <v>742</v>
      </c>
      <c r="J179" s="1446">
        <v>0.998</v>
      </c>
      <c r="K179" s="1249"/>
      <c r="L179" s="1282" t="s">
        <v>945</v>
      </c>
      <c r="M179" s="49"/>
      <c r="N179" s="532"/>
      <c r="O179" s="49"/>
      <c r="T179" s="50"/>
      <c r="U179" s="50"/>
      <c r="V179" s="1248" t="s">
        <v>105</v>
      </c>
      <c r="W179" s="196"/>
      <c r="X179" s="197"/>
      <c r="Y179" s="196"/>
      <c r="Z179" s="197"/>
      <c r="AA179" s="196"/>
      <c r="AB179" s="197">
        <v>1</v>
      </c>
      <c r="AC179" s="1573">
        <v>0.998</v>
      </c>
      <c r="AD179" s="1528">
        <v>0.998</v>
      </c>
      <c r="AE179" s="1528">
        <v>0.998</v>
      </c>
      <c r="AF179" s="253">
        <v>0.998</v>
      </c>
      <c r="AG179" s="253">
        <f t="shared" si="41"/>
        <v>0.998</v>
      </c>
      <c r="DG179" s="1022"/>
      <c r="DH179" s="172"/>
      <c r="DI179" s="1020"/>
      <c r="DJ179" s="2045"/>
    </row>
    <row r="180" spans="1:114" ht="14.65" customHeight="1" outlineLevel="1" x14ac:dyDescent="0.25">
      <c r="A180" s="2145"/>
      <c r="C180" s="49"/>
      <c r="D180" s="2397" t="s">
        <v>50</v>
      </c>
      <c r="E180" s="2397" t="s">
        <v>50</v>
      </c>
      <c r="F180" s="2405" t="str">
        <f t="shared" ref="F180:F202" si="45">F156</f>
        <v>CAC-SEER15_ER1_SF</v>
      </c>
      <c r="G180" s="2405"/>
      <c r="H180" s="2405"/>
      <c r="I180" s="871" t="str">
        <f t="shared" ref="I180:I202" si="46">I156</f>
        <v>350600_2024_12_</v>
      </c>
      <c r="J180" s="1535">
        <v>6</v>
      </c>
      <c r="K180" s="1307"/>
      <c r="L180" s="2418" t="s">
        <v>946</v>
      </c>
      <c r="M180" s="49"/>
      <c r="N180" s="532"/>
      <c r="O180" s="49"/>
      <c r="T180" s="50"/>
      <c r="U180" s="50"/>
      <c r="V180" s="2415"/>
      <c r="W180" s="199">
        <v>6</v>
      </c>
      <c r="X180" s="199">
        <v>6</v>
      </c>
      <c r="Y180" s="199">
        <v>6</v>
      </c>
      <c r="Z180" s="199">
        <v>6</v>
      </c>
      <c r="AA180" s="199">
        <v>6</v>
      </c>
      <c r="AB180" s="199">
        <v>6</v>
      </c>
      <c r="AC180" s="895">
        <v>6</v>
      </c>
      <c r="AD180" s="872">
        <v>6</v>
      </c>
      <c r="AE180" s="872">
        <v>6</v>
      </c>
      <c r="AF180" s="253">
        <v>6</v>
      </c>
      <c r="AG180" s="253">
        <f t="shared" si="41"/>
        <v>6</v>
      </c>
      <c r="DG180" s="1022"/>
      <c r="DH180" s="172"/>
      <c r="DI180" s="1020"/>
      <c r="DJ180" s="2045"/>
    </row>
    <row r="181" spans="1:114" ht="14.65" customHeight="1" outlineLevel="1" x14ac:dyDescent="0.25">
      <c r="A181" s="2145"/>
      <c r="C181" s="49"/>
      <c r="D181" s="2398"/>
      <c r="E181" s="2398"/>
      <c r="F181" s="2405" t="str">
        <f t="shared" si="45"/>
        <v>CAC-SEER15_ER2_SF</v>
      </c>
      <c r="G181" s="2405"/>
      <c r="H181" s="2405"/>
      <c r="I181" s="871" t="str">
        <f t="shared" si="46"/>
        <v>350600_2024_12_</v>
      </c>
      <c r="J181" s="1535">
        <v>12</v>
      </c>
      <c r="K181" s="1307"/>
      <c r="L181" s="2418"/>
      <c r="M181" s="49"/>
      <c r="N181" s="532"/>
      <c r="O181" s="49"/>
      <c r="T181" s="50"/>
      <c r="U181" s="50"/>
      <c r="V181" s="2415"/>
      <c r="W181" s="199">
        <v>12</v>
      </c>
      <c r="X181" s="199">
        <v>12</v>
      </c>
      <c r="Y181" s="199">
        <v>12</v>
      </c>
      <c r="Z181" s="199">
        <v>12</v>
      </c>
      <c r="AA181" s="199">
        <v>12</v>
      </c>
      <c r="AB181" s="199">
        <v>12</v>
      </c>
      <c r="AC181" s="895">
        <v>12</v>
      </c>
      <c r="AD181" s="872">
        <v>12</v>
      </c>
      <c r="AE181" s="872">
        <v>12</v>
      </c>
      <c r="AF181" s="253">
        <v>12</v>
      </c>
      <c r="AG181" s="253">
        <f t="shared" si="41"/>
        <v>12</v>
      </c>
      <c r="DG181" s="1022"/>
      <c r="DH181" s="172"/>
      <c r="DI181" s="1020"/>
      <c r="DJ181" s="2045"/>
    </row>
    <row r="182" spans="1:114" ht="14.65" customHeight="1" outlineLevel="1" x14ac:dyDescent="0.25">
      <c r="A182" s="2145"/>
      <c r="C182" s="49"/>
      <c r="D182" s="2398"/>
      <c r="E182" s="2398"/>
      <c r="F182" s="2405" t="str">
        <f t="shared" si="45"/>
        <v>CAC-SEER15_ROF_SF</v>
      </c>
      <c r="G182" s="2405"/>
      <c r="H182" s="2405"/>
      <c r="I182" s="871" t="str">
        <f t="shared" si="46"/>
        <v>350650_2024_12_</v>
      </c>
      <c r="J182" s="1535">
        <v>18</v>
      </c>
      <c r="K182" s="1307"/>
      <c r="L182" s="2418"/>
      <c r="M182" s="49"/>
      <c r="N182" s="532"/>
      <c r="O182" s="49"/>
      <c r="T182" s="50"/>
      <c r="U182" s="50"/>
      <c r="V182" s="2415"/>
      <c r="W182" s="199">
        <v>18</v>
      </c>
      <c r="X182" s="199">
        <v>18</v>
      </c>
      <c r="Y182" s="199">
        <v>18</v>
      </c>
      <c r="Z182" s="199">
        <v>18</v>
      </c>
      <c r="AA182" s="199">
        <v>18</v>
      </c>
      <c r="AB182" s="199">
        <v>18</v>
      </c>
      <c r="AC182" s="895">
        <v>18</v>
      </c>
      <c r="AD182" s="872">
        <v>18</v>
      </c>
      <c r="AE182" s="872">
        <v>18</v>
      </c>
      <c r="AF182" s="253">
        <v>18</v>
      </c>
      <c r="AG182" s="253">
        <f t="shared" si="41"/>
        <v>18</v>
      </c>
      <c r="DG182" s="1022"/>
      <c r="DH182" s="172"/>
      <c r="DI182" s="1020"/>
      <c r="DJ182" s="2045"/>
    </row>
    <row r="183" spans="1:114" ht="14.65" customHeight="1" outlineLevel="1" x14ac:dyDescent="0.25">
      <c r="A183" s="2145"/>
      <c r="C183" s="49"/>
      <c r="D183" s="2398"/>
      <c r="E183" s="2398"/>
      <c r="F183" s="2405" t="str">
        <f t="shared" si="45"/>
        <v>CAC-SEER16_ER1_SF</v>
      </c>
      <c r="G183" s="2405"/>
      <c r="H183" s="2405"/>
      <c r="I183" s="871" t="str">
        <f t="shared" si="46"/>
        <v>350800_2024_12_</v>
      </c>
      <c r="J183" s="1535">
        <v>6</v>
      </c>
      <c r="K183" s="1307"/>
      <c r="L183" s="2418"/>
      <c r="M183" s="49"/>
      <c r="N183" s="532"/>
      <c r="O183" s="49"/>
      <c r="T183" s="50"/>
      <c r="U183" s="50"/>
      <c r="V183" s="2415"/>
      <c r="W183" s="199">
        <v>6</v>
      </c>
      <c r="X183" s="199">
        <v>6</v>
      </c>
      <c r="Y183" s="199">
        <v>6</v>
      </c>
      <c r="Z183" s="199">
        <v>6</v>
      </c>
      <c r="AA183" s="199">
        <v>6</v>
      </c>
      <c r="AB183" s="199">
        <v>6</v>
      </c>
      <c r="AC183" s="895">
        <v>6</v>
      </c>
      <c r="AD183" s="872">
        <v>6</v>
      </c>
      <c r="AE183" s="872">
        <v>6</v>
      </c>
      <c r="AF183" s="253">
        <v>6</v>
      </c>
      <c r="AG183" s="253">
        <f t="shared" si="41"/>
        <v>6</v>
      </c>
      <c r="DG183" s="1022"/>
      <c r="DH183" s="172"/>
      <c r="DI183" s="1020"/>
      <c r="DJ183" s="2045"/>
    </row>
    <row r="184" spans="1:114" ht="14.65" customHeight="1" outlineLevel="1" x14ac:dyDescent="0.25">
      <c r="A184" s="2145"/>
      <c r="C184" s="49"/>
      <c r="D184" s="2398"/>
      <c r="E184" s="2398"/>
      <c r="F184" s="2405" t="str">
        <f t="shared" si="45"/>
        <v>CAC-SEER16_ER2_SF</v>
      </c>
      <c r="G184" s="2405"/>
      <c r="H184" s="2405"/>
      <c r="I184" s="871" t="str">
        <f t="shared" si="46"/>
        <v>350800_2024_12_</v>
      </c>
      <c r="J184" s="1535">
        <v>12</v>
      </c>
      <c r="K184" s="1307"/>
      <c r="L184" s="2418"/>
      <c r="M184" s="49"/>
      <c r="N184" s="532"/>
      <c r="O184" s="49"/>
      <c r="T184" s="50"/>
      <c r="U184" s="50"/>
      <c r="V184" s="2415"/>
      <c r="W184" s="199">
        <v>12</v>
      </c>
      <c r="X184" s="199">
        <v>12</v>
      </c>
      <c r="Y184" s="199">
        <v>12</v>
      </c>
      <c r="Z184" s="199">
        <v>12</v>
      </c>
      <c r="AA184" s="199">
        <v>12</v>
      </c>
      <c r="AB184" s="199">
        <v>12</v>
      </c>
      <c r="AC184" s="895">
        <v>12</v>
      </c>
      <c r="AD184" s="872">
        <v>12</v>
      </c>
      <c r="AE184" s="872">
        <v>12</v>
      </c>
      <c r="AF184" s="253">
        <v>12</v>
      </c>
      <c r="AG184" s="253">
        <f t="shared" si="41"/>
        <v>12</v>
      </c>
      <c r="DG184" s="1022"/>
      <c r="DH184" s="172"/>
      <c r="DI184" s="1020"/>
      <c r="DJ184" s="2045"/>
    </row>
    <row r="185" spans="1:114" ht="14.65" customHeight="1" outlineLevel="1" x14ac:dyDescent="0.25">
      <c r="A185" s="2145"/>
      <c r="C185" s="49"/>
      <c r="D185" s="2398"/>
      <c r="E185" s="2398"/>
      <c r="F185" s="2405" t="str">
        <f t="shared" si="45"/>
        <v>CAC-SEER16_ROF_SF</v>
      </c>
      <c r="G185" s="2405"/>
      <c r="H185" s="2405"/>
      <c r="I185" s="871" t="str">
        <f t="shared" si="46"/>
        <v>350850_2024_12_</v>
      </c>
      <c r="J185" s="1535">
        <v>18</v>
      </c>
      <c r="K185" s="1307"/>
      <c r="L185" s="2418"/>
      <c r="M185" s="49"/>
      <c r="N185" s="532"/>
      <c r="O185" s="49"/>
      <c r="T185" s="50"/>
      <c r="U185" s="50"/>
      <c r="V185" s="2415"/>
      <c r="W185" s="199">
        <v>18</v>
      </c>
      <c r="X185" s="199">
        <v>18</v>
      </c>
      <c r="Y185" s="199">
        <v>18</v>
      </c>
      <c r="Z185" s="199">
        <v>18</v>
      </c>
      <c r="AA185" s="199">
        <v>18</v>
      </c>
      <c r="AB185" s="199">
        <v>18</v>
      </c>
      <c r="AC185" s="895">
        <v>18</v>
      </c>
      <c r="AD185" s="872">
        <v>18</v>
      </c>
      <c r="AE185" s="872">
        <v>18</v>
      </c>
      <c r="AF185" s="253">
        <v>18</v>
      </c>
      <c r="AG185" s="253">
        <f t="shared" si="41"/>
        <v>18</v>
      </c>
      <c r="DG185" s="1022"/>
      <c r="DH185" s="172"/>
      <c r="DI185" s="1020"/>
      <c r="DJ185" s="2045"/>
    </row>
    <row r="186" spans="1:114" ht="14.65" customHeight="1" outlineLevel="1" x14ac:dyDescent="0.25">
      <c r="A186" s="2145"/>
      <c r="C186" s="49"/>
      <c r="D186" s="2398"/>
      <c r="E186" s="2398"/>
      <c r="F186" s="2405" t="str">
        <f t="shared" si="45"/>
        <v>CAC-SEER16_ER1_MF</v>
      </c>
      <c r="G186" s="2405"/>
      <c r="H186" s="2405"/>
      <c r="I186" s="871" t="str">
        <f t="shared" si="46"/>
        <v>350900_2024_12_</v>
      </c>
      <c r="J186" s="1535">
        <v>6</v>
      </c>
      <c r="K186" s="1307"/>
      <c r="L186" s="2418"/>
      <c r="M186" s="49"/>
      <c r="N186" s="532"/>
      <c r="O186" s="49"/>
      <c r="T186" s="50"/>
      <c r="U186" s="50"/>
      <c r="V186" s="2415"/>
      <c r="W186" s="199">
        <v>6</v>
      </c>
      <c r="X186" s="199">
        <v>6</v>
      </c>
      <c r="Y186" s="199">
        <v>6</v>
      </c>
      <c r="Z186" s="199">
        <v>6</v>
      </c>
      <c r="AA186" s="199">
        <v>6</v>
      </c>
      <c r="AB186" s="199">
        <v>6</v>
      </c>
      <c r="AC186" s="895">
        <v>6</v>
      </c>
      <c r="AD186" s="872">
        <v>6</v>
      </c>
      <c r="AE186" s="872">
        <v>6</v>
      </c>
      <c r="AF186" s="253">
        <v>6</v>
      </c>
      <c r="AG186" s="253">
        <f t="shared" si="41"/>
        <v>6</v>
      </c>
      <c r="DG186" s="1022"/>
      <c r="DH186" s="172"/>
      <c r="DI186" s="1020"/>
      <c r="DJ186" s="2045"/>
    </row>
    <row r="187" spans="1:114" ht="14.65" customHeight="1" outlineLevel="1" x14ac:dyDescent="0.25">
      <c r="A187" s="2145"/>
      <c r="C187" s="49"/>
      <c r="D187" s="2398"/>
      <c r="E187" s="2398"/>
      <c r="F187" s="2405" t="str">
        <f t="shared" si="45"/>
        <v>CAC-SEER16_ER2_MF</v>
      </c>
      <c r="G187" s="2405"/>
      <c r="H187" s="2405"/>
      <c r="I187" s="871" t="str">
        <f t="shared" si="46"/>
        <v>350900_2024_12_</v>
      </c>
      <c r="J187" s="1535">
        <v>12</v>
      </c>
      <c r="K187" s="1307"/>
      <c r="L187" s="2418"/>
      <c r="M187" s="49"/>
      <c r="N187" s="532"/>
      <c r="O187" s="49"/>
      <c r="T187" s="50"/>
      <c r="U187" s="50"/>
      <c r="V187" s="2415"/>
      <c r="W187" s="199">
        <v>12</v>
      </c>
      <c r="X187" s="199">
        <v>12</v>
      </c>
      <c r="Y187" s="199">
        <v>12</v>
      </c>
      <c r="Z187" s="199">
        <v>12</v>
      </c>
      <c r="AA187" s="199">
        <v>12</v>
      </c>
      <c r="AB187" s="199">
        <v>12</v>
      </c>
      <c r="AC187" s="895">
        <v>12</v>
      </c>
      <c r="AD187" s="872">
        <v>12</v>
      </c>
      <c r="AE187" s="872">
        <v>12</v>
      </c>
      <c r="AF187" s="253">
        <v>12</v>
      </c>
      <c r="AG187" s="253">
        <f t="shared" si="41"/>
        <v>12</v>
      </c>
      <c r="DG187" s="1022"/>
      <c r="DH187" s="172"/>
      <c r="DI187" s="1020"/>
      <c r="DJ187" s="2045"/>
    </row>
    <row r="188" spans="1:114" ht="14.65" customHeight="1" outlineLevel="1" x14ac:dyDescent="0.25">
      <c r="A188" s="2145"/>
      <c r="C188" s="49"/>
      <c r="D188" s="2398"/>
      <c r="E188" s="2398"/>
      <c r="F188" s="2405" t="str">
        <f t="shared" si="45"/>
        <v>CAC-SEER17_ER1_SF</v>
      </c>
      <c r="G188" s="2405"/>
      <c r="H188" s="2405"/>
      <c r="I188" s="871" t="str">
        <f t="shared" si="46"/>
        <v>351000_2024_12_</v>
      </c>
      <c r="J188" s="1535">
        <v>6</v>
      </c>
      <c r="K188" s="1307"/>
      <c r="L188" s="2418"/>
      <c r="M188" s="49"/>
      <c r="N188" s="532"/>
      <c r="O188" s="49"/>
      <c r="T188" s="50"/>
      <c r="U188" s="50"/>
      <c r="V188" s="2415"/>
      <c r="W188" s="199">
        <v>6</v>
      </c>
      <c r="X188" s="199">
        <v>6</v>
      </c>
      <c r="Y188" s="199">
        <v>6</v>
      </c>
      <c r="Z188" s="199">
        <v>6</v>
      </c>
      <c r="AA188" s="199">
        <v>6</v>
      </c>
      <c r="AB188" s="199">
        <v>6</v>
      </c>
      <c r="AC188" s="895">
        <v>6</v>
      </c>
      <c r="AD188" s="872">
        <v>6</v>
      </c>
      <c r="AE188" s="872">
        <v>6</v>
      </c>
      <c r="AF188" s="253">
        <v>6</v>
      </c>
      <c r="AG188" s="253">
        <f t="shared" si="41"/>
        <v>6</v>
      </c>
      <c r="DG188" s="1022"/>
      <c r="DH188" s="172"/>
      <c r="DI188" s="1020"/>
      <c r="DJ188" s="2045"/>
    </row>
    <row r="189" spans="1:114" ht="14.65" customHeight="1" outlineLevel="1" x14ac:dyDescent="0.25">
      <c r="A189" s="2145"/>
      <c r="C189" s="49"/>
      <c r="D189" s="2398"/>
      <c r="E189" s="2398"/>
      <c r="F189" s="2405" t="str">
        <f t="shared" si="45"/>
        <v>CAC-SEER17_ER2_SF</v>
      </c>
      <c r="G189" s="2405"/>
      <c r="H189" s="2405"/>
      <c r="I189" s="871" t="str">
        <f t="shared" si="46"/>
        <v>351000_2024_12_</v>
      </c>
      <c r="J189" s="1535">
        <v>12</v>
      </c>
      <c r="K189" s="1307"/>
      <c r="L189" s="2418"/>
      <c r="M189" s="49"/>
      <c r="N189" s="532"/>
      <c r="O189" s="49"/>
      <c r="T189" s="50"/>
      <c r="U189" s="50"/>
      <c r="V189" s="2415"/>
      <c r="W189" s="199">
        <v>12</v>
      </c>
      <c r="X189" s="199">
        <v>12</v>
      </c>
      <c r="Y189" s="199">
        <v>12</v>
      </c>
      <c r="Z189" s="199">
        <v>12</v>
      </c>
      <c r="AA189" s="199">
        <v>12</v>
      </c>
      <c r="AB189" s="199">
        <v>12</v>
      </c>
      <c r="AC189" s="895">
        <v>12</v>
      </c>
      <c r="AD189" s="872">
        <v>12</v>
      </c>
      <c r="AE189" s="872">
        <v>12</v>
      </c>
      <c r="AF189" s="253">
        <v>12</v>
      </c>
      <c r="AG189" s="253">
        <f t="shared" si="41"/>
        <v>12</v>
      </c>
      <c r="DG189" s="1022"/>
      <c r="DH189" s="172"/>
      <c r="DI189" s="1020"/>
      <c r="DJ189" s="2045"/>
    </row>
    <row r="190" spans="1:114" ht="14.65" customHeight="1" outlineLevel="1" x14ac:dyDescent="0.25">
      <c r="A190" s="2145"/>
      <c r="C190" s="49"/>
      <c r="D190" s="2398"/>
      <c r="E190" s="2398"/>
      <c r="F190" s="2405" t="str">
        <f t="shared" si="45"/>
        <v>CAC-SEER17_ROF_SF</v>
      </c>
      <c r="G190" s="2405"/>
      <c r="H190" s="2405"/>
      <c r="I190" s="871" t="str">
        <f t="shared" si="46"/>
        <v>351050_2024_12_</v>
      </c>
      <c r="J190" s="1535">
        <v>18</v>
      </c>
      <c r="K190" s="1307"/>
      <c r="L190" s="2418"/>
      <c r="M190" s="49"/>
      <c r="N190" s="532"/>
      <c r="O190" s="49"/>
      <c r="T190" s="50"/>
      <c r="U190" s="50"/>
      <c r="V190" s="2415"/>
      <c r="W190" s="199">
        <v>18</v>
      </c>
      <c r="X190" s="199">
        <v>18</v>
      </c>
      <c r="Y190" s="199">
        <v>18</v>
      </c>
      <c r="Z190" s="199">
        <v>18</v>
      </c>
      <c r="AA190" s="199">
        <v>18</v>
      </c>
      <c r="AB190" s="199">
        <v>18</v>
      </c>
      <c r="AC190" s="895">
        <v>18</v>
      </c>
      <c r="AD190" s="872">
        <v>18</v>
      </c>
      <c r="AE190" s="872">
        <v>18</v>
      </c>
      <c r="AF190" s="253">
        <v>18</v>
      </c>
      <c r="AG190" s="253">
        <f t="shared" si="41"/>
        <v>18</v>
      </c>
      <c r="DG190" s="1022"/>
      <c r="DH190" s="172"/>
      <c r="DI190" s="1020"/>
      <c r="DJ190" s="2045"/>
    </row>
    <row r="191" spans="1:114" ht="14.65" customHeight="1" outlineLevel="1" x14ac:dyDescent="0.25">
      <c r="A191" s="2145"/>
      <c r="C191" s="49"/>
      <c r="D191" s="2398"/>
      <c r="E191" s="2398"/>
      <c r="F191" s="2405" t="str">
        <f t="shared" si="45"/>
        <v>CAC-SEER18_ER1_SF</v>
      </c>
      <c r="G191" s="2405"/>
      <c r="H191" s="2405"/>
      <c r="I191" s="871" t="str">
        <f t="shared" si="46"/>
        <v>351160_2024_12_</v>
      </c>
      <c r="J191" s="1535">
        <v>6</v>
      </c>
      <c r="K191" s="1307"/>
      <c r="L191" s="2418"/>
      <c r="M191" s="49"/>
      <c r="N191" s="532"/>
      <c r="O191" s="49"/>
      <c r="T191" s="50"/>
      <c r="U191" s="50"/>
      <c r="V191" s="2383"/>
      <c r="W191" s="199"/>
      <c r="X191" s="199"/>
      <c r="Y191" s="199"/>
      <c r="Z191" s="200">
        <v>6</v>
      </c>
      <c r="AA191" s="199">
        <v>6</v>
      </c>
      <c r="AB191" s="199">
        <v>6</v>
      </c>
      <c r="AC191" s="895">
        <v>6</v>
      </c>
      <c r="AD191" s="872">
        <v>6</v>
      </c>
      <c r="AE191" s="872">
        <v>6</v>
      </c>
      <c r="AF191" s="253">
        <v>6</v>
      </c>
      <c r="AG191" s="253">
        <f t="shared" si="41"/>
        <v>6</v>
      </c>
      <c r="DG191" s="1022"/>
      <c r="DH191" s="172"/>
      <c r="DI191" s="1020"/>
      <c r="DJ191" s="2045"/>
    </row>
    <row r="192" spans="1:114" ht="14.65" customHeight="1" outlineLevel="1" x14ac:dyDescent="0.25">
      <c r="A192" s="2145"/>
      <c r="C192" s="49"/>
      <c r="D192" s="2398"/>
      <c r="E192" s="2398"/>
      <c r="F192" s="2405" t="str">
        <f t="shared" si="45"/>
        <v>CAC-SEER18_ER2_SF</v>
      </c>
      <c r="G192" s="2405"/>
      <c r="H192" s="2405"/>
      <c r="I192" s="871" t="str">
        <f t="shared" si="46"/>
        <v>351160_2024_12_</v>
      </c>
      <c r="J192" s="1535">
        <v>12</v>
      </c>
      <c r="K192" s="1307"/>
      <c r="L192" s="2418"/>
      <c r="M192" s="49"/>
      <c r="N192" s="532"/>
      <c r="O192" s="49"/>
      <c r="T192" s="50"/>
      <c r="U192" s="50"/>
      <c r="V192" s="2383"/>
      <c r="W192" s="199"/>
      <c r="X192" s="199"/>
      <c r="Y192" s="199"/>
      <c r="Z192" s="200">
        <v>12</v>
      </c>
      <c r="AA192" s="199">
        <v>12</v>
      </c>
      <c r="AB192" s="199">
        <v>12</v>
      </c>
      <c r="AC192" s="895">
        <v>12</v>
      </c>
      <c r="AD192" s="872">
        <v>12</v>
      </c>
      <c r="AE192" s="872">
        <v>12</v>
      </c>
      <c r="AF192" s="253">
        <v>12</v>
      </c>
      <c r="AG192" s="253">
        <f t="shared" si="41"/>
        <v>12</v>
      </c>
      <c r="DG192" s="1022"/>
      <c r="DH192" s="172"/>
      <c r="DI192" s="1020"/>
      <c r="DJ192" s="2045"/>
    </row>
    <row r="193" spans="1:114" ht="14.65" customHeight="1" outlineLevel="1" x14ac:dyDescent="0.25">
      <c r="A193" s="2145"/>
      <c r="C193" s="49"/>
      <c r="D193" s="2398"/>
      <c r="E193" s="2398"/>
      <c r="F193" s="2405" t="str">
        <f t="shared" si="45"/>
        <v>CAC-SEER18_ROF_SF</v>
      </c>
      <c r="G193" s="2405"/>
      <c r="H193" s="2405"/>
      <c r="I193" s="871" t="str">
        <f t="shared" si="46"/>
        <v>351161_2024_12_</v>
      </c>
      <c r="J193" s="1535">
        <v>18</v>
      </c>
      <c r="K193" s="1307"/>
      <c r="L193" s="2418"/>
      <c r="M193" s="49"/>
      <c r="N193" s="532"/>
      <c r="O193" s="49"/>
      <c r="T193" s="50"/>
      <c r="U193" s="50"/>
      <c r="V193" s="2383"/>
      <c r="W193" s="199"/>
      <c r="X193" s="199"/>
      <c r="Y193" s="199"/>
      <c r="Z193" s="200">
        <v>18</v>
      </c>
      <c r="AA193" s="199">
        <v>18</v>
      </c>
      <c r="AB193" s="199">
        <v>18</v>
      </c>
      <c r="AC193" s="895">
        <v>18</v>
      </c>
      <c r="AD193" s="872">
        <v>18</v>
      </c>
      <c r="AE193" s="872">
        <v>18</v>
      </c>
      <c r="AF193" s="253">
        <v>18</v>
      </c>
      <c r="AG193" s="253">
        <f t="shared" si="41"/>
        <v>18</v>
      </c>
      <c r="DG193" s="1022"/>
      <c r="DH193" s="172"/>
      <c r="DI193" s="1020"/>
      <c r="DJ193" s="2045"/>
    </row>
    <row r="194" spans="1:114" ht="14.65" customHeight="1" outlineLevel="1" x14ac:dyDescent="0.25">
      <c r="A194" s="2145"/>
      <c r="C194" s="49"/>
      <c r="D194" s="2398"/>
      <c r="E194" s="2398"/>
      <c r="F194" s="2405" t="str">
        <f t="shared" si="45"/>
        <v>CAC-SEER19_ER1_SF</v>
      </c>
      <c r="G194" s="2405"/>
      <c r="H194" s="2405"/>
      <c r="I194" s="871" t="str">
        <f t="shared" si="46"/>
        <v>351170_2025_12_</v>
      </c>
      <c r="J194" s="1535">
        <v>6</v>
      </c>
      <c r="K194" s="1307"/>
      <c r="L194" s="2418"/>
      <c r="M194" s="49"/>
      <c r="N194" s="532"/>
      <c r="O194" s="49"/>
      <c r="T194" s="50"/>
      <c r="U194" s="50"/>
      <c r="V194" s="2383"/>
      <c r="W194" s="199"/>
      <c r="X194" s="199"/>
      <c r="Y194" s="199"/>
      <c r="Z194" s="200">
        <v>6</v>
      </c>
      <c r="AA194" s="199">
        <v>6</v>
      </c>
      <c r="AB194" s="199">
        <v>6</v>
      </c>
      <c r="AC194" s="895">
        <v>6</v>
      </c>
      <c r="AD194" s="872">
        <v>6</v>
      </c>
      <c r="AE194" s="872">
        <v>6</v>
      </c>
      <c r="AF194" s="253">
        <v>6</v>
      </c>
      <c r="AG194" s="253">
        <f t="shared" si="41"/>
        <v>6</v>
      </c>
      <c r="DG194" s="1022"/>
      <c r="DH194" s="172"/>
      <c r="DI194" s="1020"/>
      <c r="DJ194" s="2045"/>
    </row>
    <row r="195" spans="1:114" ht="14.65" customHeight="1" outlineLevel="1" x14ac:dyDescent="0.25">
      <c r="A195" s="2145"/>
      <c r="C195" s="49"/>
      <c r="D195" s="2398"/>
      <c r="E195" s="2398"/>
      <c r="F195" s="2405" t="str">
        <f t="shared" si="45"/>
        <v>CAC-SEER19_ER2_SF</v>
      </c>
      <c r="G195" s="2405"/>
      <c r="H195" s="2405"/>
      <c r="I195" s="871" t="str">
        <f t="shared" si="46"/>
        <v>351170_2025_12_</v>
      </c>
      <c r="J195" s="1535">
        <v>12</v>
      </c>
      <c r="K195" s="1307"/>
      <c r="L195" s="2418"/>
      <c r="M195" s="49"/>
      <c r="N195" s="532"/>
      <c r="O195" s="49"/>
      <c r="T195" s="50"/>
      <c r="U195" s="50"/>
      <c r="V195" s="2383"/>
      <c r="W195" s="199"/>
      <c r="X195" s="199"/>
      <c r="Y195" s="199"/>
      <c r="Z195" s="200">
        <v>12</v>
      </c>
      <c r="AA195" s="199">
        <v>12</v>
      </c>
      <c r="AB195" s="199">
        <v>12</v>
      </c>
      <c r="AC195" s="895">
        <v>12</v>
      </c>
      <c r="AD195" s="872">
        <v>12</v>
      </c>
      <c r="AE195" s="872">
        <v>12</v>
      </c>
      <c r="AF195" s="253">
        <v>12</v>
      </c>
      <c r="AG195" s="253">
        <f t="shared" si="41"/>
        <v>12</v>
      </c>
      <c r="DG195" s="1022"/>
      <c r="DH195" s="172"/>
      <c r="DI195" s="1020"/>
      <c r="DJ195" s="2045"/>
    </row>
    <row r="196" spans="1:114" ht="14.65" customHeight="1" outlineLevel="1" x14ac:dyDescent="0.25">
      <c r="A196" s="2145"/>
      <c r="C196" s="49"/>
      <c r="D196" s="2398"/>
      <c r="E196" s="2398"/>
      <c r="F196" s="2405" t="str">
        <f t="shared" si="45"/>
        <v>CAC-SEER19_ROF_SF</v>
      </c>
      <c r="G196" s="2405"/>
      <c r="H196" s="2405"/>
      <c r="I196" s="871" t="str">
        <f t="shared" si="46"/>
        <v>351171_2025_12_</v>
      </c>
      <c r="J196" s="1535">
        <v>18</v>
      </c>
      <c r="K196" s="1307"/>
      <c r="L196" s="2418"/>
      <c r="M196" s="49"/>
      <c r="N196" s="532"/>
      <c r="O196" s="49"/>
      <c r="T196" s="50"/>
      <c r="U196" s="50"/>
      <c r="V196" s="2383"/>
      <c r="W196" s="199"/>
      <c r="X196" s="199"/>
      <c r="Y196" s="199"/>
      <c r="Z196" s="200">
        <v>18</v>
      </c>
      <c r="AA196" s="199">
        <v>18</v>
      </c>
      <c r="AB196" s="199">
        <v>18</v>
      </c>
      <c r="AC196" s="895">
        <v>18</v>
      </c>
      <c r="AD196" s="872">
        <v>18</v>
      </c>
      <c r="AE196" s="872">
        <v>18</v>
      </c>
      <c r="AF196" s="253">
        <v>18</v>
      </c>
      <c r="AG196" s="253">
        <f t="shared" si="41"/>
        <v>18</v>
      </c>
      <c r="DG196" s="1022"/>
      <c r="DH196" s="172"/>
      <c r="DI196" s="1020"/>
      <c r="DJ196" s="2045"/>
    </row>
    <row r="197" spans="1:114" ht="14.65" customHeight="1" outlineLevel="1" x14ac:dyDescent="0.25">
      <c r="A197" s="2145"/>
      <c r="C197" s="49"/>
      <c r="D197" s="2398"/>
      <c r="E197" s="2398"/>
      <c r="F197" s="2405" t="str">
        <f t="shared" si="45"/>
        <v>CAC-SEER20_ER1_SF</v>
      </c>
      <c r="G197" s="2405"/>
      <c r="H197" s="2405"/>
      <c r="I197" s="871" t="str">
        <f t="shared" si="46"/>
        <v>351180_2024_12_</v>
      </c>
      <c r="J197" s="1535">
        <v>6</v>
      </c>
      <c r="K197" s="1307"/>
      <c r="L197" s="2418"/>
      <c r="M197" s="49"/>
      <c r="N197" s="532"/>
      <c r="O197" s="49"/>
      <c r="T197" s="50"/>
      <c r="U197" s="50"/>
      <c r="V197" s="2383"/>
      <c r="W197" s="199"/>
      <c r="X197" s="199"/>
      <c r="Y197" s="199"/>
      <c r="Z197" s="200">
        <v>6</v>
      </c>
      <c r="AA197" s="199">
        <v>6</v>
      </c>
      <c r="AB197" s="199">
        <v>6</v>
      </c>
      <c r="AC197" s="895">
        <v>6</v>
      </c>
      <c r="AD197" s="872">
        <v>6</v>
      </c>
      <c r="AE197" s="872">
        <v>6</v>
      </c>
      <c r="AF197" s="253">
        <v>6</v>
      </c>
      <c r="AG197" s="253">
        <f t="shared" si="41"/>
        <v>6</v>
      </c>
      <c r="DG197" s="1022"/>
      <c r="DH197" s="172"/>
      <c r="DI197" s="1020"/>
      <c r="DJ197" s="2045"/>
    </row>
    <row r="198" spans="1:114" ht="14.65" customHeight="1" outlineLevel="1" x14ac:dyDescent="0.25">
      <c r="A198" s="2145"/>
      <c r="C198" s="49"/>
      <c r="D198" s="2398"/>
      <c r="E198" s="2398"/>
      <c r="F198" s="2405" t="str">
        <f t="shared" si="45"/>
        <v>CAC-SEER20_ER2_SF</v>
      </c>
      <c r="G198" s="2405"/>
      <c r="H198" s="2405"/>
      <c r="I198" s="871" t="str">
        <f t="shared" si="46"/>
        <v>351180_2024_12_</v>
      </c>
      <c r="J198" s="1535">
        <v>12</v>
      </c>
      <c r="K198" s="1307"/>
      <c r="L198" s="2418"/>
      <c r="M198" s="49"/>
      <c r="N198" s="532"/>
      <c r="O198" s="49"/>
      <c r="T198" s="50"/>
      <c r="U198" s="50"/>
      <c r="V198" s="2383"/>
      <c r="W198" s="199"/>
      <c r="X198" s="199"/>
      <c r="Y198" s="199"/>
      <c r="Z198" s="200">
        <v>12</v>
      </c>
      <c r="AA198" s="199">
        <v>12</v>
      </c>
      <c r="AB198" s="199">
        <v>12</v>
      </c>
      <c r="AC198" s="895">
        <v>12</v>
      </c>
      <c r="AD198" s="872">
        <v>12</v>
      </c>
      <c r="AE198" s="872">
        <v>12</v>
      </c>
      <c r="AF198" s="253">
        <v>12</v>
      </c>
      <c r="AG198" s="253">
        <f t="shared" si="41"/>
        <v>12</v>
      </c>
      <c r="DG198" s="1022"/>
      <c r="DH198" s="172"/>
      <c r="DI198" s="1020"/>
      <c r="DJ198" s="2045"/>
    </row>
    <row r="199" spans="1:114" ht="14.65" customHeight="1" outlineLevel="1" x14ac:dyDescent="0.25">
      <c r="A199" s="2145"/>
      <c r="C199" s="49"/>
      <c r="D199" s="2398"/>
      <c r="E199" s="2398"/>
      <c r="F199" s="2405" t="str">
        <f t="shared" si="45"/>
        <v>CAC-SEER20_ROF_SF</v>
      </c>
      <c r="G199" s="2405"/>
      <c r="H199" s="2405"/>
      <c r="I199" s="871" t="str">
        <f t="shared" si="46"/>
        <v>351181_2024_12_</v>
      </c>
      <c r="J199" s="1535">
        <v>18</v>
      </c>
      <c r="K199" s="1307"/>
      <c r="L199" s="2418"/>
      <c r="M199" s="49"/>
      <c r="N199" s="532"/>
      <c r="O199" s="49"/>
      <c r="T199" s="50"/>
      <c r="U199" s="50"/>
      <c r="V199" s="2383"/>
      <c r="W199" s="199"/>
      <c r="X199" s="199"/>
      <c r="Y199" s="199"/>
      <c r="Z199" s="200">
        <v>18</v>
      </c>
      <c r="AA199" s="199">
        <v>18</v>
      </c>
      <c r="AB199" s="199">
        <v>18</v>
      </c>
      <c r="AC199" s="895">
        <v>18</v>
      </c>
      <c r="AD199" s="872">
        <v>18</v>
      </c>
      <c r="AE199" s="872">
        <v>18</v>
      </c>
      <c r="AF199" s="253">
        <v>18</v>
      </c>
      <c r="AG199" s="253">
        <f t="shared" si="41"/>
        <v>18</v>
      </c>
      <c r="DG199" s="1022"/>
      <c r="DH199" s="172"/>
      <c r="DI199" s="1020"/>
      <c r="DJ199" s="2045"/>
    </row>
    <row r="200" spans="1:114" ht="14.65" customHeight="1" outlineLevel="1" x14ac:dyDescent="0.25">
      <c r="A200" s="2145"/>
      <c r="C200" s="49"/>
      <c r="D200" s="2398"/>
      <c r="E200" s="2398"/>
      <c r="F200" s="2405" t="str">
        <f t="shared" si="45"/>
        <v>CAC-SEER21+_ER1_SF</v>
      </c>
      <c r="G200" s="2405"/>
      <c r="H200" s="2405"/>
      <c r="I200" s="871" t="str">
        <f t="shared" si="46"/>
        <v>351190_2024_12_</v>
      </c>
      <c r="J200" s="1535">
        <v>6</v>
      </c>
      <c r="K200" s="1307"/>
      <c r="L200" s="2418"/>
      <c r="M200" s="49"/>
      <c r="N200" s="532"/>
      <c r="O200" s="49"/>
      <c r="T200" s="50"/>
      <c r="U200" s="50"/>
      <c r="V200" s="2383"/>
      <c r="W200" s="199"/>
      <c r="X200" s="199"/>
      <c r="Y200" s="199"/>
      <c r="Z200" s="200">
        <v>6</v>
      </c>
      <c r="AA200" s="199">
        <v>6</v>
      </c>
      <c r="AB200" s="199">
        <v>6</v>
      </c>
      <c r="AC200" s="895">
        <v>6</v>
      </c>
      <c r="AD200" s="872">
        <v>6</v>
      </c>
      <c r="AE200" s="872">
        <v>6</v>
      </c>
      <c r="AF200" s="253">
        <v>6</v>
      </c>
      <c r="AG200" s="253">
        <f t="shared" si="41"/>
        <v>6</v>
      </c>
      <c r="DG200" s="1022"/>
      <c r="DH200" s="172"/>
      <c r="DI200" s="1020"/>
      <c r="DJ200" s="2045"/>
    </row>
    <row r="201" spans="1:114" ht="14.65" customHeight="1" outlineLevel="1" x14ac:dyDescent="0.25">
      <c r="A201" s="2145"/>
      <c r="C201" s="49"/>
      <c r="D201" s="2398"/>
      <c r="E201" s="2398"/>
      <c r="F201" s="2405" t="str">
        <f t="shared" si="45"/>
        <v>CAC-SEER21+_ER2_SF</v>
      </c>
      <c r="G201" s="2405"/>
      <c r="H201" s="2405"/>
      <c r="I201" s="871" t="str">
        <f t="shared" si="46"/>
        <v>351190_2024_12_</v>
      </c>
      <c r="J201" s="1535">
        <v>12</v>
      </c>
      <c r="K201" s="1307"/>
      <c r="L201" s="2418"/>
      <c r="M201" s="49"/>
      <c r="N201" s="532"/>
      <c r="O201" s="49"/>
      <c r="T201" s="50"/>
      <c r="U201" s="50"/>
      <c r="V201" s="2383"/>
      <c r="W201" s="199"/>
      <c r="X201" s="199"/>
      <c r="Y201" s="199"/>
      <c r="Z201" s="200">
        <v>12</v>
      </c>
      <c r="AA201" s="199">
        <v>12</v>
      </c>
      <c r="AB201" s="199">
        <v>12</v>
      </c>
      <c r="AC201" s="895">
        <v>12</v>
      </c>
      <c r="AD201" s="872">
        <v>12</v>
      </c>
      <c r="AE201" s="872">
        <v>12</v>
      </c>
      <c r="AF201" s="253">
        <v>12</v>
      </c>
      <c r="AG201" s="253">
        <f t="shared" si="41"/>
        <v>12</v>
      </c>
      <c r="DG201" s="1022"/>
      <c r="DH201" s="172"/>
      <c r="DI201" s="1020"/>
      <c r="DJ201" s="2045"/>
    </row>
    <row r="202" spans="1:114" ht="14.65" customHeight="1" outlineLevel="1" x14ac:dyDescent="0.25">
      <c r="A202" s="2145"/>
      <c r="C202" s="49"/>
      <c r="D202" s="2398"/>
      <c r="E202" s="2398"/>
      <c r="F202" s="2405" t="str">
        <f t="shared" si="45"/>
        <v>CAC-SEER21+_ROF_SF</v>
      </c>
      <c r="G202" s="2405"/>
      <c r="H202" s="2405"/>
      <c r="I202" s="871" t="str">
        <f t="shared" si="46"/>
        <v>351191_2024_12_</v>
      </c>
      <c r="J202" s="1535">
        <v>18</v>
      </c>
      <c r="K202" s="1307"/>
      <c r="L202" s="2418"/>
      <c r="M202" s="49"/>
      <c r="N202" s="532"/>
      <c r="O202" s="49"/>
      <c r="T202" s="50"/>
      <c r="U202" s="50"/>
      <c r="V202" s="2383"/>
      <c r="W202" s="199"/>
      <c r="X202" s="199"/>
      <c r="Y202" s="199"/>
      <c r="Z202" s="200">
        <v>18</v>
      </c>
      <c r="AA202" s="199">
        <v>18</v>
      </c>
      <c r="AB202" s="199">
        <v>18</v>
      </c>
      <c r="AC202" s="895">
        <v>18</v>
      </c>
      <c r="AD202" s="872">
        <v>18</v>
      </c>
      <c r="AE202" s="872">
        <v>18</v>
      </c>
      <c r="AF202" s="253">
        <v>18</v>
      </c>
      <c r="AG202" s="253">
        <f t="shared" si="41"/>
        <v>18</v>
      </c>
      <c r="DG202" s="1022"/>
      <c r="DH202" s="172"/>
      <c r="DI202" s="1020"/>
      <c r="DJ202" s="2045"/>
    </row>
    <row r="203" spans="1:114" ht="14.65" customHeight="1" outlineLevel="1" x14ac:dyDescent="0.25">
      <c r="A203" s="2145"/>
      <c r="C203" s="49"/>
      <c r="D203" s="2397" t="s">
        <v>51</v>
      </c>
      <c r="E203" s="2397" t="s">
        <v>688</v>
      </c>
      <c r="F203" s="2405" t="str">
        <f t="shared" ref="F203:F225" si="47">F180</f>
        <v>CAC-SEER15_ER1_SF</v>
      </c>
      <c r="G203" s="2405"/>
      <c r="H203" s="2405"/>
      <c r="I203" s="871" t="str">
        <f t="shared" ref="I203:I225" si="48">I180</f>
        <v>350600_2024_12_</v>
      </c>
      <c r="J203" s="1476">
        <f>IF(ISNUMBER(SEARCH("_ER",F203)),VLOOKUP(_xlfn.MAXIFS(Q$42:Q$51,Q$42:Q$51,"&lt;"&amp;L203),Q$42:T$51,4,FALSE),VLOOKUP(_xlfn.MAXIFS(Q$42:Q$51,Q$42:Q$51,"&lt;"&amp;L203),Q$42:T$51,2,FALSE))</f>
        <v>526.97397959163982</v>
      </c>
      <c r="K203" s="20">
        <f t="shared" ref="K203:K225" si="49">K64*J156</f>
        <v>3.1148319327731095</v>
      </c>
      <c r="L203" s="1121">
        <f>VLOOKUP(I203,$I$110:$J$132,2,FALSE)</f>
        <v>15.10681605975719</v>
      </c>
      <c r="M203" s="49"/>
      <c r="N203" s="532"/>
      <c r="O203" s="49"/>
      <c r="T203" s="50"/>
      <c r="U203" s="50"/>
      <c r="V203" s="2415"/>
      <c r="W203" s="183">
        <v>1057.263580001641</v>
      </c>
      <c r="X203" s="202">
        <v>1910.9631874190195</v>
      </c>
      <c r="Y203" s="202">
        <v>742.81331762821719</v>
      </c>
      <c r="Z203" s="626">
        <v>595.29397502709662</v>
      </c>
      <c r="AA203" s="183">
        <v>595.29397502709662</v>
      </c>
      <c r="AB203" s="128">
        <v>595.29397502709662</v>
      </c>
      <c r="AC203" s="189">
        <v>574.35262787904776</v>
      </c>
      <c r="AD203" s="128">
        <v>108</v>
      </c>
      <c r="AE203" s="189">
        <v>646.39382730832676</v>
      </c>
      <c r="AF203" s="253">
        <v>526.97397959163982</v>
      </c>
      <c r="AG203" s="253">
        <f t="shared" si="41"/>
        <v>526.97397959163982</v>
      </c>
      <c r="DG203" s="1022"/>
      <c r="DH203" s="172"/>
      <c r="DI203" s="1020"/>
      <c r="DJ203" s="2045"/>
    </row>
    <row r="204" spans="1:114" ht="14.65" customHeight="1" outlineLevel="1" x14ac:dyDescent="0.25">
      <c r="A204" s="2145"/>
      <c r="C204" s="49"/>
      <c r="D204" s="2398"/>
      <c r="E204" s="2398"/>
      <c r="F204" s="2405" t="str">
        <f t="shared" si="47"/>
        <v>CAC-SEER15_ER2_SF</v>
      </c>
      <c r="G204" s="2405"/>
      <c r="H204" s="2405"/>
      <c r="I204" s="871" t="str">
        <f t="shared" si="48"/>
        <v>350600_2024_12_</v>
      </c>
      <c r="J204" s="128"/>
      <c r="K204" s="20">
        <f t="shared" si="49"/>
        <v>3.1148319327731095</v>
      </c>
      <c r="L204" s="1307"/>
      <c r="M204" s="49"/>
      <c r="N204" s="532"/>
      <c r="O204" s="49"/>
      <c r="T204" s="50"/>
      <c r="U204" s="50"/>
      <c r="V204" s="2415"/>
      <c r="W204" s="183"/>
      <c r="X204" s="201"/>
      <c r="Y204" s="202"/>
      <c r="Z204" s="626"/>
      <c r="AA204" s="183"/>
      <c r="AB204" s="128"/>
      <c r="AC204" s="280"/>
      <c r="AD204" s="128"/>
      <c r="AE204" s="128"/>
      <c r="AF204" s="253" t="s">
        <v>935</v>
      </c>
      <c r="AG204" s="253" t="str">
        <f t="shared" si="41"/>
        <v/>
      </c>
      <c r="DG204" s="1022"/>
      <c r="DH204" s="172"/>
      <c r="DI204" s="1020"/>
      <c r="DJ204" s="2045"/>
    </row>
    <row r="205" spans="1:114" ht="14.65" customHeight="1" outlineLevel="1" x14ac:dyDescent="0.25">
      <c r="A205" s="2145"/>
      <c r="C205" s="49"/>
      <c r="D205" s="2398"/>
      <c r="E205" s="2398"/>
      <c r="F205" s="2405" t="str">
        <f t="shared" si="47"/>
        <v>CAC-SEER15_ROF_SF</v>
      </c>
      <c r="G205" s="2405"/>
      <c r="H205" s="2405"/>
      <c r="I205" s="871" t="str">
        <f t="shared" si="48"/>
        <v>350650_2024_12_</v>
      </c>
      <c r="J205" s="1476">
        <f>IF(ISNUMBER(SEARCH("_ER",F205)),VLOOKUP(_xlfn.MAXIFS(Q$42:Q$51,Q$42:Q$51,"&lt;"&amp;L205),Q$42:T$51,4,FALSE),VLOOKUP(_xlfn.MAXIFS(Q$42:Q$51,Q$42:Q$51,"&lt;"&amp;L205),Q$42:T$51,2,FALSE))</f>
        <v>453.02753789283406</v>
      </c>
      <c r="K205" s="20">
        <f t="shared" si="49"/>
        <v>2.9891966173361513</v>
      </c>
      <c r="L205" s="1121">
        <f>VLOOKUP(I205,$I$110:$J$132,2,FALSE)</f>
        <v>15.111256544502622</v>
      </c>
      <c r="M205" s="49"/>
      <c r="N205" s="532"/>
      <c r="O205" s="49"/>
      <c r="T205" s="50"/>
      <c r="U205" s="50"/>
      <c r="V205" s="2415"/>
      <c r="W205" s="183">
        <v>324</v>
      </c>
      <c r="X205" s="202">
        <v>216</v>
      </c>
      <c r="Y205" s="202">
        <v>108</v>
      </c>
      <c r="Z205" s="626">
        <v>108</v>
      </c>
      <c r="AA205" s="183">
        <v>108</v>
      </c>
      <c r="AB205" s="128">
        <v>108</v>
      </c>
      <c r="AC205" s="280">
        <v>108</v>
      </c>
      <c r="AD205" s="128">
        <v>108</v>
      </c>
      <c r="AE205" s="128">
        <v>108</v>
      </c>
      <c r="AF205" s="253">
        <v>453.02753789283406</v>
      </c>
      <c r="AG205" s="253">
        <f t="shared" si="41"/>
        <v>453.02753789283406</v>
      </c>
      <c r="DG205" s="1022"/>
      <c r="DH205" s="172"/>
      <c r="DI205" s="1020"/>
      <c r="DJ205" s="2045"/>
    </row>
    <row r="206" spans="1:114" ht="14.65" customHeight="1" outlineLevel="1" x14ac:dyDescent="0.25">
      <c r="A206" s="2145"/>
      <c r="C206" s="49"/>
      <c r="D206" s="2398"/>
      <c r="E206" s="2398"/>
      <c r="F206" s="2405" t="str">
        <f t="shared" si="47"/>
        <v>CAC-SEER16_ER1_SF</v>
      </c>
      <c r="G206" s="2405"/>
      <c r="H206" s="2405"/>
      <c r="I206" s="871" t="str">
        <f t="shared" si="48"/>
        <v>350800_2024_12_</v>
      </c>
      <c r="J206" s="1476">
        <f>IF(ISNUMBER(SEARCH("_ER",F206)),VLOOKUP(_xlfn.MAXIFS(Q$42:Q$51,Q$42:Q$51,"&lt;"&amp;L206),Q$42:T$51,4,FALSE),VLOOKUP(_xlfn.MAXIFS(Q$42:Q$51,Q$42:Q$51,"&lt;"&amp;L206),Q$42:T$51,2,FALSE))</f>
        <v>708.92766284367963</v>
      </c>
      <c r="K206" s="20">
        <f t="shared" si="49"/>
        <v>2.8756478324403312</v>
      </c>
      <c r="L206" s="1121">
        <f>VLOOKUP(I206,$I$110:$J$132,2,FALSE)</f>
        <v>16.032257819617371</v>
      </c>
      <c r="M206" s="49"/>
      <c r="N206" s="532"/>
      <c r="O206" s="49"/>
      <c r="T206" s="50"/>
      <c r="U206" s="50"/>
      <c r="V206" s="2415"/>
      <c r="W206" s="183">
        <v>1343.486999395481</v>
      </c>
      <c r="X206" s="202">
        <v>2255.6131874190196</v>
      </c>
      <c r="Y206" s="202">
        <v>815.0454898906255</v>
      </c>
      <c r="Z206" s="626">
        <v>676.9998665391181</v>
      </c>
      <c r="AA206" s="183">
        <v>676.9998665391181</v>
      </c>
      <c r="AB206" s="128">
        <v>676.9998665391181</v>
      </c>
      <c r="AC206" s="189">
        <v>661.30099318631073</v>
      </c>
      <c r="AD206" s="128">
        <v>221</v>
      </c>
      <c r="AE206" s="189">
        <v>726.65804711558667</v>
      </c>
      <c r="AF206" s="253">
        <v>708.92766284367963</v>
      </c>
      <c r="AG206" s="253">
        <f t="shared" si="41"/>
        <v>708.92766284367963</v>
      </c>
      <c r="DG206" s="1022"/>
      <c r="DH206" s="172"/>
      <c r="DI206" s="1020"/>
      <c r="DJ206" s="2045"/>
    </row>
    <row r="207" spans="1:114" ht="14.65" customHeight="1" outlineLevel="1" x14ac:dyDescent="0.25">
      <c r="A207" s="2145"/>
      <c r="C207" s="49"/>
      <c r="D207" s="2398"/>
      <c r="E207" s="2398"/>
      <c r="F207" s="2405" t="str">
        <f t="shared" si="47"/>
        <v>CAC-SEER16_ER2_SF</v>
      </c>
      <c r="G207" s="2405"/>
      <c r="H207" s="2405"/>
      <c r="I207" s="871" t="str">
        <f t="shared" si="48"/>
        <v>350800_2024_12_</v>
      </c>
      <c r="J207" s="128"/>
      <c r="K207" s="20">
        <f t="shared" si="49"/>
        <v>2.8756478324403312</v>
      </c>
      <c r="L207" s="1307"/>
      <c r="M207" s="49"/>
      <c r="N207" s="532"/>
      <c r="O207" s="49"/>
      <c r="T207" s="50"/>
      <c r="U207" s="50"/>
      <c r="V207" s="2415"/>
      <c r="W207" s="183"/>
      <c r="X207" s="201"/>
      <c r="Y207" s="202"/>
      <c r="Z207" s="626"/>
      <c r="AA207" s="183"/>
      <c r="AB207" s="128"/>
      <c r="AC207" s="280"/>
      <c r="AD207" s="128"/>
      <c r="AE207" s="128"/>
      <c r="AF207" s="253" t="s">
        <v>935</v>
      </c>
      <c r="AG207" s="253" t="str">
        <f t="shared" si="41"/>
        <v/>
      </c>
      <c r="DG207" s="1022"/>
      <c r="DH207" s="172"/>
      <c r="DI207" s="1020"/>
      <c r="DJ207" s="2045"/>
    </row>
    <row r="208" spans="1:114" ht="14.65" customHeight="1" outlineLevel="1" x14ac:dyDescent="0.25">
      <c r="A208" s="2145"/>
      <c r="C208" s="49"/>
      <c r="D208" s="2398"/>
      <c r="E208" s="2398"/>
      <c r="F208" s="2405" t="str">
        <f t="shared" si="47"/>
        <v>CAC-SEER16_ROF_SF</v>
      </c>
      <c r="G208" s="2405"/>
      <c r="H208" s="2405"/>
      <c r="I208" s="871" t="str">
        <f t="shared" si="48"/>
        <v>350850_2024_12_</v>
      </c>
      <c r="J208" s="1476">
        <f>IF(ISNUMBER(SEARCH("_ER",F208)),VLOOKUP(_xlfn.MAXIFS(Q$42:Q$51,Q$42:Q$51,"&lt;"&amp;L208),Q$42:T$51,4,FALSE),VLOOKUP(_xlfn.MAXIFS(Q$42:Q$51,Q$42:Q$51,"&lt;"&amp;L208),Q$42:T$51,2,FALSE))</f>
        <v>634.98122114487387</v>
      </c>
      <c r="K208" s="20">
        <f t="shared" si="49"/>
        <v>2.8453773584905662</v>
      </c>
      <c r="L208" s="1121">
        <f>VLOOKUP(I208,$I$110:$J$132,2,FALSE)</f>
        <v>16.037510692899918</v>
      </c>
      <c r="M208" s="49"/>
      <c r="N208" s="532"/>
      <c r="O208" s="49"/>
      <c r="T208" s="50"/>
      <c r="U208" s="50"/>
      <c r="V208" s="2415"/>
      <c r="W208" s="128">
        <v>640.9</v>
      </c>
      <c r="X208" s="202">
        <v>674.05</v>
      </c>
      <c r="Y208" s="202">
        <v>221</v>
      </c>
      <c r="Z208" s="189">
        <v>221</v>
      </c>
      <c r="AA208" s="128">
        <v>221</v>
      </c>
      <c r="AB208" s="128">
        <v>221</v>
      </c>
      <c r="AC208" s="280">
        <v>221</v>
      </c>
      <c r="AD208" s="128">
        <v>221</v>
      </c>
      <c r="AE208" s="128">
        <v>221</v>
      </c>
      <c r="AF208" s="253">
        <v>634.98122114487387</v>
      </c>
      <c r="AG208" s="253">
        <f t="shared" si="41"/>
        <v>634.98122114487387</v>
      </c>
      <c r="DG208" s="1022"/>
      <c r="DH208" s="172"/>
      <c r="DI208" s="1020"/>
      <c r="DJ208" s="2045"/>
    </row>
    <row r="209" spans="1:114" ht="14.65" customHeight="1" outlineLevel="1" x14ac:dyDescent="0.25">
      <c r="A209" s="2145"/>
      <c r="C209" s="49"/>
      <c r="D209" s="2398"/>
      <c r="E209" s="2398"/>
      <c r="F209" s="2405" t="str">
        <f t="shared" si="47"/>
        <v>CAC-SEER16_ER1_MF</v>
      </c>
      <c r="G209" s="2405"/>
      <c r="H209" s="2405"/>
      <c r="I209" s="871" t="str">
        <f t="shared" si="48"/>
        <v>350900_2024_12_</v>
      </c>
      <c r="J209" s="1476">
        <f>IF(ISNUMBER(SEARCH("_ER",F209)),VLOOKUP(_xlfn.MAXIFS(Q$42:Q$51,Q$42:Q$51,"&lt;"&amp;L209),Q$42:T$51,4,FALSE),VLOOKUP(_xlfn.MAXIFS(Q$42:Q$51,Q$42:Q$51,"&lt;"&amp;L209),Q$42:T$51,2,FALSE))</f>
        <v>708.92766284367963</v>
      </c>
      <c r="K209" s="20">
        <f t="shared" si="49"/>
        <v>2.5384615384615383</v>
      </c>
      <c r="L209" s="1121">
        <f>VLOOKUP(I209,$I$110:$J$132,2,FALSE)</f>
        <v>16.035714285714285</v>
      </c>
      <c r="M209" s="49"/>
      <c r="N209" s="532"/>
      <c r="O209" s="49"/>
      <c r="T209" s="50"/>
      <c r="U209" s="50"/>
      <c r="V209" s="2415"/>
      <c r="W209" s="183">
        <v>1343.486999395481</v>
      </c>
      <c r="X209" s="202">
        <v>1507.501480258378</v>
      </c>
      <c r="Y209" s="202">
        <v>609.26502607230441</v>
      </c>
      <c r="Z209" s="626">
        <v>519.03912845694003</v>
      </c>
      <c r="AA209" s="183">
        <v>519.03912845694003</v>
      </c>
      <c r="AB209" s="128">
        <v>519.03912845694003</v>
      </c>
      <c r="AC209" s="189">
        <v>596.24203522590619</v>
      </c>
      <c r="AD209" s="128">
        <v>221</v>
      </c>
      <c r="AE209" s="189">
        <v>657.23652840597492</v>
      </c>
      <c r="AF209" s="253">
        <v>708.92766284367963</v>
      </c>
      <c r="AG209" s="253">
        <f t="shared" si="41"/>
        <v>708.92766284367963</v>
      </c>
      <c r="DG209" s="1022"/>
      <c r="DH209" s="172"/>
      <c r="DI209" s="1020"/>
      <c r="DJ209" s="2045"/>
    </row>
    <row r="210" spans="1:114" ht="14.65" customHeight="1" outlineLevel="1" x14ac:dyDescent="0.25">
      <c r="A210" s="2145"/>
      <c r="C210" s="49"/>
      <c r="D210" s="2398"/>
      <c r="E210" s="2398"/>
      <c r="F210" s="2405" t="str">
        <f t="shared" si="47"/>
        <v>CAC-SEER16_ER2_MF</v>
      </c>
      <c r="G210" s="2405"/>
      <c r="H210" s="2405"/>
      <c r="I210" s="871" t="str">
        <f t="shared" si="48"/>
        <v>350900_2024_12_</v>
      </c>
      <c r="J210" s="128"/>
      <c r="K210" s="20">
        <f t="shared" si="49"/>
        <v>2.5384615384615383</v>
      </c>
      <c r="L210" s="1307"/>
      <c r="M210" s="49"/>
      <c r="N210" s="532"/>
      <c r="O210" s="49"/>
      <c r="T210" s="50"/>
      <c r="U210" s="50"/>
      <c r="V210" s="2415"/>
      <c r="W210" s="183"/>
      <c r="X210" s="201"/>
      <c r="Y210" s="202"/>
      <c r="Z210" s="626"/>
      <c r="AA210" s="183"/>
      <c r="AB210" s="128"/>
      <c r="AC210" s="280"/>
      <c r="AD210" s="128"/>
      <c r="AE210" s="128"/>
      <c r="AF210" s="253" t="s">
        <v>935</v>
      </c>
      <c r="AG210" s="253" t="str">
        <f t="shared" si="41"/>
        <v/>
      </c>
      <c r="DG210" s="1022"/>
      <c r="DH210" s="172"/>
      <c r="DI210" s="1020"/>
      <c r="DJ210" s="2045"/>
    </row>
    <row r="211" spans="1:114" ht="14.65" customHeight="1" outlineLevel="1" x14ac:dyDescent="0.25">
      <c r="A211" s="2145"/>
      <c r="C211" s="49"/>
      <c r="D211" s="2398"/>
      <c r="E211" s="2398"/>
      <c r="F211" s="2405" t="str">
        <f t="shared" si="47"/>
        <v>CAC-SEER17_ER1_SF</v>
      </c>
      <c r="G211" s="2405"/>
      <c r="H211" s="2405"/>
      <c r="I211" s="871" t="str">
        <f t="shared" si="48"/>
        <v>351000_2024_12_</v>
      </c>
      <c r="J211" s="1476">
        <f>IF(ISNUMBER(SEARCH("_ER",F211)),VLOOKUP(_xlfn.MAXIFS(Q$42:Q$51,Q$42:Q$51,"&lt;"&amp;L211),Q$42:T$51,4,FALSE),VLOOKUP(_xlfn.MAXIFS(Q$42:Q$51,Q$42:Q$51,"&lt;"&amp;L211),Q$42:T$51,2,FALSE))</f>
        <v>965.14815558634655</v>
      </c>
      <c r="K211" s="20">
        <f t="shared" si="49"/>
        <v>3.1718995290423861</v>
      </c>
      <c r="L211" s="1121">
        <f>VLOOKUP(I211,$I$110:$J$132,2,FALSE)</f>
        <v>17.076594157862026</v>
      </c>
      <c r="M211" s="49"/>
      <c r="N211" s="532"/>
      <c r="O211" s="49"/>
      <c r="T211" s="50"/>
      <c r="U211" s="50"/>
      <c r="V211" s="2415"/>
      <c r="W211" s="183">
        <v>1910.786999395481</v>
      </c>
      <c r="X211" s="202">
        <v>3529.4904527865447</v>
      </c>
      <c r="Y211" s="202">
        <v>998.0454898906255</v>
      </c>
      <c r="Z211" s="626">
        <v>1075.9998665391181</v>
      </c>
      <c r="AA211" s="183">
        <v>1075.9998665391181</v>
      </c>
      <c r="AB211" s="128">
        <v>1075.9998665391181</v>
      </c>
      <c r="AC211" s="189">
        <v>1055.0097130498366</v>
      </c>
      <c r="AD211" s="128">
        <v>620</v>
      </c>
      <c r="AE211" s="189">
        <v>1128.8769672507378</v>
      </c>
      <c r="AF211" s="253">
        <v>965.14815558634655</v>
      </c>
      <c r="AG211" s="253">
        <f t="shared" si="41"/>
        <v>965.14815558634655</v>
      </c>
      <c r="DG211" s="1022"/>
      <c r="DH211" s="172"/>
      <c r="DI211" s="1020"/>
      <c r="DJ211" s="2045"/>
    </row>
    <row r="212" spans="1:114" ht="14.65" customHeight="1" outlineLevel="1" x14ac:dyDescent="0.25">
      <c r="A212" s="2145"/>
      <c r="C212" s="49"/>
      <c r="D212" s="2398"/>
      <c r="E212" s="2398"/>
      <c r="F212" s="2405" t="str">
        <f t="shared" si="47"/>
        <v>CAC-SEER17_ER2_SF</v>
      </c>
      <c r="G212" s="2405"/>
      <c r="H212" s="2405"/>
      <c r="I212" s="871" t="str">
        <f t="shared" si="48"/>
        <v>351000_2024_12_</v>
      </c>
      <c r="J212" s="128"/>
      <c r="K212" s="20">
        <f t="shared" si="49"/>
        <v>3.1718995290423861</v>
      </c>
      <c r="L212" s="1307"/>
      <c r="M212" s="49"/>
      <c r="N212" s="532"/>
      <c r="O212" s="49"/>
      <c r="T212" s="50"/>
      <c r="U212" s="50"/>
      <c r="V212" s="2415"/>
      <c r="W212" s="183"/>
      <c r="X212" s="201"/>
      <c r="Y212" s="202"/>
      <c r="Z212" s="626"/>
      <c r="AA212" s="183"/>
      <c r="AB212" s="128"/>
      <c r="AC212" s="280"/>
      <c r="AD212" s="128"/>
      <c r="AE212" s="128"/>
      <c r="AF212" s="253" t="s">
        <v>935</v>
      </c>
      <c r="AG212" s="253" t="str">
        <f t="shared" si="41"/>
        <v/>
      </c>
      <c r="DG212" s="1022"/>
      <c r="DH212" s="172"/>
      <c r="DI212" s="1020"/>
      <c r="DJ212" s="2045"/>
    </row>
    <row r="213" spans="1:114" ht="14.65" customHeight="1" outlineLevel="1" x14ac:dyDescent="0.25">
      <c r="A213" s="2145"/>
      <c r="C213" s="49"/>
      <c r="D213" s="2398"/>
      <c r="E213" s="2398"/>
      <c r="F213" s="2405" t="str">
        <f t="shared" si="47"/>
        <v>CAC-SEER17_ROF_SF</v>
      </c>
      <c r="G213" s="2405"/>
      <c r="H213" s="2405"/>
      <c r="I213" s="871" t="str">
        <f t="shared" si="48"/>
        <v>351050_2024_12_</v>
      </c>
      <c r="J213" s="1476">
        <f>IF(ISNUMBER(SEARCH("_ER",F213)),VLOOKUP(_xlfn.MAXIFS(Q$42:Q$51,Q$42:Q$51,"&lt;"&amp;L213),Q$42:T$51,4,FALSE),VLOOKUP(_xlfn.MAXIFS(Q$42:Q$51,Q$42:Q$51,"&lt;"&amp;L213),Q$42:T$51,2,FALSE))</f>
        <v>891.20171388754079</v>
      </c>
      <c r="K213" s="20">
        <f t="shared" si="49"/>
        <v>3.3001127819548874</v>
      </c>
      <c r="L213" s="1121">
        <f>VLOOKUP(I213,$I$110:$J$132,2,FALSE)</f>
        <v>17.056686930091182</v>
      </c>
      <c r="M213" s="49"/>
      <c r="N213" s="532"/>
      <c r="O213" s="49"/>
      <c r="T213" s="50"/>
      <c r="U213" s="50"/>
      <c r="V213" s="2415"/>
      <c r="W213" s="183">
        <v>1171.5999999999999</v>
      </c>
      <c r="X213" s="202">
        <v>1798</v>
      </c>
      <c r="Y213" s="202">
        <v>404</v>
      </c>
      <c r="Z213" s="626">
        <v>620</v>
      </c>
      <c r="AA213" s="183">
        <v>620</v>
      </c>
      <c r="AB213" s="128">
        <v>620</v>
      </c>
      <c r="AC213" s="280">
        <v>620</v>
      </c>
      <c r="AD213" s="128">
        <v>620</v>
      </c>
      <c r="AE213" s="128">
        <v>620</v>
      </c>
      <c r="AF213" s="253">
        <v>891.20171388754079</v>
      </c>
      <c r="AG213" s="253">
        <f t="shared" si="41"/>
        <v>891.20171388754079</v>
      </c>
      <c r="DG213" s="1022"/>
      <c r="DH213" s="172"/>
      <c r="DI213" s="1020"/>
      <c r="DJ213" s="2045"/>
    </row>
    <row r="214" spans="1:114" ht="14.65" customHeight="1" outlineLevel="1" x14ac:dyDescent="0.25">
      <c r="A214" s="2145"/>
      <c r="C214" s="49"/>
      <c r="D214" s="2398"/>
      <c r="E214" s="2398"/>
      <c r="F214" s="2405" t="str">
        <f t="shared" si="47"/>
        <v>CAC-SEER18_ER1_SF</v>
      </c>
      <c r="G214" s="2405"/>
      <c r="H214" s="2405"/>
      <c r="I214" s="871" t="str">
        <f t="shared" si="48"/>
        <v>351160_2024_12_</v>
      </c>
      <c r="J214" s="1476">
        <f>IF(ISNUMBER(SEARCH("_ER",F214)),VLOOKUP(_xlfn.MAXIFS(Q$42:Q$51,Q$42:Q$51,"&lt;"&amp;L214),Q$42:T$51,4,FALSE),VLOOKUP(_xlfn.MAXIFS(Q$42:Q$51,Q$42:Q$51,"&lt;"&amp;L214),Q$42:T$51,2,FALSE))</f>
        <v>994.85487938259848</v>
      </c>
      <c r="K214" s="20">
        <f t="shared" si="49"/>
        <v>3.3330761421319792</v>
      </c>
      <c r="L214" s="1121">
        <f>VLOOKUP(I214,$I$110:$J$132,2,FALSE)</f>
        <v>18.005837563451777</v>
      </c>
      <c r="M214" s="49"/>
      <c r="N214" s="532"/>
      <c r="O214" s="49"/>
      <c r="T214" s="50"/>
      <c r="U214" s="50"/>
      <c r="V214" s="2383"/>
      <c r="W214" s="183"/>
      <c r="X214" s="202"/>
      <c r="Y214" s="202"/>
      <c r="Z214" s="189">
        <v>1273.7253593520768</v>
      </c>
      <c r="AA214" s="128">
        <v>1273.7253593520768</v>
      </c>
      <c r="AB214" s="128">
        <v>1273.7253593520768</v>
      </c>
      <c r="AC214" s="189">
        <v>1309.7244675645725</v>
      </c>
      <c r="AD214" s="128">
        <v>826.66666666666708</v>
      </c>
      <c r="AE214" s="189">
        <v>1402.7836641814806</v>
      </c>
      <c r="AF214" s="253">
        <v>994.85487938259848</v>
      </c>
      <c r="AG214" s="253">
        <f t="shared" si="41"/>
        <v>994.85487938259848</v>
      </c>
      <c r="DG214" s="1022"/>
      <c r="DH214" s="172"/>
      <c r="DI214" s="1020"/>
      <c r="DJ214" s="2045"/>
    </row>
    <row r="215" spans="1:114" ht="14.65" customHeight="1" outlineLevel="1" x14ac:dyDescent="0.25">
      <c r="A215" s="2145"/>
      <c r="C215" s="49"/>
      <c r="D215" s="2398"/>
      <c r="E215" s="2398"/>
      <c r="F215" s="2405" t="str">
        <f t="shared" si="47"/>
        <v>CAC-SEER18_ER2_SF</v>
      </c>
      <c r="G215" s="2405"/>
      <c r="H215" s="2405"/>
      <c r="I215" s="871" t="str">
        <f t="shared" si="48"/>
        <v>351160_2024_12_</v>
      </c>
      <c r="J215" s="1529"/>
      <c r="K215" s="20">
        <f t="shared" si="49"/>
        <v>3.3330761421319792</v>
      </c>
      <c r="L215" s="1307"/>
      <c r="M215" s="49"/>
      <c r="N215" s="532"/>
      <c r="O215" s="49"/>
      <c r="T215" s="50"/>
      <c r="U215" s="50"/>
      <c r="V215" s="2383"/>
      <c r="W215" s="183"/>
      <c r="X215" s="201"/>
      <c r="Y215" s="202"/>
      <c r="Z215" s="1575"/>
      <c r="AA215" s="1529"/>
      <c r="AB215" s="1529"/>
      <c r="AC215" s="1574"/>
      <c r="AD215" s="1529"/>
      <c r="AE215" s="1529"/>
      <c r="AF215" s="253" t="s">
        <v>935</v>
      </c>
      <c r="AG215" s="253" t="str">
        <f t="shared" si="41"/>
        <v/>
      </c>
      <c r="DG215" s="1022"/>
      <c r="DH215" s="172"/>
      <c r="DI215" s="1020"/>
      <c r="DJ215" s="2045"/>
    </row>
    <row r="216" spans="1:114" ht="14.65" customHeight="1" outlineLevel="1" x14ac:dyDescent="0.25">
      <c r="A216" s="2145"/>
      <c r="C216" s="49"/>
      <c r="D216" s="2398"/>
      <c r="E216" s="2398"/>
      <c r="F216" s="2405" t="str">
        <f t="shared" si="47"/>
        <v>CAC-SEER18_ROF_SF</v>
      </c>
      <c r="G216" s="2405"/>
      <c r="H216" s="2405"/>
      <c r="I216" s="871" t="str">
        <f t="shared" si="48"/>
        <v>351161_2024_12_</v>
      </c>
      <c r="J216" s="1476">
        <f>IF(ISNUMBER(SEARCH("_ER",F216)),VLOOKUP(_xlfn.MAXIFS(Q$42:Q$51,Q$42:Q$51,"&lt;"&amp;L216),Q$42:T$51,4,FALSE),VLOOKUP(_xlfn.MAXIFS(Q$42:Q$51,Q$42:Q$51,"&lt;"&amp;L216),Q$42:T$51,2,FALSE))</f>
        <v>920.90843768379273</v>
      </c>
      <c r="K216" s="20">
        <f t="shared" si="49"/>
        <v>3.3284552845487805</v>
      </c>
      <c r="L216" s="1121">
        <f>VLOOKUP(I216,$I$110:$J$132,2,FALSE)</f>
        <v>18</v>
      </c>
      <c r="M216" s="49"/>
      <c r="N216" s="532"/>
      <c r="O216" s="49"/>
      <c r="T216" s="50"/>
      <c r="U216" s="50"/>
      <c r="V216" s="2383"/>
      <c r="W216" s="183"/>
      <c r="X216" s="201"/>
      <c r="Y216" s="202"/>
      <c r="Z216" s="189">
        <v>826.66666666666708</v>
      </c>
      <c r="AA216" s="128">
        <v>826.66666666666708</v>
      </c>
      <c r="AB216" s="128">
        <v>826.66666666666708</v>
      </c>
      <c r="AC216" s="280">
        <v>826.66666666666708</v>
      </c>
      <c r="AD216" s="128">
        <v>826.66666666666708</v>
      </c>
      <c r="AE216" s="128">
        <v>826.66666666666708</v>
      </c>
      <c r="AF216" s="253">
        <v>920.90843768379273</v>
      </c>
      <c r="AG216" s="253">
        <f t="shared" si="41"/>
        <v>920.90843768379273</v>
      </c>
      <c r="DG216" s="1022"/>
      <c r="DH216" s="172"/>
      <c r="DI216" s="1020"/>
      <c r="DJ216" s="2045"/>
    </row>
    <row r="217" spans="1:114" ht="14.65" customHeight="1" outlineLevel="1" x14ac:dyDescent="0.25">
      <c r="A217" s="2145"/>
      <c r="C217" s="49"/>
      <c r="D217" s="2398"/>
      <c r="E217" s="2398"/>
      <c r="F217" s="2405" t="str">
        <f t="shared" si="47"/>
        <v>CAC-SEER19_ER1_SF</v>
      </c>
      <c r="G217" s="2405"/>
      <c r="H217" s="2405"/>
      <c r="I217" s="871" t="str">
        <f t="shared" si="48"/>
        <v>351170_2025_12_</v>
      </c>
      <c r="J217" s="1476">
        <f>IF(ISNUMBER(SEARCH("_ER",F217)),VLOOKUP(_xlfn.MAXIFS(Q$42:Q$51,Q$42:Q$51,"&lt;"&amp;L217),Q$42:T$51,4,FALSE),VLOOKUP(_xlfn.MAXIFS(Q$42:Q$51,Q$42:Q$51,"&lt;"&amp;L217),Q$42:T$51,2,FALSE))</f>
        <v>994.85487938259848</v>
      </c>
      <c r="K217" s="20">
        <f t="shared" si="49"/>
        <v>3.549074074074074</v>
      </c>
      <c r="L217" s="1121">
        <f>VLOOKUP(I217,$I$110:$J$132,2,FALSE)</f>
        <v>19.138095238095239</v>
      </c>
      <c r="M217" s="49"/>
      <c r="N217" s="532"/>
      <c r="O217" s="49"/>
      <c r="T217" s="50"/>
      <c r="U217" s="50"/>
      <c r="V217" s="2383"/>
      <c r="W217" s="183"/>
      <c r="X217" s="202"/>
      <c r="Y217" s="202"/>
      <c r="Z217" s="189">
        <v>1480.3920260187429</v>
      </c>
      <c r="AA217" s="128">
        <v>1480.3920260187429</v>
      </c>
      <c r="AB217" s="128">
        <v>1480.3920260187429</v>
      </c>
      <c r="AC217" s="189">
        <v>1664.4750171244996</v>
      </c>
      <c r="AD217" s="128">
        <v>1033.3333333333328</v>
      </c>
      <c r="AE217" s="189">
        <v>1777.1248451434149</v>
      </c>
      <c r="AF217" s="253">
        <v>994.85487938259848</v>
      </c>
      <c r="AG217" s="253">
        <f t="shared" ref="AG217:AG225" si="50">IF(J217&lt;&gt;"",J217,"")</f>
        <v>994.85487938259848</v>
      </c>
      <c r="DG217" s="1022"/>
      <c r="DH217" s="172"/>
      <c r="DI217" s="1020"/>
      <c r="DJ217" s="2045"/>
    </row>
    <row r="218" spans="1:114" ht="14.65" customHeight="1" outlineLevel="1" x14ac:dyDescent="0.25">
      <c r="A218" s="2145"/>
      <c r="C218" s="49"/>
      <c r="D218" s="2398"/>
      <c r="E218" s="2398"/>
      <c r="F218" s="2405" t="str">
        <f t="shared" si="47"/>
        <v>CAC-SEER19_ER2_SF</v>
      </c>
      <c r="G218" s="2405"/>
      <c r="H218" s="2405"/>
      <c r="I218" s="871" t="str">
        <f t="shared" si="48"/>
        <v>351170_2025_12_</v>
      </c>
      <c r="J218" s="128"/>
      <c r="K218" s="20">
        <f t="shared" si="49"/>
        <v>3.549074074074074</v>
      </c>
      <c r="L218" s="1307"/>
      <c r="M218" s="49"/>
      <c r="N218" s="532"/>
      <c r="O218" s="49"/>
      <c r="T218" s="50"/>
      <c r="U218" s="50"/>
      <c r="V218" s="2383"/>
      <c r="W218" s="183"/>
      <c r="X218" s="201"/>
      <c r="Y218" s="202"/>
      <c r="Z218" s="189"/>
      <c r="AA218" s="128"/>
      <c r="AB218" s="128"/>
      <c r="AC218" s="280"/>
      <c r="AD218" s="128"/>
      <c r="AE218" s="128"/>
      <c r="AF218" s="253" t="s">
        <v>935</v>
      </c>
      <c r="AG218" s="253" t="str">
        <f t="shared" si="50"/>
        <v/>
      </c>
      <c r="DG218" s="1022"/>
      <c r="DH218" s="172"/>
      <c r="DI218" s="1020"/>
      <c r="DJ218" s="2045"/>
    </row>
    <row r="219" spans="1:114" ht="14.65" customHeight="1" outlineLevel="1" x14ac:dyDescent="0.25">
      <c r="A219" s="2145"/>
      <c r="C219" s="49"/>
      <c r="D219" s="2398"/>
      <c r="E219" s="2398"/>
      <c r="F219" s="2405" t="str">
        <f t="shared" si="47"/>
        <v>CAC-SEER19_ROF_SF</v>
      </c>
      <c r="G219" s="2405"/>
      <c r="H219" s="2405"/>
      <c r="I219" s="871" t="str">
        <f t="shared" si="48"/>
        <v>351171_2025_12_</v>
      </c>
      <c r="J219" s="1476">
        <f>IF(ISNUMBER(SEARCH("_ER",F219)),VLOOKUP(_xlfn.MAXIFS(Q$42:Q$51,Q$42:Q$51,"&lt;"&amp;L219),Q$42:T$51,4,FALSE),VLOOKUP(_xlfn.MAXIFS(Q$42:Q$51,Q$42:Q$51,"&lt;"&amp;L219),Q$42:T$51,2,FALSE))</f>
        <v>920.90843768379273</v>
      </c>
      <c r="K219" s="20">
        <f t="shared" si="49"/>
        <v>3.4388888888888887</v>
      </c>
      <c r="L219" s="1121">
        <f>VLOOKUP(I219,$I$110:$J$132,2,FALSE)</f>
        <v>19.1875</v>
      </c>
      <c r="M219" s="49"/>
      <c r="N219" s="532"/>
      <c r="O219" s="49"/>
      <c r="T219" s="50"/>
      <c r="U219" s="50"/>
      <c r="V219" s="2383"/>
      <c r="W219" s="183"/>
      <c r="X219" s="202"/>
      <c r="Y219" s="202"/>
      <c r="Z219" s="189">
        <v>1033.3333333333328</v>
      </c>
      <c r="AA219" s="128">
        <v>1033.3333333333328</v>
      </c>
      <c r="AB219" s="128">
        <v>1033.3333333333328</v>
      </c>
      <c r="AC219" s="280">
        <v>1033.3333333333328</v>
      </c>
      <c r="AD219" s="128">
        <v>1033.3333333333328</v>
      </c>
      <c r="AE219" s="128">
        <v>1033.3333333333328</v>
      </c>
      <c r="AF219" s="253">
        <v>920.90843768379273</v>
      </c>
      <c r="AG219" s="253">
        <f t="shared" si="50"/>
        <v>920.90843768379273</v>
      </c>
      <c r="DG219" s="1022"/>
      <c r="DH219" s="172"/>
      <c r="DI219" s="1020"/>
      <c r="DJ219" s="2045"/>
    </row>
    <row r="220" spans="1:114" ht="14.65" customHeight="1" outlineLevel="1" x14ac:dyDescent="0.25">
      <c r="A220" s="2145"/>
      <c r="C220" s="49"/>
      <c r="D220" s="2398"/>
      <c r="E220" s="2398"/>
      <c r="F220" s="2405" t="str">
        <f t="shared" si="47"/>
        <v>CAC-SEER20_ER1_SF</v>
      </c>
      <c r="G220" s="2405"/>
      <c r="H220" s="2405"/>
      <c r="I220" s="871" t="str">
        <f t="shared" si="48"/>
        <v>351180_2024_12_</v>
      </c>
      <c r="J220" s="1476">
        <f>IF(ISNUMBER(SEARCH("_ER",F220)),VLOOKUP(_xlfn.MAXIFS(Q$42:Q$51,Q$42:Q$51,"&lt;"&amp;L220),Q$42:T$51,4,FALSE),VLOOKUP(_xlfn.MAXIFS(Q$42:Q$51,Q$42:Q$51,"&lt;"&amp;L220),Q$42:T$51,2,FALSE))</f>
        <v>1080.2617102968206</v>
      </c>
      <c r="K220" s="20">
        <f t="shared" si="49"/>
        <v>3.6090823970000003</v>
      </c>
      <c r="L220" s="1121">
        <f>VLOOKUP(I220,$I$110:$J$132,2,FALSE)</f>
        <v>20.110619469026549</v>
      </c>
      <c r="M220" s="49"/>
      <c r="N220" s="532"/>
      <c r="O220" s="49"/>
      <c r="T220" s="50"/>
      <c r="U220" s="50"/>
      <c r="V220" s="2383"/>
      <c r="W220" s="183"/>
      <c r="X220" s="202"/>
      <c r="Y220" s="202"/>
      <c r="Z220" s="189">
        <v>1687.0586926854098</v>
      </c>
      <c r="AA220" s="128">
        <v>1687.0586926854098</v>
      </c>
      <c r="AB220" s="128">
        <v>1687.0586926854098</v>
      </c>
      <c r="AC220" s="189">
        <v>1749.8037723605553</v>
      </c>
      <c r="AD220" s="128">
        <v>1239.9999999999995</v>
      </c>
      <c r="AE220" s="189">
        <v>1825.0843069662697</v>
      </c>
      <c r="AF220" s="253">
        <v>1080.2617102968206</v>
      </c>
      <c r="AG220" s="253">
        <f t="shared" si="50"/>
        <v>1080.2617102968206</v>
      </c>
      <c r="DG220" s="1022"/>
      <c r="DH220" s="172"/>
      <c r="DI220" s="1020"/>
      <c r="DJ220" s="2045"/>
    </row>
    <row r="221" spans="1:114" ht="14.65" customHeight="1" outlineLevel="1" x14ac:dyDescent="0.25">
      <c r="A221" s="2145"/>
      <c r="C221" s="49"/>
      <c r="D221" s="2398"/>
      <c r="E221" s="2398"/>
      <c r="F221" s="2405" t="str">
        <f t="shared" si="47"/>
        <v>CAC-SEER20_ER2_SF</v>
      </c>
      <c r="G221" s="2405"/>
      <c r="H221" s="2405"/>
      <c r="I221" s="871" t="str">
        <f t="shared" si="48"/>
        <v>351180_2024_12_</v>
      </c>
      <c r="J221" s="128"/>
      <c r="K221" s="20">
        <f t="shared" si="49"/>
        <v>3.6090823970000003</v>
      </c>
      <c r="L221" s="1307"/>
      <c r="M221" s="49"/>
      <c r="N221" s="532"/>
      <c r="O221" s="49"/>
      <c r="T221" s="50"/>
      <c r="U221" s="50"/>
      <c r="V221" s="2383"/>
      <c r="W221" s="183"/>
      <c r="X221" s="201"/>
      <c r="Y221" s="202"/>
      <c r="Z221" s="189"/>
      <c r="AA221" s="128"/>
      <c r="AB221" s="128"/>
      <c r="AC221" s="280"/>
      <c r="AD221" s="128"/>
      <c r="AE221" s="128"/>
      <c r="AF221" s="253" t="s">
        <v>935</v>
      </c>
      <c r="AG221" s="253" t="str">
        <f t="shared" si="50"/>
        <v/>
      </c>
      <c r="DG221" s="1022"/>
      <c r="DH221" s="172"/>
      <c r="DI221" s="1020"/>
      <c r="DJ221" s="2045"/>
    </row>
    <row r="222" spans="1:114" ht="14.65" customHeight="1" outlineLevel="1" x14ac:dyDescent="0.25">
      <c r="A222" s="2145"/>
      <c r="C222" s="49"/>
      <c r="D222" s="2398"/>
      <c r="E222" s="2398"/>
      <c r="F222" s="2405" t="str">
        <f t="shared" si="47"/>
        <v>CAC-SEER20_ROF_SF</v>
      </c>
      <c r="G222" s="2405"/>
      <c r="H222" s="2405"/>
      <c r="I222" s="871" t="str">
        <f t="shared" si="48"/>
        <v>351181_2024_12_</v>
      </c>
      <c r="J222" s="1476">
        <f>IF(ISNUMBER(SEARCH("_ER",F222)),VLOOKUP(_xlfn.MAXIFS(Q$42:Q$51,Q$42:Q$51,"&lt;"&amp;L222),Q$42:T$51,4,FALSE),VLOOKUP(_xlfn.MAXIFS(Q$42:Q$51,Q$42:Q$51,"&lt;"&amp;L222),Q$42:T$51,2,FALSE))</f>
        <v>1006.3152685980149</v>
      </c>
      <c r="K222" s="20">
        <f t="shared" si="49"/>
        <v>3.7737500000000002</v>
      </c>
      <c r="L222" s="1121">
        <f>VLOOKUP(I222,$I$110:$J$132,2,FALSE)</f>
        <v>20.015625</v>
      </c>
      <c r="M222" s="49"/>
      <c r="N222" s="532"/>
      <c r="O222" s="49"/>
      <c r="T222" s="50"/>
      <c r="U222" s="50"/>
      <c r="V222" s="2383"/>
      <c r="W222" s="128"/>
      <c r="X222" s="202"/>
      <c r="Y222" s="202"/>
      <c r="Z222" s="189">
        <v>1239.9999999999995</v>
      </c>
      <c r="AA222" s="128">
        <v>1239.9999999999995</v>
      </c>
      <c r="AB222" s="128">
        <v>1239.9999999999995</v>
      </c>
      <c r="AC222" s="280">
        <v>1239.9999999999995</v>
      </c>
      <c r="AD222" s="128">
        <v>1239.9999999999995</v>
      </c>
      <c r="AE222" s="128">
        <v>1239.9999999999995</v>
      </c>
      <c r="AF222" s="253">
        <v>1006.3152685980149</v>
      </c>
      <c r="AG222" s="253">
        <f t="shared" si="50"/>
        <v>1006.3152685980149</v>
      </c>
      <c r="DG222" s="1022"/>
      <c r="DH222" s="172"/>
      <c r="DI222" s="1020"/>
      <c r="DJ222" s="2045"/>
    </row>
    <row r="223" spans="1:114" ht="14.65" customHeight="1" outlineLevel="1" x14ac:dyDescent="0.25">
      <c r="A223" s="2145"/>
      <c r="C223" s="49"/>
      <c r="D223" s="2398"/>
      <c r="E223" s="2398"/>
      <c r="F223" s="2405" t="str">
        <f t="shared" si="47"/>
        <v>CAC-SEER21+_ER1_SF</v>
      </c>
      <c r="G223" s="2405"/>
      <c r="H223" s="2405"/>
      <c r="I223" s="871" t="str">
        <f t="shared" si="48"/>
        <v>351190_2024_12_</v>
      </c>
      <c r="J223" s="1476">
        <f>IF(ISNUMBER(SEARCH("_ER",F223)),VLOOKUP(_xlfn.MAXIFS(Q$42:Q$51,Q$42:Q$51,"&lt;"&amp;L223),Q$42:T$51,4,FALSE),VLOOKUP(_xlfn.MAXIFS(Q$42:Q$51,Q$42:Q$51,"&lt;"&amp;L223),Q$42:T$51,2,FALSE))</f>
        <v>1193.5185947700302</v>
      </c>
      <c r="K223" s="20">
        <f t="shared" si="49"/>
        <v>3.297874149663266</v>
      </c>
      <c r="L223" s="1121">
        <f>VLOOKUP(I223,$I$110:$J$132,2,FALSE)</f>
        <v>22.131818181818183</v>
      </c>
      <c r="M223" s="49"/>
      <c r="N223" s="532"/>
      <c r="O223" s="49"/>
      <c r="T223" s="50"/>
      <c r="U223" s="50"/>
      <c r="V223" s="2383"/>
      <c r="W223" s="183"/>
      <c r="X223" s="202"/>
      <c r="Y223" s="202"/>
      <c r="Z223" s="189">
        <v>1893.7253593520759</v>
      </c>
      <c r="AA223" s="128">
        <v>1893.7253593520759</v>
      </c>
      <c r="AB223" s="128">
        <v>1893.7253593520759</v>
      </c>
      <c r="AC223" s="189">
        <v>1943.075994258907</v>
      </c>
      <c r="AD223" s="128">
        <v>1446.6666666666663</v>
      </c>
      <c r="AE223" s="189">
        <v>2003.7100347143987</v>
      </c>
      <c r="AF223" s="253">
        <v>1193.5185947700302</v>
      </c>
      <c r="AG223" s="253">
        <f t="shared" si="50"/>
        <v>1193.5185947700302</v>
      </c>
      <c r="DG223" s="1022"/>
      <c r="DH223" s="172"/>
      <c r="DI223" s="1020"/>
      <c r="DJ223" s="2045"/>
    </row>
    <row r="224" spans="1:114" ht="14.65" customHeight="1" outlineLevel="1" x14ac:dyDescent="0.25">
      <c r="A224" s="2145"/>
      <c r="C224" s="49"/>
      <c r="D224" s="2398"/>
      <c r="E224" s="2398"/>
      <c r="F224" s="2405" t="str">
        <f t="shared" si="47"/>
        <v>CAC-SEER21+_ER2_SF</v>
      </c>
      <c r="G224" s="2405"/>
      <c r="H224" s="2405"/>
      <c r="I224" s="871" t="str">
        <f t="shared" si="48"/>
        <v>351190_2024_12_</v>
      </c>
      <c r="J224" s="128"/>
      <c r="K224" s="20">
        <f t="shared" si="49"/>
        <v>3.297874149663266</v>
      </c>
      <c r="L224" s="1307"/>
      <c r="M224" s="49"/>
      <c r="N224" s="532"/>
      <c r="O224" s="49"/>
      <c r="T224" s="50"/>
      <c r="U224" s="50"/>
      <c r="V224" s="2383"/>
      <c r="W224" s="183"/>
      <c r="X224" s="201"/>
      <c r="Y224" s="202"/>
      <c r="Z224" s="189"/>
      <c r="AA224" s="128"/>
      <c r="AB224" s="128"/>
      <c r="AC224" s="280"/>
      <c r="AD224" s="128"/>
      <c r="AE224" s="128"/>
      <c r="AF224" s="253" t="s">
        <v>935</v>
      </c>
      <c r="AG224" s="253" t="str">
        <f t="shared" si="50"/>
        <v/>
      </c>
      <c r="DG224" s="1022"/>
      <c r="DH224" s="172"/>
      <c r="DI224" s="1020"/>
      <c r="DJ224" s="2045"/>
    </row>
    <row r="225" spans="1:114" ht="14.65" customHeight="1" outlineLevel="1" x14ac:dyDescent="0.25">
      <c r="A225" s="2145"/>
      <c r="C225" s="49"/>
      <c r="D225" s="2398"/>
      <c r="E225" s="2398"/>
      <c r="F225" s="2405" t="str">
        <f t="shared" si="47"/>
        <v>CAC-SEER21+_ROF_SF</v>
      </c>
      <c r="G225" s="2405"/>
      <c r="H225" s="2405"/>
      <c r="I225" s="871" t="str">
        <f t="shared" si="48"/>
        <v>351191_2024_12_</v>
      </c>
      <c r="J225" s="1476">
        <f>IF(ISNUMBER(SEARCH("_ER",F225)),VLOOKUP(_xlfn.MAXIFS(Q$42:Q$51,Q$42:Q$51,"&lt;"&amp;L225),Q$42:T$51,4,FALSE),VLOOKUP(_xlfn.MAXIFS(Q$42:Q$51,Q$42:Q$51,"&lt;"&amp;L225),Q$42:T$51,2,FALSE))</f>
        <v>1240.2557184934958</v>
      </c>
      <c r="K225" s="20">
        <f t="shared" si="49"/>
        <v>3.376689189189189</v>
      </c>
      <c r="L225" s="1121">
        <f>VLOOKUP(I225,$I$110:$J$132,2,FALSE)</f>
        <v>22.6</v>
      </c>
      <c r="M225" s="49"/>
      <c r="N225" s="532"/>
      <c r="O225" s="49"/>
      <c r="T225" s="50"/>
      <c r="U225" s="50"/>
      <c r="V225" s="2383"/>
      <c r="W225" s="183"/>
      <c r="X225" s="202"/>
      <c r="Y225" s="202"/>
      <c r="Z225" s="189">
        <v>1446.6666666666663</v>
      </c>
      <c r="AA225" s="128">
        <v>1446.6666666666663</v>
      </c>
      <c r="AB225" s="128">
        <v>1446.6666666666663</v>
      </c>
      <c r="AC225" s="280">
        <v>1446.6666666666663</v>
      </c>
      <c r="AD225" s="128">
        <v>1446.6666666666663</v>
      </c>
      <c r="AE225" s="128">
        <v>1446.6666666666663</v>
      </c>
      <c r="AF225" s="253">
        <v>1240.2557184934958</v>
      </c>
      <c r="AG225" s="253">
        <f t="shared" si="50"/>
        <v>1240.2557184934958</v>
      </c>
      <c r="DG225" s="1022"/>
      <c r="DH225" s="172"/>
      <c r="DI225" s="1020"/>
      <c r="DJ225" s="2045"/>
    </row>
    <row r="226" spans="1:114" x14ac:dyDescent="0.25">
      <c r="A226" s="2145"/>
      <c r="C226" s="49"/>
      <c r="D226" s="100"/>
      <c r="E226" s="100"/>
      <c r="G226" s="100"/>
      <c r="L226" s="49"/>
      <c r="M226" s="49"/>
      <c r="N226" s="49"/>
      <c r="O226" s="49"/>
      <c r="P226" s="49"/>
      <c r="Q226" s="49"/>
      <c r="T226" s="50"/>
      <c r="U226" s="50"/>
      <c r="V226" s="50"/>
      <c r="DG226" s="543"/>
      <c r="DH226" s="172"/>
      <c r="DI226" s="1020"/>
      <c r="DJ226" s="2045"/>
    </row>
    <row r="227" spans="1:114" x14ac:dyDescent="0.25">
      <c r="A227" s="2145"/>
      <c r="C227" s="49"/>
      <c r="D227" s="100"/>
      <c r="E227" s="100"/>
      <c r="G227" s="100"/>
      <c r="H227" s="49"/>
      <c r="I227" s="49"/>
      <c r="J227" s="49"/>
      <c r="K227" s="49"/>
      <c r="L227" s="49"/>
      <c r="M227" s="49"/>
      <c r="T227" s="50"/>
      <c r="U227" s="50"/>
      <c r="V227" s="50"/>
      <c r="DG227" s="543"/>
      <c r="DH227" s="172"/>
      <c r="DI227" s="1020"/>
      <c r="DJ227" s="2045"/>
    </row>
    <row r="228" spans="1:114" x14ac:dyDescent="0.25">
      <c r="A228" s="2145"/>
      <c r="B228" s="1234" t="s">
        <v>947</v>
      </c>
      <c r="C228" s="203"/>
      <c r="D228" s="1235"/>
      <c r="E228" s="1235"/>
      <c r="F228" s="1235"/>
      <c r="G228" s="1235"/>
      <c r="H228" s="1235"/>
      <c r="I228" s="1235"/>
      <c r="J228" s="1235"/>
      <c r="K228" s="1235"/>
      <c r="L228" s="1235"/>
      <c r="M228" s="1235"/>
      <c r="N228" s="1229"/>
      <c r="O228" s="1229"/>
      <c r="P228" s="1229"/>
      <c r="Q228" s="1230"/>
      <c r="T228" s="50"/>
      <c r="U228" s="50"/>
      <c r="V228" s="2339" t="str">
        <f>B228</f>
        <v>Mini/Multi-Split Heat Pumps and Air Conditioners</v>
      </c>
      <c r="W228" s="2340"/>
      <c r="X228" s="2340"/>
      <c r="Y228" s="2340"/>
      <c r="Z228" s="2340"/>
      <c r="AA228" s="2340"/>
      <c r="AB228" s="2340"/>
      <c r="AC228" s="2341"/>
      <c r="AD228" s="2341"/>
      <c r="AE228" s="2341"/>
      <c r="AF228" s="2341"/>
      <c r="AG228" s="2341"/>
      <c r="AH228" s="2342"/>
      <c r="DG228" s="543"/>
      <c r="DH228" s="172"/>
      <c r="DI228" s="1020"/>
      <c r="DJ228" s="2045"/>
    </row>
    <row r="229" spans="1:114" x14ac:dyDescent="0.25">
      <c r="A229" s="2145"/>
      <c r="C229" s="49"/>
      <c r="D229" s="100"/>
      <c r="E229" s="100"/>
      <c r="G229" s="100"/>
      <c r="H229" s="49"/>
      <c r="I229" s="49"/>
      <c r="J229" s="49"/>
      <c r="K229" s="49"/>
      <c r="L229" s="49"/>
      <c r="M229" s="49"/>
      <c r="T229" s="50"/>
      <c r="U229" s="50"/>
      <c r="V229" s="50"/>
      <c r="DG229" s="543"/>
      <c r="DH229" s="172"/>
      <c r="DI229" s="1020"/>
      <c r="DJ229" s="2045"/>
    </row>
    <row r="230" spans="1:114" ht="30" x14ac:dyDescent="0.25">
      <c r="A230" s="2145"/>
      <c r="C230" s="1270" t="s">
        <v>43</v>
      </c>
      <c r="D230" s="1270" t="s">
        <v>597</v>
      </c>
      <c r="E230" s="1270" t="s">
        <v>45</v>
      </c>
      <c r="F230" s="1270" t="s">
        <v>46</v>
      </c>
      <c r="G230" s="1270" t="s">
        <v>47</v>
      </c>
      <c r="H230" s="1270" t="s">
        <v>48</v>
      </c>
      <c r="I230" s="1270" t="s">
        <v>49</v>
      </c>
      <c r="J230" s="1295" t="s">
        <v>50</v>
      </c>
      <c r="K230" s="1270" t="s">
        <v>51</v>
      </c>
      <c r="L230" s="1270" t="s">
        <v>860</v>
      </c>
      <c r="T230" s="50"/>
      <c r="U230" s="50"/>
      <c r="V230" s="162" t="s">
        <v>53</v>
      </c>
      <c r="W230" s="637">
        <f>W$7</f>
        <v>43252</v>
      </c>
      <c r="X230" s="637">
        <f t="shared" ref="X230:AG230" si="51">X$7</f>
        <v>43800</v>
      </c>
      <c r="Y230" s="637">
        <f t="shared" si="51"/>
        <v>43800</v>
      </c>
      <c r="Z230" s="637">
        <f t="shared" si="51"/>
        <v>43862</v>
      </c>
      <c r="AA230" s="637">
        <f t="shared" si="51"/>
        <v>44013</v>
      </c>
      <c r="AB230" s="637">
        <f t="shared" si="51"/>
        <v>44166</v>
      </c>
      <c r="AC230" s="637">
        <f t="shared" si="51"/>
        <v>44531</v>
      </c>
      <c r="AD230" s="637">
        <f t="shared" si="51"/>
        <v>44774</v>
      </c>
      <c r="AE230" s="637">
        <f t="shared" si="51"/>
        <v>45139</v>
      </c>
      <c r="AF230" s="637">
        <f t="shared" si="51"/>
        <v>45672</v>
      </c>
      <c r="AG230" s="110">
        <f t="shared" si="51"/>
        <v>45931</v>
      </c>
      <c r="DG230" s="1007" t="str">
        <f>'Efficient Products Deemed Table'!$DG$6</f>
        <v>TRC (2025)</v>
      </c>
      <c r="DH230" s="1007" t="str">
        <f>'Efficient Products Deemed Table'!$DH$6</f>
        <v>Benefit Lookup</v>
      </c>
      <c r="DI230" s="1007" t="str">
        <f>'Efficient Products Deemed Table'!$DI$6</f>
        <v>Benefits (2025 $)</v>
      </c>
      <c r="DJ230" s="1007" t="str">
        <f>'Efficient Products Deemed Table'!$DJ$6</f>
        <v>Incremental Cost (2025 $)</v>
      </c>
    </row>
    <row r="231" spans="1:114" x14ac:dyDescent="0.25">
      <c r="A231" s="2146" t="s">
        <v>861</v>
      </c>
      <c r="B231" s="1318">
        <f t="shared" ref="B231:B255" si="52">VALUE(LEFT(C231,6))</f>
        <v>351200</v>
      </c>
      <c r="C231" s="18" t="s">
        <v>948</v>
      </c>
      <c r="D231" s="1974" t="s">
        <v>863</v>
      </c>
      <c r="E231" s="1240" t="s">
        <v>949</v>
      </c>
      <c r="F231" s="681">
        <f>ROUND((($J$315*$J$325*(1/$J$345-1/$J$355))/1000)*$J$365*$J$390,2)</f>
        <v>1227.25</v>
      </c>
      <c r="G231" s="526" t="s">
        <v>694</v>
      </c>
      <c r="H231" s="66">
        <f>VLOOKUP(G231,'CP FACTORS'!$A$3:$B$38, 2, FALSE)</f>
        <v>9.4741810000000004E-4</v>
      </c>
      <c r="I231" s="43">
        <f>ROUND(F231*H231,6)</f>
        <v>1.1627190000000001</v>
      </c>
      <c r="J231" s="44">
        <f t="shared" ref="J231:J251" si="53">J391</f>
        <v>6</v>
      </c>
      <c r="K231" s="128">
        <f t="shared" ref="K231:K253" si="54">J416</f>
        <v>683.91788099116957</v>
      </c>
      <c r="L231" s="666">
        <f>K315</f>
        <v>1.75</v>
      </c>
      <c r="M231" s="531"/>
      <c r="R231" s="510"/>
      <c r="T231" s="50"/>
      <c r="U231" s="50"/>
      <c r="V231" s="1249" t="s">
        <v>46</v>
      </c>
      <c r="W231" s="896">
        <v>2022.4940476190473</v>
      </c>
      <c r="X231" s="184">
        <v>1807.7600345274061</v>
      </c>
      <c r="Y231" s="204">
        <v>1320.98</v>
      </c>
      <c r="Z231" s="685">
        <v>1320.98</v>
      </c>
      <c r="AA231" s="685">
        <v>1320.98</v>
      </c>
      <c r="AB231" s="889">
        <v>1320.98</v>
      </c>
      <c r="AC231" s="646">
        <v>696.9</v>
      </c>
      <c r="AD231" s="776">
        <v>1227.25</v>
      </c>
      <c r="AE231" s="681">
        <v>1227.25</v>
      </c>
      <c r="AF231" s="253">
        <v>1227.25</v>
      </c>
      <c r="AG231" s="253">
        <f>IF(F231&lt;&gt;"",F231,"")</f>
        <v>1227.25</v>
      </c>
      <c r="AH231" s="114"/>
      <c r="AI231" s="114"/>
      <c r="DG231" s="930">
        <f>(DI231+DI232)/(DJ231+DJ232)</f>
        <v>2.397703376394094</v>
      </c>
      <c r="DH231" s="1240" t="str">
        <f t="shared" ref="DH231:DH255" si="55">CONCATENATE(G231," ",J231," Year EUL")</f>
        <v>Cooling RES 6 Year EUL</v>
      </c>
      <c r="DI231" s="1016">
        <f>(INDEX('Avoided Cost Benefits'!$B$4:$B$866,MATCH(DH231,'Avoided Cost Benefits'!$A$4:$A$866,0)))*F231</f>
        <v>1222.1545774409906</v>
      </c>
      <c r="DJ231" s="2052">
        <f t="shared" ref="DJ231:DJ255" si="56">IFERROR(K231/((1+DiscountRate)^(CurrentYear-DiscountYear)),0)</f>
        <v>683.91788099116957</v>
      </c>
    </row>
    <row r="232" spans="1:114" x14ac:dyDescent="0.25">
      <c r="A232" s="2146" t="s">
        <v>861</v>
      </c>
      <c r="B232" s="1318">
        <f t="shared" si="52"/>
        <v>351200</v>
      </c>
      <c r="C232" s="18" t="s">
        <v>948</v>
      </c>
      <c r="D232" s="1974" t="s">
        <v>863</v>
      </c>
      <c r="E232" s="1241" t="s">
        <v>950</v>
      </c>
      <c r="F232" s="681">
        <f>ROUND((($J$315*$J$325*(1/$J$335-1/$J$355))/1000)*$J$366*$J$390,2)</f>
        <v>322.8</v>
      </c>
      <c r="G232" s="526" t="s">
        <v>866</v>
      </c>
      <c r="H232" s="66">
        <f>VLOOKUP(G232,'CP FACTORS'!$A$3:$B$38, 2, FALSE)</f>
        <v>9.4741810000000004E-4</v>
      </c>
      <c r="I232" s="43">
        <f t="shared" ref="I232:I255" si="57">ROUND(F232*H232,6)</f>
        <v>0.30582700000000002</v>
      </c>
      <c r="J232" s="44">
        <f t="shared" si="53"/>
        <v>12</v>
      </c>
      <c r="K232" s="128">
        <f t="shared" si="54"/>
        <v>0</v>
      </c>
      <c r="L232" s="186"/>
      <c r="M232" s="531"/>
      <c r="R232" s="510"/>
      <c r="T232" s="50"/>
      <c r="U232" s="50"/>
      <c r="V232" s="1249" t="s">
        <v>46</v>
      </c>
      <c r="W232" s="896">
        <v>572.25082417582416</v>
      </c>
      <c r="X232" s="184">
        <v>528.13366090103261</v>
      </c>
      <c r="Y232" s="204">
        <v>385.92</v>
      </c>
      <c r="Z232" s="685">
        <v>385.92</v>
      </c>
      <c r="AA232" s="685">
        <v>385.92</v>
      </c>
      <c r="AB232" s="889">
        <v>385.92</v>
      </c>
      <c r="AC232" s="646">
        <v>269.27</v>
      </c>
      <c r="AD232" s="776">
        <v>353.42</v>
      </c>
      <c r="AE232" s="124">
        <v>280.14999999999998</v>
      </c>
      <c r="AF232" s="253">
        <v>322.8</v>
      </c>
      <c r="AG232" s="253">
        <f t="shared" ref="AG232:AG255" si="58">IF(F232&lt;&gt;"",F232,"")</f>
        <v>322.8</v>
      </c>
      <c r="AH232" s="114"/>
      <c r="AI232" s="114"/>
      <c r="DG232" s="1021"/>
      <c r="DH232" s="1241" t="str">
        <f t="shared" si="55"/>
        <v>Cooling RES ER2 12 Year EUL</v>
      </c>
      <c r="DI232" s="1020">
        <f>(INDEX('Avoided Cost Benefits'!$B$4:$B$866,MATCH(DH232,'Avoided Cost Benefits'!$A$4:$A$866,0)))*F232</f>
        <v>417.6776349878308</v>
      </c>
      <c r="DJ232" s="2051">
        <f t="shared" si="56"/>
        <v>0</v>
      </c>
    </row>
    <row r="233" spans="1:114" x14ac:dyDescent="0.25">
      <c r="A233" s="2146" t="s">
        <v>861</v>
      </c>
      <c r="B233" s="1318">
        <f t="shared" si="52"/>
        <v>351250</v>
      </c>
      <c r="C233" s="18" t="s">
        <v>951</v>
      </c>
      <c r="D233" s="1974" t="s">
        <v>863</v>
      </c>
      <c r="E233" s="1239" t="s">
        <v>952</v>
      </c>
      <c r="F233" s="681">
        <f>ROUND((($J$316*$J$326*(1/$J$336-1/$J$356))/1000)*$J$367*$J$390,2)</f>
        <v>240.28</v>
      </c>
      <c r="G233" s="98" t="s">
        <v>694</v>
      </c>
      <c r="H233" s="66">
        <f>VLOOKUP(G233,'CP FACTORS'!$A$3:$B$38, 2, FALSE)</f>
        <v>9.4741810000000004E-4</v>
      </c>
      <c r="I233" s="43">
        <f t="shared" si="57"/>
        <v>0.22764599999999999</v>
      </c>
      <c r="J233" s="44">
        <f t="shared" si="53"/>
        <v>18</v>
      </c>
      <c r="K233" s="128">
        <f t="shared" si="54"/>
        <v>543.7067546700647</v>
      </c>
      <c r="L233" s="186">
        <f>K316</f>
        <v>1.0555555555555556</v>
      </c>
      <c r="M233" s="531"/>
      <c r="R233" s="510"/>
      <c r="T233" s="50"/>
      <c r="U233" s="50"/>
      <c r="V233" s="1249" t="s">
        <v>46</v>
      </c>
      <c r="W233" s="896">
        <v>1875.936507936508</v>
      </c>
      <c r="X233" s="184">
        <v>1807.7600345274061</v>
      </c>
      <c r="Y233" s="204">
        <v>1320.98</v>
      </c>
      <c r="Z233" s="685">
        <v>1320.98</v>
      </c>
      <c r="AA233" s="685">
        <v>1320.98</v>
      </c>
      <c r="AB233" s="627">
        <v>332.95</v>
      </c>
      <c r="AC233" s="646">
        <v>329.12</v>
      </c>
      <c r="AD233" s="776">
        <v>258.75</v>
      </c>
      <c r="AE233" s="124">
        <v>214.55</v>
      </c>
      <c r="AF233" s="253">
        <v>240.28</v>
      </c>
      <c r="AG233" s="253">
        <f t="shared" si="58"/>
        <v>240.28</v>
      </c>
      <c r="AH233" s="114"/>
      <c r="AI233" s="114"/>
      <c r="DG233" s="629">
        <f>(DI233)/(DJ233)</f>
        <v>1.0119161965158152</v>
      </c>
      <c r="DH233" s="1239" t="str">
        <f t="shared" si="55"/>
        <v>Cooling RES 18 Year EUL</v>
      </c>
      <c r="DI233" s="1020">
        <f>(INDEX('Avoided Cost Benefits'!$B$4:$B$866,MATCH(DH233,'Avoided Cost Benefits'!$A$4:$A$866,0)))*F233</f>
        <v>550.18567120568935</v>
      </c>
      <c r="DJ233" s="2051">
        <f t="shared" si="56"/>
        <v>543.7067546700647</v>
      </c>
    </row>
    <row r="234" spans="1:114" x14ac:dyDescent="0.25">
      <c r="A234" s="2146" t="s">
        <v>861</v>
      </c>
      <c r="B234" s="1318">
        <f t="shared" si="52"/>
        <v>351300</v>
      </c>
      <c r="C234" s="18" t="s">
        <v>953</v>
      </c>
      <c r="D234" s="1974" t="s">
        <v>863</v>
      </c>
      <c r="E234" s="1240" t="s">
        <v>954</v>
      </c>
      <c r="F234" s="681">
        <f>ROUND((($J$317*$J$327*(1/$J$337-1/$J$357))/1000)*$J$368*$J$390,2)</f>
        <v>251.78</v>
      </c>
      <c r="G234" s="98" t="s">
        <v>694</v>
      </c>
      <c r="H234" s="66">
        <f>VLOOKUP(G234,'CP FACTORS'!$A$3:$B$38, 2, FALSE)</f>
        <v>9.4741810000000004E-4</v>
      </c>
      <c r="I234" s="43">
        <f t="shared" si="57"/>
        <v>0.238541</v>
      </c>
      <c r="J234" s="44">
        <f t="shared" si="53"/>
        <v>18</v>
      </c>
      <c r="K234" s="128">
        <f t="shared" si="54"/>
        <v>543.7067546700647</v>
      </c>
      <c r="L234" s="186">
        <f>K317</f>
        <v>1.3282828282828283</v>
      </c>
      <c r="M234" s="531"/>
      <c r="R234" s="510"/>
      <c r="T234" s="50"/>
      <c r="U234" s="50"/>
      <c r="V234" s="1249" t="s">
        <v>46</v>
      </c>
      <c r="W234" s="896">
        <v>548.43293798712307</v>
      </c>
      <c r="X234" s="184">
        <v>528.13366090103261</v>
      </c>
      <c r="Y234" s="205">
        <v>214.85</v>
      </c>
      <c r="Z234" s="686">
        <v>214.85</v>
      </c>
      <c r="AA234" s="686">
        <v>214.85</v>
      </c>
      <c r="AB234" s="889">
        <v>214.85</v>
      </c>
      <c r="AC234" s="646">
        <v>305.98</v>
      </c>
      <c r="AD234" s="776">
        <v>307.27999999999997</v>
      </c>
      <c r="AE234" s="124">
        <v>242.16</v>
      </c>
      <c r="AF234" s="253">
        <v>251.78</v>
      </c>
      <c r="AG234" s="253">
        <f t="shared" si="58"/>
        <v>251.78</v>
      </c>
      <c r="AH234" s="114"/>
      <c r="AI234" s="114"/>
      <c r="DG234" s="1019">
        <f>(DI234+DI235)/(DJ234+DJ235)</f>
        <v>2.0823125947678669</v>
      </c>
      <c r="DH234" s="1240" t="str">
        <f t="shared" si="55"/>
        <v>Cooling RES 18 Year EUL</v>
      </c>
      <c r="DI234" s="1020">
        <f>(INDEX('Avoided Cost Benefits'!$B$4:$B$866,MATCH(DH234,'Avoided Cost Benefits'!$A$4:$A$866,0)))*F234</f>
        <v>576.5180135515584</v>
      </c>
      <c r="DJ234" s="2051">
        <f t="shared" si="56"/>
        <v>543.7067546700647</v>
      </c>
    </row>
    <row r="235" spans="1:114" x14ac:dyDescent="0.25">
      <c r="A235" s="2146" t="s">
        <v>861</v>
      </c>
      <c r="B235" s="1318">
        <f t="shared" si="52"/>
        <v>351300</v>
      </c>
      <c r="C235" s="18" t="s">
        <v>953</v>
      </c>
      <c r="D235" s="1974" t="s">
        <v>863</v>
      </c>
      <c r="E235" s="1241" t="s">
        <v>954</v>
      </c>
      <c r="F235" s="681">
        <f>ROUND((($J$267*$J$277*(1/$J$287-1/$J$307))/1000)*$J$369*$J$390,2)</f>
        <v>916.8</v>
      </c>
      <c r="G235" s="98" t="s">
        <v>695</v>
      </c>
      <c r="H235" s="66">
        <f>VLOOKUP(G235,'CP FACTORS'!$A$3:$B$38, 2, FALSE)</f>
        <v>0</v>
      </c>
      <c r="I235" s="43">
        <f t="shared" si="57"/>
        <v>0</v>
      </c>
      <c r="J235" s="44">
        <f t="shared" si="53"/>
        <v>18</v>
      </c>
      <c r="K235" s="128">
        <f t="shared" si="54"/>
        <v>0</v>
      </c>
      <c r="L235" s="186"/>
      <c r="M235" s="531"/>
      <c r="R235" s="510"/>
      <c r="T235" s="50"/>
      <c r="U235" s="50"/>
      <c r="V235" s="1249" t="s">
        <v>46</v>
      </c>
      <c r="W235" s="896">
        <v>1059.3684210526314</v>
      </c>
      <c r="X235" s="184">
        <v>905.10385245195232</v>
      </c>
      <c r="Y235" s="205">
        <v>513.91</v>
      </c>
      <c r="Z235" s="686">
        <v>513.91</v>
      </c>
      <c r="AA235" s="686">
        <v>513.91</v>
      </c>
      <c r="AB235" s="889">
        <v>513.91</v>
      </c>
      <c r="AC235" s="646">
        <v>632.35</v>
      </c>
      <c r="AD235" s="776">
        <v>694.54</v>
      </c>
      <c r="AE235" s="124">
        <v>572.32000000000005</v>
      </c>
      <c r="AF235" s="253">
        <v>916.8</v>
      </c>
      <c r="AG235" s="253">
        <f t="shared" si="58"/>
        <v>916.8</v>
      </c>
      <c r="AH235" s="114"/>
      <c r="AI235" s="114"/>
      <c r="DG235" s="1021"/>
      <c r="DH235" s="1241" t="str">
        <f t="shared" si="55"/>
        <v>Heating RES 18 Year EUL</v>
      </c>
      <c r="DI235" s="1020">
        <f>(INDEX('Avoided Cost Benefits'!$B$4:$B$866,MATCH(DH235,'Avoided Cost Benefits'!$A$4:$A$866,0)))*F235</f>
        <v>555.64940955828001</v>
      </c>
      <c r="DJ235" s="2051">
        <f t="shared" si="56"/>
        <v>0</v>
      </c>
    </row>
    <row r="236" spans="1:114" x14ac:dyDescent="0.25">
      <c r="A236" s="2146" t="s">
        <v>861</v>
      </c>
      <c r="B236" s="1318">
        <f t="shared" si="52"/>
        <v>351350</v>
      </c>
      <c r="C236" s="18" t="s">
        <v>955</v>
      </c>
      <c r="D236" s="1974" t="s">
        <v>863</v>
      </c>
      <c r="E236" s="1240" t="s">
        <v>956</v>
      </c>
      <c r="F236" s="681">
        <f>ROUND((($J$318*$J$328*(1/$J$338-1/$J$358))/1000)*$J$370*$J$390,2)</f>
        <v>251.78</v>
      </c>
      <c r="G236" s="98" t="s">
        <v>694</v>
      </c>
      <c r="H236" s="66">
        <f>VLOOKUP(G236,'CP FACTORS'!$A$3:$B$38, 2, FALSE)</f>
        <v>9.4741810000000004E-4</v>
      </c>
      <c r="I236" s="43">
        <f t="shared" si="57"/>
        <v>0.238541</v>
      </c>
      <c r="J236" s="44">
        <f t="shared" si="53"/>
        <v>18</v>
      </c>
      <c r="K236" s="128">
        <f t="shared" si="54"/>
        <v>543.7067546700647</v>
      </c>
      <c r="L236" s="186">
        <f>K318</f>
        <v>1.3282828282828283</v>
      </c>
      <c r="M236" s="531"/>
      <c r="R236" s="510"/>
      <c r="T236" s="50"/>
      <c r="U236" s="50"/>
      <c r="V236" s="1249" t="s">
        <v>46</v>
      </c>
      <c r="W236" s="896">
        <v>548.43293798712307</v>
      </c>
      <c r="X236" s="184">
        <v>528.13366090103261</v>
      </c>
      <c r="Y236" s="205">
        <v>214.85</v>
      </c>
      <c r="Z236" s="686">
        <v>214.85</v>
      </c>
      <c r="AA236" s="686">
        <v>214.85</v>
      </c>
      <c r="AB236" s="627">
        <v>312.66000000000003</v>
      </c>
      <c r="AC236" s="646">
        <v>296.29000000000002</v>
      </c>
      <c r="AD236" s="776">
        <v>307.27999999999997</v>
      </c>
      <c r="AE236" s="124">
        <v>242.16</v>
      </c>
      <c r="AF236" s="253">
        <v>251.78</v>
      </c>
      <c r="AG236" s="253">
        <f t="shared" si="58"/>
        <v>251.78</v>
      </c>
      <c r="AH236" s="114"/>
      <c r="AI236" s="114"/>
      <c r="DG236" s="1019">
        <f>(DI236+DI237)/(DJ236+DJ237)</f>
        <v>2.0823125947678669</v>
      </c>
      <c r="DH236" s="1240" t="str">
        <f t="shared" si="55"/>
        <v>Cooling RES 18 Year EUL</v>
      </c>
      <c r="DI236" s="1020">
        <f>(INDEX('Avoided Cost Benefits'!$B$4:$B$866,MATCH(DH236,'Avoided Cost Benefits'!$A$4:$A$866,0)))*F236</f>
        <v>576.5180135515584</v>
      </c>
      <c r="DJ236" s="2051">
        <f t="shared" si="56"/>
        <v>543.7067546700647</v>
      </c>
    </row>
    <row r="237" spans="1:114" x14ac:dyDescent="0.25">
      <c r="A237" s="2146" t="s">
        <v>861</v>
      </c>
      <c r="B237" s="1318">
        <f t="shared" si="52"/>
        <v>351350</v>
      </c>
      <c r="C237" s="18" t="s">
        <v>955</v>
      </c>
      <c r="D237" s="1974" t="s">
        <v>863</v>
      </c>
      <c r="E237" s="1241" t="s">
        <v>956</v>
      </c>
      <c r="F237" s="681">
        <f>ROUND((($J$268*$J$278*(1/$J$288-1/$J$308))/1000)*$J$371*$J$390,2)</f>
        <v>916.8</v>
      </c>
      <c r="G237" s="98" t="s">
        <v>695</v>
      </c>
      <c r="H237" s="66">
        <f>VLOOKUP(G237,'CP FACTORS'!$A$3:$B$38, 2, FALSE)</f>
        <v>0</v>
      </c>
      <c r="I237" s="43">
        <f t="shared" si="57"/>
        <v>0</v>
      </c>
      <c r="J237" s="44">
        <f t="shared" si="53"/>
        <v>18</v>
      </c>
      <c r="K237" s="128">
        <f t="shared" si="54"/>
        <v>0</v>
      </c>
      <c r="L237" s="186"/>
      <c r="M237" s="531"/>
      <c r="R237" s="510"/>
      <c r="T237" s="50"/>
      <c r="U237" s="50"/>
      <c r="V237" s="1249" t="s">
        <v>46</v>
      </c>
      <c r="W237" s="896">
        <v>1059.3684210526314</v>
      </c>
      <c r="X237" s="184">
        <v>905.10385245195232</v>
      </c>
      <c r="Y237" s="205">
        <v>513.91</v>
      </c>
      <c r="Z237" s="686">
        <v>513.91</v>
      </c>
      <c r="AA237" s="686">
        <v>513.91</v>
      </c>
      <c r="AB237" s="627">
        <v>585.46</v>
      </c>
      <c r="AC237" s="646">
        <v>639.13</v>
      </c>
      <c r="AD237" s="776">
        <v>694.54</v>
      </c>
      <c r="AE237" s="124">
        <v>572.32000000000005</v>
      </c>
      <c r="AF237" s="253">
        <v>916.8</v>
      </c>
      <c r="AG237" s="253">
        <f t="shared" si="58"/>
        <v>916.8</v>
      </c>
      <c r="AH237" s="114"/>
      <c r="AI237" s="114"/>
      <c r="DG237" s="1021"/>
      <c r="DH237" s="1241" t="str">
        <f t="shared" si="55"/>
        <v>Heating RES 18 Year EUL</v>
      </c>
      <c r="DI237" s="1020">
        <f>(INDEX('Avoided Cost Benefits'!$B$4:$B$866,MATCH(DH237,'Avoided Cost Benefits'!$A$4:$A$866,0)))*F237</f>
        <v>555.64940955828001</v>
      </c>
      <c r="DJ237" s="2051">
        <f t="shared" si="56"/>
        <v>0</v>
      </c>
    </row>
    <row r="238" spans="1:114" x14ac:dyDescent="0.25">
      <c r="A238" s="2146" t="s">
        <v>861</v>
      </c>
      <c r="B238" s="1318">
        <f t="shared" si="52"/>
        <v>351400</v>
      </c>
      <c r="C238" s="18" t="s">
        <v>957</v>
      </c>
      <c r="D238" s="1974" t="s">
        <v>863</v>
      </c>
      <c r="E238" s="1240" t="s">
        <v>958</v>
      </c>
      <c r="F238" s="681">
        <f>ROUND((($J$319*$J$329*(1/$J$349-1/$J$359))/1000)*$J$372*$J$390,2)</f>
        <v>1157.8399999999999</v>
      </c>
      <c r="G238" s="98" t="s">
        <v>694</v>
      </c>
      <c r="H238" s="66">
        <f>VLOOKUP(G238,'CP FACTORS'!$A$3:$B$38, 2, FALSE)</f>
        <v>9.4741810000000004E-4</v>
      </c>
      <c r="I238" s="43">
        <f t="shared" si="57"/>
        <v>1.096959</v>
      </c>
      <c r="J238" s="44">
        <f t="shared" si="53"/>
        <v>6</v>
      </c>
      <c r="K238" s="128">
        <f t="shared" si="54"/>
        <v>626.5030303030303</v>
      </c>
      <c r="L238" s="186">
        <f>K319</f>
        <v>1.9242424242424243</v>
      </c>
      <c r="M238" s="531"/>
      <c r="R238" s="510"/>
      <c r="T238" s="50"/>
      <c r="U238" s="50"/>
      <c r="V238" s="1249" t="s">
        <v>46</v>
      </c>
      <c r="W238" s="896">
        <v>1495.1911764705883</v>
      </c>
      <c r="X238" s="184">
        <v>1625.1970093173225</v>
      </c>
      <c r="Y238" s="205">
        <v>1175.8</v>
      </c>
      <c r="Z238" s="686">
        <v>1175.8</v>
      </c>
      <c r="AA238" s="686">
        <v>1175.8</v>
      </c>
      <c r="AB238" s="627">
        <v>1039.47</v>
      </c>
      <c r="AC238" s="646">
        <v>884.18</v>
      </c>
      <c r="AD238" s="776">
        <v>1085.77</v>
      </c>
      <c r="AE238" s="124">
        <v>971.64</v>
      </c>
      <c r="AF238" s="253">
        <v>1157.8399999999999</v>
      </c>
      <c r="AG238" s="253">
        <f t="shared" si="58"/>
        <v>1157.8399999999999</v>
      </c>
      <c r="AH238" s="114"/>
      <c r="AI238" s="114"/>
      <c r="DG238" s="1019">
        <f>(DI238+DI239+DI240+DI241)/(DJ238+DJ239+DJ240+DJ241)</f>
        <v>7.3143219896259657</v>
      </c>
      <c r="DH238" s="1240" t="str">
        <f t="shared" si="55"/>
        <v>Cooling RES 6 Year EUL</v>
      </c>
      <c r="DI238" s="1020">
        <f>(INDEX('Avoided Cost Benefits'!$B$4:$B$866,MATCH(DH238,'Avoided Cost Benefits'!$A$4:$A$866,0)))*F238</f>
        <v>1153.0327610057254</v>
      </c>
      <c r="DJ238" s="2051">
        <f t="shared" si="56"/>
        <v>626.5030303030303</v>
      </c>
    </row>
    <row r="239" spans="1:114" x14ac:dyDescent="0.25">
      <c r="A239" s="2146" t="s">
        <v>861</v>
      </c>
      <c r="B239" s="1318">
        <f t="shared" si="52"/>
        <v>351400</v>
      </c>
      <c r="C239" s="18" t="s">
        <v>957</v>
      </c>
      <c r="D239" s="1974" t="s">
        <v>863</v>
      </c>
      <c r="E239" s="1265" t="s">
        <v>958</v>
      </c>
      <c r="F239" s="681">
        <f>ROUND((($J$269*$J$279*(1/$J$299-1/$J$309))/1000)*$J$373*$J$390,2)</f>
        <v>4740.51</v>
      </c>
      <c r="G239" s="98" t="s">
        <v>695</v>
      </c>
      <c r="H239" s="66">
        <f>VLOOKUP(G239,'CP FACTORS'!$A$3:$B$38, 2, FALSE)</f>
        <v>0</v>
      </c>
      <c r="I239" s="43">
        <f t="shared" si="57"/>
        <v>0</v>
      </c>
      <c r="J239" s="44">
        <f t="shared" si="53"/>
        <v>6</v>
      </c>
      <c r="K239" s="128">
        <f t="shared" si="54"/>
        <v>0</v>
      </c>
      <c r="L239" s="186"/>
      <c r="M239" s="531"/>
      <c r="R239" s="510"/>
      <c r="T239" s="50"/>
      <c r="U239" s="50"/>
      <c r="V239" s="1249" t="s">
        <v>46</v>
      </c>
      <c r="W239" s="896">
        <v>5217.8997805633207</v>
      </c>
      <c r="X239" s="184">
        <v>5513.3467827124387</v>
      </c>
      <c r="Y239" s="205">
        <v>3822.23</v>
      </c>
      <c r="Z239" s="686">
        <v>3822.23</v>
      </c>
      <c r="AA239" s="686">
        <v>3822.23</v>
      </c>
      <c r="AB239" s="627">
        <v>3646.53</v>
      </c>
      <c r="AC239" s="646">
        <v>3895.33</v>
      </c>
      <c r="AD239" s="776">
        <v>4719</v>
      </c>
      <c r="AE239" s="124">
        <v>4740.51</v>
      </c>
      <c r="AF239" s="253">
        <v>4740.51</v>
      </c>
      <c r="AG239" s="253">
        <f t="shared" si="58"/>
        <v>4740.51</v>
      </c>
      <c r="AH239" s="114"/>
      <c r="AI239" s="114"/>
      <c r="DG239" s="1023"/>
      <c r="DH239" s="1265" t="str">
        <f t="shared" si="55"/>
        <v>Heating RES 6 Year EUL</v>
      </c>
      <c r="DI239" s="1020">
        <f>(INDEX('Avoided Cost Benefits'!$B$4:$B$866,MATCH(DH239,'Avoided Cost Benefits'!$A$4:$A$866,0)))*F239</f>
        <v>1271.3043336180642</v>
      </c>
      <c r="DJ239" s="2051">
        <f t="shared" si="56"/>
        <v>0</v>
      </c>
    </row>
    <row r="240" spans="1:114" x14ac:dyDescent="0.25">
      <c r="A240" s="2146" t="s">
        <v>861</v>
      </c>
      <c r="B240" s="1318">
        <f t="shared" si="52"/>
        <v>351400</v>
      </c>
      <c r="C240" s="18" t="s">
        <v>957</v>
      </c>
      <c r="D240" s="1974" t="s">
        <v>863</v>
      </c>
      <c r="E240" s="1265" t="s">
        <v>959</v>
      </c>
      <c r="F240" s="681">
        <f>ROUND(((J$319*J$329*(1/J$339-1/J$359))/1000)*J$374*$J$390,2)</f>
        <v>429.94</v>
      </c>
      <c r="G240" s="526" t="s">
        <v>866</v>
      </c>
      <c r="H240" s="66">
        <f>VLOOKUP(G240,'CP FACTORS'!$A$3:$B$38, 2, FALSE)</f>
        <v>9.4741810000000004E-4</v>
      </c>
      <c r="I240" s="43">
        <f t="shared" si="57"/>
        <v>0.407333</v>
      </c>
      <c r="J240" s="44">
        <f t="shared" si="53"/>
        <v>12</v>
      </c>
      <c r="K240" s="128">
        <f t="shared" si="54"/>
        <v>0</v>
      </c>
      <c r="L240" s="186"/>
      <c r="M240" s="531"/>
      <c r="R240" s="510"/>
      <c r="T240" s="50"/>
      <c r="U240" s="50"/>
      <c r="V240" s="1249" t="s">
        <v>46</v>
      </c>
      <c r="W240" s="896">
        <v>471.26538461538468</v>
      </c>
      <c r="X240" s="184">
        <v>528.13366090103261</v>
      </c>
      <c r="Y240" s="205">
        <v>374.15</v>
      </c>
      <c r="Z240" s="686">
        <v>374.15</v>
      </c>
      <c r="AA240" s="686">
        <v>374.15</v>
      </c>
      <c r="AB240" s="627">
        <v>386.88</v>
      </c>
      <c r="AC240" s="646">
        <v>362.75</v>
      </c>
      <c r="AD240" s="776">
        <v>413.89</v>
      </c>
      <c r="AE240" s="124">
        <v>308.55</v>
      </c>
      <c r="AF240" s="253">
        <v>429.94</v>
      </c>
      <c r="AG240" s="253">
        <f t="shared" si="58"/>
        <v>429.94</v>
      </c>
      <c r="AH240" s="114"/>
      <c r="AI240" s="114"/>
      <c r="DG240" s="1023"/>
      <c r="DH240" s="1265" t="str">
        <f t="shared" si="55"/>
        <v>Cooling RES ER2 12 Year EUL</v>
      </c>
      <c r="DI240" s="1020">
        <f>(INDEX('Avoided Cost Benefits'!$B$4:$B$866,MATCH(DH240,'Avoided Cost Benefits'!$A$4:$A$866,0)))*F240</f>
        <v>556.30830974804201</v>
      </c>
      <c r="DJ240" s="2051">
        <f t="shared" si="56"/>
        <v>0</v>
      </c>
    </row>
    <row r="241" spans="1:115" x14ac:dyDescent="0.25">
      <c r="A241" s="2146" t="s">
        <v>861</v>
      </c>
      <c r="B241" s="1318">
        <f t="shared" si="52"/>
        <v>351400</v>
      </c>
      <c r="C241" s="18" t="s">
        <v>957</v>
      </c>
      <c r="D241" s="1974" t="s">
        <v>863</v>
      </c>
      <c r="E241" s="1241" t="s">
        <v>959</v>
      </c>
      <c r="F241" s="681">
        <f>ROUND((($J$269*$J$279*(1/$J$289-1/$J$309))/1000)*$J$375*$J$390,2)</f>
        <v>4740.51</v>
      </c>
      <c r="G241" s="36" t="s">
        <v>960</v>
      </c>
      <c r="H241" s="66">
        <f>VLOOKUP(G241,'CP FACTORS'!$A$3:$B$38, 2, FALSE)</f>
        <v>0</v>
      </c>
      <c r="I241" s="43">
        <f t="shared" si="57"/>
        <v>0</v>
      </c>
      <c r="J241" s="44">
        <f t="shared" si="53"/>
        <v>12</v>
      </c>
      <c r="K241" s="128">
        <f t="shared" si="54"/>
        <v>0</v>
      </c>
      <c r="L241" s="186"/>
      <c r="M241" s="531"/>
      <c r="R241" s="510"/>
      <c r="T241" s="50"/>
      <c r="U241" s="50"/>
      <c r="V241" s="1249" t="s">
        <v>46</v>
      </c>
      <c r="W241" s="896">
        <v>1115.8974358974356</v>
      </c>
      <c r="X241" s="184">
        <v>5517.9756069759478</v>
      </c>
      <c r="Y241" s="205">
        <v>3822.23</v>
      </c>
      <c r="Z241" s="686">
        <v>3822.23</v>
      </c>
      <c r="AA241" s="686">
        <v>3822.23</v>
      </c>
      <c r="AB241" s="627">
        <v>3646.53</v>
      </c>
      <c r="AC241" s="646">
        <v>3895.33</v>
      </c>
      <c r="AD241" s="776">
        <v>4719</v>
      </c>
      <c r="AE241" s="124">
        <v>4740.51</v>
      </c>
      <c r="AF241" s="253">
        <v>4740.51</v>
      </c>
      <c r="AG241" s="253">
        <f t="shared" si="58"/>
        <v>4740.51</v>
      </c>
      <c r="AH241" s="114"/>
      <c r="AI241" s="114"/>
      <c r="DG241" s="1023"/>
      <c r="DH241" s="1241" t="str">
        <f t="shared" si="55"/>
        <v>Heating RES ER2 12 Year EUL</v>
      </c>
      <c r="DI241" s="1020">
        <f>(INDEX('Avoided Cost Benefits'!$B$4:$B$866,MATCH(DH241,'Avoided Cost Benefits'!$A$4:$A$866,0)))*F241</f>
        <v>1601.7994867409254</v>
      </c>
      <c r="DJ241" s="2051">
        <f t="shared" si="56"/>
        <v>0</v>
      </c>
    </row>
    <row r="242" spans="1:115" x14ac:dyDescent="0.25">
      <c r="A242" s="2146" t="s">
        <v>861</v>
      </c>
      <c r="B242" s="1318">
        <f t="shared" si="52"/>
        <v>351401</v>
      </c>
      <c r="C242" s="18" t="s">
        <v>961</v>
      </c>
      <c r="D242" s="1974" t="s">
        <v>863</v>
      </c>
      <c r="E242" s="1240" t="s">
        <v>962</v>
      </c>
      <c r="F242" s="681">
        <f>ROUND((($J$321*$J$331*(1/$J$351-1/$J$361))/1000)*$J$376*$J$390,2)</f>
        <v>1157.8399999999999</v>
      </c>
      <c r="G242" s="98" t="s">
        <v>694</v>
      </c>
      <c r="H242" s="66">
        <f>VLOOKUP(G242,'CP FACTORS'!$A$3:$B$38, 2, FALSE)</f>
        <v>9.4741810000000004E-4</v>
      </c>
      <c r="I242" s="43">
        <f>ROUND(F242*H242,6)</f>
        <v>1.096959</v>
      </c>
      <c r="J242" s="44">
        <f t="shared" si="53"/>
        <v>6</v>
      </c>
      <c r="K242" s="697">
        <f t="shared" si="54"/>
        <v>89.869631889142951</v>
      </c>
      <c r="L242" s="186">
        <f>K321</f>
        <v>1.924242424242425</v>
      </c>
      <c r="M242" s="531"/>
      <c r="R242" s="510"/>
      <c r="T242" s="39"/>
      <c r="U242" s="39"/>
      <c r="V242" s="1249" t="s">
        <v>46</v>
      </c>
      <c r="W242" s="884"/>
      <c r="X242" s="184"/>
      <c r="Y242" s="205"/>
      <c r="Z242" s="205"/>
      <c r="AA242" s="205"/>
      <c r="AB242" s="627"/>
      <c r="AC242" s="646"/>
      <c r="AD242" s="776">
        <v>1085.77</v>
      </c>
      <c r="AE242" s="124">
        <v>971.64</v>
      </c>
      <c r="AF242" s="253">
        <v>1157.8399999999999</v>
      </c>
      <c r="AG242" s="253">
        <f t="shared" si="58"/>
        <v>1157.8399999999999</v>
      </c>
      <c r="AH242" s="683"/>
      <c r="AI242" s="683"/>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c r="CV242" s="39"/>
      <c r="CW242" s="39"/>
      <c r="CX242" s="39"/>
      <c r="CY242" s="39"/>
      <c r="CZ242" s="39"/>
      <c r="DA242" s="39"/>
      <c r="DB242" s="39"/>
      <c r="DC242" s="39"/>
      <c r="DD242" s="39"/>
      <c r="DE242" s="39"/>
      <c r="DF242" s="39"/>
      <c r="DG242" s="1019">
        <f>(DI242+DI243+DI244+DI245)/(DJ242+DJ243+DJ244+DJ245)</f>
        <v>19.020230024557058</v>
      </c>
      <c r="DH242" s="1240" t="str">
        <f>CONCATENATE(G242," ",J242," Year EUL")</f>
        <v>Cooling RES 6 Year EUL</v>
      </c>
      <c r="DI242" s="1020">
        <f>(INDEX('Avoided Cost Benefits'!$B$4:$B$866,MATCH(DH242,'Avoided Cost Benefits'!$A$4:$A$866,0)))*F242</f>
        <v>1153.0327610057254</v>
      </c>
      <c r="DJ242" s="2051">
        <f t="shared" si="56"/>
        <v>89.869631889142951</v>
      </c>
      <c r="DK242" s="39"/>
    </row>
    <row r="243" spans="1:115" x14ac:dyDescent="0.25">
      <c r="A243" s="2146" t="s">
        <v>861</v>
      </c>
      <c r="B243" s="1318">
        <f t="shared" si="52"/>
        <v>351401</v>
      </c>
      <c r="C243" s="18" t="s">
        <v>961</v>
      </c>
      <c r="D243" s="1974" t="s">
        <v>863</v>
      </c>
      <c r="E243" s="1265" t="s">
        <v>962</v>
      </c>
      <c r="F243" s="681">
        <f>0</f>
        <v>0</v>
      </c>
      <c r="G243" s="98" t="s">
        <v>695</v>
      </c>
      <c r="H243" s="66">
        <f>VLOOKUP(G243,'CP FACTORS'!$A$3:$B$38, 2, FALSE)</f>
        <v>0</v>
      </c>
      <c r="I243" s="43">
        <f>ROUND(F243*H243,6)</f>
        <v>0</v>
      </c>
      <c r="J243" s="44">
        <f t="shared" si="53"/>
        <v>6</v>
      </c>
      <c r="K243" s="697">
        <f t="shared" si="54"/>
        <v>0</v>
      </c>
      <c r="L243" s="186"/>
      <c r="M243" s="531"/>
      <c r="R243" s="510"/>
      <c r="T243" s="39"/>
      <c r="U243" s="39"/>
      <c r="V243" s="1249" t="s">
        <v>46</v>
      </c>
      <c r="W243" s="884"/>
      <c r="X243" s="184"/>
      <c r="Y243" s="205"/>
      <c r="Z243" s="205"/>
      <c r="AA243" s="205"/>
      <c r="AB243" s="627"/>
      <c r="AC243" s="646"/>
      <c r="AD243" s="776">
        <v>0</v>
      </c>
      <c r="AE243" s="681">
        <v>0</v>
      </c>
      <c r="AF243" s="253">
        <v>0</v>
      </c>
      <c r="AG243" s="253">
        <f t="shared" si="58"/>
        <v>0</v>
      </c>
      <c r="AH243" s="683"/>
      <c r="AI243" s="683"/>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39"/>
      <c r="CO243" s="39"/>
      <c r="CP243" s="39"/>
      <c r="CQ243" s="39"/>
      <c r="CR243" s="39"/>
      <c r="CS243" s="39"/>
      <c r="CT243" s="39"/>
      <c r="CU243" s="39"/>
      <c r="CV243" s="39"/>
      <c r="CW243" s="39"/>
      <c r="CX243" s="39"/>
      <c r="CY243" s="39"/>
      <c r="CZ243" s="39"/>
      <c r="DA243" s="39"/>
      <c r="DB243" s="39"/>
      <c r="DC243" s="39"/>
      <c r="DD243" s="39"/>
      <c r="DE243" s="39"/>
      <c r="DF243" s="39"/>
      <c r="DG243" s="1023"/>
      <c r="DH243" s="1265" t="str">
        <f>CONCATENATE(G243," ",J243," Year EUL")</f>
        <v>Heating RES 6 Year EUL</v>
      </c>
      <c r="DI243" s="1020">
        <f>(INDEX('Avoided Cost Benefits'!$B$4:$B$866,MATCH(DH243,'Avoided Cost Benefits'!$A$4:$A$866,0)))*F243</f>
        <v>0</v>
      </c>
      <c r="DJ243" s="2051">
        <f t="shared" si="56"/>
        <v>0</v>
      </c>
      <c r="DK243" s="39"/>
    </row>
    <row r="244" spans="1:115" x14ac:dyDescent="0.25">
      <c r="A244" s="2146" t="s">
        <v>861</v>
      </c>
      <c r="B244" s="1318">
        <f t="shared" si="52"/>
        <v>351401</v>
      </c>
      <c r="C244" s="18" t="s">
        <v>961</v>
      </c>
      <c r="D244" s="1974" t="s">
        <v>863</v>
      </c>
      <c r="E244" s="1265" t="s">
        <v>963</v>
      </c>
      <c r="F244" s="681">
        <f>ROUND(((J$321*J$331*(1/J$341-1/J$361))/1000)*J$378*$J$390,2)</f>
        <v>429.94</v>
      </c>
      <c r="G244" s="526" t="s">
        <v>866</v>
      </c>
      <c r="H244" s="66">
        <f>VLOOKUP(G244,'CP FACTORS'!$A$3:$B$38, 2, FALSE)</f>
        <v>9.4741810000000004E-4</v>
      </c>
      <c r="I244" s="43">
        <f>ROUND(F244*H244,6)</f>
        <v>0.407333</v>
      </c>
      <c r="J244" s="44">
        <f t="shared" si="53"/>
        <v>12</v>
      </c>
      <c r="K244" s="697">
        <f t="shared" si="54"/>
        <v>0</v>
      </c>
      <c r="L244" s="186"/>
      <c r="M244" s="531"/>
      <c r="R244" s="510"/>
      <c r="T244" s="39"/>
      <c r="U244" s="39"/>
      <c r="V244" s="1249" t="s">
        <v>46</v>
      </c>
      <c r="W244" s="884"/>
      <c r="X244" s="184"/>
      <c r="Y244" s="205"/>
      <c r="Z244" s="205"/>
      <c r="AA244" s="205"/>
      <c r="AB244" s="627"/>
      <c r="AC244" s="646"/>
      <c r="AD244" s="776">
        <v>413.89</v>
      </c>
      <c r="AE244" s="124">
        <v>308.55</v>
      </c>
      <c r="AF244" s="253">
        <v>429.94</v>
      </c>
      <c r="AG244" s="253">
        <f t="shared" si="58"/>
        <v>429.94</v>
      </c>
      <c r="AH244" s="683"/>
      <c r="AI244" s="683"/>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39"/>
      <c r="CO244" s="39"/>
      <c r="CP244" s="39"/>
      <c r="CQ244" s="39"/>
      <c r="CR244" s="39"/>
      <c r="CS244" s="39"/>
      <c r="CT244" s="39"/>
      <c r="CU244" s="39"/>
      <c r="CV244" s="39"/>
      <c r="CW244" s="39"/>
      <c r="CX244" s="39"/>
      <c r="CY244" s="39"/>
      <c r="CZ244" s="39"/>
      <c r="DA244" s="39"/>
      <c r="DB244" s="39"/>
      <c r="DC244" s="39"/>
      <c r="DD244" s="39"/>
      <c r="DE244" s="39"/>
      <c r="DF244" s="39"/>
      <c r="DG244" s="1023"/>
      <c r="DH244" s="1265" t="str">
        <f>CONCATENATE(G244," ",J244," Year EUL")</f>
        <v>Cooling RES ER2 12 Year EUL</v>
      </c>
      <c r="DI244" s="1020">
        <f>(INDEX('Avoided Cost Benefits'!$B$4:$B$866,MATCH(DH244,'Avoided Cost Benefits'!$A$4:$A$866,0)))*F244</f>
        <v>556.30830974804201</v>
      </c>
      <c r="DJ244" s="2051">
        <f t="shared" si="56"/>
        <v>0</v>
      </c>
      <c r="DK244" s="39"/>
    </row>
    <row r="245" spans="1:115" x14ac:dyDescent="0.25">
      <c r="A245" s="2146" t="s">
        <v>861</v>
      </c>
      <c r="B245" s="1318">
        <f t="shared" si="52"/>
        <v>351401</v>
      </c>
      <c r="C245" s="18" t="s">
        <v>961</v>
      </c>
      <c r="D245" s="1974" t="s">
        <v>863</v>
      </c>
      <c r="E245" s="1241" t="s">
        <v>963</v>
      </c>
      <c r="F245" s="681">
        <f>0</f>
        <v>0</v>
      </c>
      <c r="G245" s="36" t="s">
        <v>960</v>
      </c>
      <c r="H245" s="66">
        <f>VLOOKUP(G245,'CP FACTORS'!$A$3:$B$38, 2, FALSE)</f>
        <v>0</v>
      </c>
      <c r="I245" s="43">
        <f>ROUND(F245*H245,6)</f>
        <v>0</v>
      </c>
      <c r="J245" s="44">
        <f t="shared" si="53"/>
        <v>12</v>
      </c>
      <c r="K245" s="697">
        <f t="shared" si="54"/>
        <v>0</v>
      </c>
      <c r="L245" s="186"/>
      <c r="M245" s="531"/>
      <c r="R245" s="510"/>
      <c r="T245" s="39"/>
      <c r="U245" s="39"/>
      <c r="V245" s="1249" t="s">
        <v>46</v>
      </c>
      <c r="W245" s="884"/>
      <c r="X245" s="184"/>
      <c r="Y245" s="205"/>
      <c r="Z245" s="205"/>
      <c r="AA245" s="205"/>
      <c r="AB245" s="627"/>
      <c r="AC245" s="646"/>
      <c r="AD245" s="776">
        <v>0</v>
      </c>
      <c r="AE245" s="681">
        <v>0</v>
      </c>
      <c r="AF245" s="253">
        <v>0</v>
      </c>
      <c r="AG245" s="253">
        <f t="shared" si="58"/>
        <v>0</v>
      </c>
      <c r="AH245" s="683"/>
      <c r="AI245" s="683"/>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39"/>
      <c r="CO245" s="39"/>
      <c r="CP245" s="39"/>
      <c r="CQ245" s="39"/>
      <c r="CR245" s="39"/>
      <c r="CS245" s="39"/>
      <c r="CT245" s="39"/>
      <c r="CU245" s="39"/>
      <c r="CV245" s="39"/>
      <c r="CW245" s="39"/>
      <c r="CX245" s="39"/>
      <c r="CY245" s="39"/>
      <c r="CZ245" s="39"/>
      <c r="DA245" s="39"/>
      <c r="DB245" s="39"/>
      <c r="DC245" s="39"/>
      <c r="DD245" s="39"/>
      <c r="DE245" s="39"/>
      <c r="DF245" s="39"/>
      <c r="DG245" s="1023"/>
      <c r="DH245" s="1241" t="str">
        <f>CONCATENATE(G245," ",J245," Year EUL")</f>
        <v>Heating RES ER2 12 Year EUL</v>
      </c>
      <c r="DI245" s="1020">
        <f>(INDEX('Avoided Cost Benefits'!$B$4:$B$866,MATCH(DH245,'Avoided Cost Benefits'!$A$4:$A$866,0)))*F245</f>
        <v>0</v>
      </c>
      <c r="DJ245" s="2051">
        <f t="shared" si="56"/>
        <v>0</v>
      </c>
      <c r="DK245" s="39"/>
    </row>
    <row r="246" spans="1:115" x14ac:dyDescent="0.25">
      <c r="A246" s="2146" t="s">
        <v>861</v>
      </c>
      <c r="B246" s="1318">
        <f t="shared" si="52"/>
        <v>351450</v>
      </c>
      <c r="C246" s="18" t="s">
        <v>964</v>
      </c>
      <c r="D246" s="1974" t="s">
        <v>863</v>
      </c>
      <c r="E246" s="1240" t="s">
        <v>965</v>
      </c>
      <c r="F246" s="681">
        <f>ROUND((($J$320*$J$330*(1/$J$340-1/$J$360))/1000)*$J$380*$J$390,2)</f>
        <v>299.32</v>
      </c>
      <c r="G246" s="98" t="s">
        <v>694</v>
      </c>
      <c r="H246" s="66">
        <f>VLOOKUP(G246,'CP FACTORS'!$A$3:$B$38, 2, FALSE)</f>
        <v>9.4741810000000004E-4</v>
      </c>
      <c r="I246" s="43">
        <f t="shared" si="57"/>
        <v>0.28358100000000003</v>
      </c>
      <c r="J246" s="44">
        <f t="shared" si="53"/>
        <v>18</v>
      </c>
      <c r="K246" s="128">
        <f t="shared" si="54"/>
        <v>543.7067546700647</v>
      </c>
      <c r="L246" s="186">
        <f>K320</f>
        <v>1.3282828282828283</v>
      </c>
      <c r="M246" s="531"/>
      <c r="R246" s="510"/>
      <c r="T246" s="50"/>
      <c r="U246" s="50"/>
      <c r="V246" s="1249" t="s">
        <v>46</v>
      </c>
      <c r="W246" s="896">
        <v>447.12649572649582</v>
      </c>
      <c r="X246" s="184">
        <v>528.13366090103261</v>
      </c>
      <c r="Y246" s="205">
        <v>335.42</v>
      </c>
      <c r="Z246" s="686">
        <v>335.42</v>
      </c>
      <c r="AA246" s="686">
        <v>335.42</v>
      </c>
      <c r="AB246" s="627">
        <v>345.19</v>
      </c>
      <c r="AC246" s="646">
        <v>346.51</v>
      </c>
      <c r="AD246" s="776">
        <v>307.27999999999997</v>
      </c>
      <c r="AE246" s="124">
        <v>295.52</v>
      </c>
      <c r="AF246" s="253">
        <v>299.32</v>
      </c>
      <c r="AG246" s="253">
        <f t="shared" si="58"/>
        <v>299.32</v>
      </c>
      <c r="AH246" s="114"/>
      <c r="AI246" s="114"/>
      <c r="DG246" s="1019">
        <f>(DI246+DI247)/(DJ246+DJ247)</f>
        <v>5.8793655640780518</v>
      </c>
      <c r="DH246" s="1240" t="str">
        <f t="shared" si="55"/>
        <v>Cooling RES 18 Year EUL</v>
      </c>
      <c r="DI246" s="1020">
        <f>(INDEX('Avoided Cost Benefits'!$B$4:$B$866,MATCH(DH246,'Avoided Cost Benefits'!$A$4:$A$866,0)))*F246</f>
        <v>685.37362704048167</v>
      </c>
      <c r="DJ246" s="2051">
        <f t="shared" si="56"/>
        <v>543.7067546700647</v>
      </c>
    </row>
    <row r="247" spans="1:115" x14ac:dyDescent="0.25">
      <c r="A247" s="2146" t="s">
        <v>861</v>
      </c>
      <c r="B247" s="1318">
        <f t="shared" si="52"/>
        <v>351450</v>
      </c>
      <c r="C247" s="18" t="s">
        <v>964</v>
      </c>
      <c r="D247" s="1974" t="s">
        <v>863</v>
      </c>
      <c r="E247" s="1241" t="s">
        <v>965</v>
      </c>
      <c r="F247" s="681">
        <f xml:space="preserve"> ROUND((($J$270*$J$280*(1/$J$290-1/$J$310))/1000)*$J$381*$J$390,2)</f>
        <v>4143.51</v>
      </c>
      <c r="G247" s="98" t="s">
        <v>695</v>
      </c>
      <c r="H247" s="66">
        <f>VLOOKUP(G247,'CP FACTORS'!$A$3:$B$38, 2, FALSE)</f>
        <v>0</v>
      </c>
      <c r="I247" s="43">
        <f t="shared" si="57"/>
        <v>0</v>
      </c>
      <c r="J247" s="44">
        <f t="shared" si="53"/>
        <v>18</v>
      </c>
      <c r="K247" s="128">
        <f t="shared" si="54"/>
        <v>0</v>
      </c>
      <c r="L247" s="666"/>
      <c r="M247" s="531"/>
      <c r="R247" s="510"/>
      <c r="T247" s="50"/>
      <c r="U247" s="50"/>
      <c r="V247" s="1249" t="s">
        <v>46</v>
      </c>
      <c r="W247" s="896">
        <v>1070.7301587301586</v>
      </c>
      <c r="X247" s="184">
        <v>5517.9756069759478</v>
      </c>
      <c r="Y247" s="205">
        <v>4077.05</v>
      </c>
      <c r="Z247" s="686">
        <v>4077.05</v>
      </c>
      <c r="AA247" s="686">
        <v>4077.05</v>
      </c>
      <c r="AB247" s="627">
        <v>4050.16</v>
      </c>
      <c r="AC247" s="646">
        <v>4359.3599999999997</v>
      </c>
      <c r="AD247" s="776">
        <v>4151.16</v>
      </c>
      <c r="AE247" s="124">
        <v>4143.51</v>
      </c>
      <c r="AF247" s="253">
        <v>4143.51</v>
      </c>
      <c r="AG247" s="253">
        <f t="shared" si="58"/>
        <v>4143.51</v>
      </c>
      <c r="AH247" s="114"/>
      <c r="AI247" s="114"/>
      <c r="DG247" s="1021"/>
      <c r="DH247" s="1241" t="str">
        <f t="shared" si="55"/>
        <v>Heating RES 18 Year EUL</v>
      </c>
      <c r="DI247" s="1020">
        <f>(INDEX('Avoided Cost Benefits'!$B$4:$B$866,MATCH(DH247,'Avoided Cost Benefits'!$A$4:$A$866,0)))*F247</f>
        <v>2511.2771433233302</v>
      </c>
      <c r="DJ247" s="2051">
        <f t="shared" si="56"/>
        <v>0</v>
      </c>
    </row>
    <row r="248" spans="1:115" x14ac:dyDescent="0.25">
      <c r="A248" s="2146" t="s">
        <v>861</v>
      </c>
      <c r="B248" s="1318">
        <f t="shared" si="52"/>
        <v>351451</v>
      </c>
      <c r="C248" s="18" t="s">
        <v>966</v>
      </c>
      <c r="D248" s="1974" t="s">
        <v>863</v>
      </c>
      <c r="E248" s="1240" t="s">
        <v>967</v>
      </c>
      <c r="F248" s="681">
        <f>ROUND((($J$322*$J$332*(1/$J$342-1/$J$362))/1000)*$J$382*$J$390,2)</f>
        <v>299.32</v>
      </c>
      <c r="G248" s="98" t="s">
        <v>694</v>
      </c>
      <c r="H248" s="66">
        <f>VLOOKUP(G248,'CP FACTORS'!$A$3:$B$38, 2, FALSE)</f>
        <v>9.4741810000000004E-4</v>
      </c>
      <c r="I248" s="43">
        <f>ROUND(F248*H248,6)</f>
        <v>0.28358100000000003</v>
      </c>
      <c r="J248" s="44">
        <f t="shared" si="53"/>
        <v>18</v>
      </c>
      <c r="K248" s="128">
        <f t="shared" si="54"/>
        <v>36.630324772238367</v>
      </c>
      <c r="L248" s="666">
        <f>K322</f>
        <v>1.3282828282828283</v>
      </c>
      <c r="M248" s="531"/>
      <c r="R248" s="510"/>
      <c r="T248" s="39"/>
      <c r="U248" s="39"/>
      <c r="V248" s="1249" t="s">
        <v>46</v>
      </c>
      <c r="W248" s="884"/>
      <c r="X248" s="184"/>
      <c r="Y248" s="205"/>
      <c r="Z248" s="205"/>
      <c r="AA248" s="205"/>
      <c r="AB248" s="627"/>
      <c r="AC248" s="646"/>
      <c r="AD248" s="776">
        <v>307.27999999999997</v>
      </c>
      <c r="AE248" s="124">
        <v>295.52</v>
      </c>
      <c r="AF248" s="253">
        <v>299.32</v>
      </c>
      <c r="AG248" s="253">
        <f t="shared" si="58"/>
        <v>299.32</v>
      </c>
      <c r="AH248" s="683"/>
      <c r="AI248" s="683"/>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39"/>
      <c r="CO248" s="39"/>
      <c r="CP248" s="39"/>
      <c r="CQ248" s="39"/>
      <c r="CR248" s="39"/>
      <c r="CS248" s="39"/>
      <c r="CT248" s="39"/>
      <c r="CU248" s="39"/>
      <c r="CV248" s="39"/>
      <c r="CW248" s="39"/>
      <c r="CX248" s="39"/>
      <c r="CY248" s="39"/>
      <c r="CZ248" s="39"/>
      <c r="DA248" s="39"/>
      <c r="DB248" s="39"/>
      <c r="DC248" s="39"/>
      <c r="DD248" s="39"/>
      <c r="DE248" s="39"/>
      <c r="DF248" s="39"/>
      <c r="DG248" s="1019">
        <f>(DI248+DI249)/(DJ248+DJ249)</f>
        <v>18.710552835718158</v>
      </c>
      <c r="DH248" s="1240" t="str">
        <f>CONCATENATE(G248," ",J248," Year EUL")</f>
        <v>Cooling RES 18 Year EUL</v>
      </c>
      <c r="DI248" s="1020">
        <f>(INDEX('Avoided Cost Benefits'!$B$4:$B$866,MATCH(DH248,'Avoided Cost Benefits'!$A$4:$A$866,0)))*F248</f>
        <v>685.37362704048167</v>
      </c>
      <c r="DJ248" s="2051">
        <f t="shared" si="56"/>
        <v>36.630324772238367</v>
      </c>
      <c r="DK248" s="39"/>
    </row>
    <row r="249" spans="1:115" x14ac:dyDescent="0.25">
      <c r="A249" s="2146" t="s">
        <v>861</v>
      </c>
      <c r="B249" s="1318">
        <f t="shared" si="52"/>
        <v>351451</v>
      </c>
      <c r="C249" s="18" t="s">
        <v>966</v>
      </c>
      <c r="D249" s="1974" t="s">
        <v>863</v>
      </c>
      <c r="E249" s="1265" t="s">
        <v>967</v>
      </c>
      <c r="F249" s="681">
        <f>0</f>
        <v>0</v>
      </c>
      <c r="G249" s="98" t="s">
        <v>695</v>
      </c>
      <c r="H249" s="66">
        <f>VLOOKUP(G249,'CP FACTORS'!$A$3:$B$38, 2, FALSE)</f>
        <v>0</v>
      </c>
      <c r="I249" s="43">
        <f>ROUND(F249*H249,6)</f>
        <v>0</v>
      </c>
      <c r="J249" s="44">
        <f t="shared" si="53"/>
        <v>18</v>
      </c>
      <c r="K249" s="128">
        <f t="shared" si="54"/>
        <v>0</v>
      </c>
      <c r="L249" s="666"/>
      <c r="M249" s="531"/>
      <c r="R249" s="510"/>
      <c r="T249" s="39"/>
      <c r="U249" s="39"/>
      <c r="V249" s="1249" t="s">
        <v>46</v>
      </c>
      <c r="W249" s="884"/>
      <c r="X249" s="184"/>
      <c r="Y249" s="205"/>
      <c r="Z249" s="205"/>
      <c r="AA249" s="205"/>
      <c r="AB249" s="627"/>
      <c r="AC249" s="646"/>
      <c r="AD249" s="776">
        <v>0</v>
      </c>
      <c r="AE249" s="681">
        <v>0</v>
      </c>
      <c r="AF249" s="253">
        <v>0</v>
      </c>
      <c r="AG249" s="253">
        <f t="shared" si="58"/>
        <v>0</v>
      </c>
      <c r="AH249" s="683"/>
      <c r="AI249" s="683"/>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39"/>
      <c r="CO249" s="39"/>
      <c r="CP249" s="39"/>
      <c r="CQ249" s="39"/>
      <c r="CR249" s="39"/>
      <c r="CS249" s="39"/>
      <c r="CT249" s="39"/>
      <c r="CU249" s="39"/>
      <c r="CV249" s="39"/>
      <c r="CW249" s="39"/>
      <c r="CX249" s="39"/>
      <c r="CY249" s="39"/>
      <c r="CZ249" s="39"/>
      <c r="DA249" s="39"/>
      <c r="DB249" s="39"/>
      <c r="DC249" s="39"/>
      <c r="DD249" s="39"/>
      <c r="DE249" s="39"/>
      <c r="DF249" s="39"/>
      <c r="DG249" s="1021"/>
      <c r="DH249" s="1241" t="str">
        <f>CONCATENATE(G249," ",J249," Year EUL")</f>
        <v>Heating RES 18 Year EUL</v>
      </c>
      <c r="DI249" s="1020">
        <f>(INDEX('Avoided Cost Benefits'!$B$4:$B$866,MATCH(DH249,'Avoided Cost Benefits'!$A$4:$A$866,0)))*F249</f>
        <v>0</v>
      </c>
      <c r="DJ249" s="2051">
        <f t="shared" si="56"/>
        <v>0</v>
      </c>
      <c r="DK249" s="39"/>
    </row>
    <row r="250" spans="1:115" x14ac:dyDescent="0.25">
      <c r="A250" s="2146" t="s">
        <v>861</v>
      </c>
      <c r="B250" s="1318">
        <f t="shared" si="52"/>
        <v>351500</v>
      </c>
      <c r="C250" s="18" t="s">
        <v>968</v>
      </c>
      <c r="D250" s="1974" t="s">
        <v>863</v>
      </c>
      <c r="E250" s="1240" t="s">
        <v>969</v>
      </c>
      <c r="F250" s="1808">
        <f>ROUND((($J$323*$J$333*(1/$J$353-1/$J$363))/1000)*$J$384*$J$390,2)</f>
        <v>1157.8399999999999</v>
      </c>
      <c r="G250" s="98" t="s">
        <v>694</v>
      </c>
      <c r="H250" s="66">
        <f>VLOOKUP(G250,'CP FACTORS'!$A$3:$B$38, 2, FALSE)</f>
        <v>9.4741810000000004E-4</v>
      </c>
      <c r="I250" s="43">
        <f t="shared" si="57"/>
        <v>1.096959</v>
      </c>
      <c r="J250" s="44">
        <f t="shared" si="53"/>
        <v>6</v>
      </c>
      <c r="K250" s="128">
        <f t="shared" si="54"/>
        <v>683.91788099116957</v>
      </c>
      <c r="L250" s="186">
        <f>K323</f>
        <v>1.9242424242424243</v>
      </c>
      <c r="M250" s="531"/>
      <c r="R250" s="510"/>
      <c r="T250" s="50"/>
      <c r="U250" s="50"/>
      <c r="V250" s="1249" t="s">
        <v>46</v>
      </c>
      <c r="W250" s="896">
        <v>1625.9591194968555</v>
      </c>
      <c r="X250" s="184">
        <v>1497.4028916702637</v>
      </c>
      <c r="Y250" s="205">
        <v>1164.32</v>
      </c>
      <c r="Z250" s="686">
        <v>1164.32</v>
      </c>
      <c r="AA250" s="686">
        <v>1164.32</v>
      </c>
      <c r="AB250" s="627">
        <v>779.12</v>
      </c>
      <c r="AC250" s="646">
        <v>843.09</v>
      </c>
      <c r="AD250" s="776">
        <v>1085.77</v>
      </c>
      <c r="AE250" s="1068">
        <v>971.64</v>
      </c>
      <c r="AF250" s="253">
        <v>1157.8399999999999</v>
      </c>
      <c r="AG250" s="253">
        <f t="shared" si="58"/>
        <v>1157.8399999999999</v>
      </c>
      <c r="AH250" s="114"/>
      <c r="AI250" s="114"/>
      <c r="DG250" s="1019">
        <f>(DI250+DI251+DI252+DI253)/(DJ250+DJ251+DJ252+DJ253)</f>
        <v>3.4452351798525354</v>
      </c>
      <c r="DH250" s="1240" t="str">
        <f t="shared" si="55"/>
        <v>Cooling RES 6 Year EUL</v>
      </c>
      <c r="DI250" s="1020">
        <f>(INDEX('Avoided Cost Benefits'!$B$4:$B$866,MATCH(DH250,'Avoided Cost Benefits'!$A$4:$A$866,0)))*F250</f>
        <v>1153.0327610057254</v>
      </c>
      <c r="DJ250" s="2051">
        <f t="shared" si="56"/>
        <v>683.91788099116957</v>
      </c>
    </row>
    <row r="251" spans="1:115" x14ac:dyDescent="0.25">
      <c r="A251" s="2146" t="s">
        <v>861</v>
      </c>
      <c r="B251" s="1318">
        <f t="shared" si="52"/>
        <v>351500</v>
      </c>
      <c r="C251" s="18" t="s">
        <v>968</v>
      </c>
      <c r="D251" s="1974" t="s">
        <v>863</v>
      </c>
      <c r="E251" s="1265" t="s">
        <v>969</v>
      </c>
      <c r="F251" s="681">
        <f xml:space="preserve"> ROUND((($J$273*$J$283*(1/$J$303-1/$J$313))/1000)*$J$385*$J$390,2)</f>
        <v>1456.32</v>
      </c>
      <c r="G251" s="98" t="s">
        <v>695</v>
      </c>
      <c r="H251" s="66">
        <f>VLOOKUP(G251,'CP FACTORS'!$A$3:$B$38, 2, FALSE)</f>
        <v>0</v>
      </c>
      <c r="I251" s="43">
        <f t="shared" si="57"/>
        <v>0</v>
      </c>
      <c r="J251" s="44">
        <f t="shared" si="53"/>
        <v>6</v>
      </c>
      <c r="K251" s="128">
        <f t="shared" si="54"/>
        <v>0</v>
      </c>
      <c r="L251" s="186"/>
      <c r="M251" s="531"/>
      <c r="R251" s="510"/>
      <c r="T251" s="50"/>
      <c r="U251" s="50"/>
      <c r="V251" s="1249" t="s">
        <v>46</v>
      </c>
      <c r="W251" s="896">
        <v>2932.947368421052</v>
      </c>
      <c r="X251" s="184">
        <v>2571.2014134275614</v>
      </c>
      <c r="Y251" s="205">
        <v>1944.18</v>
      </c>
      <c r="Z251" s="686">
        <v>1944.18</v>
      </c>
      <c r="AA251" s="686">
        <v>1944.18</v>
      </c>
      <c r="AB251" s="627">
        <v>1021.3</v>
      </c>
      <c r="AC251" s="646">
        <v>1692.45</v>
      </c>
      <c r="AD251" s="776">
        <v>2176.0500000000002</v>
      </c>
      <c r="AE251" s="1068">
        <v>2197.56</v>
      </c>
      <c r="AF251" s="253">
        <v>1456.32</v>
      </c>
      <c r="AG251" s="253">
        <f t="shared" si="58"/>
        <v>1456.32</v>
      </c>
      <c r="AH251" s="114"/>
      <c r="AI251" s="114"/>
      <c r="DG251" s="1023"/>
      <c r="DH251" s="1265" t="str">
        <f t="shared" si="55"/>
        <v>Heating RES 6 Year EUL</v>
      </c>
      <c r="DI251" s="1020">
        <f>(INDEX('Avoided Cost Benefits'!$B$4:$B$866,MATCH(DH251,'Avoided Cost Benefits'!$A$4:$A$866,0)))*F251</f>
        <v>390.55416550849151</v>
      </c>
      <c r="DJ251" s="2051">
        <f t="shared" si="56"/>
        <v>0</v>
      </c>
    </row>
    <row r="252" spans="1:115" x14ac:dyDescent="0.25">
      <c r="A252" s="2146" t="s">
        <v>861</v>
      </c>
      <c r="B252" s="1318">
        <f t="shared" si="52"/>
        <v>351500</v>
      </c>
      <c r="C252" s="1809" t="s">
        <v>968</v>
      </c>
      <c r="D252" s="1974" t="s">
        <v>863</v>
      </c>
      <c r="E252" s="1265" t="s">
        <v>970</v>
      </c>
      <c r="F252" s="1810">
        <f>ROUND((($J$323*$J$333*(1/$J$343-1/$J$363))/1000)*$J$386*$J$390,2)</f>
        <v>361.07</v>
      </c>
      <c r="G252" s="536" t="s">
        <v>866</v>
      </c>
      <c r="H252" s="918">
        <f>VLOOKUP(G252,'CP FACTORS'!$A$3:$B$38, 2, FALSE)</f>
        <v>9.4741810000000004E-4</v>
      </c>
      <c r="I252" s="1811">
        <f t="shared" si="57"/>
        <v>0.342084</v>
      </c>
      <c r="J252" s="206">
        <f>J412</f>
        <v>12</v>
      </c>
      <c r="K252" s="207">
        <f t="shared" si="54"/>
        <v>0</v>
      </c>
      <c r="L252" s="1067"/>
      <c r="M252" s="531"/>
      <c r="R252" s="510"/>
      <c r="T252" s="50"/>
      <c r="U252" s="50"/>
      <c r="V252" s="1249" t="s">
        <v>46</v>
      </c>
      <c r="W252" s="896">
        <v>527.45399129172722</v>
      </c>
      <c r="X252" s="184">
        <v>528.13366090103261</v>
      </c>
      <c r="Y252" s="205">
        <v>456.05</v>
      </c>
      <c r="Z252" s="686">
        <v>456.05</v>
      </c>
      <c r="AA252" s="686">
        <v>456.05</v>
      </c>
      <c r="AB252" s="627">
        <v>312.22000000000003</v>
      </c>
      <c r="AC252" s="646">
        <v>352.11</v>
      </c>
      <c r="AD252" s="776">
        <v>413.89</v>
      </c>
      <c r="AE252" s="1069">
        <v>252.31</v>
      </c>
      <c r="AF252" s="253">
        <v>361.07</v>
      </c>
      <c r="AG252" s="253">
        <f t="shared" si="58"/>
        <v>361.07</v>
      </c>
      <c r="AH252" s="114"/>
      <c r="AI252" s="114"/>
      <c r="DG252" s="1023"/>
      <c r="DH252" s="1265" t="str">
        <f t="shared" si="55"/>
        <v>Cooling RES ER2 12 Year EUL</v>
      </c>
      <c r="DI252" s="1020">
        <f>(INDEX('Avoided Cost Benefits'!$B$4:$B$866,MATCH(DH252,'Avoided Cost Benefits'!$A$4:$A$866,0)))*F252</f>
        <v>467.1959840924909</v>
      </c>
      <c r="DJ252" s="2051">
        <f t="shared" si="56"/>
        <v>0</v>
      </c>
    </row>
    <row r="253" spans="1:115" x14ac:dyDescent="0.25">
      <c r="A253" s="2146" t="s">
        <v>861</v>
      </c>
      <c r="B253" s="1318">
        <f t="shared" si="52"/>
        <v>351500</v>
      </c>
      <c r="C253" s="18" t="s">
        <v>968</v>
      </c>
      <c r="D253" s="1974" t="s">
        <v>863</v>
      </c>
      <c r="E253" s="1241" t="s">
        <v>970</v>
      </c>
      <c r="F253" s="681">
        <f>ROUND((($J$273*$J$283*(1/$J$293-1/$J$313))/1000)*$J$387*$J$390,2)</f>
        <v>1022.43</v>
      </c>
      <c r="G253" s="36" t="s">
        <v>960</v>
      </c>
      <c r="H253" s="66">
        <f>VLOOKUP(G253,'CP FACTORS'!$A$3:$B$38, 2, FALSE)</f>
        <v>0</v>
      </c>
      <c r="I253" s="43">
        <f t="shared" si="57"/>
        <v>0</v>
      </c>
      <c r="J253" s="44">
        <f>J413</f>
        <v>12</v>
      </c>
      <c r="K253" s="128">
        <f t="shared" si="54"/>
        <v>0</v>
      </c>
      <c r="L253" s="186"/>
      <c r="M253" s="531"/>
      <c r="R253" s="510"/>
      <c r="T253" s="50"/>
      <c r="U253" s="50"/>
      <c r="V253" s="1249" t="s">
        <v>46</v>
      </c>
      <c r="W253" s="896">
        <v>1286.375939849624</v>
      </c>
      <c r="X253" s="184">
        <v>1713.6026292330328</v>
      </c>
      <c r="Y253" s="205">
        <v>1351.43</v>
      </c>
      <c r="Z253" s="686">
        <v>1351.43</v>
      </c>
      <c r="AA253" s="686">
        <v>1351.43</v>
      </c>
      <c r="AB253" s="627">
        <v>515</v>
      </c>
      <c r="AC253" s="646">
        <v>1108.68</v>
      </c>
      <c r="AD253" s="776">
        <v>1434.81</v>
      </c>
      <c r="AE253" s="1068">
        <v>1456.32</v>
      </c>
      <c r="AF253" s="253">
        <v>1022.43</v>
      </c>
      <c r="AG253" s="253">
        <f t="shared" si="58"/>
        <v>1022.43</v>
      </c>
      <c r="AH253" s="114"/>
      <c r="AI253" s="114"/>
      <c r="DG253" s="1023"/>
      <c r="DH253" s="1241" t="str">
        <f t="shared" si="55"/>
        <v>Heating RES ER2 12 Year EUL</v>
      </c>
      <c r="DI253" s="1020">
        <f>(INDEX('Avoided Cost Benefits'!$B$4:$B$866,MATCH(DH253,'Avoided Cost Benefits'!$A$4:$A$866,0)))*F253</f>
        <v>345.47503311426919</v>
      </c>
      <c r="DJ253" s="2051">
        <f t="shared" si="56"/>
        <v>0</v>
      </c>
    </row>
    <row r="254" spans="1:115" x14ac:dyDescent="0.25">
      <c r="A254" s="2146" t="s">
        <v>602</v>
      </c>
      <c r="B254" s="1318">
        <f t="shared" si="52"/>
        <v>351550</v>
      </c>
      <c r="C254" s="18" t="s">
        <v>971</v>
      </c>
      <c r="D254" s="1994" t="s">
        <v>810</v>
      </c>
      <c r="E254" s="1240" t="s">
        <v>972</v>
      </c>
      <c r="F254" s="681">
        <f>ROUND((($J$324*$J$334*(1/$J$354-1/$J$364))/1000)*$J$388*$J$390,2)</f>
        <v>1402.57</v>
      </c>
      <c r="G254" s="526" t="s">
        <v>694</v>
      </c>
      <c r="H254" s="66">
        <f>VLOOKUP(G254,'CP FACTORS'!$A$3:$B$38, 2, FALSE)</f>
        <v>9.4741810000000004E-4</v>
      </c>
      <c r="I254" s="43">
        <f t="shared" si="57"/>
        <v>1.3288199999999999</v>
      </c>
      <c r="J254" s="44">
        <f>J414</f>
        <v>6</v>
      </c>
      <c r="K254" s="128">
        <f>J439</f>
        <v>0</v>
      </c>
      <c r="L254" s="186">
        <f>K315</f>
        <v>1.75</v>
      </c>
      <c r="M254" s="531"/>
      <c r="R254" s="537"/>
      <c r="T254" s="61"/>
      <c r="U254" s="61"/>
      <c r="V254" s="53" t="s">
        <v>46</v>
      </c>
      <c r="W254" s="897">
        <v>1314.6211309523808</v>
      </c>
      <c r="X254" s="209">
        <v>1175.0440224428139</v>
      </c>
      <c r="Y254" s="46">
        <v>1320.98</v>
      </c>
      <c r="Z254" s="45">
        <v>1320.98</v>
      </c>
      <c r="AA254" s="45">
        <v>1320.98</v>
      </c>
      <c r="AB254" s="889">
        <v>1320.98</v>
      </c>
      <c r="AC254" s="646">
        <v>696.9</v>
      </c>
      <c r="AD254" s="776">
        <v>1402.57</v>
      </c>
      <c r="AE254" s="681">
        <v>1402.57</v>
      </c>
      <c r="AF254" s="253">
        <v>1402.57</v>
      </c>
      <c r="AG254" s="253">
        <f t="shared" si="58"/>
        <v>1402.57</v>
      </c>
      <c r="AH254" s="898"/>
      <c r="AI254" s="898"/>
      <c r="AJ254" s="899"/>
      <c r="AK254" s="899"/>
      <c r="AL254" s="899"/>
      <c r="AM254" s="899"/>
      <c r="AN254" s="899"/>
      <c r="AO254" s="899"/>
      <c r="DG254" s="1019" t="e">
        <f>(DI254+DI255)/(DJ254+DJ255)</f>
        <v>#DIV/0!</v>
      </c>
      <c r="DH254" s="1240" t="str">
        <f t="shared" si="55"/>
        <v>Cooling RES 6 Year EUL</v>
      </c>
      <c r="DI254" s="1020">
        <f>(INDEX('Avoided Cost Benefits'!$B$4:$B$866,MATCH(DH254,'Avoided Cost Benefits'!$A$4:$A$866,0)))*F254</f>
        <v>1396.7466658638502</v>
      </c>
      <c r="DJ254" s="2051">
        <f t="shared" si="56"/>
        <v>0</v>
      </c>
    </row>
    <row r="255" spans="1:115" x14ac:dyDescent="0.25">
      <c r="A255" s="2146" t="s">
        <v>602</v>
      </c>
      <c r="B255" s="1318">
        <f t="shared" si="52"/>
        <v>351550</v>
      </c>
      <c r="C255" s="18" t="s">
        <v>971</v>
      </c>
      <c r="D255" s="1994" t="s">
        <v>810</v>
      </c>
      <c r="E255" s="1241" t="s">
        <v>973</v>
      </c>
      <c r="F255" s="681">
        <f>ROUND((($J$324*$J$334*(1/$J$344-1/$J$364))/1000)*$J$389*$J$390,2)</f>
        <v>368.91</v>
      </c>
      <c r="G255" s="526" t="s">
        <v>866</v>
      </c>
      <c r="H255" s="66">
        <f>VLOOKUP(G255,'CP FACTORS'!$A$3:$B$38, 2, FALSE)</f>
        <v>9.4741810000000004E-4</v>
      </c>
      <c r="I255" s="43">
        <f t="shared" si="57"/>
        <v>0.34951199999999999</v>
      </c>
      <c r="J255" s="44">
        <f>J415</f>
        <v>12</v>
      </c>
      <c r="K255" s="128">
        <f>J440</f>
        <v>0</v>
      </c>
      <c r="L255" s="186"/>
      <c r="M255" s="531"/>
      <c r="R255" s="537"/>
      <c r="T255" s="61"/>
      <c r="U255" s="61"/>
      <c r="V255" s="53" t="s">
        <v>46</v>
      </c>
      <c r="W255" s="897">
        <v>371.9630357142857</v>
      </c>
      <c r="X255" s="209">
        <v>343.28687958567122</v>
      </c>
      <c r="Y255" s="46">
        <v>385.92</v>
      </c>
      <c r="Z255" s="45">
        <v>385.92</v>
      </c>
      <c r="AA255" s="45">
        <v>385.92</v>
      </c>
      <c r="AB255" s="889">
        <v>385.92</v>
      </c>
      <c r="AC255" s="646">
        <v>269.27</v>
      </c>
      <c r="AD255" s="776">
        <v>403.9</v>
      </c>
      <c r="AE255" s="124">
        <v>320.17</v>
      </c>
      <c r="AF255" s="253">
        <v>368.91</v>
      </c>
      <c r="AG255" s="253">
        <f t="shared" si="58"/>
        <v>368.91</v>
      </c>
      <c r="AH255" s="898"/>
      <c r="AI255" s="898"/>
      <c r="AJ255" s="899"/>
      <c r="AK255" s="899"/>
      <c r="AL255" s="899"/>
      <c r="AM255" s="899"/>
      <c r="AN255" s="899"/>
      <c r="AO255" s="899"/>
      <c r="DG255" s="1021"/>
      <c r="DH255" s="1241" t="str">
        <f t="shared" si="55"/>
        <v>Cooling RES ER2 12 Year EUL</v>
      </c>
      <c r="DI255" s="1020">
        <f>(INDEX('Avoided Cost Benefits'!$B$4:$B$866,MATCH(DH255,'Avoided Cost Benefits'!$A$4:$A$866,0)))*F255</f>
        <v>477.34032318265389</v>
      </c>
      <c r="DJ255" s="2051">
        <f t="shared" si="56"/>
        <v>0</v>
      </c>
    </row>
    <row r="256" spans="1:115" outlineLevel="1" x14ac:dyDescent="0.25">
      <c r="A256" s="2145"/>
      <c r="C256" s="49"/>
      <c r="D256" s="74" t="s">
        <v>95</v>
      </c>
      <c r="E256" s="50" t="s">
        <v>974</v>
      </c>
      <c r="F256" s="100"/>
      <c r="T256" s="50"/>
      <c r="U256" s="50"/>
      <c r="V256" s="50"/>
      <c r="DG256" s="543"/>
      <c r="DH256" s="172"/>
      <c r="DI256" s="1020"/>
    </row>
    <row r="257" spans="1:113" outlineLevel="1" x14ac:dyDescent="0.25">
      <c r="A257" s="2145"/>
      <c r="C257" s="49"/>
      <c r="D257" s="71" t="s">
        <v>609</v>
      </c>
      <c r="E257" s="50" t="s">
        <v>975</v>
      </c>
      <c r="T257" s="50"/>
      <c r="U257" s="50"/>
      <c r="V257" s="50"/>
      <c r="DG257" s="543"/>
      <c r="DH257" s="149"/>
      <c r="DI257" s="1020"/>
    </row>
    <row r="258" spans="1:113" outlineLevel="1" x14ac:dyDescent="0.25">
      <c r="A258" s="2145"/>
      <c r="C258" s="49"/>
      <c r="D258" s="71"/>
      <c r="E258" s="50" t="s">
        <v>976</v>
      </c>
      <c r="T258" s="50"/>
      <c r="U258" s="50"/>
      <c r="V258" s="50"/>
      <c r="DG258" s="543"/>
      <c r="DH258" s="149"/>
      <c r="DI258" s="1020"/>
    </row>
    <row r="259" spans="1:113" outlineLevel="1" x14ac:dyDescent="0.25">
      <c r="A259" s="2145"/>
      <c r="C259" s="49"/>
      <c r="D259" s="100"/>
      <c r="E259" s="50" t="s">
        <v>977</v>
      </c>
      <c r="T259" s="50"/>
      <c r="U259" s="50"/>
      <c r="V259" s="50"/>
      <c r="DG259" s="543"/>
      <c r="DH259" s="149"/>
      <c r="DI259" s="1020"/>
    </row>
    <row r="260" spans="1:113" outlineLevel="1" x14ac:dyDescent="0.25">
      <c r="A260" s="2145"/>
      <c r="C260" s="49"/>
      <c r="D260" s="100"/>
      <c r="E260" s="50" t="s">
        <v>978</v>
      </c>
      <c r="N260" s="535"/>
      <c r="T260" s="50"/>
      <c r="U260" s="50"/>
      <c r="V260" s="50"/>
      <c r="DG260" s="543"/>
      <c r="DH260" s="149"/>
      <c r="DI260" s="1020"/>
    </row>
    <row r="261" spans="1:113" outlineLevel="1" x14ac:dyDescent="0.25">
      <c r="A261" s="2145"/>
      <c r="C261" s="49"/>
      <c r="D261" s="100"/>
      <c r="E261" s="50" t="s">
        <v>979</v>
      </c>
      <c r="N261" s="535"/>
      <c r="T261" s="50"/>
      <c r="U261" s="50"/>
      <c r="V261" s="50"/>
      <c r="DG261" s="543"/>
      <c r="DH261" s="149"/>
      <c r="DI261" s="1020"/>
    </row>
    <row r="262" spans="1:113" outlineLevel="1" x14ac:dyDescent="0.25">
      <c r="A262" s="2145"/>
      <c r="C262" s="49"/>
      <c r="D262" s="100"/>
      <c r="E262" s="50" t="s">
        <v>717</v>
      </c>
      <c r="N262" s="535"/>
      <c r="Q262" s="1578" t="str">
        <f>B228</f>
        <v>Mini/Multi-Split Heat Pumps and Air Conditioners</v>
      </c>
      <c r="T262" s="50"/>
      <c r="U262" s="50"/>
      <c r="V262" s="50"/>
      <c r="DG262" s="543"/>
      <c r="DH262" s="149"/>
      <c r="DI262" s="1020"/>
    </row>
    <row r="263" spans="1:113" outlineLevel="1" x14ac:dyDescent="0.25">
      <c r="A263" s="2145"/>
      <c r="C263" s="49"/>
      <c r="D263" s="100"/>
      <c r="J263" s="100"/>
      <c r="N263" s="535"/>
      <c r="T263" s="50"/>
      <c r="U263" s="50"/>
      <c r="V263" s="50"/>
      <c r="DG263" s="543"/>
      <c r="DH263" s="149"/>
      <c r="DI263" s="1020"/>
    </row>
    <row r="264" spans="1:113" ht="30" outlineLevel="1" x14ac:dyDescent="0.25">
      <c r="A264" s="2145"/>
      <c r="C264" s="49"/>
      <c r="D264" s="1309" t="s">
        <v>720</v>
      </c>
      <c r="E264" s="1309" t="s">
        <v>613</v>
      </c>
      <c r="F264" s="2378" t="s">
        <v>614</v>
      </c>
      <c r="G264" s="2378"/>
      <c r="H264" s="2378"/>
      <c r="I264" s="1242" t="s">
        <v>43</v>
      </c>
      <c r="J264" s="1242" t="s">
        <v>615</v>
      </c>
      <c r="K264" s="1242" t="s">
        <v>909</v>
      </c>
      <c r="L264" s="1242" t="s">
        <v>910</v>
      </c>
      <c r="S264" s="2432" t="s">
        <v>980</v>
      </c>
      <c r="T264" s="2432"/>
      <c r="U264" s="50"/>
      <c r="V264" s="162" t="s">
        <v>53</v>
      </c>
      <c r="W264" s="637">
        <f>W$7</f>
        <v>43252</v>
      </c>
      <c r="X264" s="637">
        <f t="shared" ref="X264:AG264" si="59">X$7</f>
        <v>43800</v>
      </c>
      <c r="Y264" s="637">
        <f t="shared" si="59"/>
        <v>43800</v>
      </c>
      <c r="Z264" s="637">
        <f t="shared" si="59"/>
        <v>43862</v>
      </c>
      <c r="AA264" s="637">
        <f t="shared" si="59"/>
        <v>44013</v>
      </c>
      <c r="AB264" s="637">
        <f t="shared" si="59"/>
        <v>44166</v>
      </c>
      <c r="AC264" s="637">
        <f t="shared" si="59"/>
        <v>44531</v>
      </c>
      <c r="AD264" s="637">
        <f t="shared" si="59"/>
        <v>44774</v>
      </c>
      <c r="AE264" s="637">
        <f t="shared" si="59"/>
        <v>45139</v>
      </c>
      <c r="AF264" s="637">
        <f t="shared" si="59"/>
        <v>45672</v>
      </c>
      <c r="AG264" s="110">
        <f t="shared" si="59"/>
        <v>45931</v>
      </c>
      <c r="DG264" s="543"/>
      <c r="DH264" s="149"/>
      <c r="DI264" s="1020"/>
    </row>
    <row r="265" spans="1:113" outlineLevel="1" x14ac:dyDescent="0.25">
      <c r="A265" s="2145"/>
      <c r="C265" s="49"/>
      <c r="D265" s="2415" t="s">
        <v>981</v>
      </c>
      <c r="E265" s="2415" t="s">
        <v>982</v>
      </c>
      <c r="F265" s="2417" t="str">
        <f>E231</f>
        <v>Mini/MultiSplitAC_ER1_SF</v>
      </c>
      <c r="G265" s="2417"/>
      <c r="H265" s="2417"/>
      <c r="I265" s="873" t="str">
        <f>C231</f>
        <v>351200_2024_12_</v>
      </c>
      <c r="J265" s="1523">
        <v>0</v>
      </c>
      <c r="K265" s="859">
        <f>J265/12000</f>
        <v>0</v>
      </c>
      <c r="L265" s="873" t="s">
        <v>983</v>
      </c>
      <c r="Q265" s="1806" t="s">
        <v>984</v>
      </c>
      <c r="R265" s="1806" t="s">
        <v>985</v>
      </c>
      <c r="S265" s="1806" t="s">
        <v>986</v>
      </c>
      <c r="T265" s="1431" t="s">
        <v>987</v>
      </c>
      <c r="U265" s="50"/>
      <c r="V265" s="2415" t="s">
        <v>981</v>
      </c>
      <c r="W265" s="1268">
        <v>0</v>
      </c>
      <c r="X265" s="1268">
        <v>0</v>
      </c>
      <c r="Y265" s="1268">
        <v>0</v>
      </c>
      <c r="Z265" s="1268">
        <v>0</v>
      </c>
      <c r="AA265" s="1268">
        <v>0</v>
      </c>
      <c r="AB265" s="1268">
        <v>0</v>
      </c>
      <c r="AC265" s="1268">
        <v>0</v>
      </c>
      <c r="AD265" s="1268">
        <v>0</v>
      </c>
      <c r="AE265" s="1276">
        <v>0</v>
      </c>
      <c r="AF265" s="253">
        <v>0</v>
      </c>
      <c r="AG265" s="253">
        <f>IF(J265&lt;&gt;"",J265,"")</f>
        <v>0</v>
      </c>
      <c r="DG265" s="543"/>
      <c r="DH265" s="149"/>
      <c r="DI265" s="1020"/>
    </row>
    <row r="266" spans="1:113" outlineLevel="1" x14ac:dyDescent="0.25">
      <c r="A266" s="2145"/>
      <c r="C266" s="49"/>
      <c r="D266" s="2415"/>
      <c r="E266" s="2415"/>
      <c r="F266" s="2417" t="str">
        <f>E233</f>
        <v>Mini/MultiSplitAC_ROF_SF</v>
      </c>
      <c r="G266" s="2417"/>
      <c r="H266" s="2417"/>
      <c r="I266" s="873" t="str">
        <f>C233</f>
        <v>351250_2024_12_</v>
      </c>
      <c r="J266" s="1523">
        <v>0</v>
      </c>
      <c r="K266" s="859">
        <f>J266/12000</f>
        <v>0</v>
      </c>
      <c r="L266" s="873" t="s">
        <v>983</v>
      </c>
      <c r="Q266" s="1805">
        <v>8.1</v>
      </c>
      <c r="R266" s="1805">
        <v>8.9</v>
      </c>
      <c r="S266" s="1249">
        <v>1443</v>
      </c>
      <c r="T266" s="68">
        <v>62</v>
      </c>
      <c r="U266" s="50"/>
      <c r="V266" s="2415"/>
      <c r="W266" s="1268">
        <v>0</v>
      </c>
      <c r="X266" s="1268">
        <v>0</v>
      </c>
      <c r="Y266" s="1268">
        <v>0</v>
      </c>
      <c r="Z266" s="1268">
        <v>0</v>
      </c>
      <c r="AA266" s="1268">
        <v>0</v>
      </c>
      <c r="AB266" s="1268">
        <v>0</v>
      </c>
      <c r="AC266" s="1268">
        <v>0</v>
      </c>
      <c r="AD266" s="1268">
        <v>0</v>
      </c>
      <c r="AE266" s="1276">
        <v>0</v>
      </c>
      <c r="AF266" s="253">
        <v>0</v>
      </c>
      <c r="AG266" s="253">
        <f t="shared" ref="AG266:AG329" si="60">IF(J266&lt;&gt;"",J266,"")</f>
        <v>0</v>
      </c>
      <c r="DG266" s="543"/>
      <c r="DH266" s="149"/>
      <c r="DI266" s="1020"/>
    </row>
    <row r="267" spans="1:113" outlineLevel="1" x14ac:dyDescent="0.25">
      <c r="A267" s="2145"/>
      <c r="C267" s="49"/>
      <c r="D267" s="2415"/>
      <c r="E267" s="2415"/>
      <c r="F267" s="2417" t="str">
        <f>E234</f>
        <v>Mini/MultiSplitASHP_ROF_SF_NC</v>
      </c>
      <c r="G267" s="2417"/>
      <c r="H267" s="2417"/>
      <c r="I267" s="873" t="str">
        <f>C234</f>
        <v>351300_2024_12_</v>
      </c>
      <c r="J267" s="1515">
        <v>19534.374419283762</v>
      </c>
      <c r="K267" s="859">
        <f t="shared" ref="K267:K273" si="61">J267/12000</f>
        <v>1.6278645349403136</v>
      </c>
      <c r="L267" s="1518" t="s">
        <v>931</v>
      </c>
      <c r="Q267" s="1805">
        <f>R266</f>
        <v>8.9</v>
      </c>
      <c r="R267" s="1805">
        <v>9.8000000000000007</v>
      </c>
      <c r="S267" s="1249">
        <v>1605</v>
      </c>
      <c r="T267" s="68">
        <v>224</v>
      </c>
      <c r="U267" s="50"/>
      <c r="V267" s="2415"/>
      <c r="W267" s="1268">
        <v>16800</v>
      </c>
      <c r="X267" s="779">
        <f>1.5*12000</f>
        <v>18000</v>
      </c>
      <c r="Y267" s="1268">
        <v>18000</v>
      </c>
      <c r="Z267" s="1268">
        <v>18000</v>
      </c>
      <c r="AA267" s="1268">
        <v>18000</v>
      </c>
      <c r="AB267" s="1268">
        <v>18000</v>
      </c>
      <c r="AC267" s="775">
        <v>18101.694915254237</v>
      </c>
      <c r="AD267" s="908">
        <v>19534.374419283762</v>
      </c>
      <c r="AE267" s="978">
        <v>19534.374419283762</v>
      </c>
      <c r="AF267" s="253">
        <v>19534.374419283762</v>
      </c>
      <c r="AG267" s="253">
        <f t="shared" si="60"/>
        <v>19534.374419283762</v>
      </c>
      <c r="DG267" s="543"/>
      <c r="DH267" s="149"/>
      <c r="DI267" s="1020"/>
    </row>
    <row r="268" spans="1:113" outlineLevel="1" x14ac:dyDescent="0.25">
      <c r="A268" s="2145"/>
      <c r="C268" s="49"/>
      <c r="D268" s="2415"/>
      <c r="E268" s="2415"/>
      <c r="F268" s="2417" t="str">
        <f>E236</f>
        <v>Mini/MultiSplitASHP_ROF_SF</v>
      </c>
      <c r="G268" s="2417"/>
      <c r="H268" s="2417"/>
      <c r="I268" s="873" t="str">
        <f>C236</f>
        <v>351350_2024_12_</v>
      </c>
      <c r="J268" s="1515">
        <v>19534.374419283762</v>
      </c>
      <c r="K268" s="859">
        <f t="shared" si="61"/>
        <v>1.6278645349403136</v>
      </c>
      <c r="L268" s="1518" t="s">
        <v>931</v>
      </c>
      <c r="Q268" s="1805">
        <f>R267</f>
        <v>9.8000000000000007</v>
      </c>
      <c r="R268" s="1805">
        <v>11.6</v>
      </c>
      <c r="S268" s="1249">
        <v>1715</v>
      </c>
      <c r="T268" s="68">
        <v>334</v>
      </c>
      <c r="U268" s="50"/>
      <c r="V268" s="2415"/>
      <c r="W268" s="1268">
        <v>16800</v>
      </c>
      <c r="X268" s="779">
        <f>1.5*12000</f>
        <v>18000</v>
      </c>
      <c r="Y268" s="1268">
        <v>18000</v>
      </c>
      <c r="Z268" s="1268">
        <v>18000</v>
      </c>
      <c r="AA268" s="1268">
        <v>18000</v>
      </c>
      <c r="AB268" s="690">
        <v>18221.05263157895</v>
      </c>
      <c r="AC268" s="690">
        <v>16500</v>
      </c>
      <c r="AD268" s="1035">
        <v>19534.374419283762</v>
      </c>
      <c r="AE268" s="978">
        <v>19534.374419283762</v>
      </c>
      <c r="AF268" s="253">
        <v>19534.374419283762</v>
      </c>
      <c r="AG268" s="253">
        <f t="shared" si="60"/>
        <v>19534.374419283762</v>
      </c>
      <c r="DG268" s="543"/>
      <c r="DH268" s="149"/>
      <c r="DI268" s="1020"/>
    </row>
    <row r="269" spans="1:113" outlineLevel="1" x14ac:dyDescent="0.25">
      <c r="A269" s="2145"/>
      <c r="C269" s="49"/>
      <c r="D269" s="2415"/>
      <c r="E269" s="2415"/>
      <c r="F269" s="2417" t="str">
        <f>E238</f>
        <v>Mini/MultiSplitASHP-Replace_CAC_ElectricHeat_ER1_SF</v>
      </c>
      <c r="G269" s="2417"/>
      <c r="H269" s="2417"/>
      <c r="I269" s="873" t="str">
        <f>C238</f>
        <v>351400_2024_12_</v>
      </c>
      <c r="J269" s="1515">
        <v>22509.090909090908</v>
      </c>
      <c r="K269" s="859">
        <f t="shared" si="61"/>
        <v>1.8757575757575757</v>
      </c>
      <c r="L269" s="1518" t="s">
        <v>931</v>
      </c>
      <c r="Q269" s="1805">
        <f>R268</f>
        <v>11.6</v>
      </c>
      <c r="R269" s="1805">
        <v>100</v>
      </c>
      <c r="S269" s="1249">
        <v>2041</v>
      </c>
      <c r="T269" s="68">
        <v>660</v>
      </c>
      <c r="U269" s="50"/>
      <c r="V269" s="2415"/>
      <c r="W269" s="1268">
        <v>16800</v>
      </c>
      <c r="X269" s="779">
        <f>1.5*12000</f>
        <v>18000</v>
      </c>
      <c r="Y269" s="1268">
        <v>18000</v>
      </c>
      <c r="Z269" s="1268">
        <v>18000</v>
      </c>
      <c r="AA269" s="1268">
        <v>18000</v>
      </c>
      <c r="AB269" s="690">
        <v>18840</v>
      </c>
      <c r="AC269" s="690">
        <v>18837.20930232558</v>
      </c>
      <c r="AD269" s="1035">
        <v>22509.090909090908</v>
      </c>
      <c r="AE269" s="978">
        <v>22509.090909090908</v>
      </c>
      <c r="AF269" s="253">
        <v>22509.090909090908</v>
      </c>
      <c r="AG269" s="253">
        <f t="shared" si="60"/>
        <v>22509.090909090908</v>
      </c>
      <c r="DG269" s="543"/>
      <c r="DH269" s="149"/>
      <c r="DI269" s="1020"/>
    </row>
    <row r="270" spans="1:113" outlineLevel="1" x14ac:dyDescent="0.25">
      <c r="A270" s="2145"/>
      <c r="C270" s="49"/>
      <c r="D270" s="2415"/>
      <c r="E270" s="2415"/>
      <c r="F270" s="2417" t="str">
        <f>E246</f>
        <v>Mini/MultiSplitASHP-Replace_CAC_ElectricHeat_ROF_SF</v>
      </c>
      <c r="G270" s="2417"/>
      <c r="H270" s="2417"/>
      <c r="I270" s="873" t="str">
        <f>C246</f>
        <v>351450_2024_12_</v>
      </c>
      <c r="J270" s="1515">
        <v>19534.374419283762</v>
      </c>
      <c r="K270" s="859">
        <f t="shared" si="61"/>
        <v>1.6278645349403136</v>
      </c>
      <c r="L270" s="1518" t="s">
        <v>931</v>
      </c>
      <c r="T270" s="50"/>
      <c r="U270" s="50"/>
      <c r="V270" s="2415"/>
      <c r="W270" s="1268">
        <v>19200</v>
      </c>
      <c r="X270" s="779">
        <f>1.5*12000</f>
        <v>18000</v>
      </c>
      <c r="Y270" s="779">
        <v>19200</v>
      </c>
      <c r="Z270" s="1268">
        <v>19200</v>
      </c>
      <c r="AA270" s="1268">
        <v>19200</v>
      </c>
      <c r="AB270" s="690">
        <v>19200</v>
      </c>
      <c r="AC270" s="690">
        <v>20769.23076923077</v>
      </c>
      <c r="AD270" s="1035">
        <v>19534.374419283762</v>
      </c>
      <c r="AE270" s="978">
        <v>19534.374419283762</v>
      </c>
      <c r="AF270" s="253">
        <v>19534.374419283762</v>
      </c>
      <c r="AG270" s="253">
        <f t="shared" si="60"/>
        <v>19534.374419283762</v>
      </c>
      <c r="DG270" s="543"/>
      <c r="DH270" s="149"/>
      <c r="DI270" s="1020"/>
    </row>
    <row r="271" spans="1:113" outlineLevel="1" x14ac:dyDescent="0.25">
      <c r="A271" s="2145"/>
      <c r="C271" s="49"/>
      <c r="D271" s="2415"/>
      <c r="E271" s="2415"/>
      <c r="F271" s="2417" t="str">
        <f>E242</f>
        <v>Mini/MultiSplitASHP-Replace_CAC_NonElectricHeat_ER1_SF</v>
      </c>
      <c r="G271" s="2417"/>
      <c r="H271" s="2417"/>
      <c r="I271" s="873" t="str">
        <f>C242</f>
        <v>351401_2024_12_</v>
      </c>
      <c r="J271" s="1515">
        <v>22509.090909090908</v>
      </c>
      <c r="K271" s="859">
        <f t="shared" si="61"/>
        <v>1.8757575757575757</v>
      </c>
      <c r="L271" s="1518" t="s">
        <v>931</v>
      </c>
      <c r="T271" s="50"/>
      <c r="U271" s="50"/>
      <c r="V271" s="2415"/>
      <c r="W271" s="1268"/>
      <c r="X271" s="779"/>
      <c r="Y271" s="779"/>
      <c r="Z271" s="1268"/>
      <c r="AA271" s="1268"/>
      <c r="AB271" s="690"/>
      <c r="AC271" s="690"/>
      <c r="AD271" s="1035">
        <v>22509.090909090908</v>
      </c>
      <c r="AE271" s="978">
        <v>22509.090909090908</v>
      </c>
      <c r="AF271" s="253">
        <v>22509.090909090908</v>
      </c>
      <c r="AG271" s="253">
        <f t="shared" si="60"/>
        <v>22509.090909090908</v>
      </c>
      <c r="DG271" s="543"/>
      <c r="DH271" s="149"/>
      <c r="DI271" s="1020"/>
    </row>
    <row r="272" spans="1:113" outlineLevel="1" x14ac:dyDescent="0.25">
      <c r="A272" s="2145"/>
      <c r="C272" s="49"/>
      <c r="D272" s="2415"/>
      <c r="E272" s="2415"/>
      <c r="F272" s="2417" t="str">
        <f>E248</f>
        <v>Mini/MultiSplitASHP-Replace_CAC_NonElectricHeat_ROF_SF</v>
      </c>
      <c r="G272" s="2417"/>
      <c r="H272" s="2417"/>
      <c r="I272" s="873" t="str">
        <f>C248</f>
        <v>351451_2024_12_</v>
      </c>
      <c r="J272" s="1515">
        <v>19534.374419283762</v>
      </c>
      <c r="K272" s="859">
        <f t="shared" si="61"/>
        <v>1.6278645349403136</v>
      </c>
      <c r="L272" s="1518" t="s">
        <v>931</v>
      </c>
      <c r="S272" s="2432" t="s">
        <v>988</v>
      </c>
      <c r="T272" s="2432"/>
      <c r="U272" s="50"/>
      <c r="V272" s="2415"/>
      <c r="W272" s="1268"/>
      <c r="X272" s="779"/>
      <c r="Y272" s="779"/>
      <c r="Z272" s="1268"/>
      <c r="AA272" s="1268"/>
      <c r="AB272" s="690"/>
      <c r="AC272" s="690"/>
      <c r="AD272" s="1035">
        <v>19534.374419283762</v>
      </c>
      <c r="AE272" s="978">
        <v>19534.374419283762</v>
      </c>
      <c r="AF272" s="253">
        <v>19534.374419283762</v>
      </c>
      <c r="AG272" s="253">
        <f t="shared" si="60"/>
        <v>19534.374419283762</v>
      </c>
      <c r="DG272" s="543"/>
      <c r="DH272" s="149"/>
      <c r="DI272" s="1020"/>
    </row>
    <row r="273" spans="1:113" outlineLevel="1" x14ac:dyDescent="0.25">
      <c r="A273" s="2145"/>
      <c r="C273" s="49"/>
      <c r="D273" s="2415"/>
      <c r="E273" s="2415"/>
      <c r="F273" s="2417" t="str">
        <f>E250</f>
        <v>Mini/MultiSplitASHP_ER1_SF</v>
      </c>
      <c r="G273" s="2417"/>
      <c r="H273" s="2417"/>
      <c r="I273" s="873" t="str">
        <f>C250</f>
        <v>351500_2024_12_</v>
      </c>
      <c r="J273" s="1515">
        <v>22509.090909090908</v>
      </c>
      <c r="K273" s="859">
        <f t="shared" si="61"/>
        <v>1.8757575757575757</v>
      </c>
      <c r="L273" s="1518" t="s">
        <v>931</v>
      </c>
      <c r="Q273" s="1806" t="s">
        <v>989</v>
      </c>
      <c r="R273" s="1806" t="s">
        <v>990</v>
      </c>
      <c r="S273" s="1806" t="s">
        <v>991</v>
      </c>
      <c r="T273" s="1431" t="s">
        <v>992</v>
      </c>
      <c r="U273" s="50"/>
      <c r="V273" s="2415"/>
      <c r="W273" s="1268">
        <v>20400</v>
      </c>
      <c r="X273" s="779">
        <f>1.5*12000</f>
        <v>18000</v>
      </c>
      <c r="Y273" s="1268">
        <v>18000</v>
      </c>
      <c r="Z273" s="1268">
        <v>18000</v>
      </c>
      <c r="AA273" s="1268">
        <v>18000</v>
      </c>
      <c r="AB273" s="690">
        <v>15375</v>
      </c>
      <c r="AC273" s="690">
        <v>17727.272727272728</v>
      </c>
      <c r="AD273" s="1035">
        <v>22509.090909090908</v>
      </c>
      <c r="AE273" s="978">
        <v>22509.090909090908</v>
      </c>
      <c r="AF273" s="253">
        <v>22509.090909090908</v>
      </c>
      <c r="AG273" s="253">
        <f t="shared" si="60"/>
        <v>22509.090909090908</v>
      </c>
      <c r="DG273" s="543"/>
      <c r="DH273" s="149"/>
      <c r="DI273" s="1020"/>
    </row>
    <row r="274" spans="1:113" outlineLevel="1" x14ac:dyDescent="0.25">
      <c r="A274" s="2145"/>
      <c r="C274" s="49"/>
      <c r="D274" s="2415"/>
      <c r="E274" s="2415"/>
      <c r="F274" s="2417" t="str">
        <f>E254</f>
        <v>Mini/MultiSplitAC_ER1_MF</v>
      </c>
      <c r="G274" s="2417"/>
      <c r="H274" s="2417"/>
      <c r="I274" s="873" t="str">
        <f>C254</f>
        <v>351550_2024_12_</v>
      </c>
      <c r="J274" s="1523">
        <f>J265</f>
        <v>0</v>
      </c>
      <c r="K274" s="859">
        <f t="shared" ref="K274" si="62">J274/12000</f>
        <v>0</v>
      </c>
      <c r="L274" s="1519" t="s">
        <v>983</v>
      </c>
      <c r="Q274" s="1249" t="s">
        <v>993</v>
      </c>
      <c r="R274" s="1249" t="s">
        <v>993</v>
      </c>
      <c r="S274" s="1249">
        <v>3338</v>
      </c>
      <c r="T274" s="68">
        <v>0</v>
      </c>
      <c r="U274" s="50"/>
      <c r="V274" s="2415"/>
      <c r="W274" s="1268"/>
      <c r="X274" s="1268"/>
      <c r="Y274" s="779">
        <v>0</v>
      </c>
      <c r="Z274" s="1268">
        <v>0</v>
      </c>
      <c r="AA274" s="1268">
        <v>0</v>
      </c>
      <c r="AB274" s="1276">
        <v>0</v>
      </c>
      <c r="AC274" s="1276">
        <v>0</v>
      </c>
      <c r="AD274" s="1276">
        <v>0</v>
      </c>
      <c r="AE274" s="1276">
        <v>0</v>
      </c>
      <c r="AF274" s="253">
        <v>0</v>
      </c>
      <c r="AG274" s="253">
        <f t="shared" si="60"/>
        <v>0</v>
      </c>
      <c r="DG274" s="543"/>
      <c r="DH274" s="149"/>
      <c r="DI274" s="1020"/>
    </row>
    <row r="275" spans="1:113" ht="15" customHeight="1" outlineLevel="1" x14ac:dyDescent="0.25">
      <c r="A275" s="2145"/>
      <c r="C275" s="49"/>
      <c r="D275" s="2415" t="s">
        <v>822</v>
      </c>
      <c r="E275" s="2415" t="s">
        <v>994</v>
      </c>
      <c r="F275" s="2417" t="str">
        <f t="shared" ref="F275:F306" si="63">F265</f>
        <v>Mini/MultiSplitAC_ER1_SF</v>
      </c>
      <c r="G275" s="2417"/>
      <c r="H275" s="2417"/>
      <c r="I275" s="873" t="str">
        <f t="shared" ref="I275:I306" si="64">I265</f>
        <v>351200_2024_12_</v>
      </c>
      <c r="J275" s="1536">
        <v>0</v>
      </c>
      <c r="K275" s="12"/>
      <c r="L275" s="2423" t="s">
        <v>995</v>
      </c>
      <c r="Q275" s="1249" t="s">
        <v>996</v>
      </c>
      <c r="R275" s="1249" t="s">
        <v>996</v>
      </c>
      <c r="S275" s="1249">
        <f>2011+3338</f>
        <v>5349</v>
      </c>
      <c r="T275" s="68">
        <v>0</v>
      </c>
      <c r="U275" s="50"/>
      <c r="V275" s="2415" t="s">
        <v>822</v>
      </c>
      <c r="W275" s="1268">
        <v>0</v>
      </c>
      <c r="X275" s="1268">
        <v>0</v>
      </c>
      <c r="Y275" s="1268">
        <v>0</v>
      </c>
      <c r="Z275" s="1268">
        <v>0</v>
      </c>
      <c r="AA275" s="1268">
        <v>0</v>
      </c>
      <c r="AB275" s="1268">
        <v>0</v>
      </c>
      <c r="AC275" s="1268">
        <v>0</v>
      </c>
      <c r="AD275" s="1268">
        <v>0</v>
      </c>
      <c r="AE275" s="1276">
        <v>0</v>
      </c>
      <c r="AF275" s="253">
        <v>0</v>
      </c>
      <c r="AG275" s="253">
        <f t="shared" si="60"/>
        <v>0</v>
      </c>
      <c r="DG275" s="543"/>
      <c r="DH275" s="149"/>
      <c r="DI275" s="1020"/>
    </row>
    <row r="276" spans="1:113" outlineLevel="1" x14ac:dyDescent="0.25">
      <c r="A276" s="2145"/>
      <c r="C276" s="49"/>
      <c r="D276" s="2415"/>
      <c r="E276" s="2415"/>
      <c r="F276" s="2417" t="str">
        <f t="shared" si="63"/>
        <v>Mini/MultiSplitAC_ROF_SF</v>
      </c>
      <c r="G276" s="2417"/>
      <c r="H276" s="2417"/>
      <c r="I276" s="873" t="str">
        <f t="shared" si="64"/>
        <v>351250_2024_12_</v>
      </c>
      <c r="J276" s="1536">
        <v>0</v>
      </c>
      <c r="K276" s="1520"/>
      <c r="L276" s="2423"/>
      <c r="Q276" s="1249" t="s">
        <v>997</v>
      </c>
      <c r="R276" s="1249" t="s">
        <v>997</v>
      </c>
      <c r="S276" s="1249">
        <v>0</v>
      </c>
      <c r="T276" s="68">
        <v>1518</v>
      </c>
      <c r="U276" s="50"/>
      <c r="V276" s="2415"/>
      <c r="W276" s="1268">
        <v>0</v>
      </c>
      <c r="X276" s="1268">
        <v>0</v>
      </c>
      <c r="Y276" s="1268">
        <v>0</v>
      </c>
      <c r="Z276" s="1268">
        <v>0</v>
      </c>
      <c r="AA276" s="1268">
        <v>0</v>
      </c>
      <c r="AB276" s="1268">
        <v>0</v>
      </c>
      <c r="AC276" s="1268">
        <v>0</v>
      </c>
      <c r="AD276" s="1268">
        <v>0</v>
      </c>
      <c r="AE276" s="1276">
        <v>0</v>
      </c>
      <c r="AF276" s="253">
        <v>0</v>
      </c>
      <c r="AG276" s="253">
        <f t="shared" si="60"/>
        <v>0</v>
      </c>
      <c r="DG276" s="543"/>
      <c r="DH276" s="149"/>
      <c r="DI276" s="1020"/>
    </row>
    <row r="277" spans="1:113" outlineLevel="1" x14ac:dyDescent="0.25">
      <c r="A277" s="2145"/>
      <c r="C277" s="49"/>
      <c r="D277" s="2415"/>
      <c r="E277" s="2415"/>
      <c r="F277" s="2417" t="str">
        <f t="shared" si="63"/>
        <v>Mini/MultiSplitASHP_ROF_SF_NC</v>
      </c>
      <c r="G277" s="2417"/>
      <c r="H277" s="2417"/>
      <c r="I277" s="873" t="str">
        <f t="shared" si="64"/>
        <v>351300_2024_12_</v>
      </c>
      <c r="J277" s="1536">
        <v>1034</v>
      </c>
      <c r="K277" s="1520"/>
      <c r="L277" s="2423"/>
      <c r="Q277" s="1249" t="s">
        <v>998</v>
      </c>
      <c r="R277" s="1249" t="s">
        <v>998</v>
      </c>
      <c r="S277" s="1249">
        <v>3670</v>
      </c>
      <c r="T277" s="68">
        <v>0</v>
      </c>
      <c r="U277" s="50"/>
      <c r="V277" s="2415"/>
      <c r="W277" s="1268">
        <v>1496</v>
      </c>
      <c r="X277" s="1268">
        <v>1496</v>
      </c>
      <c r="Y277" s="779">
        <v>1034</v>
      </c>
      <c r="Z277" s="1268">
        <v>1034</v>
      </c>
      <c r="AA277" s="1268">
        <v>1034</v>
      </c>
      <c r="AB277" s="1268">
        <v>1034</v>
      </c>
      <c r="AC277" s="1268">
        <v>1034</v>
      </c>
      <c r="AD277" s="1268">
        <v>1034</v>
      </c>
      <c r="AE277" s="1276">
        <v>1034</v>
      </c>
      <c r="AF277" s="253">
        <v>1034</v>
      </c>
      <c r="AG277" s="253">
        <f t="shared" si="60"/>
        <v>1034</v>
      </c>
      <c r="DG277" s="543"/>
      <c r="DH277" s="149"/>
      <c r="DI277" s="1020"/>
    </row>
    <row r="278" spans="1:113" outlineLevel="1" x14ac:dyDescent="0.25">
      <c r="A278" s="2145"/>
      <c r="C278" s="49"/>
      <c r="D278" s="2415"/>
      <c r="E278" s="2415"/>
      <c r="F278" s="2417" t="str">
        <f t="shared" si="63"/>
        <v>Mini/MultiSplitASHP_ROF_SF</v>
      </c>
      <c r="G278" s="2417"/>
      <c r="H278" s="2417"/>
      <c r="I278" s="873" t="str">
        <f t="shared" si="64"/>
        <v>351350_2024_12_</v>
      </c>
      <c r="J278" s="1536">
        <v>1034</v>
      </c>
      <c r="K278" s="1520"/>
      <c r="L278" s="2423"/>
      <c r="N278" s="535"/>
      <c r="Q278" s="1249" t="s">
        <v>999</v>
      </c>
      <c r="R278" s="1249" t="s">
        <v>999</v>
      </c>
      <c r="S278" s="1249">
        <f>2296+3670</f>
        <v>5966</v>
      </c>
      <c r="T278" s="68">
        <v>0</v>
      </c>
      <c r="U278" s="50"/>
      <c r="V278" s="2415"/>
      <c r="W278" s="1268">
        <v>1496</v>
      </c>
      <c r="X278" s="1268">
        <v>1496</v>
      </c>
      <c r="Y278" s="779">
        <v>1034</v>
      </c>
      <c r="Z278" s="1268">
        <v>1034</v>
      </c>
      <c r="AA278" s="1268">
        <v>1034</v>
      </c>
      <c r="AB278" s="1268">
        <v>1034</v>
      </c>
      <c r="AC278" s="1268">
        <v>1034</v>
      </c>
      <c r="AD278" s="1268">
        <v>1034</v>
      </c>
      <c r="AE278" s="1276">
        <v>1034</v>
      </c>
      <c r="AF278" s="253">
        <v>1034</v>
      </c>
      <c r="AG278" s="253">
        <f t="shared" si="60"/>
        <v>1034</v>
      </c>
      <c r="DG278" s="543"/>
      <c r="DH278" s="149"/>
      <c r="DI278" s="1020"/>
    </row>
    <row r="279" spans="1:113" outlineLevel="1" x14ac:dyDescent="0.25">
      <c r="A279" s="2145"/>
      <c r="C279" s="49"/>
      <c r="D279" s="2415"/>
      <c r="E279" s="2415"/>
      <c r="F279" s="2417" t="str">
        <f t="shared" si="63"/>
        <v>Mini/MultiSplitASHP-Replace_CAC_ElectricHeat_ER1_SF</v>
      </c>
      <c r="G279" s="2417"/>
      <c r="H279" s="2417"/>
      <c r="I279" s="873" t="str">
        <f t="shared" si="64"/>
        <v>351400_2024_12_</v>
      </c>
      <c r="J279" s="1536">
        <v>1034</v>
      </c>
      <c r="K279" s="1520"/>
      <c r="L279" s="2423"/>
      <c r="N279" s="535"/>
      <c r="U279" s="50"/>
      <c r="V279" s="2415"/>
      <c r="W279" s="1268">
        <v>1496</v>
      </c>
      <c r="X279" s="1268">
        <v>1496</v>
      </c>
      <c r="Y279" s="779">
        <v>1034</v>
      </c>
      <c r="Z279" s="1268">
        <v>1034</v>
      </c>
      <c r="AA279" s="1268">
        <v>1034</v>
      </c>
      <c r="AB279" s="1268">
        <v>1034</v>
      </c>
      <c r="AC279" s="1268">
        <v>1034</v>
      </c>
      <c r="AD279" s="1268">
        <v>1034</v>
      </c>
      <c r="AE279" s="1276">
        <v>1034</v>
      </c>
      <c r="AF279" s="253">
        <v>1034</v>
      </c>
      <c r="AG279" s="253">
        <f t="shared" si="60"/>
        <v>1034</v>
      </c>
      <c r="DG279" s="543"/>
      <c r="DH279" s="149"/>
      <c r="DI279" s="1020"/>
    </row>
    <row r="280" spans="1:113" outlineLevel="1" x14ac:dyDescent="0.25">
      <c r="A280" s="2145"/>
      <c r="C280" s="49"/>
      <c r="D280" s="2415"/>
      <c r="E280" s="2415"/>
      <c r="F280" s="2417" t="str">
        <f t="shared" si="63"/>
        <v>Mini/MultiSplitASHP-Replace_CAC_ElectricHeat_ROF_SF</v>
      </c>
      <c r="G280" s="2417"/>
      <c r="H280" s="2417"/>
      <c r="I280" s="873" t="str">
        <f t="shared" si="64"/>
        <v>351450_2024_12_</v>
      </c>
      <c r="J280" s="1536">
        <v>1034</v>
      </c>
      <c r="K280" s="1520"/>
      <c r="L280" s="2423"/>
      <c r="N280" s="535"/>
      <c r="U280" s="50"/>
      <c r="V280" s="2415"/>
      <c r="W280" s="1268">
        <v>1496</v>
      </c>
      <c r="X280" s="1268">
        <v>1496</v>
      </c>
      <c r="Y280" s="779">
        <v>1034</v>
      </c>
      <c r="Z280" s="1268">
        <v>1034</v>
      </c>
      <c r="AA280" s="1268">
        <v>1034</v>
      </c>
      <c r="AB280" s="1268">
        <v>1034</v>
      </c>
      <c r="AC280" s="1268">
        <v>1034</v>
      </c>
      <c r="AD280" s="1268">
        <v>1034</v>
      </c>
      <c r="AE280" s="1276">
        <v>1034</v>
      </c>
      <c r="AF280" s="253">
        <v>1034</v>
      </c>
      <c r="AG280" s="253">
        <f t="shared" si="60"/>
        <v>1034</v>
      </c>
      <c r="DG280" s="543"/>
      <c r="DH280" s="149"/>
      <c r="DI280" s="1020"/>
    </row>
    <row r="281" spans="1:113" outlineLevel="1" x14ac:dyDescent="0.25">
      <c r="A281" s="2145"/>
      <c r="C281" s="49"/>
      <c r="D281" s="2415"/>
      <c r="E281" s="2415"/>
      <c r="F281" s="2417" t="str">
        <f t="shared" si="63"/>
        <v>Mini/MultiSplitASHP-Replace_CAC_NonElectricHeat_ER1_SF</v>
      </c>
      <c r="G281" s="2417"/>
      <c r="H281" s="2417"/>
      <c r="I281" s="873" t="str">
        <f t="shared" si="64"/>
        <v>351401_2024_12_</v>
      </c>
      <c r="J281" s="1536">
        <v>1034</v>
      </c>
      <c r="K281" s="1520"/>
      <c r="L281" s="2423"/>
      <c r="N281" s="535"/>
      <c r="U281" s="50"/>
      <c r="V281" s="2415"/>
      <c r="W281" s="1268"/>
      <c r="X281" s="1268"/>
      <c r="Y281" s="779"/>
      <c r="Z281" s="1268"/>
      <c r="AA281" s="1268"/>
      <c r="AB281" s="1268"/>
      <c r="AC281" s="1268"/>
      <c r="AD281" s="779">
        <v>1034</v>
      </c>
      <c r="AE281" s="1276">
        <v>1034</v>
      </c>
      <c r="AF281" s="253">
        <v>1034</v>
      </c>
      <c r="AG281" s="253">
        <f t="shared" si="60"/>
        <v>1034</v>
      </c>
      <c r="DG281" s="543"/>
      <c r="DH281" s="149"/>
      <c r="DI281" s="1020"/>
    </row>
    <row r="282" spans="1:113" outlineLevel="1" x14ac:dyDescent="0.25">
      <c r="A282" s="2145"/>
      <c r="C282" s="49"/>
      <c r="D282" s="2415"/>
      <c r="E282" s="2415"/>
      <c r="F282" s="2417" t="str">
        <f t="shared" si="63"/>
        <v>Mini/MultiSplitASHP-Replace_CAC_NonElectricHeat_ROF_SF</v>
      </c>
      <c r="G282" s="2417"/>
      <c r="H282" s="2417"/>
      <c r="I282" s="873" t="str">
        <f t="shared" si="64"/>
        <v>351451_2024_12_</v>
      </c>
      <c r="J282" s="1536">
        <v>1034</v>
      </c>
      <c r="K282" s="1520"/>
      <c r="L282" s="2423"/>
      <c r="N282" s="535"/>
      <c r="U282" s="50"/>
      <c r="V282" s="2415"/>
      <c r="W282" s="1268"/>
      <c r="X282" s="1268"/>
      <c r="Y282" s="779"/>
      <c r="Z282" s="1268"/>
      <c r="AA282" s="1268"/>
      <c r="AB282" s="1268"/>
      <c r="AC282" s="1268"/>
      <c r="AD282" s="779">
        <v>1034</v>
      </c>
      <c r="AE282" s="1276">
        <v>1034</v>
      </c>
      <c r="AF282" s="253">
        <v>1034</v>
      </c>
      <c r="AG282" s="253">
        <f t="shared" si="60"/>
        <v>1034</v>
      </c>
      <c r="DG282" s="543"/>
      <c r="DH282" s="149"/>
      <c r="DI282" s="1020"/>
    </row>
    <row r="283" spans="1:113" outlineLevel="1" x14ac:dyDescent="0.25">
      <c r="A283" s="2145"/>
      <c r="C283" s="49"/>
      <c r="D283" s="2415"/>
      <c r="E283" s="2415"/>
      <c r="F283" s="2417" t="str">
        <f t="shared" si="63"/>
        <v>Mini/MultiSplitASHP_ER1_SF</v>
      </c>
      <c r="G283" s="2417"/>
      <c r="H283" s="2417"/>
      <c r="I283" s="873" t="str">
        <f t="shared" si="64"/>
        <v>351500_2024_12_</v>
      </c>
      <c r="J283" s="1536">
        <v>1034</v>
      </c>
      <c r="K283" s="1520"/>
      <c r="L283" s="2423"/>
      <c r="N283" s="535"/>
      <c r="R283" s="1806" t="s">
        <v>920</v>
      </c>
      <c r="S283" s="1806" t="s">
        <v>615</v>
      </c>
      <c r="T283" s="1431" t="s">
        <v>616</v>
      </c>
      <c r="U283" s="50"/>
      <c r="V283" s="2415"/>
      <c r="W283" s="1268">
        <v>1496</v>
      </c>
      <c r="X283" s="1268">
        <v>1496</v>
      </c>
      <c r="Y283" s="779">
        <v>1034</v>
      </c>
      <c r="Z283" s="1268">
        <v>1034</v>
      </c>
      <c r="AA283" s="1268">
        <v>1034</v>
      </c>
      <c r="AB283" s="1268">
        <v>1034</v>
      </c>
      <c r="AC283" s="1268">
        <v>1034</v>
      </c>
      <c r="AD283" s="1268">
        <v>1034</v>
      </c>
      <c r="AE283" s="1276">
        <v>1034</v>
      </c>
      <c r="AF283" s="253">
        <v>1034</v>
      </c>
      <c r="AG283" s="253">
        <f t="shared" si="60"/>
        <v>1034</v>
      </c>
      <c r="DG283" s="543"/>
      <c r="DH283" s="149"/>
      <c r="DI283" s="1020"/>
    </row>
    <row r="284" spans="1:113" outlineLevel="1" x14ac:dyDescent="0.25">
      <c r="A284" s="2145"/>
      <c r="C284" s="49"/>
      <c r="D284" s="2415"/>
      <c r="E284" s="2415"/>
      <c r="F284" s="2417" t="str">
        <f t="shared" si="63"/>
        <v>Mini/MultiSplitAC_ER1_MF</v>
      </c>
      <c r="G284" s="2417"/>
      <c r="H284" s="2417"/>
      <c r="I284" s="873" t="str">
        <f t="shared" si="64"/>
        <v>351550_2024_12_</v>
      </c>
      <c r="J284" s="1536">
        <v>0</v>
      </c>
      <c r="K284" s="1520"/>
      <c r="L284" s="2423"/>
      <c r="N284" s="535"/>
      <c r="R284" s="1249" t="s">
        <v>921</v>
      </c>
      <c r="S284" s="242">
        <v>2.3128228708516586E-2</v>
      </c>
      <c r="T284" s="68" t="s">
        <v>922</v>
      </c>
      <c r="U284" s="50"/>
      <c r="V284" s="2415"/>
      <c r="W284" s="1268"/>
      <c r="X284" s="1268"/>
      <c r="Y284" s="779">
        <v>0</v>
      </c>
      <c r="Z284" s="1268">
        <v>0</v>
      </c>
      <c r="AA284" s="1268">
        <v>0</v>
      </c>
      <c r="AB284" s="1268">
        <v>0</v>
      </c>
      <c r="AC284" s="1268">
        <v>0</v>
      </c>
      <c r="AD284" s="1268">
        <v>0</v>
      </c>
      <c r="AE284" s="1276">
        <v>0</v>
      </c>
      <c r="AF284" s="253">
        <v>0</v>
      </c>
      <c r="AG284" s="253">
        <f t="shared" si="60"/>
        <v>0</v>
      </c>
      <c r="DG284" s="543"/>
      <c r="DH284" s="149"/>
      <c r="DI284" s="1020"/>
    </row>
    <row r="285" spans="1:113" outlineLevel="1" x14ac:dyDescent="0.25">
      <c r="A285" s="2145"/>
      <c r="C285" s="49"/>
      <c r="D285" s="2415" t="s">
        <v>1000</v>
      </c>
      <c r="E285" s="2415" t="s">
        <v>1001</v>
      </c>
      <c r="F285" s="2417" t="str">
        <f t="shared" si="63"/>
        <v>Mini/MultiSplitAC_ER1_SF</v>
      </c>
      <c r="G285" s="2417"/>
      <c r="H285" s="2417"/>
      <c r="I285" s="873" t="str">
        <f t="shared" si="64"/>
        <v>351200_2024_12_</v>
      </c>
      <c r="J285" s="1534">
        <v>0</v>
      </c>
      <c r="K285" s="12"/>
      <c r="L285" s="873"/>
      <c r="N285" s="535"/>
      <c r="R285" s="1249" t="s">
        <v>923</v>
      </c>
      <c r="S285" s="1249">
        <v>6</v>
      </c>
      <c r="T285" s="68" t="s">
        <v>924</v>
      </c>
      <c r="U285" s="50"/>
      <c r="V285" s="2415" t="s">
        <v>1002</v>
      </c>
      <c r="W285" s="1268">
        <v>0</v>
      </c>
      <c r="X285" s="779">
        <v>0</v>
      </c>
      <c r="Y285" s="1268">
        <v>0</v>
      </c>
      <c r="Z285" s="1268">
        <v>0</v>
      </c>
      <c r="AA285" s="1268">
        <v>0</v>
      </c>
      <c r="AB285" s="1268">
        <v>0</v>
      </c>
      <c r="AC285" s="1268">
        <v>0</v>
      </c>
      <c r="AD285" s="1268">
        <v>0</v>
      </c>
      <c r="AE285" s="1276">
        <v>0</v>
      </c>
      <c r="AF285" s="253">
        <v>0</v>
      </c>
      <c r="AG285" s="253">
        <f t="shared" si="60"/>
        <v>0</v>
      </c>
      <c r="DG285" s="543"/>
      <c r="DH285" s="149"/>
      <c r="DI285" s="1020"/>
    </row>
    <row r="286" spans="1:113" outlineLevel="1" x14ac:dyDescent="0.25">
      <c r="A286" s="2145"/>
      <c r="C286" s="49"/>
      <c r="D286" s="2415"/>
      <c r="E286" s="2415"/>
      <c r="F286" s="2417" t="str">
        <f t="shared" si="63"/>
        <v>Mini/MultiSplitAC_ROF_SF</v>
      </c>
      <c r="G286" s="2417"/>
      <c r="H286" s="2417"/>
      <c r="I286" s="873" t="str">
        <f t="shared" si="64"/>
        <v>351250_2024_12_</v>
      </c>
      <c r="J286" s="1534">
        <v>0</v>
      </c>
      <c r="K286" s="1520"/>
      <c r="L286" s="873"/>
      <c r="N286" s="535"/>
      <c r="R286" s="1249" t="s">
        <v>925</v>
      </c>
      <c r="S286" s="185">
        <f>(1-S284)^(S285-1)</f>
        <v>0.88958571378558426</v>
      </c>
      <c r="T286" s="68" t="s">
        <v>926</v>
      </c>
      <c r="U286" s="50"/>
      <c r="V286" s="2415"/>
      <c r="W286" s="1268">
        <v>0</v>
      </c>
      <c r="X286" s="779">
        <v>0</v>
      </c>
      <c r="Y286" s="1268">
        <v>0</v>
      </c>
      <c r="Z286" s="1268">
        <v>0</v>
      </c>
      <c r="AA286" s="1268">
        <v>0</v>
      </c>
      <c r="AB286" s="1268">
        <v>0</v>
      </c>
      <c r="AC286" s="1268">
        <v>0</v>
      </c>
      <c r="AD286" s="1268">
        <v>0</v>
      </c>
      <c r="AE286" s="1276">
        <v>0</v>
      </c>
      <c r="AF286" s="253">
        <v>0</v>
      </c>
      <c r="AG286" s="253">
        <f t="shared" si="60"/>
        <v>0</v>
      </c>
      <c r="DG286" s="543"/>
      <c r="DH286" s="149"/>
      <c r="DI286" s="1020"/>
    </row>
    <row r="287" spans="1:113" ht="15" customHeight="1" outlineLevel="1" x14ac:dyDescent="0.25">
      <c r="A287" s="2145"/>
      <c r="C287" s="49"/>
      <c r="D287" s="2415"/>
      <c r="E287" s="2415"/>
      <c r="F287" s="2417" t="str">
        <f t="shared" si="63"/>
        <v>Mini/MultiSplitASHP_ROF_SF_NC</v>
      </c>
      <c r="G287" s="2417"/>
      <c r="H287" s="2417"/>
      <c r="I287" s="873" t="str">
        <f t="shared" si="64"/>
        <v>351300_2024_12_</v>
      </c>
      <c r="J287" s="1534">
        <v>7.5</v>
      </c>
      <c r="K287" s="1520"/>
      <c r="L287" s="2424" t="s">
        <v>936</v>
      </c>
      <c r="N287" s="535"/>
      <c r="T287" s="50"/>
      <c r="U287" s="50"/>
      <c r="V287" s="2415"/>
      <c r="W287" s="1268">
        <v>7.7</v>
      </c>
      <c r="X287" s="779">
        <v>8.1999999999999993</v>
      </c>
      <c r="Y287" s="1268">
        <v>8.1999999999999993</v>
      </c>
      <c r="Z287" s="1268">
        <v>8.1999999999999993</v>
      </c>
      <c r="AA287" s="1268">
        <v>8.1999999999999993</v>
      </c>
      <c r="AB287" s="1268">
        <v>8.1999999999999993</v>
      </c>
      <c r="AC287" s="1268">
        <v>8.1999999999999993</v>
      </c>
      <c r="AD287" s="1268">
        <v>8.1999999999999993</v>
      </c>
      <c r="AE287" s="906">
        <v>8.6</v>
      </c>
      <c r="AF287" s="253">
        <v>7.5</v>
      </c>
      <c r="AG287" s="253">
        <f t="shared" si="60"/>
        <v>7.5</v>
      </c>
      <c r="DG287" s="543"/>
      <c r="DH287" s="149"/>
      <c r="DI287" s="1020"/>
    </row>
    <row r="288" spans="1:113" outlineLevel="1" x14ac:dyDescent="0.25">
      <c r="A288" s="2145"/>
      <c r="C288" s="49"/>
      <c r="D288" s="2415"/>
      <c r="E288" s="2415"/>
      <c r="F288" s="2417" t="str">
        <f t="shared" si="63"/>
        <v>Mini/MultiSplitASHP_ROF_SF</v>
      </c>
      <c r="G288" s="2417"/>
      <c r="H288" s="2417"/>
      <c r="I288" s="873" t="str">
        <f t="shared" si="64"/>
        <v>351350_2024_12_</v>
      </c>
      <c r="J288" s="1534">
        <v>7.5</v>
      </c>
      <c r="K288" s="1520"/>
      <c r="L288" s="2424"/>
      <c r="N288" s="535"/>
      <c r="T288" s="50"/>
      <c r="U288" s="50"/>
      <c r="V288" s="2415"/>
      <c r="W288" s="1268">
        <v>7.7</v>
      </c>
      <c r="X288" s="779">
        <v>8.1999999999999993</v>
      </c>
      <c r="Y288" s="1268">
        <v>8.1999999999999993</v>
      </c>
      <c r="Z288" s="1268">
        <v>8.1999999999999993</v>
      </c>
      <c r="AA288" s="1268">
        <v>8.1999999999999993</v>
      </c>
      <c r="AB288" s="1268">
        <v>8.1999999999999993</v>
      </c>
      <c r="AC288" s="1268">
        <v>8.1999999999999993</v>
      </c>
      <c r="AD288" s="1268">
        <v>8.1999999999999993</v>
      </c>
      <c r="AE288" s="906">
        <v>8.6</v>
      </c>
      <c r="AF288" s="253">
        <v>7.5</v>
      </c>
      <c r="AG288" s="253">
        <f t="shared" si="60"/>
        <v>7.5</v>
      </c>
      <c r="DG288" s="543"/>
      <c r="DH288" s="149"/>
      <c r="DI288" s="1020"/>
    </row>
    <row r="289" spans="1:113" ht="15" customHeight="1" outlineLevel="1" x14ac:dyDescent="0.25">
      <c r="A289" s="2145"/>
      <c r="C289" s="49"/>
      <c r="D289" s="2415"/>
      <c r="E289" s="2415"/>
      <c r="F289" s="2417" t="str">
        <f t="shared" si="63"/>
        <v>Mini/MultiSplitASHP-Replace_CAC_ElectricHeat_ER1_SF</v>
      </c>
      <c r="G289" s="2417"/>
      <c r="H289" s="2417"/>
      <c r="I289" s="873" t="str">
        <f t="shared" si="64"/>
        <v>351400_2024_12_</v>
      </c>
      <c r="J289" s="1534">
        <v>3.4119999999999999</v>
      </c>
      <c r="K289" s="1520"/>
      <c r="L289" s="873"/>
      <c r="N289" s="535"/>
      <c r="T289" s="50"/>
      <c r="U289" s="50"/>
      <c r="V289" s="2415"/>
      <c r="W289" s="1268">
        <v>7.7</v>
      </c>
      <c r="X289" s="779">
        <v>3.41</v>
      </c>
      <c r="Y289" s="1268">
        <v>3.4119999999999999</v>
      </c>
      <c r="Z289" s="1268">
        <v>3.4119999999999999</v>
      </c>
      <c r="AA289" s="1268">
        <v>3.4119999999999999</v>
      </c>
      <c r="AB289" s="1268">
        <v>3.4119999999999999</v>
      </c>
      <c r="AC289" s="1268">
        <v>3.4119999999999999</v>
      </c>
      <c r="AD289" s="1268">
        <v>3.4119999999999999</v>
      </c>
      <c r="AE289" s="1276">
        <v>3.4119999999999999</v>
      </c>
      <c r="AF289" s="253">
        <v>3.4119999999999999</v>
      </c>
      <c r="AG289" s="253">
        <f t="shared" si="60"/>
        <v>3.4119999999999999</v>
      </c>
      <c r="DG289" s="543"/>
      <c r="DH289" s="149"/>
      <c r="DI289" s="1020"/>
    </row>
    <row r="290" spans="1:113" outlineLevel="1" x14ac:dyDescent="0.25">
      <c r="A290" s="2145"/>
      <c r="C290" s="49"/>
      <c r="D290" s="2415"/>
      <c r="E290" s="2415"/>
      <c r="F290" s="2417" t="str">
        <f t="shared" si="63"/>
        <v>Mini/MultiSplitASHP-Replace_CAC_ElectricHeat_ROF_SF</v>
      </c>
      <c r="G290" s="2417"/>
      <c r="H290" s="2417"/>
      <c r="I290" s="873" t="str">
        <f t="shared" si="64"/>
        <v>351450_2024_12_</v>
      </c>
      <c r="J290" s="1534">
        <v>3.4119999999999999</v>
      </c>
      <c r="K290" s="1520"/>
      <c r="L290" s="873"/>
      <c r="N290" s="535"/>
      <c r="T290" s="50"/>
      <c r="U290" s="50"/>
      <c r="V290" s="2415"/>
      <c r="W290" s="1268">
        <v>7.7</v>
      </c>
      <c r="X290" s="779">
        <v>3.41</v>
      </c>
      <c r="Y290" s="1268">
        <v>3.4119999999999999</v>
      </c>
      <c r="Z290" s="1268">
        <v>3.4119999999999999</v>
      </c>
      <c r="AA290" s="1268">
        <v>3.4119999999999999</v>
      </c>
      <c r="AB290" s="1268">
        <v>3.4119999999999999</v>
      </c>
      <c r="AC290" s="1268">
        <v>3.4119999999999999</v>
      </c>
      <c r="AD290" s="1268">
        <v>3.4119999999999999</v>
      </c>
      <c r="AE290" s="1276">
        <v>3.4119999999999999</v>
      </c>
      <c r="AF290" s="253">
        <v>3.4119999999999999</v>
      </c>
      <c r="AG290" s="253">
        <f t="shared" si="60"/>
        <v>3.4119999999999999</v>
      </c>
      <c r="DG290" s="543"/>
      <c r="DH290" s="149"/>
      <c r="DI290" s="1020"/>
    </row>
    <row r="291" spans="1:113" outlineLevel="1" x14ac:dyDescent="0.25">
      <c r="A291" s="2145"/>
      <c r="C291" s="49"/>
      <c r="D291" s="2415"/>
      <c r="E291" s="2415"/>
      <c r="F291" s="2417" t="str">
        <f t="shared" si="63"/>
        <v>Mini/MultiSplitASHP-Replace_CAC_NonElectricHeat_ER1_SF</v>
      </c>
      <c r="G291" s="2417"/>
      <c r="H291" s="2417"/>
      <c r="I291" s="873" t="str">
        <f t="shared" si="64"/>
        <v>351401_2024_12_</v>
      </c>
      <c r="J291" s="1534">
        <v>0</v>
      </c>
      <c r="K291" s="1520"/>
      <c r="L291" s="873"/>
      <c r="N291" s="535"/>
      <c r="T291" s="50"/>
      <c r="U291" s="50"/>
      <c r="V291" s="2415"/>
      <c r="W291" s="1268"/>
      <c r="X291" s="779"/>
      <c r="Y291" s="1268"/>
      <c r="Z291" s="1268"/>
      <c r="AA291" s="1268"/>
      <c r="AB291" s="1268"/>
      <c r="AC291" s="1268"/>
      <c r="AD291" s="779">
        <v>3.4119999999999999</v>
      </c>
      <c r="AE291" s="906">
        <v>0</v>
      </c>
      <c r="AF291" s="253">
        <v>0</v>
      </c>
      <c r="AG291" s="253">
        <f t="shared" si="60"/>
        <v>0</v>
      </c>
      <c r="DG291" s="543"/>
      <c r="DH291" s="149"/>
      <c r="DI291" s="1020"/>
    </row>
    <row r="292" spans="1:113" outlineLevel="1" x14ac:dyDescent="0.25">
      <c r="A292" s="2145"/>
      <c r="C292" s="49"/>
      <c r="D292" s="2415"/>
      <c r="E292" s="2415"/>
      <c r="F292" s="2417" t="str">
        <f t="shared" si="63"/>
        <v>Mini/MultiSplitASHP-Replace_CAC_NonElectricHeat_ROF_SF</v>
      </c>
      <c r="G292" s="2417"/>
      <c r="H292" s="2417"/>
      <c r="I292" s="873" t="str">
        <f t="shared" si="64"/>
        <v>351451_2024_12_</v>
      </c>
      <c r="J292" s="1534">
        <v>0</v>
      </c>
      <c r="K292" s="1520"/>
      <c r="L292" s="873"/>
      <c r="N292" s="535"/>
      <c r="T292" s="50"/>
      <c r="U292" s="50"/>
      <c r="V292" s="2415"/>
      <c r="W292" s="1268"/>
      <c r="X292" s="779"/>
      <c r="Y292" s="1268"/>
      <c r="Z292" s="1268"/>
      <c r="AA292" s="1268"/>
      <c r="AB292" s="1268"/>
      <c r="AC292" s="1268"/>
      <c r="AD292" s="779">
        <v>3.4119999999999999</v>
      </c>
      <c r="AE292" s="906">
        <v>0</v>
      </c>
      <c r="AF292" s="253">
        <v>0</v>
      </c>
      <c r="AG292" s="253">
        <f t="shared" si="60"/>
        <v>0</v>
      </c>
      <c r="DG292" s="543"/>
      <c r="DH292" s="149"/>
      <c r="DI292" s="1020"/>
    </row>
    <row r="293" spans="1:113" outlineLevel="1" x14ac:dyDescent="0.25">
      <c r="A293" s="2145"/>
      <c r="C293" s="49"/>
      <c r="D293" s="2415"/>
      <c r="E293" s="2415"/>
      <c r="F293" s="2417" t="str">
        <f t="shared" si="63"/>
        <v>Mini/MultiSplitASHP_ER1_SF</v>
      </c>
      <c r="G293" s="2417"/>
      <c r="H293" s="2417"/>
      <c r="I293" s="873" t="str">
        <f t="shared" si="64"/>
        <v>351500_2024_12_</v>
      </c>
      <c r="J293" s="1534">
        <v>7.5</v>
      </c>
      <c r="K293" s="1520"/>
      <c r="L293" s="873" t="s">
        <v>936</v>
      </c>
      <c r="N293" s="535"/>
      <c r="T293" s="50"/>
      <c r="U293" s="50"/>
      <c r="V293" s="2415"/>
      <c r="W293" s="1268">
        <v>7.7</v>
      </c>
      <c r="X293" s="779">
        <v>6.58</v>
      </c>
      <c r="Y293" s="1268">
        <v>6.58</v>
      </c>
      <c r="Z293" s="1268">
        <v>6.58</v>
      </c>
      <c r="AA293" s="1268">
        <v>6.58</v>
      </c>
      <c r="AB293" s="1268">
        <v>6.58</v>
      </c>
      <c r="AC293" s="1268">
        <v>6.58</v>
      </c>
      <c r="AD293" s="1268">
        <v>6.58</v>
      </c>
      <c r="AE293" s="1276">
        <v>6.58</v>
      </c>
      <c r="AF293" s="253">
        <v>7.5</v>
      </c>
      <c r="AG293" s="253">
        <f t="shared" si="60"/>
        <v>7.5</v>
      </c>
      <c r="DG293" s="543"/>
      <c r="DH293" s="149"/>
      <c r="DI293" s="1020"/>
    </row>
    <row r="294" spans="1:113" outlineLevel="1" x14ac:dyDescent="0.25">
      <c r="A294" s="2145"/>
      <c r="C294" s="49"/>
      <c r="D294" s="2415"/>
      <c r="E294" s="2415"/>
      <c r="F294" s="2417" t="str">
        <f t="shared" si="63"/>
        <v>Mini/MultiSplitAC_ER1_MF</v>
      </c>
      <c r="G294" s="2417"/>
      <c r="H294" s="2417"/>
      <c r="I294" s="873" t="str">
        <f t="shared" si="64"/>
        <v>351550_2024_12_</v>
      </c>
      <c r="J294" s="1534">
        <f t="shared" ref="J294" si="65">J285</f>
        <v>0</v>
      </c>
      <c r="K294" s="1520"/>
      <c r="L294" s="873"/>
      <c r="N294" s="535"/>
      <c r="T294" s="50"/>
      <c r="U294" s="50"/>
      <c r="V294" s="2415"/>
      <c r="W294" s="1268"/>
      <c r="X294" s="779"/>
      <c r="Y294" s="779">
        <v>0</v>
      </c>
      <c r="Z294" s="1268">
        <v>0</v>
      </c>
      <c r="AA294" s="1268">
        <v>0</v>
      </c>
      <c r="AB294" s="1268">
        <v>0</v>
      </c>
      <c r="AC294" s="1268">
        <v>0</v>
      </c>
      <c r="AD294" s="1268">
        <v>0</v>
      </c>
      <c r="AE294" s="1276">
        <v>0</v>
      </c>
      <c r="AF294" s="253">
        <v>0</v>
      </c>
      <c r="AG294" s="253">
        <f t="shared" si="60"/>
        <v>0</v>
      </c>
      <c r="DG294" s="543"/>
      <c r="DH294" s="149"/>
      <c r="DI294" s="1020"/>
    </row>
    <row r="295" spans="1:113" outlineLevel="1" x14ac:dyDescent="0.25">
      <c r="A295" s="2145"/>
      <c r="C295" s="49"/>
      <c r="D295" s="2415" t="s">
        <v>1003</v>
      </c>
      <c r="E295" s="2415" t="s">
        <v>1004</v>
      </c>
      <c r="F295" s="2417" t="str">
        <f t="shared" si="63"/>
        <v>Mini/MultiSplitAC_ER1_SF</v>
      </c>
      <c r="G295" s="2417"/>
      <c r="H295" s="2417"/>
      <c r="I295" s="873" t="str">
        <f t="shared" si="64"/>
        <v>351200_2024_12_</v>
      </c>
      <c r="J295" s="1534">
        <v>0</v>
      </c>
      <c r="K295" s="12"/>
      <c r="L295" s="873"/>
      <c r="N295" s="535"/>
      <c r="T295" s="50"/>
      <c r="U295" s="50"/>
      <c r="V295" s="2415" t="s">
        <v>1005</v>
      </c>
      <c r="W295" s="1268">
        <v>0</v>
      </c>
      <c r="X295" s="1268">
        <v>0</v>
      </c>
      <c r="Y295" s="1268">
        <v>0</v>
      </c>
      <c r="Z295" s="1268">
        <v>0</v>
      </c>
      <c r="AA295" s="1268">
        <v>0</v>
      </c>
      <c r="AB295" s="1268">
        <v>0</v>
      </c>
      <c r="AC295" s="1268">
        <v>0</v>
      </c>
      <c r="AD295" s="1268">
        <v>0</v>
      </c>
      <c r="AE295" s="1276">
        <v>0</v>
      </c>
      <c r="AF295" s="253">
        <v>0</v>
      </c>
      <c r="AG295" s="253">
        <f t="shared" si="60"/>
        <v>0</v>
      </c>
      <c r="DG295" s="543"/>
      <c r="DH295" s="149"/>
      <c r="DI295" s="1020"/>
    </row>
    <row r="296" spans="1:113" outlineLevel="1" x14ac:dyDescent="0.25">
      <c r="A296" s="2145"/>
      <c r="C296" s="49"/>
      <c r="D296" s="2415"/>
      <c r="E296" s="2415"/>
      <c r="F296" s="2417" t="str">
        <f t="shared" si="63"/>
        <v>Mini/MultiSplitAC_ROF_SF</v>
      </c>
      <c r="G296" s="2417"/>
      <c r="H296" s="2417"/>
      <c r="I296" s="873" t="str">
        <f t="shared" si="64"/>
        <v>351250_2024_12_</v>
      </c>
      <c r="J296" s="1534">
        <v>0</v>
      </c>
      <c r="K296" s="1520"/>
      <c r="L296" s="873"/>
      <c r="N296" s="535"/>
      <c r="T296" s="50"/>
      <c r="U296" s="50"/>
      <c r="V296" s="2415"/>
      <c r="W296" s="1268">
        <v>0</v>
      </c>
      <c r="X296" s="1268">
        <v>0</v>
      </c>
      <c r="Y296" s="1268">
        <v>0</v>
      </c>
      <c r="Z296" s="1268">
        <v>0</v>
      </c>
      <c r="AA296" s="1268">
        <v>0</v>
      </c>
      <c r="AB296" s="1268">
        <v>0</v>
      </c>
      <c r="AC296" s="1268">
        <v>0</v>
      </c>
      <c r="AD296" s="1268">
        <v>0</v>
      </c>
      <c r="AE296" s="1276">
        <v>0</v>
      </c>
      <c r="AF296" s="253">
        <v>0</v>
      </c>
      <c r="AG296" s="253">
        <f t="shared" si="60"/>
        <v>0</v>
      </c>
      <c r="DG296" s="543"/>
      <c r="DH296" s="149"/>
      <c r="DI296" s="1020"/>
    </row>
    <row r="297" spans="1:113" outlineLevel="1" x14ac:dyDescent="0.25">
      <c r="A297" s="2145"/>
      <c r="C297" s="49"/>
      <c r="D297" s="2415"/>
      <c r="E297" s="2415"/>
      <c r="F297" s="2417" t="str">
        <f t="shared" si="63"/>
        <v>Mini/MultiSplitASHP_ROF_SF_NC</v>
      </c>
      <c r="G297" s="2417"/>
      <c r="H297" s="2417"/>
      <c r="I297" s="873" t="str">
        <f t="shared" si="64"/>
        <v>351300_2024_12_</v>
      </c>
      <c r="J297" s="1534">
        <v>6.58</v>
      </c>
      <c r="K297" s="1520"/>
      <c r="L297" s="873" t="s">
        <v>1006</v>
      </c>
      <c r="N297" s="535"/>
      <c r="T297" s="50"/>
      <c r="U297" s="50"/>
      <c r="V297" s="2415"/>
      <c r="W297" s="1268">
        <v>5.44</v>
      </c>
      <c r="X297" s="1268">
        <v>5.44</v>
      </c>
      <c r="Y297" s="1268">
        <v>5.44</v>
      </c>
      <c r="Z297" s="1268">
        <v>5.44</v>
      </c>
      <c r="AA297" s="1268">
        <v>5.44</v>
      </c>
      <c r="AB297" s="1268">
        <v>5.44</v>
      </c>
      <c r="AC297" s="1268">
        <v>5.44</v>
      </c>
      <c r="AD297" s="1268">
        <v>5.44</v>
      </c>
      <c r="AE297" s="1276">
        <v>5.44</v>
      </c>
      <c r="AF297" s="253">
        <v>6.58</v>
      </c>
      <c r="AG297" s="253">
        <f t="shared" si="60"/>
        <v>6.58</v>
      </c>
      <c r="DG297" s="543"/>
      <c r="DH297" s="149"/>
      <c r="DI297" s="1020"/>
    </row>
    <row r="298" spans="1:113" outlineLevel="1" x14ac:dyDescent="0.25">
      <c r="A298" s="2145"/>
      <c r="C298" s="49"/>
      <c r="D298" s="2415"/>
      <c r="E298" s="2415"/>
      <c r="F298" s="2417" t="str">
        <f t="shared" si="63"/>
        <v>Mini/MultiSplitASHP_ROF_SF</v>
      </c>
      <c r="G298" s="2417"/>
      <c r="H298" s="2417"/>
      <c r="I298" s="873" t="str">
        <f t="shared" si="64"/>
        <v>351350_2024_12_</v>
      </c>
      <c r="J298" s="1534">
        <v>6.58</v>
      </c>
      <c r="K298" s="1520"/>
      <c r="L298" s="873" t="s">
        <v>1006</v>
      </c>
      <c r="N298" s="535"/>
      <c r="T298" s="50"/>
      <c r="U298" s="50"/>
      <c r="V298" s="2415"/>
      <c r="W298" s="1268">
        <v>5.44</v>
      </c>
      <c r="X298" s="1268">
        <v>5.44</v>
      </c>
      <c r="Y298" s="1268">
        <v>5.44</v>
      </c>
      <c r="Z298" s="1268">
        <v>5.44</v>
      </c>
      <c r="AA298" s="1268">
        <v>5.44</v>
      </c>
      <c r="AB298" s="1268">
        <v>5.44</v>
      </c>
      <c r="AC298" s="1268">
        <v>5.44</v>
      </c>
      <c r="AD298" s="1268">
        <v>5.44</v>
      </c>
      <c r="AE298" s="1276">
        <v>5.44</v>
      </c>
      <c r="AF298" s="253">
        <v>6.58</v>
      </c>
      <c r="AG298" s="253">
        <f t="shared" si="60"/>
        <v>6.58</v>
      </c>
      <c r="DG298" s="543"/>
      <c r="DH298" s="149"/>
      <c r="DI298" s="1020"/>
    </row>
    <row r="299" spans="1:113" outlineLevel="1" x14ac:dyDescent="0.25">
      <c r="A299" s="2145"/>
      <c r="C299" s="49"/>
      <c r="D299" s="2415"/>
      <c r="E299" s="2415"/>
      <c r="F299" s="2417" t="str">
        <f t="shared" si="63"/>
        <v>Mini/MultiSplitASHP-Replace_CAC_ElectricHeat_ER1_SF</v>
      </c>
      <c r="G299" s="2417"/>
      <c r="H299" s="2417"/>
      <c r="I299" s="873" t="str">
        <f t="shared" si="64"/>
        <v>351400_2024_12_</v>
      </c>
      <c r="J299" s="1534">
        <v>3.4119999999999999</v>
      </c>
      <c r="K299" s="1520"/>
      <c r="L299" s="53"/>
      <c r="N299" s="535"/>
      <c r="T299" s="50"/>
      <c r="U299" s="50"/>
      <c r="V299" s="2415"/>
      <c r="W299" s="1268">
        <v>3.4119999999999999</v>
      </c>
      <c r="X299" s="1268">
        <v>3.4119999999999999</v>
      </c>
      <c r="Y299" s="1268">
        <v>3.4119999999999999</v>
      </c>
      <c r="Z299" s="1268">
        <v>3.4119999999999999</v>
      </c>
      <c r="AA299" s="1268">
        <v>3.4119999999999999</v>
      </c>
      <c r="AB299" s="1268">
        <v>3.4119999999999999</v>
      </c>
      <c r="AC299" s="1268">
        <v>3.4119999999999999</v>
      </c>
      <c r="AD299" s="1268">
        <v>3.4119999999999999</v>
      </c>
      <c r="AE299" s="1276">
        <v>3.4119999999999999</v>
      </c>
      <c r="AF299" s="253">
        <v>3.4119999999999999</v>
      </c>
      <c r="AG299" s="253">
        <f t="shared" si="60"/>
        <v>3.4119999999999999</v>
      </c>
      <c r="DG299" s="543"/>
      <c r="DH299" s="149"/>
      <c r="DI299" s="1020"/>
    </row>
    <row r="300" spans="1:113" outlineLevel="1" x14ac:dyDescent="0.25">
      <c r="A300" s="2145"/>
      <c r="C300" s="49"/>
      <c r="D300" s="2415"/>
      <c r="E300" s="2415"/>
      <c r="F300" s="2417" t="str">
        <f t="shared" si="63"/>
        <v>Mini/MultiSplitASHP-Replace_CAC_ElectricHeat_ROF_SF</v>
      </c>
      <c r="G300" s="2417"/>
      <c r="H300" s="2417"/>
      <c r="I300" s="873" t="str">
        <f t="shared" si="64"/>
        <v>351450_2024_12_</v>
      </c>
      <c r="J300" s="1534">
        <v>3.4119999999999999</v>
      </c>
      <c r="K300" s="1520"/>
      <c r="L300" s="53"/>
      <c r="N300" s="535"/>
      <c r="T300" s="50"/>
      <c r="U300" s="50"/>
      <c r="V300" s="2415"/>
      <c r="W300" s="1268">
        <v>3.4119999999999999</v>
      </c>
      <c r="X300" s="1268">
        <v>3.4119999999999999</v>
      </c>
      <c r="Y300" s="1268">
        <v>3.4119999999999999</v>
      </c>
      <c r="Z300" s="1268">
        <v>3.4119999999999999</v>
      </c>
      <c r="AA300" s="1268">
        <v>3.4119999999999999</v>
      </c>
      <c r="AB300" s="1268">
        <v>3.4119999999999999</v>
      </c>
      <c r="AC300" s="1268">
        <v>3.4119999999999999</v>
      </c>
      <c r="AD300" s="1268">
        <v>3.4119999999999999</v>
      </c>
      <c r="AE300" s="1276">
        <v>3.4119999999999999</v>
      </c>
      <c r="AF300" s="253">
        <v>3.4119999999999999</v>
      </c>
      <c r="AG300" s="253">
        <f t="shared" si="60"/>
        <v>3.4119999999999999</v>
      </c>
      <c r="DG300" s="543"/>
      <c r="DH300" s="149"/>
      <c r="DI300" s="1020"/>
    </row>
    <row r="301" spans="1:113" outlineLevel="1" x14ac:dyDescent="0.25">
      <c r="A301" s="2145"/>
      <c r="C301" s="49"/>
      <c r="D301" s="2415"/>
      <c r="E301" s="2415"/>
      <c r="F301" s="2417" t="str">
        <f t="shared" si="63"/>
        <v>Mini/MultiSplitASHP-Replace_CAC_NonElectricHeat_ER1_SF</v>
      </c>
      <c r="G301" s="2417"/>
      <c r="H301" s="2417"/>
      <c r="I301" s="873" t="str">
        <f t="shared" si="64"/>
        <v>351401_2024_12_</v>
      </c>
      <c r="J301" s="1534">
        <v>3.4119999999999999</v>
      </c>
      <c r="K301" s="1520"/>
      <c r="L301" s="53"/>
      <c r="N301" s="535"/>
      <c r="T301" s="50"/>
      <c r="U301" s="50"/>
      <c r="V301" s="2415"/>
      <c r="W301" s="1268"/>
      <c r="X301" s="1268"/>
      <c r="Y301" s="1268"/>
      <c r="Z301" s="1268"/>
      <c r="AA301" s="1268"/>
      <c r="AB301" s="1268"/>
      <c r="AC301" s="1268"/>
      <c r="AD301" s="779">
        <v>3.4119999999999999</v>
      </c>
      <c r="AE301" s="1276">
        <v>3.4119999999999999</v>
      </c>
      <c r="AF301" s="253">
        <v>3.4119999999999999</v>
      </c>
      <c r="AG301" s="253">
        <f t="shared" si="60"/>
        <v>3.4119999999999999</v>
      </c>
      <c r="DG301" s="543"/>
      <c r="DH301" s="149"/>
      <c r="DI301" s="1020"/>
    </row>
    <row r="302" spans="1:113" outlineLevel="1" x14ac:dyDescent="0.25">
      <c r="A302" s="2145"/>
      <c r="C302" s="49"/>
      <c r="D302" s="2415"/>
      <c r="E302" s="2415"/>
      <c r="F302" s="2417" t="str">
        <f t="shared" si="63"/>
        <v>Mini/MultiSplitASHP-Replace_CAC_NonElectricHeat_ROF_SF</v>
      </c>
      <c r="G302" s="2417"/>
      <c r="H302" s="2417"/>
      <c r="I302" s="873" t="str">
        <f t="shared" si="64"/>
        <v>351451_2024_12_</v>
      </c>
      <c r="J302" s="1534">
        <v>3.4119999999999999</v>
      </c>
      <c r="K302" s="1520"/>
      <c r="L302" s="53"/>
      <c r="N302" s="535"/>
      <c r="T302" s="50"/>
      <c r="U302" s="50"/>
      <c r="V302" s="2415"/>
      <c r="W302" s="1268"/>
      <c r="X302" s="1268"/>
      <c r="Y302" s="1268"/>
      <c r="Z302" s="1268"/>
      <c r="AA302" s="1268"/>
      <c r="AB302" s="1268"/>
      <c r="AC302" s="1268"/>
      <c r="AD302" s="779">
        <v>3.4119999999999999</v>
      </c>
      <c r="AE302" s="1276">
        <v>3.4119999999999999</v>
      </c>
      <c r="AF302" s="253">
        <v>3.4119999999999999</v>
      </c>
      <c r="AG302" s="253">
        <f t="shared" si="60"/>
        <v>3.4119999999999999</v>
      </c>
      <c r="DG302" s="543"/>
      <c r="DH302" s="149"/>
      <c r="DI302" s="1020"/>
    </row>
    <row r="303" spans="1:113" outlineLevel="1" x14ac:dyDescent="0.25">
      <c r="A303" s="2145"/>
      <c r="C303" s="49"/>
      <c r="D303" s="2415"/>
      <c r="E303" s="2415"/>
      <c r="F303" s="2417" t="str">
        <f t="shared" si="63"/>
        <v>Mini/MultiSplitASHP_ER1_SF</v>
      </c>
      <c r="G303" s="2417"/>
      <c r="H303" s="2417"/>
      <c r="I303" s="873" t="str">
        <f t="shared" si="64"/>
        <v>351500_2024_12_</v>
      </c>
      <c r="J303" s="1534">
        <v>6.58</v>
      </c>
      <c r="K303" s="1520"/>
      <c r="L303" s="873" t="s">
        <v>1006</v>
      </c>
      <c r="N303" s="535"/>
      <c r="T303" s="50"/>
      <c r="U303" s="50"/>
      <c r="V303" s="2415"/>
      <c r="W303" s="1268">
        <v>5.44</v>
      </c>
      <c r="X303" s="1268">
        <v>5.44</v>
      </c>
      <c r="Y303" s="1268">
        <v>5.44</v>
      </c>
      <c r="Z303" s="1268">
        <v>5.44</v>
      </c>
      <c r="AA303" s="1268">
        <v>5.44</v>
      </c>
      <c r="AB303" s="1268">
        <v>5.44</v>
      </c>
      <c r="AC303" s="1268">
        <v>5.44</v>
      </c>
      <c r="AD303" s="1268">
        <v>5.44</v>
      </c>
      <c r="AE303" s="1276">
        <v>5.44</v>
      </c>
      <c r="AF303" s="253">
        <v>6.58</v>
      </c>
      <c r="AG303" s="253">
        <f t="shared" si="60"/>
        <v>6.58</v>
      </c>
      <c r="DG303" s="543"/>
      <c r="DH303" s="149"/>
      <c r="DI303" s="1020"/>
    </row>
    <row r="304" spans="1:113" outlineLevel="1" x14ac:dyDescent="0.25">
      <c r="A304" s="2145"/>
      <c r="C304" s="49"/>
      <c r="D304" s="2415"/>
      <c r="E304" s="2415"/>
      <c r="F304" s="2417" t="str">
        <f t="shared" si="63"/>
        <v>Mini/MultiSplitAC_ER1_MF</v>
      </c>
      <c r="G304" s="2417"/>
      <c r="H304" s="2417"/>
      <c r="I304" s="873" t="str">
        <f t="shared" si="64"/>
        <v>351550_2024_12_</v>
      </c>
      <c r="J304" s="1534">
        <f t="shared" ref="J304" si="66">J295</f>
        <v>0</v>
      </c>
      <c r="K304" s="1520"/>
      <c r="L304" s="873"/>
      <c r="N304" s="535"/>
      <c r="T304" s="50"/>
      <c r="U304" s="50"/>
      <c r="V304" s="2415"/>
      <c r="W304" s="1268"/>
      <c r="X304" s="779"/>
      <c r="Y304" s="779">
        <v>0</v>
      </c>
      <c r="Z304" s="1268">
        <v>0</v>
      </c>
      <c r="AA304" s="1268">
        <v>0</v>
      </c>
      <c r="AB304" s="1268">
        <v>0</v>
      </c>
      <c r="AC304" s="1268">
        <v>0</v>
      </c>
      <c r="AD304" s="1268">
        <v>0</v>
      </c>
      <c r="AE304" s="1276">
        <v>0</v>
      </c>
      <c r="AF304" s="253">
        <v>0</v>
      </c>
      <c r="AG304" s="253">
        <f t="shared" si="60"/>
        <v>0</v>
      </c>
      <c r="DG304" s="543"/>
      <c r="DH304" s="149"/>
      <c r="DI304" s="1020"/>
    </row>
    <row r="305" spans="1:113" outlineLevel="1" x14ac:dyDescent="0.25">
      <c r="A305" s="2145"/>
      <c r="C305" s="49"/>
      <c r="D305" s="2415" t="s">
        <v>1007</v>
      </c>
      <c r="E305" s="2415" t="s">
        <v>1008</v>
      </c>
      <c r="F305" s="2417" t="str">
        <f t="shared" si="63"/>
        <v>Mini/MultiSplitAC_ER1_SF</v>
      </c>
      <c r="G305" s="2417"/>
      <c r="H305" s="2417"/>
      <c r="I305" s="873" t="str">
        <f t="shared" si="64"/>
        <v>351200_2024_12_</v>
      </c>
      <c r="J305" s="1525">
        <v>0</v>
      </c>
      <c r="K305" s="12"/>
      <c r="L305" s="873" t="s">
        <v>983</v>
      </c>
      <c r="N305" s="535"/>
      <c r="O305" s="887"/>
      <c r="T305" s="50"/>
      <c r="U305" s="50"/>
      <c r="V305" s="2415" t="s">
        <v>453</v>
      </c>
      <c r="W305" s="1268">
        <v>0</v>
      </c>
      <c r="X305" s="1268">
        <v>0</v>
      </c>
      <c r="Y305" s="779">
        <v>0</v>
      </c>
      <c r="Z305" s="1268">
        <v>0</v>
      </c>
      <c r="AA305" s="1268">
        <v>0</v>
      </c>
      <c r="AB305" s="1276">
        <v>0</v>
      </c>
      <c r="AC305" s="696">
        <v>0</v>
      </c>
      <c r="AD305" s="696">
        <v>0</v>
      </c>
      <c r="AE305" s="975">
        <v>0</v>
      </c>
      <c r="AF305" s="253">
        <v>0</v>
      </c>
      <c r="AG305" s="253">
        <f t="shared" si="60"/>
        <v>0</v>
      </c>
      <c r="DG305" s="543"/>
      <c r="DH305" s="149"/>
      <c r="DI305" s="1020"/>
    </row>
    <row r="306" spans="1:113" outlineLevel="1" x14ac:dyDescent="0.25">
      <c r="A306" s="2145"/>
      <c r="C306" s="49"/>
      <c r="D306" s="2415"/>
      <c r="E306" s="2415"/>
      <c r="F306" s="2417" t="str">
        <f t="shared" si="63"/>
        <v>Mini/MultiSplitAC_ROF_SF</v>
      </c>
      <c r="G306" s="2417"/>
      <c r="H306" s="2417"/>
      <c r="I306" s="873" t="str">
        <f t="shared" si="64"/>
        <v>351250_2024_12_</v>
      </c>
      <c r="J306" s="1525">
        <v>0</v>
      </c>
      <c r="K306" s="1520"/>
      <c r="L306" s="1519" t="s">
        <v>983</v>
      </c>
      <c r="N306" s="535"/>
      <c r="O306" s="887"/>
      <c r="T306" s="50"/>
      <c r="U306" s="50"/>
      <c r="V306" s="2415"/>
      <c r="W306" s="1268">
        <v>0</v>
      </c>
      <c r="X306" s="1268">
        <v>0</v>
      </c>
      <c r="Y306" s="779">
        <v>0</v>
      </c>
      <c r="Z306" s="1268">
        <v>0</v>
      </c>
      <c r="AA306" s="1268">
        <v>0</v>
      </c>
      <c r="AB306" s="1276">
        <v>0</v>
      </c>
      <c r="AC306" s="696">
        <v>0</v>
      </c>
      <c r="AD306" s="696">
        <v>0</v>
      </c>
      <c r="AE306" s="975">
        <v>0</v>
      </c>
      <c r="AF306" s="253">
        <v>0</v>
      </c>
      <c r="AG306" s="253">
        <f t="shared" si="60"/>
        <v>0</v>
      </c>
      <c r="DG306" s="543"/>
      <c r="DH306" s="149"/>
      <c r="DI306" s="1020"/>
    </row>
    <row r="307" spans="1:113" outlineLevel="1" x14ac:dyDescent="0.25">
      <c r="A307" s="2145"/>
      <c r="C307" s="49"/>
      <c r="D307" s="2415"/>
      <c r="E307" s="2415"/>
      <c r="F307" s="2417" t="str">
        <f t="shared" ref="F307:F338" si="67">F297</f>
        <v>Mini/MultiSplitASHP_ROF_SF_NC</v>
      </c>
      <c r="G307" s="2417"/>
      <c r="H307" s="2417"/>
      <c r="I307" s="873" t="str">
        <f t="shared" ref="I307:I338" si="68">I297</f>
        <v>351300_2024_12_</v>
      </c>
      <c r="J307" s="1525">
        <v>11.370854271356771</v>
      </c>
      <c r="K307" s="1520"/>
      <c r="L307" s="1518" t="s">
        <v>929</v>
      </c>
      <c r="N307" s="535"/>
      <c r="O307" s="887"/>
      <c r="T307" s="50"/>
      <c r="U307" s="50"/>
      <c r="V307" s="2415"/>
      <c r="W307" s="1268">
        <v>11.4</v>
      </c>
      <c r="X307" s="779">
        <v>11.32</v>
      </c>
      <c r="Y307" s="779">
        <v>10.6</v>
      </c>
      <c r="Z307" s="1268">
        <v>10.6</v>
      </c>
      <c r="AA307" s="1268">
        <v>10.6</v>
      </c>
      <c r="AB307" s="1276">
        <v>10.6</v>
      </c>
      <c r="AC307" s="691">
        <v>11.342156862745099</v>
      </c>
      <c r="AD307" s="882">
        <v>11.420000000000002</v>
      </c>
      <c r="AE307" s="882">
        <v>11.370854271356771</v>
      </c>
      <c r="AF307" s="253">
        <v>11.370854271356771</v>
      </c>
      <c r="AG307" s="253">
        <f t="shared" si="60"/>
        <v>11.370854271356771</v>
      </c>
      <c r="DG307" s="543"/>
      <c r="DH307" s="149"/>
      <c r="DI307" s="1020"/>
    </row>
    <row r="308" spans="1:113" outlineLevel="1" x14ac:dyDescent="0.25">
      <c r="A308" s="2145"/>
      <c r="C308" s="49"/>
      <c r="D308" s="2415"/>
      <c r="E308" s="2415"/>
      <c r="F308" s="2417" t="str">
        <f t="shared" si="67"/>
        <v>Mini/MultiSplitASHP_ROF_SF</v>
      </c>
      <c r="G308" s="2417"/>
      <c r="H308" s="2417"/>
      <c r="I308" s="873" t="str">
        <f t="shared" si="68"/>
        <v>351350_2024_12_</v>
      </c>
      <c r="J308" s="1525">
        <v>11.370854271356771</v>
      </c>
      <c r="K308" s="1520"/>
      <c r="L308" s="1518" t="s">
        <v>929</v>
      </c>
      <c r="N308" s="535"/>
      <c r="O308" s="887"/>
      <c r="T308" s="50"/>
      <c r="U308" s="50"/>
      <c r="V308" s="2415"/>
      <c r="W308" s="1268">
        <v>11.4</v>
      </c>
      <c r="X308" s="779">
        <v>11.32</v>
      </c>
      <c r="Y308" s="779">
        <v>10.6</v>
      </c>
      <c r="Z308" s="1268">
        <v>10.6</v>
      </c>
      <c r="AA308" s="1268">
        <v>10.6</v>
      </c>
      <c r="AB308" s="691">
        <v>11.003896103896107</v>
      </c>
      <c r="AC308" s="691">
        <v>11.835714285714287</v>
      </c>
      <c r="AD308" s="882">
        <v>11.420000000000002</v>
      </c>
      <c r="AE308" s="882">
        <v>11.370854271356771</v>
      </c>
      <c r="AF308" s="253">
        <v>11.370854271356771</v>
      </c>
      <c r="AG308" s="253">
        <f t="shared" si="60"/>
        <v>11.370854271356771</v>
      </c>
      <c r="DG308" s="543"/>
      <c r="DH308" s="149"/>
      <c r="DI308" s="1020"/>
    </row>
    <row r="309" spans="1:113" outlineLevel="1" x14ac:dyDescent="0.25">
      <c r="A309" s="2145"/>
      <c r="C309" s="49"/>
      <c r="D309" s="2415"/>
      <c r="E309" s="2415"/>
      <c r="F309" s="2417" t="str">
        <f t="shared" si="67"/>
        <v>Mini/MultiSplitASHP-Replace_CAC_ElectricHeat_ER1_SF</v>
      </c>
      <c r="G309" s="2417"/>
      <c r="H309" s="2417"/>
      <c r="I309" s="873" t="str">
        <f t="shared" si="68"/>
        <v>351400_2024_12_</v>
      </c>
      <c r="J309" s="1525">
        <v>11.185185185185182</v>
      </c>
      <c r="K309" s="1520"/>
      <c r="L309" s="1518" t="s">
        <v>929</v>
      </c>
      <c r="N309" s="535"/>
      <c r="O309" s="887"/>
      <c r="T309" s="50"/>
      <c r="U309" s="50"/>
      <c r="V309" s="2415"/>
      <c r="W309" s="1268">
        <v>11.7</v>
      </c>
      <c r="X309" s="779">
        <v>11.32</v>
      </c>
      <c r="Y309" s="779">
        <v>11.4</v>
      </c>
      <c r="Z309" s="1268">
        <v>11.4</v>
      </c>
      <c r="AA309" s="1268">
        <v>11.4</v>
      </c>
      <c r="AB309" s="691">
        <v>9.4433000000000007</v>
      </c>
      <c r="AC309" s="691">
        <v>10.741860465116279</v>
      </c>
      <c r="AD309" s="882">
        <v>11.070754716981131</v>
      </c>
      <c r="AE309" s="882">
        <v>11.185185185185182</v>
      </c>
      <c r="AF309" s="253">
        <v>11.185185185185182</v>
      </c>
      <c r="AG309" s="253">
        <f t="shared" si="60"/>
        <v>11.185185185185182</v>
      </c>
      <c r="DG309" s="543"/>
      <c r="DH309" s="149"/>
      <c r="DI309" s="1020"/>
    </row>
    <row r="310" spans="1:113" outlineLevel="1" x14ac:dyDescent="0.25">
      <c r="A310" s="2145"/>
      <c r="C310" s="49"/>
      <c r="D310" s="2415"/>
      <c r="E310" s="2415"/>
      <c r="F310" s="2417" t="str">
        <f t="shared" si="67"/>
        <v>Mini/MultiSplitASHP-Replace_CAC_ElectricHeat_ROF_SF</v>
      </c>
      <c r="G310" s="2417"/>
      <c r="H310" s="2417"/>
      <c r="I310" s="873" t="str">
        <f t="shared" si="68"/>
        <v>351450_2024_12_</v>
      </c>
      <c r="J310" s="1525">
        <v>11.370854271356771</v>
      </c>
      <c r="K310" s="1520"/>
      <c r="L310" s="1518" t="s">
        <v>929</v>
      </c>
      <c r="N310" s="535"/>
      <c r="O310" s="887"/>
      <c r="T310" s="50"/>
      <c r="U310" s="50"/>
      <c r="V310" s="2415"/>
      <c r="W310" s="1268">
        <v>10.8</v>
      </c>
      <c r="X310" s="779">
        <v>11.32</v>
      </c>
      <c r="Y310" s="779">
        <v>11.4</v>
      </c>
      <c r="Z310" s="1268">
        <v>11.4</v>
      </c>
      <c r="AA310" s="1268">
        <v>11.4</v>
      </c>
      <c r="AB310" s="691">
        <v>11.226666666666667</v>
      </c>
      <c r="AC310" s="691">
        <v>11.1</v>
      </c>
      <c r="AD310" s="882">
        <v>11.420000000000002</v>
      </c>
      <c r="AE310" s="882">
        <v>11.370854271356771</v>
      </c>
      <c r="AF310" s="253">
        <v>11.370854271356771</v>
      </c>
      <c r="AG310" s="253">
        <f t="shared" si="60"/>
        <v>11.370854271356771</v>
      </c>
      <c r="DG310" s="543"/>
      <c r="DH310" s="149"/>
      <c r="DI310" s="1020"/>
    </row>
    <row r="311" spans="1:113" outlineLevel="1" x14ac:dyDescent="0.25">
      <c r="A311" s="2145"/>
      <c r="C311" s="49"/>
      <c r="D311" s="2415"/>
      <c r="E311" s="2415"/>
      <c r="F311" s="2417" t="str">
        <f t="shared" si="67"/>
        <v>Mini/MultiSplitASHP-Replace_CAC_NonElectricHeat_ER1_SF</v>
      </c>
      <c r="G311" s="2417"/>
      <c r="H311" s="2417"/>
      <c r="I311" s="873" t="str">
        <f t="shared" si="68"/>
        <v>351401_2024_12_</v>
      </c>
      <c r="J311" s="1525">
        <v>11.185185185185182</v>
      </c>
      <c r="K311" s="1520"/>
      <c r="L311" s="1518" t="s">
        <v>929</v>
      </c>
      <c r="N311" s="535"/>
      <c r="O311" s="887"/>
      <c r="T311" s="50"/>
      <c r="U311" s="50"/>
      <c r="V311" s="2415"/>
      <c r="W311" s="1268"/>
      <c r="X311" s="779"/>
      <c r="Y311" s="779"/>
      <c r="Z311" s="1268"/>
      <c r="AA311" s="1268"/>
      <c r="AB311" s="691"/>
      <c r="AC311" s="691"/>
      <c r="AD311" s="882">
        <v>11.070754716981131</v>
      </c>
      <c r="AE311" s="882">
        <v>11.185185185185182</v>
      </c>
      <c r="AF311" s="253">
        <v>11.185185185185182</v>
      </c>
      <c r="AG311" s="253">
        <f t="shared" si="60"/>
        <v>11.185185185185182</v>
      </c>
      <c r="DG311" s="543"/>
      <c r="DH311" s="149"/>
      <c r="DI311" s="1020"/>
    </row>
    <row r="312" spans="1:113" outlineLevel="1" x14ac:dyDescent="0.25">
      <c r="A312" s="2145"/>
      <c r="C312" s="49"/>
      <c r="D312" s="2415"/>
      <c r="E312" s="2415"/>
      <c r="F312" s="2417" t="str">
        <f t="shared" si="67"/>
        <v>Mini/MultiSplitASHP-Replace_CAC_NonElectricHeat_ROF_SF</v>
      </c>
      <c r="G312" s="2417"/>
      <c r="H312" s="2417"/>
      <c r="I312" s="873" t="str">
        <f t="shared" si="68"/>
        <v>351451_2024_12_</v>
      </c>
      <c r="J312" s="1525">
        <v>11.370854271356771</v>
      </c>
      <c r="K312" s="1520"/>
      <c r="L312" s="1518" t="s">
        <v>929</v>
      </c>
      <c r="N312" s="535"/>
      <c r="O312" s="887"/>
      <c r="T312" s="50"/>
      <c r="U312" s="50"/>
      <c r="V312" s="2415"/>
      <c r="W312" s="1268"/>
      <c r="X312" s="779"/>
      <c r="Y312" s="779"/>
      <c r="Z312" s="1268"/>
      <c r="AA312" s="1268"/>
      <c r="AB312" s="691"/>
      <c r="AC312" s="691"/>
      <c r="AD312" s="882">
        <v>11.420000000000002</v>
      </c>
      <c r="AE312" s="882">
        <v>11.370854271356771</v>
      </c>
      <c r="AF312" s="253">
        <v>11.370854271356771</v>
      </c>
      <c r="AG312" s="253">
        <f t="shared" si="60"/>
        <v>11.370854271356771</v>
      </c>
      <c r="DG312" s="543"/>
      <c r="DH312" s="149"/>
      <c r="DI312" s="1020"/>
    </row>
    <row r="313" spans="1:113" outlineLevel="1" x14ac:dyDescent="0.25">
      <c r="A313" s="2145"/>
      <c r="C313" s="49"/>
      <c r="D313" s="2415"/>
      <c r="E313" s="2415"/>
      <c r="F313" s="2417" t="str">
        <f t="shared" si="67"/>
        <v>Mini/MultiSplitASHP_ER1_SF</v>
      </c>
      <c r="G313" s="2417"/>
      <c r="H313" s="2417"/>
      <c r="I313" s="873" t="str">
        <f t="shared" si="68"/>
        <v>351500_2024_12_</v>
      </c>
      <c r="J313" s="1525">
        <v>11.185185185185182</v>
      </c>
      <c r="K313" s="1520"/>
      <c r="L313" s="1518" t="s">
        <v>929</v>
      </c>
      <c r="N313" s="535"/>
      <c r="O313" s="887"/>
      <c r="T313" s="50"/>
      <c r="U313" s="50"/>
      <c r="V313" s="2415"/>
      <c r="W313" s="1268">
        <v>11.4</v>
      </c>
      <c r="X313" s="779">
        <v>11.32</v>
      </c>
      <c r="Y313" s="779">
        <v>12.6</v>
      </c>
      <c r="Z313" s="1268">
        <v>12.6</v>
      </c>
      <c r="AA313" s="1268">
        <v>12.6</v>
      </c>
      <c r="AB313" s="691">
        <v>8.3625000000000007</v>
      </c>
      <c r="AC313" s="691">
        <v>10.93</v>
      </c>
      <c r="AD313" s="882">
        <v>11.070754716981131</v>
      </c>
      <c r="AE313" s="882">
        <v>11.185185185185182</v>
      </c>
      <c r="AF313" s="253">
        <v>11.185185185185182</v>
      </c>
      <c r="AG313" s="253">
        <f t="shared" si="60"/>
        <v>11.185185185185182</v>
      </c>
      <c r="DG313" s="543"/>
      <c r="DH313" s="149"/>
      <c r="DI313" s="1020"/>
    </row>
    <row r="314" spans="1:113" outlineLevel="1" x14ac:dyDescent="0.25">
      <c r="A314" s="2145"/>
      <c r="C314" s="49"/>
      <c r="D314" s="2415"/>
      <c r="E314" s="2415"/>
      <c r="F314" s="2417" t="str">
        <f t="shared" si="67"/>
        <v>Mini/MultiSplitAC_ER1_MF</v>
      </c>
      <c r="G314" s="2417"/>
      <c r="H314" s="2417"/>
      <c r="I314" s="873" t="str">
        <f t="shared" si="68"/>
        <v>351550_2024_12_</v>
      </c>
      <c r="J314" s="1525">
        <f>J305</f>
        <v>0</v>
      </c>
      <c r="K314" s="1520"/>
      <c r="L314" s="1519" t="s">
        <v>983</v>
      </c>
      <c r="N314" s="535"/>
      <c r="O314" s="887"/>
      <c r="T314" s="50"/>
      <c r="U314" s="50"/>
      <c r="V314" s="2415"/>
      <c r="W314" s="1268"/>
      <c r="X314" s="779"/>
      <c r="Y314" s="779">
        <v>0</v>
      </c>
      <c r="Z314" s="1268">
        <v>0</v>
      </c>
      <c r="AA314" s="1268">
        <v>0</v>
      </c>
      <c r="AB314" s="1276">
        <v>0</v>
      </c>
      <c r="AC314" s="696">
        <v>0</v>
      </c>
      <c r="AD314" s="696">
        <v>0</v>
      </c>
      <c r="AE314" s="975">
        <v>0</v>
      </c>
      <c r="AF314" s="253">
        <v>0</v>
      </c>
      <c r="AG314" s="253">
        <f t="shared" si="60"/>
        <v>0</v>
      </c>
      <c r="DG314" s="543"/>
      <c r="DH314" s="149"/>
      <c r="DI314" s="1020"/>
    </row>
    <row r="315" spans="1:113" outlineLevel="1" x14ac:dyDescent="0.25">
      <c r="A315" s="2145"/>
      <c r="C315" s="49"/>
      <c r="D315" s="2415" t="s">
        <v>1009</v>
      </c>
      <c r="E315" s="2415" t="s">
        <v>1010</v>
      </c>
      <c r="F315" s="2417" t="str">
        <f t="shared" si="67"/>
        <v>Mini/MultiSplitAC_ER1_SF</v>
      </c>
      <c r="G315" s="2417"/>
      <c r="H315" s="2417"/>
      <c r="I315" s="873" t="str">
        <f t="shared" si="68"/>
        <v>351200_2024_12_</v>
      </c>
      <c r="J315" s="1515">
        <v>21000</v>
      </c>
      <c r="K315" s="859">
        <f>J315/12000</f>
        <v>1.75</v>
      </c>
      <c r="L315" s="1518" t="s">
        <v>931</v>
      </c>
      <c r="N315" s="535"/>
      <c r="O315" s="886"/>
      <c r="T315" s="50"/>
      <c r="U315" s="50"/>
      <c r="V315" s="2415" t="s">
        <v>1009</v>
      </c>
      <c r="W315" s="1268">
        <v>20400</v>
      </c>
      <c r="X315" s="779">
        <f t="shared" ref="X315:X323" si="69">1.5*12000</f>
        <v>18000</v>
      </c>
      <c r="Y315" s="1268">
        <v>18000</v>
      </c>
      <c r="Z315" s="1268">
        <v>18000</v>
      </c>
      <c r="AA315" s="1268">
        <v>18000</v>
      </c>
      <c r="AB315" s="1276">
        <v>18000</v>
      </c>
      <c r="AC315" s="906">
        <v>16000</v>
      </c>
      <c r="AD315" s="1035">
        <v>21000</v>
      </c>
      <c r="AE315" s="978">
        <v>21000</v>
      </c>
      <c r="AF315" s="253">
        <v>21000</v>
      </c>
      <c r="AG315" s="253">
        <f t="shared" si="60"/>
        <v>21000</v>
      </c>
      <c r="DG315" s="543"/>
      <c r="DH315" s="149"/>
      <c r="DI315" s="1020"/>
    </row>
    <row r="316" spans="1:113" outlineLevel="1" x14ac:dyDescent="0.25">
      <c r="A316" s="2145"/>
      <c r="C316" s="49"/>
      <c r="D316" s="2415"/>
      <c r="E316" s="2415"/>
      <c r="F316" s="2417" t="str">
        <f t="shared" si="67"/>
        <v>Mini/MultiSplitAC_ROF_SF</v>
      </c>
      <c r="G316" s="2417"/>
      <c r="H316" s="2417"/>
      <c r="I316" s="873" t="str">
        <f t="shared" si="68"/>
        <v>351250_2024_12_</v>
      </c>
      <c r="J316" s="1515">
        <v>12666.666666666666</v>
      </c>
      <c r="K316" s="859">
        <f>J316/12000</f>
        <v>1.0555555555555556</v>
      </c>
      <c r="L316" s="1518" t="s">
        <v>931</v>
      </c>
      <c r="N316" s="535"/>
      <c r="O316" s="886"/>
      <c r="T316" s="50"/>
      <c r="U316" s="50"/>
      <c r="V316" s="2415"/>
      <c r="W316" s="1268">
        <v>19200</v>
      </c>
      <c r="X316" s="779">
        <f t="shared" si="69"/>
        <v>18000</v>
      </c>
      <c r="Y316" s="1268">
        <v>18000</v>
      </c>
      <c r="Z316" s="1268">
        <v>18000</v>
      </c>
      <c r="AA316" s="1268">
        <v>18000</v>
      </c>
      <c r="AB316" s="906">
        <v>15750</v>
      </c>
      <c r="AC316" s="906">
        <v>16800</v>
      </c>
      <c r="AD316" s="1035">
        <v>12666.666666666666</v>
      </c>
      <c r="AE316" s="978">
        <v>12666.666666666666</v>
      </c>
      <c r="AF316" s="253">
        <v>12666.666666666666</v>
      </c>
      <c r="AG316" s="253">
        <f t="shared" si="60"/>
        <v>12666.666666666666</v>
      </c>
      <c r="DG316" s="543"/>
      <c r="DH316" s="149"/>
      <c r="DI316" s="1020"/>
    </row>
    <row r="317" spans="1:113" outlineLevel="1" x14ac:dyDescent="0.25">
      <c r="A317" s="2145"/>
      <c r="C317" s="49"/>
      <c r="D317" s="2415"/>
      <c r="E317" s="2415"/>
      <c r="F317" s="2417" t="str">
        <f t="shared" si="67"/>
        <v>Mini/MultiSplitASHP_ROF_SF_NC</v>
      </c>
      <c r="G317" s="2417"/>
      <c r="H317" s="2417"/>
      <c r="I317" s="873" t="str">
        <f t="shared" si="68"/>
        <v>351300_2024_12_</v>
      </c>
      <c r="J317" s="1515">
        <v>15939.39393939394</v>
      </c>
      <c r="K317" s="859">
        <f t="shared" ref="K317:K324" si="70">J317/12000</f>
        <v>1.3282828282828283</v>
      </c>
      <c r="L317" s="1518" t="s">
        <v>930</v>
      </c>
      <c r="N317" s="535"/>
      <c r="O317" s="886"/>
      <c r="T317" s="50"/>
      <c r="U317" s="50"/>
      <c r="V317" s="2415"/>
      <c r="W317" s="1268">
        <v>19200</v>
      </c>
      <c r="X317" s="779">
        <f t="shared" si="69"/>
        <v>18000</v>
      </c>
      <c r="Y317" s="1268">
        <v>18000</v>
      </c>
      <c r="Z317" s="1268">
        <v>18000</v>
      </c>
      <c r="AA317" s="1268">
        <v>18000</v>
      </c>
      <c r="AB317" s="1276">
        <v>18000</v>
      </c>
      <c r="AC317" s="690">
        <v>18101.694915254237</v>
      </c>
      <c r="AD317" s="1035">
        <v>18388.489208633098</v>
      </c>
      <c r="AE317" s="1035">
        <v>17645.320197044337</v>
      </c>
      <c r="AF317" s="253">
        <v>15939.39393939394</v>
      </c>
      <c r="AG317" s="253">
        <f t="shared" si="60"/>
        <v>15939.39393939394</v>
      </c>
      <c r="DG317" s="543"/>
      <c r="DH317" s="149"/>
      <c r="DI317" s="1020"/>
    </row>
    <row r="318" spans="1:113" outlineLevel="1" x14ac:dyDescent="0.25">
      <c r="A318" s="2145"/>
      <c r="C318" s="49"/>
      <c r="D318" s="2415"/>
      <c r="E318" s="2415"/>
      <c r="F318" s="2417" t="str">
        <f t="shared" si="67"/>
        <v>Mini/MultiSplitASHP_ROF_SF</v>
      </c>
      <c r="G318" s="2417"/>
      <c r="H318" s="2417"/>
      <c r="I318" s="873" t="str">
        <f t="shared" si="68"/>
        <v>351350_2024_12_</v>
      </c>
      <c r="J318" s="1515">
        <v>15939.39393939394</v>
      </c>
      <c r="K318" s="859">
        <f t="shared" si="70"/>
        <v>1.3282828282828283</v>
      </c>
      <c r="L318" s="1518" t="s">
        <v>930</v>
      </c>
      <c r="N318" s="535"/>
      <c r="O318" s="886"/>
      <c r="T318" s="50"/>
      <c r="U318" s="50"/>
      <c r="V318" s="2415"/>
      <c r="W318" s="1268">
        <v>19200</v>
      </c>
      <c r="X318" s="779">
        <f t="shared" si="69"/>
        <v>18000</v>
      </c>
      <c r="Y318" s="1268">
        <v>18000</v>
      </c>
      <c r="Z318" s="1268">
        <v>18000</v>
      </c>
      <c r="AA318" s="1268">
        <v>18000</v>
      </c>
      <c r="AB318" s="690">
        <v>18221.05263157895</v>
      </c>
      <c r="AC318" s="690">
        <v>16500</v>
      </c>
      <c r="AD318" s="1035">
        <v>18388.489208633098</v>
      </c>
      <c r="AE318" s="1035">
        <v>17645.320197044337</v>
      </c>
      <c r="AF318" s="253">
        <v>15939.39393939394</v>
      </c>
      <c r="AG318" s="253">
        <f t="shared" si="60"/>
        <v>15939.39393939394</v>
      </c>
      <c r="DG318" s="543"/>
      <c r="DH318" s="149"/>
      <c r="DI318" s="1020"/>
    </row>
    <row r="319" spans="1:113" outlineLevel="1" x14ac:dyDescent="0.25">
      <c r="A319" s="2145"/>
      <c r="C319" s="49"/>
      <c r="D319" s="2415"/>
      <c r="E319" s="2415"/>
      <c r="F319" s="2417" t="str">
        <f t="shared" si="67"/>
        <v>Mini/MultiSplitASHP-Replace_CAC_ElectricHeat_ER1_SF</v>
      </c>
      <c r="G319" s="2417"/>
      <c r="H319" s="2417"/>
      <c r="I319" s="873" t="str">
        <f t="shared" si="68"/>
        <v>351400_2024_12_</v>
      </c>
      <c r="J319" s="1515">
        <v>23090.909090909092</v>
      </c>
      <c r="K319" s="859">
        <f>J319/12000</f>
        <v>1.9242424242424243</v>
      </c>
      <c r="L319" s="1518" t="s">
        <v>930</v>
      </c>
      <c r="N319" s="535"/>
      <c r="O319" s="886"/>
      <c r="T319" s="50"/>
      <c r="U319" s="50"/>
      <c r="V319" s="2415"/>
      <c r="W319" s="1268">
        <v>16800</v>
      </c>
      <c r="X319" s="779">
        <f t="shared" si="69"/>
        <v>18000</v>
      </c>
      <c r="Y319" s="1268">
        <v>18000</v>
      </c>
      <c r="Z319" s="1268">
        <v>18000</v>
      </c>
      <c r="AA319" s="1268">
        <v>18000</v>
      </c>
      <c r="AB319" s="690">
        <v>18840</v>
      </c>
      <c r="AC319" s="690">
        <v>18837.20930232558</v>
      </c>
      <c r="AD319" s="1035">
        <v>20890.909090909092</v>
      </c>
      <c r="AE319" s="1035">
        <v>18600</v>
      </c>
      <c r="AF319" s="253">
        <v>23090.909090909092</v>
      </c>
      <c r="AG319" s="253">
        <f t="shared" si="60"/>
        <v>23090.909090909092</v>
      </c>
      <c r="DG319" s="543"/>
      <c r="DH319" s="149"/>
      <c r="DI319" s="1020"/>
    </row>
    <row r="320" spans="1:113" outlineLevel="1" x14ac:dyDescent="0.25">
      <c r="A320" s="2145"/>
      <c r="C320" s="49"/>
      <c r="D320" s="2415"/>
      <c r="E320" s="2415"/>
      <c r="F320" s="2417" t="str">
        <f t="shared" si="67"/>
        <v>Mini/MultiSplitASHP-Replace_CAC_ElectricHeat_ROF_SF</v>
      </c>
      <c r="G320" s="2417"/>
      <c r="H320" s="2417"/>
      <c r="I320" s="873" t="str">
        <f t="shared" si="68"/>
        <v>351450_2024_12_</v>
      </c>
      <c r="J320" s="1515">
        <v>15939.39393939394</v>
      </c>
      <c r="K320" s="859">
        <f t="shared" si="70"/>
        <v>1.3282828282828283</v>
      </c>
      <c r="L320" s="1518" t="s">
        <v>930</v>
      </c>
      <c r="N320" s="535"/>
      <c r="O320" s="886"/>
      <c r="T320" s="50"/>
      <c r="U320" s="50"/>
      <c r="V320" s="2415"/>
      <c r="W320" s="1268">
        <v>16800</v>
      </c>
      <c r="X320" s="779">
        <f t="shared" si="69"/>
        <v>18000</v>
      </c>
      <c r="Y320" s="779">
        <v>19200</v>
      </c>
      <c r="Z320" s="1268">
        <v>19200</v>
      </c>
      <c r="AA320" s="1268">
        <v>19200</v>
      </c>
      <c r="AB320" s="690">
        <v>19200</v>
      </c>
      <c r="AC320" s="690">
        <v>20769.23076923077</v>
      </c>
      <c r="AD320" s="1035">
        <v>18388.489208633098</v>
      </c>
      <c r="AE320" s="1035">
        <v>17645.320197044337</v>
      </c>
      <c r="AF320" s="253">
        <v>15939.39393939394</v>
      </c>
      <c r="AG320" s="253">
        <f t="shared" si="60"/>
        <v>15939.39393939394</v>
      </c>
      <c r="DG320" s="543"/>
      <c r="DH320" s="149"/>
      <c r="DI320" s="1020"/>
    </row>
    <row r="321" spans="1:113" outlineLevel="1" x14ac:dyDescent="0.25">
      <c r="A321" s="2145"/>
      <c r="C321" s="49"/>
      <c r="D321" s="2415"/>
      <c r="E321" s="2415"/>
      <c r="F321" s="2417" t="str">
        <f t="shared" si="67"/>
        <v>Mini/MultiSplitASHP-Replace_CAC_NonElectricHeat_ER1_SF</v>
      </c>
      <c r="G321" s="2417"/>
      <c r="H321" s="2417"/>
      <c r="I321" s="873" t="str">
        <f t="shared" si="68"/>
        <v>351401_2024_12_</v>
      </c>
      <c r="J321" s="1515">
        <v>23090.909090909099</v>
      </c>
      <c r="K321" s="859">
        <f>J321/12000</f>
        <v>1.924242424242425</v>
      </c>
      <c r="L321" s="1518" t="s">
        <v>930</v>
      </c>
      <c r="N321" s="535"/>
      <c r="O321" s="886"/>
      <c r="T321" s="50"/>
      <c r="U321" s="50"/>
      <c r="V321" s="2415"/>
      <c r="W321" s="1268"/>
      <c r="X321" s="779"/>
      <c r="Y321" s="779"/>
      <c r="Z321" s="1268"/>
      <c r="AA321" s="1268"/>
      <c r="AB321" s="690"/>
      <c r="AC321" s="690"/>
      <c r="AD321" s="1035">
        <v>20890.909090909092</v>
      </c>
      <c r="AE321" s="1035">
        <v>18600</v>
      </c>
      <c r="AF321" s="253">
        <v>23090.909090909099</v>
      </c>
      <c r="AG321" s="253">
        <f t="shared" si="60"/>
        <v>23090.909090909099</v>
      </c>
      <c r="DG321" s="543"/>
      <c r="DH321" s="149"/>
      <c r="DI321" s="1020"/>
    </row>
    <row r="322" spans="1:113" outlineLevel="1" x14ac:dyDescent="0.25">
      <c r="A322" s="2145"/>
      <c r="C322" s="49"/>
      <c r="D322" s="2415"/>
      <c r="E322" s="2415"/>
      <c r="F322" s="2417" t="str">
        <f t="shared" si="67"/>
        <v>Mini/MultiSplitASHP-Replace_CAC_NonElectricHeat_ROF_SF</v>
      </c>
      <c r="G322" s="2417"/>
      <c r="H322" s="2417"/>
      <c r="I322" s="873" t="str">
        <f t="shared" si="68"/>
        <v>351451_2024_12_</v>
      </c>
      <c r="J322" s="1515">
        <v>15939.39393939394</v>
      </c>
      <c r="K322" s="859">
        <f t="shared" si="70"/>
        <v>1.3282828282828283</v>
      </c>
      <c r="L322" s="1518" t="s">
        <v>930</v>
      </c>
      <c r="N322" s="535"/>
      <c r="O322" s="886"/>
      <c r="T322" s="50"/>
      <c r="U322" s="50"/>
      <c r="V322" s="2415"/>
      <c r="W322" s="1268"/>
      <c r="X322" s="779"/>
      <c r="Y322" s="779"/>
      <c r="Z322" s="1268"/>
      <c r="AA322" s="1268"/>
      <c r="AB322" s="690"/>
      <c r="AC322" s="690"/>
      <c r="AD322" s="1035">
        <v>18388.489208633098</v>
      </c>
      <c r="AE322" s="1035">
        <v>17645.320197044337</v>
      </c>
      <c r="AF322" s="253">
        <v>15939.39393939394</v>
      </c>
      <c r="AG322" s="253">
        <f t="shared" si="60"/>
        <v>15939.39393939394</v>
      </c>
      <c r="DG322" s="543"/>
      <c r="DH322" s="149"/>
      <c r="DI322" s="1020"/>
    </row>
    <row r="323" spans="1:113" outlineLevel="1" x14ac:dyDescent="0.25">
      <c r="A323" s="2145"/>
      <c r="C323" s="49"/>
      <c r="D323" s="2415"/>
      <c r="E323" s="2415"/>
      <c r="F323" s="2417" t="str">
        <f t="shared" si="67"/>
        <v>Mini/MultiSplitASHP_ER1_SF</v>
      </c>
      <c r="G323" s="2417"/>
      <c r="H323" s="2417"/>
      <c r="I323" s="873" t="str">
        <f t="shared" si="68"/>
        <v>351500_2024_12_</v>
      </c>
      <c r="J323" s="1515">
        <v>23090.909090909092</v>
      </c>
      <c r="K323" s="859">
        <f t="shared" si="70"/>
        <v>1.9242424242424243</v>
      </c>
      <c r="L323" s="1518" t="s">
        <v>930</v>
      </c>
      <c r="N323" s="535"/>
      <c r="O323" s="886"/>
      <c r="T323" s="50"/>
      <c r="U323" s="50"/>
      <c r="V323" s="2415"/>
      <c r="W323" s="1268">
        <v>20400</v>
      </c>
      <c r="X323" s="779">
        <f t="shared" si="69"/>
        <v>18000</v>
      </c>
      <c r="Y323" s="1268">
        <v>18000</v>
      </c>
      <c r="Z323" s="1268">
        <v>18000</v>
      </c>
      <c r="AA323" s="1268">
        <v>18000</v>
      </c>
      <c r="AB323" s="690">
        <v>15375</v>
      </c>
      <c r="AC323" s="690">
        <v>17727.272727272728</v>
      </c>
      <c r="AD323" s="1035">
        <v>20890.909090909092</v>
      </c>
      <c r="AE323" s="1035">
        <v>18600</v>
      </c>
      <c r="AF323" s="253">
        <v>23090.909090909092</v>
      </c>
      <c r="AG323" s="253">
        <f t="shared" si="60"/>
        <v>23090.909090909092</v>
      </c>
      <c r="DG323" s="543"/>
      <c r="DH323" s="149"/>
      <c r="DI323" s="1020"/>
    </row>
    <row r="324" spans="1:113" outlineLevel="1" x14ac:dyDescent="0.25">
      <c r="A324" s="2145"/>
      <c r="C324" s="49"/>
      <c r="D324" s="2415"/>
      <c r="E324" s="2415"/>
      <c r="F324" s="2417" t="str">
        <f t="shared" si="67"/>
        <v>Mini/MultiSplitAC_ER1_MF</v>
      </c>
      <c r="G324" s="2417"/>
      <c r="H324" s="2417"/>
      <c r="I324" s="873" t="str">
        <f t="shared" si="68"/>
        <v>351550_2024_12_</v>
      </c>
      <c r="J324" s="1515">
        <v>24000</v>
      </c>
      <c r="K324" s="859">
        <f t="shared" si="70"/>
        <v>2</v>
      </c>
      <c r="L324" s="53" t="s">
        <v>1011</v>
      </c>
      <c r="N324" s="535"/>
      <c r="O324" s="886"/>
      <c r="T324" s="50"/>
      <c r="U324" s="50"/>
      <c r="V324" s="2415"/>
      <c r="W324" s="1268"/>
      <c r="X324" s="779"/>
      <c r="Y324" s="779">
        <v>18000</v>
      </c>
      <c r="Z324" s="1268">
        <v>18000</v>
      </c>
      <c r="AA324" s="1268">
        <v>18000</v>
      </c>
      <c r="AB324" s="1276">
        <v>18000</v>
      </c>
      <c r="AC324" s="906">
        <v>16000</v>
      </c>
      <c r="AD324" s="1035">
        <v>24000</v>
      </c>
      <c r="AE324" s="978">
        <v>24000</v>
      </c>
      <c r="AF324" s="253">
        <v>24000</v>
      </c>
      <c r="AG324" s="253">
        <f t="shared" si="60"/>
        <v>24000</v>
      </c>
      <c r="DG324" s="543"/>
      <c r="DH324" s="149"/>
      <c r="DI324" s="1020"/>
    </row>
    <row r="325" spans="1:113" ht="15" customHeight="1" outlineLevel="1" x14ac:dyDescent="0.25">
      <c r="A325" s="2145"/>
      <c r="C325" s="49"/>
      <c r="D325" s="2415" t="s">
        <v>833</v>
      </c>
      <c r="E325" s="2415" t="s">
        <v>1012</v>
      </c>
      <c r="F325" s="2417" t="str">
        <f t="shared" si="67"/>
        <v>Mini/MultiSplitAC_ER1_SF</v>
      </c>
      <c r="G325" s="2417"/>
      <c r="H325" s="2417"/>
      <c r="I325" s="873" t="str">
        <f t="shared" si="68"/>
        <v>351200_2024_12_</v>
      </c>
      <c r="J325" s="1534">
        <v>635</v>
      </c>
      <c r="K325" s="12"/>
      <c r="L325" s="2423" t="s">
        <v>995</v>
      </c>
      <c r="N325" s="535"/>
      <c r="T325" s="50"/>
      <c r="U325" s="50"/>
      <c r="V325" s="2415" t="s">
        <v>833</v>
      </c>
      <c r="W325" s="1268">
        <v>869</v>
      </c>
      <c r="X325" s="1268">
        <v>869</v>
      </c>
      <c r="Y325" s="779">
        <v>635</v>
      </c>
      <c r="Z325" s="1268">
        <v>635</v>
      </c>
      <c r="AA325" s="1268">
        <v>635</v>
      </c>
      <c r="AB325" s="1276">
        <v>635</v>
      </c>
      <c r="AC325" s="1276">
        <v>635</v>
      </c>
      <c r="AD325" s="1276">
        <v>635</v>
      </c>
      <c r="AE325" s="1276">
        <v>635</v>
      </c>
      <c r="AF325" s="253">
        <v>635</v>
      </c>
      <c r="AG325" s="253">
        <f t="shared" si="60"/>
        <v>635</v>
      </c>
      <c r="DG325" s="543"/>
      <c r="DH325" s="149"/>
      <c r="DI325" s="1020"/>
    </row>
    <row r="326" spans="1:113" outlineLevel="1" x14ac:dyDescent="0.25">
      <c r="A326" s="2145"/>
      <c r="C326" s="49"/>
      <c r="D326" s="2415"/>
      <c r="E326" s="2415"/>
      <c r="F326" s="2417" t="str">
        <f t="shared" si="67"/>
        <v>Mini/MultiSplitAC_ROF_SF</v>
      </c>
      <c r="G326" s="2417"/>
      <c r="H326" s="2417"/>
      <c r="I326" s="873" t="str">
        <f t="shared" si="68"/>
        <v>351250_2024_12_</v>
      </c>
      <c r="J326" s="1534">
        <v>635</v>
      </c>
      <c r="K326" s="1520"/>
      <c r="L326" s="2413"/>
      <c r="N326" s="535"/>
      <c r="T326" s="50"/>
      <c r="U326" s="50"/>
      <c r="V326" s="2415"/>
      <c r="W326" s="1268">
        <v>869</v>
      </c>
      <c r="X326" s="1268">
        <v>869</v>
      </c>
      <c r="Y326" s="779">
        <v>635</v>
      </c>
      <c r="Z326" s="1268">
        <v>635</v>
      </c>
      <c r="AA326" s="1268">
        <v>635</v>
      </c>
      <c r="AB326" s="1276">
        <v>635</v>
      </c>
      <c r="AC326" s="1276">
        <v>635</v>
      </c>
      <c r="AD326" s="1276">
        <v>635</v>
      </c>
      <c r="AE326" s="1276">
        <v>635</v>
      </c>
      <c r="AF326" s="253">
        <v>635</v>
      </c>
      <c r="AG326" s="253">
        <f t="shared" si="60"/>
        <v>635</v>
      </c>
      <c r="DG326" s="543"/>
      <c r="DH326" s="149"/>
      <c r="DI326" s="1020"/>
    </row>
    <row r="327" spans="1:113" outlineLevel="1" x14ac:dyDescent="0.25">
      <c r="A327" s="2145"/>
      <c r="C327" s="49"/>
      <c r="D327" s="2415"/>
      <c r="E327" s="2415"/>
      <c r="F327" s="2417" t="str">
        <f t="shared" si="67"/>
        <v>Mini/MultiSplitASHP_ROF_SF_NC</v>
      </c>
      <c r="G327" s="2417"/>
      <c r="H327" s="2417"/>
      <c r="I327" s="873" t="str">
        <f t="shared" si="68"/>
        <v>351300_2024_12_</v>
      </c>
      <c r="J327" s="1534">
        <v>635</v>
      </c>
      <c r="K327" s="1520"/>
      <c r="L327" s="2413"/>
      <c r="N327" s="535"/>
      <c r="T327" s="50"/>
      <c r="U327" s="50"/>
      <c r="V327" s="2415"/>
      <c r="W327" s="1268">
        <v>869</v>
      </c>
      <c r="X327" s="1268">
        <v>869</v>
      </c>
      <c r="Y327" s="779">
        <v>635</v>
      </c>
      <c r="Z327" s="1268">
        <v>635</v>
      </c>
      <c r="AA327" s="1268">
        <v>635</v>
      </c>
      <c r="AB327" s="1276">
        <v>635</v>
      </c>
      <c r="AC327" s="1276">
        <v>635</v>
      </c>
      <c r="AD327" s="1276">
        <v>635</v>
      </c>
      <c r="AE327" s="1276">
        <v>635</v>
      </c>
      <c r="AF327" s="253">
        <v>635</v>
      </c>
      <c r="AG327" s="253">
        <f t="shared" si="60"/>
        <v>635</v>
      </c>
      <c r="DG327" s="543"/>
      <c r="DH327" s="149"/>
      <c r="DI327" s="1020"/>
    </row>
    <row r="328" spans="1:113" outlineLevel="1" x14ac:dyDescent="0.25">
      <c r="A328" s="2145"/>
      <c r="C328" s="49"/>
      <c r="D328" s="2415"/>
      <c r="E328" s="2415"/>
      <c r="F328" s="2417" t="str">
        <f t="shared" si="67"/>
        <v>Mini/MultiSplitASHP_ROF_SF</v>
      </c>
      <c r="G328" s="2417"/>
      <c r="H328" s="2417"/>
      <c r="I328" s="873" t="str">
        <f t="shared" si="68"/>
        <v>351350_2024_12_</v>
      </c>
      <c r="J328" s="1534">
        <v>635</v>
      </c>
      <c r="K328" s="1520"/>
      <c r="L328" s="2413"/>
      <c r="N328" s="535"/>
      <c r="T328" s="50"/>
      <c r="U328" s="50"/>
      <c r="V328" s="2415"/>
      <c r="W328" s="1268">
        <v>869</v>
      </c>
      <c r="X328" s="1268">
        <v>869</v>
      </c>
      <c r="Y328" s="779">
        <v>635</v>
      </c>
      <c r="Z328" s="1268">
        <v>635</v>
      </c>
      <c r="AA328" s="1268">
        <v>635</v>
      </c>
      <c r="AB328" s="1276">
        <v>635</v>
      </c>
      <c r="AC328" s="1276">
        <v>635</v>
      </c>
      <c r="AD328" s="1276">
        <v>635</v>
      </c>
      <c r="AE328" s="1276">
        <v>635</v>
      </c>
      <c r="AF328" s="253">
        <v>635</v>
      </c>
      <c r="AG328" s="253">
        <f t="shared" si="60"/>
        <v>635</v>
      </c>
      <c r="DG328" s="543"/>
      <c r="DH328" s="149"/>
      <c r="DI328" s="1020"/>
    </row>
    <row r="329" spans="1:113" outlineLevel="1" x14ac:dyDescent="0.25">
      <c r="A329" s="2145"/>
      <c r="C329" s="49"/>
      <c r="D329" s="2415"/>
      <c r="E329" s="2415"/>
      <c r="F329" s="2417" t="str">
        <f t="shared" si="67"/>
        <v>Mini/MultiSplitASHP-Replace_CAC_ElectricHeat_ER1_SF</v>
      </c>
      <c r="G329" s="2417"/>
      <c r="H329" s="2417"/>
      <c r="I329" s="873" t="str">
        <f t="shared" si="68"/>
        <v>351400_2024_12_</v>
      </c>
      <c r="J329" s="1534">
        <v>635</v>
      </c>
      <c r="K329" s="1520"/>
      <c r="L329" s="2413"/>
      <c r="N329" s="535"/>
      <c r="T329" s="50"/>
      <c r="U329" s="50"/>
      <c r="V329" s="2415"/>
      <c r="W329" s="1268">
        <v>869</v>
      </c>
      <c r="X329" s="1268">
        <v>869</v>
      </c>
      <c r="Y329" s="779">
        <v>635</v>
      </c>
      <c r="Z329" s="1268">
        <v>635</v>
      </c>
      <c r="AA329" s="1268">
        <v>635</v>
      </c>
      <c r="AB329" s="1276">
        <v>635</v>
      </c>
      <c r="AC329" s="1276">
        <v>635</v>
      </c>
      <c r="AD329" s="1276">
        <v>635</v>
      </c>
      <c r="AE329" s="1276">
        <v>635</v>
      </c>
      <c r="AF329" s="253">
        <v>635</v>
      </c>
      <c r="AG329" s="253">
        <f t="shared" si="60"/>
        <v>635</v>
      </c>
      <c r="DG329" s="543"/>
      <c r="DH329" s="149"/>
      <c r="DI329" s="1020"/>
    </row>
    <row r="330" spans="1:113" outlineLevel="1" x14ac:dyDescent="0.25">
      <c r="A330" s="2145"/>
      <c r="C330" s="49"/>
      <c r="D330" s="2415"/>
      <c r="E330" s="2415"/>
      <c r="F330" s="2417" t="str">
        <f t="shared" si="67"/>
        <v>Mini/MultiSplitASHP-Replace_CAC_ElectricHeat_ROF_SF</v>
      </c>
      <c r="G330" s="2417"/>
      <c r="H330" s="2417"/>
      <c r="I330" s="873" t="str">
        <f t="shared" si="68"/>
        <v>351450_2024_12_</v>
      </c>
      <c r="J330" s="1534">
        <v>635</v>
      </c>
      <c r="K330" s="1520"/>
      <c r="L330" s="2413"/>
      <c r="N330" s="535"/>
      <c r="T330" s="50"/>
      <c r="U330" s="50"/>
      <c r="V330" s="2415"/>
      <c r="W330" s="1268">
        <v>869</v>
      </c>
      <c r="X330" s="1268">
        <v>869</v>
      </c>
      <c r="Y330" s="779">
        <v>635</v>
      </c>
      <c r="Z330" s="1268">
        <v>635</v>
      </c>
      <c r="AA330" s="1268">
        <v>635</v>
      </c>
      <c r="AB330" s="1276">
        <v>635</v>
      </c>
      <c r="AC330" s="1276">
        <v>635</v>
      </c>
      <c r="AD330" s="1276">
        <v>635</v>
      </c>
      <c r="AE330" s="1276">
        <v>635</v>
      </c>
      <c r="AF330" s="253">
        <v>635</v>
      </c>
      <c r="AG330" s="253">
        <f t="shared" ref="AG330:AG393" si="71">IF(J330&lt;&gt;"",J330,"")</f>
        <v>635</v>
      </c>
      <c r="DG330" s="543"/>
      <c r="DH330" s="149"/>
      <c r="DI330" s="1020"/>
    </row>
    <row r="331" spans="1:113" outlineLevel="1" x14ac:dyDescent="0.25">
      <c r="A331" s="2145"/>
      <c r="C331" s="49"/>
      <c r="D331" s="2415"/>
      <c r="E331" s="2415"/>
      <c r="F331" s="2417" t="str">
        <f t="shared" si="67"/>
        <v>Mini/MultiSplitASHP-Replace_CAC_NonElectricHeat_ER1_SF</v>
      </c>
      <c r="G331" s="2417"/>
      <c r="H331" s="2417"/>
      <c r="I331" s="873" t="str">
        <f t="shared" si="68"/>
        <v>351401_2024_12_</v>
      </c>
      <c r="J331" s="1534">
        <v>635</v>
      </c>
      <c r="K331" s="1520"/>
      <c r="L331" s="2413"/>
      <c r="N331" s="535"/>
      <c r="T331" s="50"/>
      <c r="U331" s="50"/>
      <c r="V331" s="2415"/>
      <c r="W331" s="1268"/>
      <c r="X331" s="1268"/>
      <c r="Y331" s="779"/>
      <c r="Z331" s="1268"/>
      <c r="AA331" s="1268"/>
      <c r="AB331" s="1276"/>
      <c r="AC331" s="1276"/>
      <c r="AD331" s="906">
        <v>635</v>
      </c>
      <c r="AE331" s="1276">
        <v>635</v>
      </c>
      <c r="AF331" s="253">
        <v>635</v>
      </c>
      <c r="AG331" s="253">
        <f t="shared" si="71"/>
        <v>635</v>
      </c>
      <c r="DG331" s="543"/>
      <c r="DH331" s="149"/>
      <c r="DI331" s="1020"/>
    </row>
    <row r="332" spans="1:113" outlineLevel="1" x14ac:dyDescent="0.25">
      <c r="A332" s="2145"/>
      <c r="C332" s="49"/>
      <c r="D332" s="2415"/>
      <c r="E332" s="2415"/>
      <c r="F332" s="2417" t="str">
        <f t="shared" si="67"/>
        <v>Mini/MultiSplitASHP-Replace_CAC_NonElectricHeat_ROF_SF</v>
      </c>
      <c r="G332" s="2417"/>
      <c r="H332" s="2417"/>
      <c r="I332" s="873" t="str">
        <f t="shared" si="68"/>
        <v>351451_2024_12_</v>
      </c>
      <c r="J332" s="1534">
        <v>635</v>
      </c>
      <c r="K332" s="1520"/>
      <c r="L332" s="2413"/>
      <c r="N332" s="535"/>
      <c r="T332" s="50"/>
      <c r="U332" s="50"/>
      <c r="V332" s="2415"/>
      <c r="W332" s="1268"/>
      <c r="X332" s="1268"/>
      <c r="Y332" s="779"/>
      <c r="Z332" s="1268"/>
      <c r="AA332" s="1268"/>
      <c r="AB332" s="1276"/>
      <c r="AC332" s="1276"/>
      <c r="AD332" s="906">
        <v>635</v>
      </c>
      <c r="AE332" s="1276">
        <v>635</v>
      </c>
      <c r="AF332" s="253">
        <v>635</v>
      </c>
      <c r="AG332" s="253">
        <f t="shared" si="71"/>
        <v>635</v>
      </c>
      <c r="DG332" s="543"/>
      <c r="DH332" s="149"/>
      <c r="DI332" s="1020"/>
    </row>
    <row r="333" spans="1:113" outlineLevel="1" x14ac:dyDescent="0.25">
      <c r="A333" s="2145"/>
      <c r="C333" s="49"/>
      <c r="D333" s="2415"/>
      <c r="E333" s="2415"/>
      <c r="F333" s="2417" t="str">
        <f t="shared" si="67"/>
        <v>Mini/MultiSplitASHP_ER1_SF</v>
      </c>
      <c r="G333" s="2417"/>
      <c r="H333" s="2417"/>
      <c r="I333" s="873" t="str">
        <f t="shared" si="68"/>
        <v>351500_2024_12_</v>
      </c>
      <c r="J333" s="1534">
        <v>635</v>
      </c>
      <c r="K333" s="1520"/>
      <c r="L333" s="2413"/>
      <c r="N333" s="535"/>
      <c r="T333" s="50"/>
      <c r="U333" s="50"/>
      <c r="V333" s="2415"/>
      <c r="W333" s="1268">
        <v>869</v>
      </c>
      <c r="X333" s="1268">
        <v>869</v>
      </c>
      <c r="Y333" s="779">
        <v>635</v>
      </c>
      <c r="Z333" s="1268">
        <v>635</v>
      </c>
      <c r="AA333" s="1268">
        <v>635</v>
      </c>
      <c r="AB333" s="1276">
        <v>635</v>
      </c>
      <c r="AC333" s="1276">
        <v>635</v>
      </c>
      <c r="AD333" s="1276">
        <v>635</v>
      </c>
      <c r="AE333" s="1276">
        <v>635</v>
      </c>
      <c r="AF333" s="253">
        <v>635</v>
      </c>
      <c r="AG333" s="253">
        <f t="shared" si="71"/>
        <v>635</v>
      </c>
      <c r="DG333" s="543"/>
      <c r="DH333" s="149"/>
      <c r="DI333" s="1020"/>
    </row>
    <row r="334" spans="1:113" outlineLevel="1" x14ac:dyDescent="0.25">
      <c r="A334" s="2145"/>
      <c r="C334" s="49"/>
      <c r="D334" s="2415"/>
      <c r="E334" s="2415"/>
      <c r="F334" s="2417" t="str">
        <f t="shared" si="67"/>
        <v>Mini/MultiSplitAC_ER1_MF</v>
      </c>
      <c r="G334" s="2417"/>
      <c r="H334" s="2417"/>
      <c r="I334" s="873" t="str">
        <f t="shared" si="68"/>
        <v>351550_2024_12_</v>
      </c>
      <c r="J334" s="1534">
        <v>635</v>
      </c>
      <c r="K334" s="1520"/>
      <c r="L334" s="2413"/>
      <c r="N334" s="535"/>
      <c r="T334" s="50"/>
      <c r="U334" s="50"/>
      <c r="V334" s="2415"/>
      <c r="W334" s="1268"/>
      <c r="X334" s="779"/>
      <c r="Y334" s="779">
        <v>635</v>
      </c>
      <c r="Z334" s="1268">
        <v>635</v>
      </c>
      <c r="AA334" s="1268">
        <v>635</v>
      </c>
      <c r="AB334" s="1276">
        <v>635</v>
      </c>
      <c r="AC334" s="1276">
        <v>635</v>
      </c>
      <c r="AD334" s="1276">
        <v>635</v>
      </c>
      <c r="AE334" s="1276">
        <v>635</v>
      </c>
      <c r="AF334" s="253">
        <v>635</v>
      </c>
      <c r="AG334" s="253">
        <f t="shared" si="71"/>
        <v>635</v>
      </c>
      <c r="DG334" s="543"/>
      <c r="DH334" s="149"/>
      <c r="DI334" s="1020"/>
    </row>
    <row r="335" spans="1:113" outlineLevel="1" x14ac:dyDescent="0.25">
      <c r="A335" s="2145"/>
      <c r="C335" s="49"/>
      <c r="D335" s="2415" t="s">
        <v>933</v>
      </c>
      <c r="E335" s="2415" t="s">
        <v>1013</v>
      </c>
      <c r="F335" s="2417" t="str">
        <f t="shared" si="67"/>
        <v>Mini/MultiSplitAC_ER1_SF</v>
      </c>
      <c r="G335" s="2417"/>
      <c r="H335" s="2417"/>
      <c r="I335" s="873" t="str">
        <f t="shared" si="68"/>
        <v>351200_2024_12_</v>
      </c>
      <c r="J335" s="1534">
        <v>13.4</v>
      </c>
      <c r="K335" s="12"/>
      <c r="L335" s="1521" t="s">
        <v>936</v>
      </c>
      <c r="N335" s="535"/>
      <c r="T335" s="50"/>
      <c r="U335" s="50"/>
      <c r="V335" s="2415" t="s">
        <v>1014</v>
      </c>
      <c r="W335" s="1268">
        <v>13</v>
      </c>
      <c r="X335" s="1268">
        <v>13</v>
      </c>
      <c r="Y335" s="1268">
        <v>13</v>
      </c>
      <c r="Z335" s="1268">
        <v>13</v>
      </c>
      <c r="AA335" s="1268">
        <v>13</v>
      </c>
      <c r="AB335" s="1268">
        <v>13</v>
      </c>
      <c r="AC335" s="1268">
        <v>13</v>
      </c>
      <c r="AD335" s="1268">
        <v>13</v>
      </c>
      <c r="AE335" s="906">
        <v>14</v>
      </c>
      <c r="AF335" s="253">
        <v>13.4</v>
      </c>
      <c r="AG335" s="253">
        <f t="shared" si="71"/>
        <v>13.4</v>
      </c>
      <c r="DG335" s="543"/>
      <c r="DH335" s="149"/>
      <c r="DI335" s="1020"/>
    </row>
    <row r="336" spans="1:113" outlineLevel="1" x14ac:dyDescent="0.25">
      <c r="A336" s="2145"/>
      <c r="C336" s="49"/>
      <c r="D336" s="2415"/>
      <c r="E336" s="2415"/>
      <c r="F336" s="2417" t="str">
        <f t="shared" si="67"/>
        <v>Mini/MultiSplitAC_ROF_SF</v>
      </c>
      <c r="G336" s="2417"/>
      <c r="H336" s="2417"/>
      <c r="I336" s="873" t="str">
        <f t="shared" si="68"/>
        <v>351250_2024_12_</v>
      </c>
      <c r="J336" s="1534">
        <v>13.4</v>
      </c>
      <c r="K336" s="1520"/>
      <c r="L336" s="873" t="s">
        <v>936</v>
      </c>
      <c r="N336" s="1036"/>
      <c r="T336" s="50"/>
      <c r="U336" s="50"/>
      <c r="V336" s="2415"/>
      <c r="W336" s="1268">
        <v>13</v>
      </c>
      <c r="X336" s="1268">
        <v>13</v>
      </c>
      <c r="Y336" s="1268">
        <v>13</v>
      </c>
      <c r="Z336" s="1268">
        <v>13</v>
      </c>
      <c r="AA336" s="1268">
        <v>13</v>
      </c>
      <c r="AB336" s="1268">
        <v>13</v>
      </c>
      <c r="AC336" s="1268">
        <v>13</v>
      </c>
      <c r="AD336" s="1268">
        <v>13</v>
      </c>
      <c r="AE336" s="906">
        <v>14</v>
      </c>
      <c r="AF336" s="253">
        <v>13.4</v>
      </c>
      <c r="AG336" s="253">
        <f t="shared" si="71"/>
        <v>13.4</v>
      </c>
      <c r="DG336" s="543"/>
      <c r="DH336" s="149"/>
      <c r="DI336" s="1020"/>
    </row>
    <row r="337" spans="1:113" outlineLevel="1" x14ac:dyDescent="0.25">
      <c r="A337" s="2145"/>
      <c r="C337" s="49"/>
      <c r="D337" s="2415"/>
      <c r="E337" s="2415"/>
      <c r="F337" s="2417" t="str">
        <f t="shared" si="67"/>
        <v>Mini/MultiSplitASHP_ROF_SF_NC</v>
      </c>
      <c r="G337" s="2417"/>
      <c r="H337" s="2417"/>
      <c r="I337" s="873" t="str">
        <f t="shared" si="68"/>
        <v>351300_2024_12_</v>
      </c>
      <c r="J337" s="1534">
        <v>14.3</v>
      </c>
      <c r="K337" s="1520"/>
      <c r="L337" s="873" t="s">
        <v>936</v>
      </c>
      <c r="N337" s="535"/>
      <c r="T337" s="50"/>
      <c r="U337" s="50"/>
      <c r="V337" s="2415"/>
      <c r="W337" s="1268">
        <v>13</v>
      </c>
      <c r="X337" s="1268">
        <v>13</v>
      </c>
      <c r="Y337" s="779">
        <v>14</v>
      </c>
      <c r="Z337" s="1268">
        <v>14</v>
      </c>
      <c r="AA337" s="1268">
        <v>14</v>
      </c>
      <c r="AB337" s="1268">
        <v>14</v>
      </c>
      <c r="AC337" s="1268">
        <v>14</v>
      </c>
      <c r="AD337" s="1268">
        <v>14</v>
      </c>
      <c r="AE337" s="906">
        <v>15</v>
      </c>
      <c r="AF337" s="253">
        <v>14.3</v>
      </c>
      <c r="AG337" s="253">
        <f t="shared" si="71"/>
        <v>14.3</v>
      </c>
      <c r="DG337" s="543"/>
      <c r="DH337" s="149"/>
      <c r="DI337" s="1020"/>
    </row>
    <row r="338" spans="1:113" outlineLevel="1" x14ac:dyDescent="0.25">
      <c r="A338" s="2145"/>
      <c r="C338" s="49"/>
      <c r="D338" s="2415"/>
      <c r="E338" s="2415"/>
      <c r="F338" s="2417" t="str">
        <f t="shared" si="67"/>
        <v>Mini/MultiSplitASHP_ROF_SF</v>
      </c>
      <c r="G338" s="2417"/>
      <c r="H338" s="2417"/>
      <c r="I338" s="873" t="str">
        <f t="shared" si="68"/>
        <v>351350_2024_12_</v>
      </c>
      <c r="J338" s="1534">
        <v>14.3</v>
      </c>
      <c r="K338" s="1520"/>
      <c r="L338" s="873" t="s">
        <v>936</v>
      </c>
      <c r="N338" s="535"/>
      <c r="T338" s="50"/>
      <c r="U338" s="50"/>
      <c r="V338" s="2415"/>
      <c r="W338" s="1268">
        <v>13</v>
      </c>
      <c r="X338" s="1268">
        <v>13</v>
      </c>
      <c r="Y338" s="779">
        <v>14</v>
      </c>
      <c r="Z338" s="1268">
        <v>14</v>
      </c>
      <c r="AA338" s="1268">
        <v>14</v>
      </c>
      <c r="AB338" s="1268">
        <v>14</v>
      </c>
      <c r="AC338" s="1268">
        <v>14</v>
      </c>
      <c r="AD338" s="1268">
        <v>14</v>
      </c>
      <c r="AE338" s="906">
        <v>15</v>
      </c>
      <c r="AF338" s="253">
        <v>14.3</v>
      </c>
      <c r="AG338" s="253">
        <f t="shared" si="71"/>
        <v>14.3</v>
      </c>
      <c r="DG338" s="543"/>
      <c r="DH338" s="149"/>
      <c r="DI338" s="1020"/>
    </row>
    <row r="339" spans="1:113" outlineLevel="1" x14ac:dyDescent="0.25">
      <c r="A339" s="2145"/>
      <c r="C339" s="49"/>
      <c r="D339" s="2415"/>
      <c r="E339" s="2415"/>
      <c r="F339" s="2417" t="str">
        <f t="shared" ref="F339:F364" si="72">F329</f>
        <v>Mini/MultiSplitASHP-Replace_CAC_ElectricHeat_ER1_SF</v>
      </c>
      <c r="G339" s="2417"/>
      <c r="H339" s="2417"/>
      <c r="I339" s="873" t="str">
        <f t="shared" ref="I339:I364" si="73">I329</f>
        <v>351400_2024_12_</v>
      </c>
      <c r="J339" s="1534">
        <v>13.4</v>
      </c>
      <c r="K339" s="1520"/>
      <c r="L339" s="873" t="s">
        <v>936</v>
      </c>
      <c r="N339" s="535"/>
      <c r="T339" s="50"/>
      <c r="U339" s="50"/>
      <c r="V339" s="2415"/>
      <c r="W339" s="1268">
        <v>13</v>
      </c>
      <c r="X339" s="1268">
        <v>13</v>
      </c>
      <c r="Y339" s="1268">
        <v>13</v>
      </c>
      <c r="Z339" s="1268">
        <v>13</v>
      </c>
      <c r="AA339" s="1268">
        <v>13</v>
      </c>
      <c r="AB339" s="1268">
        <v>13</v>
      </c>
      <c r="AC339" s="1268">
        <v>13</v>
      </c>
      <c r="AD339" s="1268">
        <v>13</v>
      </c>
      <c r="AE339" s="906">
        <v>14</v>
      </c>
      <c r="AF339" s="253">
        <v>13.4</v>
      </c>
      <c r="AG339" s="253">
        <f t="shared" si="71"/>
        <v>13.4</v>
      </c>
      <c r="DG339" s="543"/>
      <c r="DH339" s="149"/>
      <c r="DI339" s="1020"/>
    </row>
    <row r="340" spans="1:113" outlineLevel="1" x14ac:dyDescent="0.25">
      <c r="A340" s="2145"/>
      <c r="C340" s="49"/>
      <c r="D340" s="2415"/>
      <c r="E340" s="2415"/>
      <c r="F340" s="2417" t="str">
        <f t="shared" si="72"/>
        <v>Mini/MultiSplitASHP-Replace_CAC_ElectricHeat_ROF_SF</v>
      </c>
      <c r="G340" s="2417"/>
      <c r="H340" s="2417"/>
      <c r="I340" s="873" t="str">
        <f t="shared" si="73"/>
        <v>351450_2024_12_</v>
      </c>
      <c r="J340" s="1534">
        <v>13.4</v>
      </c>
      <c r="K340" s="1520"/>
      <c r="L340" s="873" t="s">
        <v>936</v>
      </c>
      <c r="N340" s="535"/>
      <c r="T340" s="50"/>
      <c r="U340" s="50"/>
      <c r="V340" s="2415"/>
      <c r="W340" s="1268">
        <v>13</v>
      </c>
      <c r="X340" s="1268">
        <v>13</v>
      </c>
      <c r="Y340" s="779">
        <v>14</v>
      </c>
      <c r="Z340" s="1268">
        <v>14</v>
      </c>
      <c r="AA340" s="1268">
        <v>14</v>
      </c>
      <c r="AB340" s="1268">
        <v>14</v>
      </c>
      <c r="AC340" s="1268">
        <v>14</v>
      </c>
      <c r="AD340" s="1268">
        <v>14</v>
      </c>
      <c r="AE340" s="1276">
        <v>14</v>
      </c>
      <c r="AF340" s="253">
        <v>13.4</v>
      </c>
      <c r="AG340" s="253">
        <f t="shared" si="71"/>
        <v>13.4</v>
      </c>
      <c r="DG340" s="543"/>
      <c r="DH340" s="149"/>
      <c r="DI340" s="1020"/>
    </row>
    <row r="341" spans="1:113" outlineLevel="1" x14ac:dyDescent="0.25">
      <c r="A341" s="2145"/>
      <c r="C341" s="49"/>
      <c r="D341" s="2415"/>
      <c r="E341" s="2415"/>
      <c r="F341" s="2417" t="str">
        <f t="shared" si="72"/>
        <v>Mini/MultiSplitASHP-Replace_CAC_NonElectricHeat_ER1_SF</v>
      </c>
      <c r="G341" s="2417"/>
      <c r="H341" s="2417"/>
      <c r="I341" s="873" t="str">
        <f t="shared" si="73"/>
        <v>351401_2024_12_</v>
      </c>
      <c r="J341" s="1534">
        <v>13.4</v>
      </c>
      <c r="K341" s="1520"/>
      <c r="L341" s="873" t="s">
        <v>936</v>
      </c>
      <c r="N341" s="535"/>
      <c r="T341" s="50"/>
      <c r="U341" s="50"/>
      <c r="V341" s="2415"/>
      <c r="W341" s="1268"/>
      <c r="X341" s="1268"/>
      <c r="Y341" s="779"/>
      <c r="Z341" s="1268"/>
      <c r="AA341" s="1268"/>
      <c r="AB341" s="1268"/>
      <c r="AC341" s="1268"/>
      <c r="AD341" s="779">
        <v>13</v>
      </c>
      <c r="AE341" s="906">
        <v>14</v>
      </c>
      <c r="AF341" s="253">
        <v>13.4</v>
      </c>
      <c r="AG341" s="253">
        <f t="shared" si="71"/>
        <v>13.4</v>
      </c>
      <c r="DG341" s="543"/>
      <c r="DH341" s="149"/>
      <c r="DI341" s="1020"/>
    </row>
    <row r="342" spans="1:113" outlineLevel="1" x14ac:dyDescent="0.25">
      <c r="A342" s="2145"/>
      <c r="C342" s="49"/>
      <c r="D342" s="2415"/>
      <c r="E342" s="2415"/>
      <c r="F342" s="2417" t="str">
        <f t="shared" si="72"/>
        <v>Mini/MultiSplitASHP-Replace_CAC_NonElectricHeat_ROF_SF</v>
      </c>
      <c r="G342" s="2417"/>
      <c r="H342" s="2417"/>
      <c r="I342" s="873" t="str">
        <f t="shared" si="73"/>
        <v>351451_2024_12_</v>
      </c>
      <c r="J342" s="1534">
        <v>13.4</v>
      </c>
      <c r="K342" s="1520"/>
      <c r="L342" s="873" t="s">
        <v>936</v>
      </c>
      <c r="N342" s="535"/>
      <c r="T342" s="50"/>
      <c r="U342" s="50"/>
      <c r="V342" s="2415"/>
      <c r="W342" s="1268"/>
      <c r="X342" s="1268"/>
      <c r="Y342" s="779"/>
      <c r="Z342" s="1268"/>
      <c r="AA342" s="1268"/>
      <c r="AB342" s="1268"/>
      <c r="AC342" s="1268"/>
      <c r="AD342" s="779">
        <v>14</v>
      </c>
      <c r="AE342" s="1276">
        <v>14</v>
      </c>
      <c r="AF342" s="253">
        <v>13.4</v>
      </c>
      <c r="AG342" s="253">
        <f t="shared" si="71"/>
        <v>13.4</v>
      </c>
      <c r="DG342" s="543"/>
      <c r="DH342" s="149"/>
      <c r="DI342" s="1020"/>
    </row>
    <row r="343" spans="1:113" outlineLevel="1" x14ac:dyDescent="0.25">
      <c r="A343" s="2145"/>
      <c r="C343" s="49"/>
      <c r="D343" s="2415"/>
      <c r="E343" s="2415"/>
      <c r="F343" s="2417" t="str">
        <f t="shared" si="72"/>
        <v>Mini/MultiSplitASHP_ER1_SF</v>
      </c>
      <c r="G343" s="2417"/>
      <c r="H343" s="2417"/>
      <c r="I343" s="873" t="str">
        <f t="shared" si="73"/>
        <v>351500_2024_12_</v>
      </c>
      <c r="J343" s="1534">
        <v>14.3</v>
      </c>
      <c r="K343" s="1520"/>
      <c r="L343" s="873" t="s">
        <v>936</v>
      </c>
      <c r="N343" s="535"/>
      <c r="T343" s="50"/>
      <c r="U343" s="50"/>
      <c r="V343" s="2415"/>
      <c r="W343" s="1268">
        <v>13</v>
      </c>
      <c r="X343" s="1268">
        <v>13</v>
      </c>
      <c r="Y343" s="1268">
        <v>13</v>
      </c>
      <c r="Z343" s="1268">
        <v>13</v>
      </c>
      <c r="AA343" s="1268">
        <v>13</v>
      </c>
      <c r="AB343" s="1268">
        <v>13</v>
      </c>
      <c r="AC343" s="1268">
        <v>13</v>
      </c>
      <c r="AD343" s="1268">
        <v>13</v>
      </c>
      <c r="AE343" s="906">
        <v>15</v>
      </c>
      <c r="AF343" s="253">
        <v>14.3</v>
      </c>
      <c r="AG343" s="253">
        <f t="shared" si="71"/>
        <v>14.3</v>
      </c>
      <c r="DG343" s="543"/>
      <c r="DH343" s="149"/>
      <c r="DI343" s="1020"/>
    </row>
    <row r="344" spans="1:113" outlineLevel="1" x14ac:dyDescent="0.25">
      <c r="A344" s="2145"/>
      <c r="C344" s="49"/>
      <c r="D344" s="2415"/>
      <c r="E344" s="2415"/>
      <c r="F344" s="2417" t="str">
        <f t="shared" si="72"/>
        <v>Mini/MultiSplitAC_ER1_MF</v>
      </c>
      <c r="G344" s="2417"/>
      <c r="H344" s="2417"/>
      <c r="I344" s="873" t="str">
        <f t="shared" si="73"/>
        <v>351550_2024_12_</v>
      </c>
      <c r="J344" s="1534">
        <f t="shared" ref="J344" si="74">J335</f>
        <v>13.4</v>
      </c>
      <c r="K344" s="1520"/>
      <c r="L344" s="873" t="s">
        <v>936</v>
      </c>
      <c r="N344" s="535"/>
      <c r="T344" s="50"/>
      <c r="U344" s="50"/>
      <c r="V344" s="2415"/>
      <c r="W344" s="1268"/>
      <c r="X344" s="779"/>
      <c r="Y344" s="779">
        <v>13</v>
      </c>
      <c r="Z344" s="1268">
        <v>13</v>
      </c>
      <c r="AA344" s="1268">
        <v>13</v>
      </c>
      <c r="AB344" s="1268">
        <v>13</v>
      </c>
      <c r="AC344" s="1268">
        <v>13</v>
      </c>
      <c r="AD344" s="1268">
        <v>13</v>
      </c>
      <c r="AE344" s="906">
        <v>14</v>
      </c>
      <c r="AF344" s="253">
        <v>13.4</v>
      </c>
      <c r="AG344" s="253">
        <f t="shared" si="71"/>
        <v>13.4</v>
      </c>
      <c r="DG344" s="543"/>
      <c r="DH344" s="149"/>
      <c r="DI344" s="1020"/>
    </row>
    <row r="345" spans="1:113" outlineLevel="1" x14ac:dyDescent="0.25">
      <c r="A345" s="2145"/>
      <c r="C345" s="49"/>
      <c r="D345" s="2415" t="s">
        <v>940</v>
      </c>
      <c r="E345" s="2415" t="s">
        <v>1015</v>
      </c>
      <c r="F345" s="2417" t="str">
        <f t="shared" si="72"/>
        <v>Mini/MultiSplitAC_ER1_SF</v>
      </c>
      <c r="G345" s="2417"/>
      <c r="H345" s="2417"/>
      <c r="I345" s="873" t="str">
        <f t="shared" si="73"/>
        <v>351200_2024_12_</v>
      </c>
      <c r="J345" s="1525">
        <v>7.0198996256246149</v>
      </c>
      <c r="K345" s="12"/>
      <c r="L345" s="873" t="s">
        <v>931</v>
      </c>
      <c r="N345" s="535"/>
      <c r="T345" s="50"/>
      <c r="U345" s="50"/>
      <c r="V345" s="2415" t="s">
        <v>1016</v>
      </c>
      <c r="W345" s="1268">
        <v>6.3</v>
      </c>
      <c r="X345" s="1268">
        <v>6.3</v>
      </c>
      <c r="Y345" s="1268">
        <v>6.3</v>
      </c>
      <c r="Z345" s="1268">
        <v>6.3</v>
      </c>
      <c r="AA345" s="1268">
        <v>6.3</v>
      </c>
      <c r="AB345" s="1276">
        <v>6.3</v>
      </c>
      <c r="AC345" s="695">
        <v>8.402496453661275</v>
      </c>
      <c r="AD345" s="882">
        <v>7.0198996256246149</v>
      </c>
      <c r="AE345" s="975">
        <v>7.0198996256246149</v>
      </c>
      <c r="AF345" s="253">
        <v>7.0198996256246149</v>
      </c>
      <c r="AG345" s="253">
        <f t="shared" si="71"/>
        <v>7.0198996256246149</v>
      </c>
      <c r="DG345" s="543"/>
      <c r="DH345" s="149"/>
      <c r="DI345" s="1020"/>
    </row>
    <row r="346" spans="1:113" outlineLevel="1" x14ac:dyDescent="0.25">
      <c r="A346" s="2145"/>
      <c r="C346" s="49"/>
      <c r="D346" s="2415"/>
      <c r="E346" s="2415"/>
      <c r="F346" s="2417" t="str">
        <f t="shared" si="72"/>
        <v>Mini/MultiSplitAC_ROF_SF</v>
      </c>
      <c r="G346" s="2417"/>
      <c r="H346" s="2417"/>
      <c r="I346" s="873" t="str">
        <f t="shared" si="73"/>
        <v>351250_2024_12_</v>
      </c>
      <c r="J346" s="1525">
        <v>6.3</v>
      </c>
      <c r="K346" s="1520"/>
      <c r="L346" s="873" t="s">
        <v>1017</v>
      </c>
      <c r="N346" s="535"/>
      <c r="T346" s="50"/>
      <c r="U346" s="50"/>
      <c r="V346" s="2415"/>
      <c r="W346" s="1268">
        <v>6.3</v>
      </c>
      <c r="X346" s="1268">
        <v>6.3</v>
      </c>
      <c r="Y346" s="1268">
        <v>6.3</v>
      </c>
      <c r="Z346" s="1268">
        <v>6.3</v>
      </c>
      <c r="AA346" s="1268">
        <v>6.3</v>
      </c>
      <c r="AB346" s="1276">
        <v>6.3</v>
      </c>
      <c r="AC346" s="1276">
        <v>6.3</v>
      </c>
      <c r="AD346" s="975">
        <v>6.3</v>
      </c>
      <c r="AE346" s="975">
        <v>6.3</v>
      </c>
      <c r="AF346" s="253">
        <v>6.3</v>
      </c>
      <c r="AG346" s="253">
        <f t="shared" si="71"/>
        <v>6.3</v>
      </c>
      <c r="DG346" s="543"/>
      <c r="DH346" s="149"/>
      <c r="DI346" s="1020"/>
    </row>
    <row r="347" spans="1:113" outlineLevel="1" x14ac:dyDescent="0.25">
      <c r="A347" s="2145"/>
      <c r="C347" s="49"/>
      <c r="D347" s="2415"/>
      <c r="E347" s="2415"/>
      <c r="F347" s="2417" t="str">
        <f t="shared" si="72"/>
        <v>Mini/MultiSplitASHP_ROF_SF_NC</v>
      </c>
      <c r="G347" s="2417"/>
      <c r="H347" s="2417"/>
      <c r="I347" s="873" t="str">
        <f t="shared" si="73"/>
        <v>351300_2024_12_</v>
      </c>
      <c r="J347" s="1525">
        <v>7.2</v>
      </c>
      <c r="K347" s="1520"/>
      <c r="L347" s="873" t="s">
        <v>1017</v>
      </c>
      <c r="N347" s="535"/>
      <c r="T347" s="50"/>
      <c r="U347" s="50"/>
      <c r="V347" s="2415"/>
      <c r="W347" s="1268">
        <v>7.2</v>
      </c>
      <c r="X347" s="1268">
        <v>7.2</v>
      </c>
      <c r="Y347" s="1268">
        <v>7.2</v>
      </c>
      <c r="Z347" s="1268">
        <v>7.2</v>
      </c>
      <c r="AA347" s="1268">
        <v>7.2</v>
      </c>
      <c r="AB347" s="1276">
        <v>7.2</v>
      </c>
      <c r="AC347" s="1276">
        <v>7.2</v>
      </c>
      <c r="AD347" s="975">
        <v>7.2</v>
      </c>
      <c r="AE347" s="975">
        <v>7.2</v>
      </c>
      <c r="AF347" s="253">
        <v>7.2</v>
      </c>
      <c r="AG347" s="253">
        <f t="shared" si="71"/>
        <v>7.2</v>
      </c>
      <c r="DG347" s="543"/>
      <c r="DH347" s="149"/>
      <c r="DI347" s="1020"/>
    </row>
    <row r="348" spans="1:113" outlineLevel="1" x14ac:dyDescent="0.25">
      <c r="A348" s="2145"/>
      <c r="C348" s="49"/>
      <c r="D348" s="2415"/>
      <c r="E348" s="2415"/>
      <c r="F348" s="2417" t="str">
        <f t="shared" si="72"/>
        <v>Mini/MultiSplitASHP_ROF_SF</v>
      </c>
      <c r="G348" s="2417"/>
      <c r="H348" s="2417"/>
      <c r="I348" s="873" t="str">
        <f t="shared" si="73"/>
        <v>351350_2024_12_</v>
      </c>
      <c r="J348" s="1525">
        <v>7.2</v>
      </c>
      <c r="K348" s="1520"/>
      <c r="L348" s="53" t="s">
        <v>1017</v>
      </c>
      <c r="N348" s="535"/>
      <c r="T348" s="50"/>
      <c r="U348" s="50"/>
      <c r="V348" s="2415"/>
      <c r="W348" s="1268">
        <v>7.2</v>
      </c>
      <c r="X348" s="1268">
        <v>7.2</v>
      </c>
      <c r="Y348" s="1268">
        <v>7.2</v>
      </c>
      <c r="Z348" s="1268">
        <v>7.2</v>
      </c>
      <c r="AA348" s="1268">
        <v>7.2</v>
      </c>
      <c r="AB348" s="1426">
        <v>7.2</v>
      </c>
      <c r="AC348" s="1426">
        <v>7.2</v>
      </c>
      <c r="AD348" s="975">
        <v>7.2</v>
      </c>
      <c r="AE348" s="975">
        <v>7.2</v>
      </c>
      <c r="AF348" s="253">
        <v>7.2</v>
      </c>
      <c r="AG348" s="253">
        <f t="shared" si="71"/>
        <v>7.2</v>
      </c>
      <c r="DG348" s="543"/>
      <c r="DH348" s="149"/>
      <c r="DI348" s="1020"/>
    </row>
    <row r="349" spans="1:113" outlineLevel="1" x14ac:dyDescent="0.25">
      <c r="A349" s="2145"/>
      <c r="C349" s="49"/>
      <c r="D349" s="2415"/>
      <c r="E349" s="2415"/>
      <c r="F349" s="2417" t="str">
        <f t="shared" si="72"/>
        <v>Mini/MultiSplitASHP-Replace_CAC_ElectricHeat_ER1_SF</v>
      </c>
      <c r="G349" s="2417"/>
      <c r="H349" s="2417"/>
      <c r="I349" s="873" t="str">
        <f t="shared" si="73"/>
        <v>351400_2024_12_</v>
      </c>
      <c r="J349" s="1525">
        <v>8.0470351851474575</v>
      </c>
      <c r="K349" s="1520"/>
      <c r="L349" s="1518" t="s">
        <v>942</v>
      </c>
      <c r="N349" s="535"/>
      <c r="T349" s="50"/>
      <c r="U349" s="50"/>
      <c r="V349" s="2415"/>
      <c r="W349" s="1268">
        <v>6.8</v>
      </c>
      <c r="X349" s="1268">
        <v>6.8</v>
      </c>
      <c r="Y349" s="1268">
        <v>6.8</v>
      </c>
      <c r="Z349" s="1268">
        <v>6.8</v>
      </c>
      <c r="AA349" s="1268">
        <v>6.8</v>
      </c>
      <c r="AB349" s="695">
        <v>7.6061892029279887</v>
      </c>
      <c r="AC349" s="695">
        <v>8.2976860977532869</v>
      </c>
      <c r="AD349" s="882">
        <v>7.838789123969689</v>
      </c>
      <c r="AE349" s="975">
        <v>7.838789123969689</v>
      </c>
      <c r="AF349" s="253">
        <v>8.0470351851474575</v>
      </c>
      <c r="AG349" s="253">
        <f t="shared" si="71"/>
        <v>8.0470351851474575</v>
      </c>
      <c r="DG349" s="543"/>
      <c r="DH349" s="149"/>
      <c r="DI349" s="1020"/>
    </row>
    <row r="350" spans="1:113" outlineLevel="1" x14ac:dyDescent="0.25">
      <c r="A350" s="2145"/>
      <c r="C350" s="49"/>
      <c r="D350" s="2415"/>
      <c r="E350" s="2415"/>
      <c r="F350" s="2417" t="str">
        <f t="shared" si="72"/>
        <v>Mini/MultiSplitASHP-Replace_CAC_ElectricHeat_ROF_SF</v>
      </c>
      <c r="G350" s="2417"/>
      <c r="H350" s="2417"/>
      <c r="I350" s="873" t="str">
        <f t="shared" si="73"/>
        <v>351450_2024_12_</v>
      </c>
      <c r="J350" s="1525">
        <v>6.8</v>
      </c>
      <c r="K350" s="1520"/>
      <c r="L350" s="53" t="s">
        <v>1017</v>
      </c>
      <c r="N350" s="535"/>
      <c r="T350" s="50"/>
      <c r="U350" s="50"/>
      <c r="V350" s="2415"/>
      <c r="W350" s="1268">
        <v>6.8</v>
      </c>
      <c r="X350" s="1268">
        <v>6.8</v>
      </c>
      <c r="Y350" s="1268">
        <v>6.8</v>
      </c>
      <c r="Z350" s="1268">
        <v>6.8</v>
      </c>
      <c r="AA350" s="1268">
        <v>6.8</v>
      </c>
      <c r="AB350" s="1426">
        <v>6.8</v>
      </c>
      <c r="AC350" s="1426">
        <v>6.8</v>
      </c>
      <c r="AD350" s="975">
        <v>6.8</v>
      </c>
      <c r="AE350" s="975">
        <v>6.8</v>
      </c>
      <c r="AF350" s="253">
        <v>6.8</v>
      </c>
      <c r="AG350" s="253">
        <f t="shared" si="71"/>
        <v>6.8</v>
      </c>
      <c r="DG350" s="543"/>
      <c r="DH350" s="149"/>
      <c r="DI350" s="1020"/>
    </row>
    <row r="351" spans="1:113" outlineLevel="1" x14ac:dyDescent="0.25">
      <c r="A351" s="2145"/>
      <c r="C351" s="49"/>
      <c r="D351" s="2415"/>
      <c r="E351" s="2415"/>
      <c r="F351" s="2417" t="str">
        <f t="shared" si="72"/>
        <v>Mini/MultiSplitASHP-Replace_CAC_NonElectricHeat_ER1_SF</v>
      </c>
      <c r="G351" s="2417"/>
      <c r="H351" s="2417"/>
      <c r="I351" s="873" t="str">
        <f t="shared" si="73"/>
        <v>351401_2024_12_</v>
      </c>
      <c r="J351" s="1525">
        <f>J349</f>
        <v>8.0470351851474575</v>
      </c>
      <c r="K351" s="1520"/>
      <c r="L351" s="1518" t="s">
        <v>942</v>
      </c>
      <c r="N351" s="535"/>
      <c r="T351" s="50"/>
      <c r="U351" s="50"/>
      <c r="V351" s="2415"/>
      <c r="W351" s="1268"/>
      <c r="X351" s="1268"/>
      <c r="Y351" s="1268"/>
      <c r="Z351" s="1268"/>
      <c r="AA351" s="1268"/>
      <c r="AB351" s="1426"/>
      <c r="AC351" s="1426"/>
      <c r="AD351" s="882">
        <v>7.838789123969689</v>
      </c>
      <c r="AE351" s="975">
        <v>7.838789123969689</v>
      </c>
      <c r="AF351" s="253">
        <v>8.0470351851474575</v>
      </c>
      <c r="AG351" s="253">
        <f t="shared" si="71"/>
        <v>8.0470351851474575</v>
      </c>
      <c r="DG351" s="543"/>
      <c r="DH351" s="149"/>
      <c r="DI351" s="1020"/>
    </row>
    <row r="352" spans="1:113" outlineLevel="1" x14ac:dyDescent="0.25">
      <c r="A352" s="2145"/>
      <c r="C352" s="49"/>
      <c r="D352" s="2415"/>
      <c r="E352" s="2415"/>
      <c r="F352" s="2417" t="str">
        <f t="shared" si="72"/>
        <v>Mini/MultiSplitASHP-Replace_CAC_NonElectricHeat_ROF_SF</v>
      </c>
      <c r="G352" s="2417"/>
      <c r="H352" s="2417"/>
      <c r="I352" s="873" t="str">
        <f t="shared" si="73"/>
        <v>351451_2024_12_</v>
      </c>
      <c r="J352" s="1525">
        <f>J350</f>
        <v>6.8</v>
      </c>
      <c r="K352" s="1520"/>
      <c r="L352" s="53"/>
      <c r="N352" s="535"/>
      <c r="T352" s="50"/>
      <c r="U352" s="50"/>
      <c r="V352" s="2415"/>
      <c r="W352" s="1268"/>
      <c r="X352" s="1268"/>
      <c r="Y352" s="1268"/>
      <c r="Z352" s="1268"/>
      <c r="AA352" s="1268"/>
      <c r="AB352" s="1426"/>
      <c r="AC352" s="1426"/>
      <c r="AD352" s="882">
        <v>6.8</v>
      </c>
      <c r="AE352" s="975">
        <v>6.8</v>
      </c>
      <c r="AF352" s="253">
        <v>6.8</v>
      </c>
      <c r="AG352" s="253">
        <f t="shared" si="71"/>
        <v>6.8</v>
      </c>
      <c r="DG352" s="543"/>
      <c r="DH352" s="149"/>
      <c r="DI352" s="1020"/>
    </row>
    <row r="353" spans="1:113" outlineLevel="1" x14ac:dyDescent="0.25">
      <c r="A353" s="2145"/>
      <c r="C353" s="49"/>
      <c r="D353" s="2415"/>
      <c r="E353" s="2415"/>
      <c r="F353" s="2417" t="str">
        <f t="shared" si="72"/>
        <v>Mini/MultiSplitASHP_ER1_SF</v>
      </c>
      <c r="G353" s="2417"/>
      <c r="H353" s="2417"/>
      <c r="I353" s="873" t="str">
        <f t="shared" si="73"/>
        <v>351500_2024_12_</v>
      </c>
      <c r="J353" s="1525">
        <f>J349</f>
        <v>8.0470351851474575</v>
      </c>
      <c r="K353" s="1520"/>
      <c r="L353" s="1518" t="s">
        <v>942</v>
      </c>
      <c r="N353" s="535"/>
      <c r="T353" s="50"/>
      <c r="U353" s="50"/>
      <c r="V353" s="2415"/>
      <c r="W353" s="1268">
        <v>7.2</v>
      </c>
      <c r="X353" s="1268">
        <v>7.2</v>
      </c>
      <c r="Y353" s="1268">
        <v>7.2</v>
      </c>
      <c r="Z353" s="1268">
        <v>7.2</v>
      </c>
      <c r="AA353" s="1268">
        <v>7.2</v>
      </c>
      <c r="AB353" s="695">
        <v>8.0162959726442171</v>
      </c>
      <c r="AC353" s="695">
        <v>8.2960580500029604</v>
      </c>
      <c r="AD353" s="882">
        <v>7.838789123969689</v>
      </c>
      <c r="AE353" s="975">
        <v>7.838789123969689</v>
      </c>
      <c r="AF353" s="253">
        <v>8.0470351851474575</v>
      </c>
      <c r="AG353" s="253">
        <f t="shared" si="71"/>
        <v>8.0470351851474575</v>
      </c>
      <c r="DG353" s="543"/>
      <c r="DH353" s="149"/>
      <c r="DI353" s="1020"/>
    </row>
    <row r="354" spans="1:113" outlineLevel="1" x14ac:dyDescent="0.25">
      <c r="A354" s="2145"/>
      <c r="C354" s="49"/>
      <c r="D354" s="2415"/>
      <c r="E354" s="2415"/>
      <c r="F354" s="2417" t="str">
        <f t="shared" si="72"/>
        <v>Mini/MultiSplitAC_ER1_MF</v>
      </c>
      <c r="G354" s="2417"/>
      <c r="H354" s="2417"/>
      <c r="I354" s="873" t="str">
        <f t="shared" si="73"/>
        <v>351550_2024_12_</v>
      </c>
      <c r="J354" s="1525">
        <f t="shared" ref="J354" si="75">J345</f>
        <v>7.0198996256246149</v>
      </c>
      <c r="K354" s="1520"/>
      <c r="L354" s="1519" t="s">
        <v>1018</v>
      </c>
      <c r="N354" s="535"/>
      <c r="T354" s="50"/>
      <c r="U354" s="50"/>
      <c r="V354" s="2415"/>
      <c r="W354" s="1268"/>
      <c r="X354" s="779"/>
      <c r="Y354" s="779">
        <v>6.3</v>
      </c>
      <c r="Z354" s="1268">
        <v>6.3</v>
      </c>
      <c r="AA354" s="1268">
        <v>6.3</v>
      </c>
      <c r="AB354" s="1426">
        <v>6.3</v>
      </c>
      <c r="AC354" s="695">
        <v>8.402496453661275</v>
      </c>
      <c r="AD354" s="882">
        <v>7.0198996256246149</v>
      </c>
      <c r="AE354" s="975">
        <v>7.0198996256246149</v>
      </c>
      <c r="AF354" s="253">
        <v>7.0198996256246149</v>
      </c>
      <c r="AG354" s="253">
        <f t="shared" si="71"/>
        <v>7.0198996256246149</v>
      </c>
      <c r="DG354" s="543"/>
      <c r="DH354" s="149"/>
      <c r="DI354" s="1020"/>
    </row>
    <row r="355" spans="1:113" outlineLevel="1" x14ac:dyDescent="0.25">
      <c r="A355" s="2145"/>
      <c r="C355" s="49"/>
      <c r="D355" s="2415" t="s">
        <v>937</v>
      </c>
      <c r="E355" s="2415" t="s">
        <v>1019</v>
      </c>
      <c r="F355" s="2417" t="str">
        <f t="shared" si="72"/>
        <v>Mini/MultiSplitAC_ER1_SF</v>
      </c>
      <c r="G355" s="2417"/>
      <c r="H355" s="2417"/>
      <c r="I355" s="873" t="str">
        <f t="shared" si="73"/>
        <v>351200_2024_12_</v>
      </c>
      <c r="J355" s="1525">
        <v>19.833333333333332</v>
      </c>
      <c r="K355" s="12"/>
      <c r="L355" s="873" t="s">
        <v>931</v>
      </c>
      <c r="N355" s="535"/>
      <c r="T355" s="50"/>
      <c r="U355" s="50"/>
      <c r="V355" s="2415" t="s">
        <v>1020</v>
      </c>
      <c r="W355" s="1268">
        <v>22.4</v>
      </c>
      <c r="X355" s="779">
        <v>23.17</v>
      </c>
      <c r="Y355" s="1268">
        <v>23.17</v>
      </c>
      <c r="Z355" s="1268">
        <v>23.17</v>
      </c>
      <c r="AA355" s="1268">
        <v>23.17</v>
      </c>
      <c r="AB355" s="696">
        <v>23.17</v>
      </c>
      <c r="AC355" s="691">
        <v>19.833333333333332</v>
      </c>
      <c r="AD355" s="882">
        <v>19.833333333333332</v>
      </c>
      <c r="AE355" s="975">
        <v>19.833333333333332</v>
      </c>
      <c r="AF355" s="253">
        <v>19.833333333333332</v>
      </c>
      <c r="AG355" s="253">
        <f t="shared" si="71"/>
        <v>19.833333333333332</v>
      </c>
      <c r="DG355" s="543"/>
      <c r="DH355" s="149"/>
      <c r="DI355" s="1020"/>
    </row>
    <row r="356" spans="1:113" outlineLevel="1" x14ac:dyDescent="0.25">
      <c r="A356" s="2145"/>
      <c r="C356" s="49"/>
      <c r="D356" s="2415"/>
      <c r="E356" s="2415"/>
      <c r="F356" s="2417" t="str">
        <f t="shared" si="72"/>
        <v>Mini/MultiSplitAC_ROF_SF</v>
      </c>
      <c r="G356" s="2417"/>
      <c r="H356" s="2417"/>
      <c r="I356" s="873" t="str">
        <f t="shared" si="73"/>
        <v>351250_2024_12_</v>
      </c>
      <c r="J356" s="1525">
        <v>22.344444444444445</v>
      </c>
      <c r="K356" s="1520"/>
      <c r="L356" s="1519" t="s">
        <v>931</v>
      </c>
      <c r="N356" s="535"/>
      <c r="T356" s="50"/>
      <c r="U356" s="50"/>
      <c r="V356" s="2415"/>
      <c r="W356" s="1268">
        <v>21.6</v>
      </c>
      <c r="X356" s="779">
        <v>23.17</v>
      </c>
      <c r="Y356" s="1268">
        <v>23.17</v>
      </c>
      <c r="Z356" s="1268">
        <v>23.17</v>
      </c>
      <c r="AA356" s="1268">
        <v>23.17</v>
      </c>
      <c r="AB356" s="691">
        <v>22.918750000000003</v>
      </c>
      <c r="AC356" s="691">
        <v>21.705000000000005</v>
      </c>
      <c r="AD356" s="882">
        <v>22.344444444444445</v>
      </c>
      <c r="AE356" s="975">
        <v>22.344444444444445</v>
      </c>
      <c r="AF356" s="253">
        <v>22.344444444444445</v>
      </c>
      <c r="AG356" s="253">
        <f t="shared" si="71"/>
        <v>22.344444444444445</v>
      </c>
      <c r="DG356" s="543"/>
      <c r="DH356" s="149"/>
      <c r="DI356" s="1020"/>
    </row>
    <row r="357" spans="1:113" outlineLevel="1" x14ac:dyDescent="0.25">
      <c r="A357" s="2145"/>
      <c r="C357" s="49"/>
      <c r="D357" s="2415"/>
      <c r="E357" s="2415"/>
      <c r="F357" s="2417" t="str">
        <f t="shared" si="72"/>
        <v>Mini/MultiSplitASHP_ROF_SF_NC</v>
      </c>
      <c r="G357" s="2417"/>
      <c r="H357" s="2417"/>
      <c r="I357" s="873" t="str">
        <f t="shared" si="73"/>
        <v>351300_2024_12_</v>
      </c>
      <c r="J357" s="1525">
        <v>22.195566502463056</v>
      </c>
      <c r="K357" s="1520"/>
      <c r="L357" s="1518" t="s">
        <v>929</v>
      </c>
      <c r="N357" s="535"/>
      <c r="T357" s="50"/>
      <c r="U357" s="50"/>
      <c r="V357" s="2415"/>
      <c r="W357" s="1268">
        <v>22.7</v>
      </c>
      <c r="X357" s="779">
        <v>23.17</v>
      </c>
      <c r="Y357" s="779">
        <v>19</v>
      </c>
      <c r="Z357" s="1268">
        <v>19</v>
      </c>
      <c r="AA357" s="1268">
        <v>19</v>
      </c>
      <c r="AB357" s="696">
        <v>19</v>
      </c>
      <c r="AC357" s="691">
        <v>22.316949152542367</v>
      </c>
      <c r="AD357" s="882">
        <v>22.166726618705052</v>
      </c>
      <c r="AE357" s="882">
        <v>22.195566502463056</v>
      </c>
      <c r="AF357" s="253">
        <v>22.195566502463056</v>
      </c>
      <c r="AG357" s="253">
        <f t="shared" si="71"/>
        <v>22.195566502463056</v>
      </c>
      <c r="DG357" s="543"/>
      <c r="DH357" s="149"/>
      <c r="DI357" s="1020"/>
    </row>
    <row r="358" spans="1:113" outlineLevel="1" x14ac:dyDescent="0.25">
      <c r="A358" s="2145"/>
      <c r="C358" s="49"/>
      <c r="D358" s="2415"/>
      <c r="E358" s="2415"/>
      <c r="F358" s="2417" t="str">
        <f t="shared" si="72"/>
        <v>Mini/MultiSplitASHP_ROF_SF</v>
      </c>
      <c r="G358" s="2417"/>
      <c r="H358" s="2417"/>
      <c r="I358" s="873" t="str">
        <f t="shared" si="73"/>
        <v>351350_2024_12_</v>
      </c>
      <c r="J358" s="1525">
        <v>22.195566502463056</v>
      </c>
      <c r="K358" s="1520"/>
      <c r="L358" s="1518" t="s">
        <v>929</v>
      </c>
      <c r="N358" s="535"/>
      <c r="T358" s="50"/>
      <c r="U358" s="50"/>
      <c r="V358" s="2415"/>
      <c r="W358" s="1268">
        <v>22.7</v>
      </c>
      <c r="X358" s="779">
        <v>23.17</v>
      </c>
      <c r="Y358" s="779">
        <v>19</v>
      </c>
      <c r="Z358" s="1268">
        <v>19</v>
      </c>
      <c r="AA358" s="1268">
        <v>19</v>
      </c>
      <c r="AB358" s="691">
        <v>22.519480519480521</v>
      </c>
      <c r="AC358" s="691">
        <v>23.175000000000001</v>
      </c>
      <c r="AD358" s="882">
        <v>22.166726618705052</v>
      </c>
      <c r="AE358" s="882">
        <v>22.195566502463056</v>
      </c>
      <c r="AF358" s="253">
        <v>22.195566502463056</v>
      </c>
      <c r="AG358" s="253">
        <f t="shared" si="71"/>
        <v>22.195566502463056</v>
      </c>
      <c r="DG358" s="543"/>
      <c r="DH358" s="149"/>
      <c r="DI358" s="1020"/>
    </row>
    <row r="359" spans="1:113" outlineLevel="1" x14ac:dyDescent="0.25">
      <c r="A359" s="2145"/>
      <c r="C359" s="49"/>
      <c r="D359" s="2415"/>
      <c r="E359" s="2415"/>
      <c r="F359" s="2417" t="str">
        <f t="shared" si="72"/>
        <v>Mini/MultiSplitASHP-Replace_CAC_ElectricHeat_ER1_SF</v>
      </c>
      <c r="G359" s="2417"/>
      <c r="H359" s="2417"/>
      <c r="I359" s="873" t="str">
        <f t="shared" si="73"/>
        <v>351400_2024_12_</v>
      </c>
      <c r="J359" s="1525">
        <v>22.072727272727267</v>
      </c>
      <c r="K359" s="1520"/>
      <c r="L359" s="1518" t="s">
        <v>929</v>
      </c>
      <c r="N359" s="535"/>
      <c r="T359" s="50"/>
      <c r="U359" s="50"/>
      <c r="V359" s="2415"/>
      <c r="W359" s="1268">
        <v>22.4</v>
      </c>
      <c r="X359" s="779">
        <v>23.17</v>
      </c>
      <c r="Y359" s="779">
        <v>22.63</v>
      </c>
      <c r="Z359" s="1268">
        <v>22.63</v>
      </c>
      <c r="AA359" s="1268">
        <v>22.63</v>
      </c>
      <c r="AB359" s="691">
        <v>22.429399999999998</v>
      </c>
      <c r="AC359" s="691">
        <v>21.460465116279071</v>
      </c>
      <c r="AD359" s="882">
        <v>21.870909090909091</v>
      </c>
      <c r="AE359" s="882">
        <v>22.072727272727267</v>
      </c>
      <c r="AF359" s="253">
        <v>22.072727272727267</v>
      </c>
      <c r="AG359" s="253">
        <f t="shared" si="71"/>
        <v>22.072727272727267</v>
      </c>
      <c r="DG359" s="543"/>
      <c r="DH359" s="149"/>
      <c r="DI359" s="1020"/>
    </row>
    <row r="360" spans="1:113" outlineLevel="1" x14ac:dyDescent="0.25">
      <c r="A360" s="2145"/>
      <c r="C360" s="49"/>
      <c r="D360" s="2415"/>
      <c r="E360" s="2415"/>
      <c r="F360" s="2417" t="str">
        <f t="shared" si="72"/>
        <v>Mini/MultiSplitASHP-Replace_CAC_ElectricHeat_ROF_SF</v>
      </c>
      <c r="G360" s="2417"/>
      <c r="H360" s="2417"/>
      <c r="I360" s="873" t="str">
        <f t="shared" si="73"/>
        <v>351450_2024_12_</v>
      </c>
      <c r="J360" s="1525">
        <v>22.195566502463056</v>
      </c>
      <c r="K360" s="1520"/>
      <c r="L360" s="1518" t="s">
        <v>929</v>
      </c>
      <c r="N360" s="535"/>
      <c r="T360" s="50"/>
      <c r="U360" s="50"/>
      <c r="V360" s="2415"/>
      <c r="W360" s="1268">
        <v>21.6</v>
      </c>
      <c r="X360" s="779">
        <v>23.17</v>
      </c>
      <c r="Y360" s="779">
        <v>22.77</v>
      </c>
      <c r="Z360" s="1268">
        <v>22.77</v>
      </c>
      <c r="AA360" s="1268">
        <v>22.77</v>
      </c>
      <c r="AB360" s="691">
        <v>23.193333333333332</v>
      </c>
      <c r="AC360" s="691">
        <v>22.146153846153844</v>
      </c>
      <c r="AD360" s="882">
        <v>22.166726618705052</v>
      </c>
      <c r="AE360" s="882">
        <v>22.195566502463056</v>
      </c>
      <c r="AF360" s="253">
        <v>22.195566502463056</v>
      </c>
      <c r="AG360" s="253">
        <f t="shared" si="71"/>
        <v>22.195566502463056</v>
      </c>
      <c r="DG360" s="543"/>
      <c r="DH360" s="149"/>
      <c r="DI360" s="1020"/>
    </row>
    <row r="361" spans="1:113" outlineLevel="1" x14ac:dyDescent="0.25">
      <c r="A361" s="2145"/>
      <c r="C361" s="49"/>
      <c r="D361" s="2415"/>
      <c r="E361" s="2415"/>
      <c r="F361" s="2417" t="str">
        <f t="shared" si="72"/>
        <v>Mini/MultiSplitASHP-Replace_CAC_NonElectricHeat_ER1_SF</v>
      </c>
      <c r="G361" s="2417"/>
      <c r="H361" s="2417"/>
      <c r="I361" s="873" t="str">
        <f t="shared" si="73"/>
        <v>351401_2024_12_</v>
      </c>
      <c r="J361" s="1525">
        <v>22.072727272727267</v>
      </c>
      <c r="K361" s="1520"/>
      <c r="L361" s="1518" t="s">
        <v>929</v>
      </c>
      <c r="N361" s="535"/>
      <c r="T361" s="50"/>
      <c r="U361" s="50"/>
      <c r="V361" s="2415"/>
      <c r="W361" s="1268"/>
      <c r="X361" s="779"/>
      <c r="Y361" s="779"/>
      <c r="Z361" s="1268"/>
      <c r="AA361" s="1268"/>
      <c r="AB361" s="691"/>
      <c r="AC361" s="691"/>
      <c r="AD361" s="882">
        <v>21.870909090909091</v>
      </c>
      <c r="AE361" s="882">
        <v>22.072727272727267</v>
      </c>
      <c r="AF361" s="253">
        <v>22.072727272727267</v>
      </c>
      <c r="AG361" s="253">
        <f t="shared" si="71"/>
        <v>22.072727272727267</v>
      </c>
      <c r="DG361" s="543"/>
      <c r="DH361" s="149"/>
      <c r="DI361" s="1020"/>
    </row>
    <row r="362" spans="1:113" outlineLevel="1" x14ac:dyDescent="0.25">
      <c r="A362" s="2145"/>
      <c r="C362" s="49"/>
      <c r="D362" s="2415"/>
      <c r="E362" s="2415"/>
      <c r="F362" s="2417" t="str">
        <f t="shared" si="72"/>
        <v>Mini/MultiSplitASHP-Replace_CAC_NonElectricHeat_ROF_SF</v>
      </c>
      <c r="G362" s="2417"/>
      <c r="H362" s="2417"/>
      <c r="I362" s="873" t="str">
        <f t="shared" si="73"/>
        <v>351451_2024_12_</v>
      </c>
      <c r="J362" s="1525">
        <v>22.195566502463056</v>
      </c>
      <c r="K362" s="1520"/>
      <c r="L362" s="1518" t="s">
        <v>929</v>
      </c>
      <c r="N362" s="535"/>
      <c r="T362" s="50"/>
      <c r="U362" s="50"/>
      <c r="V362" s="2415"/>
      <c r="W362" s="1268"/>
      <c r="X362" s="779"/>
      <c r="Y362" s="779"/>
      <c r="Z362" s="1268"/>
      <c r="AA362" s="1268"/>
      <c r="AB362" s="691"/>
      <c r="AC362" s="691"/>
      <c r="AD362" s="882">
        <v>22.166726618705052</v>
      </c>
      <c r="AE362" s="882">
        <v>22.195566502463056</v>
      </c>
      <c r="AF362" s="253">
        <v>22.195566502463056</v>
      </c>
      <c r="AG362" s="253">
        <f t="shared" si="71"/>
        <v>22.195566502463056</v>
      </c>
      <c r="DG362" s="543"/>
      <c r="DH362" s="149"/>
      <c r="DI362" s="1020"/>
    </row>
    <row r="363" spans="1:113" outlineLevel="1" x14ac:dyDescent="0.25">
      <c r="A363" s="2145"/>
      <c r="C363" s="49"/>
      <c r="D363" s="2415"/>
      <c r="E363" s="2415"/>
      <c r="F363" s="2417" t="str">
        <f t="shared" si="72"/>
        <v>Mini/MultiSplitASHP_ER1_SF</v>
      </c>
      <c r="G363" s="2417"/>
      <c r="H363" s="2417"/>
      <c r="I363" s="873" t="str">
        <f t="shared" si="73"/>
        <v>351500_2024_12_</v>
      </c>
      <c r="J363" s="1525">
        <v>22.072727272727267</v>
      </c>
      <c r="K363" s="1520"/>
      <c r="L363" s="1518" t="s">
        <v>929</v>
      </c>
      <c r="N363" s="535"/>
      <c r="T363" s="50"/>
      <c r="U363" s="50"/>
      <c r="V363" s="2415"/>
      <c r="W363" s="1268">
        <v>21.2</v>
      </c>
      <c r="X363" s="779">
        <v>23.17</v>
      </c>
      <c r="Y363" s="779">
        <v>27.01</v>
      </c>
      <c r="Z363" s="1268">
        <v>27.01</v>
      </c>
      <c r="AA363" s="1268">
        <v>27.01</v>
      </c>
      <c r="AB363" s="691">
        <v>22.249999999999996</v>
      </c>
      <c r="AC363" s="691">
        <v>21.90909090909091</v>
      </c>
      <c r="AD363" s="882">
        <v>21.870909090909091</v>
      </c>
      <c r="AE363" s="882">
        <v>22.072727272727267</v>
      </c>
      <c r="AF363" s="253">
        <v>22.072727272727267</v>
      </c>
      <c r="AG363" s="253">
        <f t="shared" si="71"/>
        <v>22.072727272727267</v>
      </c>
      <c r="DG363" s="543"/>
      <c r="DH363" s="149"/>
      <c r="DI363" s="1020"/>
    </row>
    <row r="364" spans="1:113" outlineLevel="1" x14ac:dyDescent="0.25">
      <c r="A364" s="2145"/>
      <c r="C364" s="49"/>
      <c r="D364" s="2415"/>
      <c r="E364" s="2415"/>
      <c r="F364" s="2417" t="str">
        <f t="shared" si="72"/>
        <v>Mini/MultiSplitAC_ER1_MF</v>
      </c>
      <c r="G364" s="2417"/>
      <c r="H364" s="2417"/>
      <c r="I364" s="873" t="str">
        <f t="shared" si="73"/>
        <v>351550_2024_12_</v>
      </c>
      <c r="J364" s="1525">
        <v>19.833333333333332</v>
      </c>
      <c r="K364" s="1520"/>
      <c r="L364" s="1519" t="s">
        <v>931</v>
      </c>
      <c r="N364" s="535"/>
      <c r="T364" s="50"/>
      <c r="U364" s="50"/>
      <c r="V364" s="2415"/>
      <c r="W364" s="1268"/>
      <c r="X364" s="779"/>
      <c r="Y364" s="779">
        <v>23.17</v>
      </c>
      <c r="Z364" s="1268">
        <v>23.17</v>
      </c>
      <c r="AA364" s="1268">
        <v>23.17</v>
      </c>
      <c r="AB364" s="696">
        <v>23.17</v>
      </c>
      <c r="AC364" s="691">
        <v>19.833333333333332</v>
      </c>
      <c r="AD364" s="882">
        <v>19.833333333333332</v>
      </c>
      <c r="AE364" s="975">
        <v>19.833333333333332</v>
      </c>
      <c r="AF364" s="253">
        <v>19.833333333333332</v>
      </c>
      <c r="AG364" s="253">
        <f t="shared" si="71"/>
        <v>19.833333333333332</v>
      </c>
      <c r="DG364" s="543"/>
      <c r="DH364" s="149"/>
      <c r="DI364" s="1020"/>
    </row>
    <row r="365" spans="1:113" outlineLevel="1" x14ac:dyDescent="0.25">
      <c r="A365" s="2145"/>
      <c r="C365" s="49"/>
      <c r="D365" s="2415" t="s">
        <v>730</v>
      </c>
      <c r="E365" s="2415" t="s">
        <v>1021</v>
      </c>
      <c r="F365" s="2414" t="str">
        <f t="shared" ref="F365:F389" si="76">E231</f>
        <v>Mini/MultiSplitAC_ER1_SF</v>
      </c>
      <c r="G365" s="2414"/>
      <c r="H365" s="2414"/>
      <c r="I365" s="874" t="str">
        <f t="shared" ref="I365:I389" si="77">C231</f>
        <v>351200_2024_12_</v>
      </c>
      <c r="J365" s="1458">
        <v>1</v>
      </c>
      <c r="K365" s="213"/>
      <c r="L365" s="2414"/>
      <c r="N365" s="535"/>
      <c r="T365" s="50"/>
      <c r="U365" s="50"/>
      <c r="V365" s="2415" t="s">
        <v>730</v>
      </c>
      <c r="W365" s="212">
        <v>1</v>
      </c>
      <c r="X365" s="212">
        <v>1</v>
      </c>
      <c r="Y365" s="212">
        <v>1</v>
      </c>
      <c r="Z365" s="212">
        <v>1</v>
      </c>
      <c r="AA365" s="212">
        <v>1</v>
      </c>
      <c r="AB365" s="1064">
        <v>1</v>
      </c>
      <c r="AC365" s="1064">
        <v>1</v>
      </c>
      <c r="AD365" s="1064">
        <v>1</v>
      </c>
      <c r="AE365" s="1064">
        <v>1</v>
      </c>
      <c r="AF365" s="1323">
        <v>1</v>
      </c>
      <c r="AG365" s="1323">
        <f t="shared" si="71"/>
        <v>1</v>
      </c>
      <c r="DG365" s="543"/>
      <c r="DH365" s="149"/>
      <c r="DI365" s="1020"/>
    </row>
    <row r="366" spans="1:113" outlineLevel="1" x14ac:dyDescent="0.25">
      <c r="A366" s="2145"/>
      <c r="C366" s="49"/>
      <c r="D366" s="2415"/>
      <c r="E366" s="2415"/>
      <c r="F366" s="2414" t="str">
        <f t="shared" si="76"/>
        <v>Mini/MultiSplitAC_ER2_SF</v>
      </c>
      <c r="G366" s="2414"/>
      <c r="H366" s="2414"/>
      <c r="I366" s="874" t="str">
        <f t="shared" si="77"/>
        <v>351200_2024_12_</v>
      </c>
      <c r="J366" s="1458">
        <v>1</v>
      </c>
      <c r="K366" s="213"/>
      <c r="L366" s="2416"/>
      <c r="N366" s="535"/>
      <c r="T366" s="50"/>
      <c r="U366" s="50"/>
      <c r="V366" s="2415"/>
      <c r="W366" s="212">
        <v>1</v>
      </c>
      <c r="X366" s="212">
        <v>1</v>
      </c>
      <c r="Y366" s="212">
        <v>1</v>
      </c>
      <c r="Z366" s="212">
        <v>1</v>
      </c>
      <c r="AA366" s="212">
        <v>1</v>
      </c>
      <c r="AB366" s="212">
        <v>1</v>
      </c>
      <c r="AC366" s="212">
        <v>1</v>
      </c>
      <c r="AD366" s="212">
        <v>1</v>
      </c>
      <c r="AE366" s="1064">
        <v>1</v>
      </c>
      <c r="AF366" s="1323">
        <v>1</v>
      </c>
      <c r="AG366" s="1323">
        <f t="shared" si="71"/>
        <v>1</v>
      </c>
      <c r="DG366" s="543"/>
      <c r="DH366" s="149"/>
      <c r="DI366" s="1020"/>
    </row>
    <row r="367" spans="1:113" outlineLevel="1" x14ac:dyDescent="0.25">
      <c r="A367" s="2145"/>
      <c r="C367" s="49"/>
      <c r="D367" s="2415"/>
      <c r="E367" s="2415"/>
      <c r="F367" s="2414" t="str">
        <f t="shared" si="76"/>
        <v>Mini/MultiSplitAC_ROF_SF</v>
      </c>
      <c r="G367" s="2414"/>
      <c r="H367" s="2414"/>
      <c r="I367" s="874" t="str">
        <f t="shared" si="77"/>
        <v>351250_2024_12_</v>
      </c>
      <c r="J367" s="1458">
        <v>1</v>
      </c>
      <c r="K367" s="213"/>
      <c r="L367" s="2416"/>
      <c r="N367" s="535"/>
      <c r="T367" s="50"/>
      <c r="U367" s="50"/>
      <c r="V367" s="2415"/>
      <c r="W367" s="212">
        <v>1</v>
      </c>
      <c r="X367" s="212">
        <v>1</v>
      </c>
      <c r="Y367" s="212">
        <v>1</v>
      </c>
      <c r="Z367" s="212">
        <v>1</v>
      </c>
      <c r="AA367" s="212">
        <v>1</v>
      </c>
      <c r="AB367" s="212">
        <v>1</v>
      </c>
      <c r="AC367" s="212">
        <v>1</v>
      </c>
      <c r="AD367" s="212">
        <v>1</v>
      </c>
      <c r="AE367" s="1064">
        <v>1</v>
      </c>
      <c r="AF367" s="1323">
        <v>1</v>
      </c>
      <c r="AG367" s="1323">
        <f t="shared" si="71"/>
        <v>1</v>
      </c>
      <c r="DG367" s="543"/>
      <c r="DH367" s="149"/>
      <c r="DI367" s="1020"/>
    </row>
    <row r="368" spans="1:113" outlineLevel="1" x14ac:dyDescent="0.25">
      <c r="A368" s="2145"/>
      <c r="C368" s="49"/>
      <c r="D368" s="2415"/>
      <c r="E368" s="2415"/>
      <c r="F368" s="2414" t="str">
        <f t="shared" si="76"/>
        <v>Mini/MultiSplitASHP_ROF_SF_NC</v>
      </c>
      <c r="G368" s="2414"/>
      <c r="H368" s="2414"/>
      <c r="I368" s="874" t="str">
        <f t="shared" si="77"/>
        <v>351300_2024_12_</v>
      </c>
      <c r="J368" s="1458">
        <v>1</v>
      </c>
      <c r="K368" s="213"/>
      <c r="L368" s="2416"/>
      <c r="N368" s="535"/>
      <c r="T368" s="50"/>
      <c r="U368" s="50"/>
      <c r="V368" s="2415"/>
      <c r="W368" s="212">
        <v>1</v>
      </c>
      <c r="X368" s="212">
        <v>1</v>
      </c>
      <c r="Y368" s="212">
        <v>1</v>
      </c>
      <c r="Z368" s="212">
        <v>1</v>
      </c>
      <c r="AA368" s="212">
        <v>1</v>
      </c>
      <c r="AB368" s="212">
        <v>1</v>
      </c>
      <c r="AC368" s="212">
        <v>1</v>
      </c>
      <c r="AD368" s="212">
        <v>1</v>
      </c>
      <c r="AE368" s="1064">
        <v>1</v>
      </c>
      <c r="AF368" s="1323">
        <v>1</v>
      </c>
      <c r="AG368" s="1323">
        <f t="shared" si="71"/>
        <v>1</v>
      </c>
      <c r="DG368" s="543"/>
      <c r="DH368" s="149"/>
      <c r="DI368" s="1020"/>
    </row>
    <row r="369" spans="1:113" outlineLevel="1" x14ac:dyDescent="0.25">
      <c r="A369" s="2145"/>
      <c r="C369" s="49"/>
      <c r="D369" s="2415"/>
      <c r="E369" s="2415"/>
      <c r="F369" s="2414" t="str">
        <f t="shared" si="76"/>
        <v>Mini/MultiSplitASHP_ROF_SF_NC</v>
      </c>
      <c r="G369" s="2414"/>
      <c r="H369" s="2414"/>
      <c r="I369" s="874" t="str">
        <f t="shared" si="77"/>
        <v>351300_2024_12_</v>
      </c>
      <c r="J369" s="1458">
        <v>1</v>
      </c>
      <c r="K369" s="213"/>
      <c r="L369" s="2416"/>
      <c r="N369" s="535"/>
      <c r="T369" s="50"/>
      <c r="U369" s="50"/>
      <c r="V369" s="2415"/>
      <c r="W369" s="212">
        <v>1</v>
      </c>
      <c r="X369" s="212">
        <v>1</v>
      </c>
      <c r="Y369" s="212">
        <v>1</v>
      </c>
      <c r="Z369" s="212">
        <v>1</v>
      </c>
      <c r="AA369" s="212">
        <v>1</v>
      </c>
      <c r="AB369" s="212">
        <v>1</v>
      </c>
      <c r="AC369" s="212">
        <v>1</v>
      </c>
      <c r="AD369" s="212">
        <v>1</v>
      </c>
      <c r="AE369" s="1064">
        <v>1</v>
      </c>
      <c r="AF369" s="1323">
        <v>1</v>
      </c>
      <c r="AG369" s="1323">
        <f t="shared" si="71"/>
        <v>1</v>
      </c>
      <c r="DG369" s="543"/>
      <c r="DH369" s="149"/>
      <c r="DI369" s="1020"/>
    </row>
    <row r="370" spans="1:113" outlineLevel="1" x14ac:dyDescent="0.25">
      <c r="A370" s="2145"/>
      <c r="C370" s="49"/>
      <c r="D370" s="2415"/>
      <c r="E370" s="2415"/>
      <c r="F370" s="2414" t="str">
        <f t="shared" si="76"/>
        <v>Mini/MultiSplitASHP_ROF_SF</v>
      </c>
      <c r="G370" s="2414"/>
      <c r="H370" s="2414"/>
      <c r="I370" s="874" t="str">
        <f t="shared" si="77"/>
        <v>351350_2024_12_</v>
      </c>
      <c r="J370" s="1458">
        <v>1</v>
      </c>
      <c r="K370" s="213"/>
      <c r="L370" s="2416"/>
      <c r="N370" s="535"/>
      <c r="T370" s="50"/>
      <c r="U370" s="50"/>
      <c r="V370" s="2415"/>
      <c r="W370" s="212">
        <v>1</v>
      </c>
      <c r="X370" s="212">
        <v>1</v>
      </c>
      <c r="Y370" s="212">
        <v>1</v>
      </c>
      <c r="Z370" s="212">
        <v>1</v>
      </c>
      <c r="AA370" s="212">
        <v>1</v>
      </c>
      <c r="AB370" s="212">
        <v>1</v>
      </c>
      <c r="AC370" s="212">
        <v>1</v>
      </c>
      <c r="AD370" s="212">
        <v>1</v>
      </c>
      <c r="AE370" s="1064">
        <v>1</v>
      </c>
      <c r="AF370" s="1323">
        <v>1</v>
      </c>
      <c r="AG370" s="1323">
        <f t="shared" si="71"/>
        <v>1</v>
      </c>
      <c r="DG370" s="543"/>
      <c r="DH370" s="149"/>
      <c r="DI370" s="1020"/>
    </row>
    <row r="371" spans="1:113" outlineLevel="1" x14ac:dyDescent="0.25">
      <c r="A371" s="2145"/>
      <c r="C371" s="49"/>
      <c r="D371" s="2415"/>
      <c r="E371" s="2415"/>
      <c r="F371" s="2414" t="str">
        <f t="shared" si="76"/>
        <v>Mini/MultiSplitASHP_ROF_SF</v>
      </c>
      <c r="G371" s="2414"/>
      <c r="H371" s="2414"/>
      <c r="I371" s="874" t="str">
        <f t="shared" si="77"/>
        <v>351350_2024_12_</v>
      </c>
      <c r="J371" s="1458">
        <v>1</v>
      </c>
      <c r="K371" s="213"/>
      <c r="L371" s="2416"/>
      <c r="N371" s="535"/>
      <c r="T371" s="50"/>
      <c r="U371" s="50"/>
      <c r="V371" s="2415"/>
      <c r="W371" s="212">
        <v>1</v>
      </c>
      <c r="X371" s="212">
        <v>1</v>
      </c>
      <c r="Y371" s="212">
        <v>1</v>
      </c>
      <c r="Z371" s="212">
        <v>1</v>
      </c>
      <c r="AA371" s="212">
        <v>1</v>
      </c>
      <c r="AB371" s="212">
        <v>1</v>
      </c>
      <c r="AC371" s="212">
        <v>1</v>
      </c>
      <c r="AD371" s="212">
        <v>1</v>
      </c>
      <c r="AE371" s="1064">
        <v>1</v>
      </c>
      <c r="AF371" s="1323">
        <v>1</v>
      </c>
      <c r="AG371" s="1323">
        <f t="shared" si="71"/>
        <v>1</v>
      </c>
      <c r="DG371" s="543"/>
      <c r="DH371" s="149"/>
      <c r="DI371" s="1020"/>
    </row>
    <row r="372" spans="1:113" outlineLevel="1" x14ac:dyDescent="0.25">
      <c r="A372" s="2145"/>
      <c r="C372" s="49"/>
      <c r="D372" s="2415"/>
      <c r="E372" s="2415"/>
      <c r="F372" s="2414" t="str">
        <f t="shared" si="76"/>
        <v>Mini/MultiSplitASHP-Replace_CAC_ElectricHeat_ER1_SF</v>
      </c>
      <c r="G372" s="2414"/>
      <c r="H372" s="2414"/>
      <c r="I372" s="874" t="str">
        <f t="shared" si="77"/>
        <v>351400_2024_12_</v>
      </c>
      <c r="J372" s="1458">
        <v>1</v>
      </c>
      <c r="K372" s="213"/>
      <c r="L372" s="2416"/>
      <c r="N372" s="535"/>
      <c r="T372" s="50"/>
      <c r="U372" s="50"/>
      <c r="V372" s="2415"/>
      <c r="W372" s="212">
        <v>1</v>
      </c>
      <c r="X372" s="212">
        <v>1</v>
      </c>
      <c r="Y372" s="212">
        <v>1</v>
      </c>
      <c r="Z372" s="212">
        <v>1</v>
      </c>
      <c r="AA372" s="212">
        <v>1</v>
      </c>
      <c r="AB372" s="212">
        <v>1</v>
      </c>
      <c r="AC372" s="212">
        <v>1</v>
      </c>
      <c r="AD372" s="212">
        <v>1</v>
      </c>
      <c r="AE372" s="1064">
        <v>1</v>
      </c>
      <c r="AF372" s="1323">
        <v>1</v>
      </c>
      <c r="AG372" s="1323">
        <f t="shared" si="71"/>
        <v>1</v>
      </c>
      <c r="DG372" s="543"/>
      <c r="DH372" s="149"/>
      <c r="DI372" s="1020"/>
    </row>
    <row r="373" spans="1:113" outlineLevel="1" x14ac:dyDescent="0.25">
      <c r="A373" s="2145"/>
      <c r="C373" s="49"/>
      <c r="D373" s="2415"/>
      <c r="E373" s="2415"/>
      <c r="F373" s="2414" t="str">
        <f t="shared" si="76"/>
        <v>Mini/MultiSplitASHP-Replace_CAC_ElectricHeat_ER1_SF</v>
      </c>
      <c r="G373" s="2414"/>
      <c r="H373" s="2414"/>
      <c r="I373" s="874" t="str">
        <f t="shared" si="77"/>
        <v>351400_2024_12_</v>
      </c>
      <c r="J373" s="1458">
        <v>1</v>
      </c>
      <c r="K373" s="213"/>
      <c r="L373" s="2416"/>
      <c r="N373" s="535"/>
      <c r="T373" s="50"/>
      <c r="U373" s="50"/>
      <c r="V373" s="2415"/>
      <c r="W373" s="212">
        <v>1</v>
      </c>
      <c r="X373" s="212">
        <v>1</v>
      </c>
      <c r="Y373" s="212">
        <v>1</v>
      </c>
      <c r="Z373" s="212">
        <v>1</v>
      </c>
      <c r="AA373" s="212">
        <v>1</v>
      </c>
      <c r="AB373" s="212">
        <v>1</v>
      </c>
      <c r="AC373" s="212">
        <v>1</v>
      </c>
      <c r="AD373" s="212">
        <v>1</v>
      </c>
      <c r="AE373" s="1064">
        <v>1</v>
      </c>
      <c r="AF373" s="1323">
        <v>1</v>
      </c>
      <c r="AG373" s="1323">
        <f t="shared" si="71"/>
        <v>1</v>
      </c>
      <c r="DG373" s="543"/>
      <c r="DH373" s="149"/>
      <c r="DI373" s="1020"/>
    </row>
    <row r="374" spans="1:113" outlineLevel="1" x14ac:dyDescent="0.25">
      <c r="A374" s="2145"/>
      <c r="C374" s="49"/>
      <c r="D374" s="2415"/>
      <c r="E374" s="2415"/>
      <c r="F374" s="2414" t="str">
        <f t="shared" si="76"/>
        <v>Mini/MultiSplitASHP-Replace_CAC_ElectricHeat_ER2_SF</v>
      </c>
      <c r="G374" s="2414"/>
      <c r="H374" s="2414"/>
      <c r="I374" s="874" t="str">
        <f t="shared" si="77"/>
        <v>351400_2024_12_</v>
      </c>
      <c r="J374" s="1458">
        <v>1</v>
      </c>
      <c r="K374" s="213"/>
      <c r="L374" s="2416"/>
      <c r="N374" s="535"/>
      <c r="T374" s="50"/>
      <c r="U374" s="50"/>
      <c r="V374" s="2415"/>
      <c r="W374" s="212">
        <v>1</v>
      </c>
      <c r="X374" s="212">
        <v>1</v>
      </c>
      <c r="Y374" s="212">
        <v>1</v>
      </c>
      <c r="Z374" s="212">
        <v>1</v>
      </c>
      <c r="AA374" s="212">
        <v>1</v>
      </c>
      <c r="AB374" s="212">
        <v>1</v>
      </c>
      <c r="AC374" s="212">
        <v>1</v>
      </c>
      <c r="AD374" s="212">
        <v>1</v>
      </c>
      <c r="AE374" s="1064">
        <v>1</v>
      </c>
      <c r="AF374" s="1323">
        <v>1</v>
      </c>
      <c r="AG374" s="1323">
        <f t="shared" si="71"/>
        <v>1</v>
      </c>
      <c r="DG374" s="543"/>
      <c r="DH374" s="149"/>
      <c r="DI374" s="1020"/>
    </row>
    <row r="375" spans="1:113" outlineLevel="1" x14ac:dyDescent="0.25">
      <c r="A375" s="2145"/>
      <c r="C375" s="49"/>
      <c r="D375" s="2415"/>
      <c r="E375" s="2415"/>
      <c r="F375" s="2414" t="str">
        <f t="shared" si="76"/>
        <v>Mini/MultiSplitASHP-Replace_CAC_ElectricHeat_ER2_SF</v>
      </c>
      <c r="G375" s="2414"/>
      <c r="H375" s="2414"/>
      <c r="I375" s="874" t="str">
        <f t="shared" si="77"/>
        <v>351400_2024_12_</v>
      </c>
      <c r="J375" s="1458">
        <v>1</v>
      </c>
      <c r="K375" s="213"/>
      <c r="L375" s="2416"/>
      <c r="N375" s="535"/>
      <c r="T375" s="50"/>
      <c r="U375" s="50"/>
      <c r="V375" s="2415"/>
      <c r="W375" s="212">
        <v>1</v>
      </c>
      <c r="X375" s="212">
        <v>1</v>
      </c>
      <c r="Y375" s="212">
        <v>1</v>
      </c>
      <c r="Z375" s="212">
        <v>1</v>
      </c>
      <c r="AA375" s="212">
        <v>1</v>
      </c>
      <c r="AB375" s="212">
        <v>1</v>
      </c>
      <c r="AC375" s="212">
        <v>1</v>
      </c>
      <c r="AD375" s="212">
        <v>1</v>
      </c>
      <c r="AE375" s="1064">
        <v>1</v>
      </c>
      <c r="AF375" s="1323">
        <v>1</v>
      </c>
      <c r="AG375" s="1323">
        <f t="shared" si="71"/>
        <v>1</v>
      </c>
      <c r="DG375" s="543"/>
      <c r="DH375" s="149"/>
      <c r="DI375" s="1020"/>
    </row>
    <row r="376" spans="1:113" outlineLevel="1" x14ac:dyDescent="0.25">
      <c r="A376" s="2145"/>
      <c r="C376" s="49"/>
      <c r="D376" s="2415"/>
      <c r="E376" s="2415"/>
      <c r="F376" s="2414" t="str">
        <f t="shared" si="76"/>
        <v>Mini/MultiSplitASHP-Replace_CAC_NonElectricHeat_ER1_SF</v>
      </c>
      <c r="G376" s="2414"/>
      <c r="H376" s="2414"/>
      <c r="I376" s="874" t="str">
        <f t="shared" si="77"/>
        <v>351401_2024_12_</v>
      </c>
      <c r="J376" s="1458">
        <v>1</v>
      </c>
      <c r="K376" s="213"/>
      <c r="L376" s="2416"/>
      <c r="N376" s="535"/>
      <c r="T376" s="50"/>
      <c r="U376" s="50"/>
      <c r="V376" s="2415"/>
      <c r="W376" s="212"/>
      <c r="X376" s="212"/>
      <c r="Y376" s="212"/>
      <c r="Z376" s="212"/>
      <c r="AA376" s="212"/>
      <c r="AB376" s="212"/>
      <c r="AC376" s="212"/>
      <c r="AD376" s="214">
        <v>1</v>
      </c>
      <c r="AE376" s="1064">
        <v>1</v>
      </c>
      <c r="AF376" s="1323">
        <v>1</v>
      </c>
      <c r="AG376" s="1323">
        <f t="shared" si="71"/>
        <v>1</v>
      </c>
      <c r="DG376" s="543"/>
      <c r="DH376" s="149"/>
      <c r="DI376" s="1020"/>
    </row>
    <row r="377" spans="1:113" outlineLevel="1" x14ac:dyDescent="0.25">
      <c r="A377" s="2145"/>
      <c r="C377" s="49"/>
      <c r="D377" s="2415"/>
      <c r="E377" s="2415"/>
      <c r="F377" s="2414" t="str">
        <f t="shared" si="76"/>
        <v>Mini/MultiSplitASHP-Replace_CAC_NonElectricHeat_ER1_SF</v>
      </c>
      <c r="G377" s="2414"/>
      <c r="H377" s="2414"/>
      <c r="I377" s="874" t="str">
        <f t="shared" si="77"/>
        <v>351401_2024_12_</v>
      </c>
      <c r="J377" s="1458">
        <v>1</v>
      </c>
      <c r="K377" s="213"/>
      <c r="L377" s="2416"/>
      <c r="N377" s="535"/>
      <c r="T377" s="50"/>
      <c r="U377" s="50"/>
      <c r="V377" s="2415"/>
      <c r="W377" s="212"/>
      <c r="X377" s="212"/>
      <c r="Y377" s="212"/>
      <c r="Z377" s="212"/>
      <c r="AA377" s="212"/>
      <c r="AB377" s="212"/>
      <c r="AC377" s="212"/>
      <c r="AD377" s="214">
        <v>1</v>
      </c>
      <c r="AE377" s="1064">
        <v>1</v>
      </c>
      <c r="AF377" s="1323">
        <v>1</v>
      </c>
      <c r="AG377" s="1323">
        <f t="shared" si="71"/>
        <v>1</v>
      </c>
      <c r="DG377" s="543"/>
      <c r="DH377" s="149"/>
      <c r="DI377" s="1020"/>
    </row>
    <row r="378" spans="1:113" outlineLevel="1" x14ac:dyDescent="0.25">
      <c r="A378" s="2145"/>
      <c r="C378" s="49"/>
      <c r="D378" s="2415"/>
      <c r="E378" s="2415"/>
      <c r="F378" s="2414" t="str">
        <f t="shared" si="76"/>
        <v>Mini/MultiSplitASHP-Replace_CAC_NonElectricHeat_ER2_SF</v>
      </c>
      <c r="G378" s="2414"/>
      <c r="H378" s="2414"/>
      <c r="I378" s="874" t="str">
        <f t="shared" si="77"/>
        <v>351401_2024_12_</v>
      </c>
      <c r="J378" s="1458">
        <v>1</v>
      </c>
      <c r="K378" s="213"/>
      <c r="L378" s="2416"/>
      <c r="N378" s="535"/>
      <c r="T378" s="50"/>
      <c r="U378" s="50"/>
      <c r="V378" s="2415"/>
      <c r="W378" s="212"/>
      <c r="X378" s="212"/>
      <c r="Y378" s="212"/>
      <c r="Z378" s="212"/>
      <c r="AA378" s="212"/>
      <c r="AB378" s="212"/>
      <c r="AC378" s="212"/>
      <c r="AD378" s="214">
        <v>1</v>
      </c>
      <c r="AE378" s="1064">
        <v>1</v>
      </c>
      <c r="AF378" s="1323">
        <v>1</v>
      </c>
      <c r="AG378" s="1323">
        <f t="shared" si="71"/>
        <v>1</v>
      </c>
      <c r="DG378" s="543"/>
      <c r="DH378" s="149"/>
      <c r="DI378" s="1020"/>
    </row>
    <row r="379" spans="1:113" outlineLevel="1" x14ac:dyDescent="0.25">
      <c r="A379" s="2145"/>
      <c r="C379" s="49"/>
      <c r="D379" s="2415"/>
      <c r="E379" s="2415"/>
      <c r="F379" s="2414" t="str">
        <f t="shared" si="76"/>
        <v>Mini/MultiSplitASHP-Replace_CAC_NonElectricHeat_ER2_SF</v>
      </c>
      <c r="G379" s="2414"/>
      <c r="H379" s="2414"/>
      <c r="I379" s="874" t="str">
        <f t="shared" si="77"/>
        <v>351401_2024_12_</v>
      </c>
      <c r="J379" s="1458">
        <v>1</v>
      </c>
      <c r="K379" s="213"/>
      <c r="L379" s="2416"/>
      <c r="N379" s="535"/>
      <c r="T379" s="50"/>
      <c r="U379" s="50"/>
      <c r="V379" s="2415"/>
      <c r="W379" s="212"/>
      <c r="X379" s="212"/>
      <c r="Y379" s="212"/>
      <c r="Z379" s="212"/>
      <c r="AA379" s="212"/>
      <c r="AB379" s="212"/>
      <c r="AC379" s="212"/>
      <c r="AD379" s="214">
        <v>1</v>
      </c>
      <c r="AE379" s="1064">
        <v>1</v>
      </c>
      <c r="AF379" s="1323">
        <v>1</v>
      </c>
      <c r="AG379" s="1323">
        <f t="shared" si="71"/>
        <v>1</v>
      </c>
      <c r="DG379" s="543"/>
      <c r="DH379" s="149"/>
      <c r="DI379" s="1020"/>
    </row>
    <row r="380" spans="1:113" outlineLevel="1" x14ac:dyDescent="0.25">
      <c r="A380" s="2145"/>
      <c r="C380" s="49"/>
      <c r="D380" s="2415"/>
      <c r="E380" s="2415"/>
      <c r="F380" s="2414" t="str">
        <f t="shared" si="76"/>
        <v>Mini/MultiSplitASHP-Replace_CAC_ElectricHeat_ROF_SF</v>
      </c>
      <c r="G380" s="2414"/>
      <c r="H380" s="2414"/>
      <c r="I380" s="874" t="str">
        <f t="shared" si="77"/>
        <v>351450_2024_12_</v>
      </c>
      <c r="J380" s="1458">
        <v>1</v>
      </c>
      <c r="K380" s="213"/>
      <c r="L380" s="2416"/>
      <c r="N380" s="535"/>
      <c r="T380" s="50"/>
      <c r="U380" s="50"/>
      <c r="V380" s="2415"/>
      <c r="W380" s="212">
        <v>1</v>
      </c>
      <c r="X380" s="212">
        <v>1</v>
      </c>
      <c r="Y380" s="212">
        <v>1</v>
      </c>
      <c r="Z380" s="212">
        <v>1</v>
      </c>
      <c r="AA380" s="212">
        <v>1</v>
      </c>
      <c r="AB380" s="212">
        <v>1</v>
      </c>
      <c r="AC380" s="212">
        <v>1</v>
      </c>
      <c r="AD380" s="212">
        <v>1</v>
      </c>
      <c r="AE380" s="1064">
        <v>1</v>
      </c>
      <c r="AF380" s="1323">
        <v>1</v>
      </c>
      <c r="AG380" s="1323">
        <f t="shared" si="71"/>
        <v>1</v>
      </c>
      <c r="DG380" s="543"/>
      <c r="DH380" s="149"/>
      <c r="DI380" s="1020"/>
    </row>
    <row r="381" spans="1:113" outlineLevel="1" x14ac:dyDescent="0.25">
      <c r="A381" s="2145"/>
      <c r="C381" s="49"/>
      <c r="D381" s="2415"/>
      <c r="E381" s="2415"/>
      <c r="F381" s="2414" t="str">
        <f t="shared" si="76"/>
        <v>Mini/MultiSplitASHP-Replace_CAC_ElectricHeat_ROF_SF</v>
      </c>
      <c r="G381" s="2414"/>
      <c r="H381" s="2414"/>
      <c r="I381" s="874" t="str">
        <f t="shared" si="77"/>
        <v>351450_2024_12_</v>
      </c>
      <c r="J381" s="1458">
        <v>1</v>
      </c>
      <c r="K381" s="213"/>
      <c r="L381" s="2416"/>
      <c r="N381" s="535"/>
      <c r="T381" s="50"/>
      <c r="U381" s="50"/>
      <c r="V381" s="2415"/>
      <c r="W381" s="212">
        <v>1</v>
      </c>
      <c r="X381" s="212">
        <v>1</v>
      </c>
      <c r="Y381" s="212">
        <v>1</v>
      </c>
      <c r="Z381" s="212">
        <v>1</v>
      </c>
      <c r="AA381" s="212">
        <v>1</v>
      </c>
      <c r="AB381" s="212">
        <v>1</v>
      </c>
      <c r="AC381" s="212">
        <v>1</v>
      </c>
      <c r="AD381" s="212">
        <v>1</v>
      </c>
      <c r="AE381" s="1064">
        <v>1</v>
      </c>
      <c r="AF381" s="1323">
        <v>1</v>
      </c>
      <c r="AG381" s="1323">
        <f t="shared" si="71"/>
        <v>1</v>
      </c>
      <c r="DG381" s="543"/>
      <c r="DH381" s="149"/>
      <c r="DI381" s="1020"/>
    </row>
    <row r="382" spans="1:113" outlineLevel="1" x14ac:dyDescent="0.25">
      <c r="A382" s="2145"/>
      <c r="C382" s="49"/>
      <c r="D382" s="2415"/>
      <c r="E382" s="2415"/>
      <c r="F382" s="2414" t="str">
        <f t="shared" si="76"/>
        <v>Mini/MultiSplitASHP-Replace_CAC_NonElectricHeat_ROF_SF</v>
      </c>
      <c r="G382" s="2414"/>
      <c r="H382" s="2414"/>
      <c r="I382" s="874" t="str">
        <f t="shared" si="77"/>
        <v>351451_2024_12_</v>
      </c>
      <c r="J382" s="1458">
        <v>1</v>
      </c>
      <c r="K382" s="213"/>
      <c r="L382" s="2416"/>
      <c r="N382" s="535"/>
      <c r="T382" s="50"/>
      <c r="U382" s="50"/>
      <c r="V382" s="2415"/>
      <c r="W382" s="212"/>
      <c r="X382" s="212"/>
      <c r="Y382" s="212"/>
      <c r="Z382" s="212"/>
      <c r="AA382" s="212"/>
      <c r="AB382" s="212"/>
      <c r="AC382" s="212"/>
      <c r="AD382" s="214">
        <v>1</v>
      </c>
      <c r="AE382" s="1064">
        <v>1</v>
      </c>
      <c r="AF382" s="1323">
        <v>1</v>
      </c>
      <c r="AG382" s="1323">
        <f t="shared" si="71"/>
        <v>1</v>
      </c>
      <c r="DG382" s="543"/>
      <c r="DH382" s="149"/>
      <c r="DI382" s="1020"/>
    </row>
    <row r="383" spans="1:113" outlineLevel="1" x14ac:dyDescent="0.25">
      <c r="A383" s="2145"/>
      <c r="C383" s="49"/>
      <c r="D383" s="2415"/>
      <c r="E383" s="2415"/>
      <c r="F383" s="2414" t="str">
        <f t="shared" si="76"/>
        <v>Mini/MultiSplitASHP-Replace_CAC_NonElectricHeat_ROF_SF</v>
      </c>
      <c r="G383" s="2414"/>
      <c r="H383" s="2414"/>
      <c r="I383" s="874" t="str">
        <f t="shared" si="77"/>
        <v>351451_2024_12_</v>
      </c>
      <c r="J383" s="1458">
        <v>1</v>
      </c>
      <c r="K383" s="213"/>
      <c r="L383" s="2416"/>
      <c r="N383" s="535"/>
      <c r="T383" s="50"/>
      <c r="U383" s="50"/>
      <c r="V383" s="2415"/>
      <c r="W383" s="212"/>
      <c r="X383" s="212"/>
      <c r="Y383" s="212"/>
      <c r="Z383" s="212"/>
      <c r="AA383" s="212"/>
      <c r="AB383" s="212"/>
      <c r="AC383" s="212"/>
      <c r="AD383" s="214">
        <v>1</v>
      </c>
      <c r="AE383" s="1064">
        <v>1</v>
      </c>
      <c r="AF383" s="1323">
        <v>1</v>
      </c>
      <c r="AG383" s="1323">
        <f t="shared" si="71"/>
        <v>1</v>
      </c>
      <c r="DG383" s="543"/>
      <c r="DH383" s="149"/>
      <c r="DI383" s="1020"/>
    </row>
    <row r="384" spans="1:113" outlineLevel="1" x14ac:dyDescent="0.25">
      <c r="A384" s="2145"/>
      <c r="C384" s="49"/>
      <c r="D384" s="2415"/>
      <c r="E384" s="2415"/>
      <c r="F384" s="2414" t="str">
        <f t="shared" si="76"/>
        <v>Mini/MultiSplitASHP_ER1_SF</v>
      </c>
      <c r="G384" s="2414"/>
      <c r="H384" s="2414"/>
      <c r="I384" s="874" t="str">
        <f t="shared" si="77"/>
        <v>351500_2024_12_</v>
      </c>
      <c r="J384" s="1458">
        <v>1</v>
      </c>
      <c r="K384" s="213"/>
      <c r="L384" s="2416"/>
      <c r="N384" s="535"/>
      <c r="T384" s="50"/>
      <c r="U384" s="50"/>
      <c r="V384" s="2415"/>
      <c r="W384" s="212">
        <v>1</v>
      </c>
      <c r="X384" s="212">
        <v>1</v>
      </c>
      <c r="Y384" s="212">
        <v>1</v>
      </c>
      <c r="Z384" s="212">
        <v>1</v>
      </c>
      <c r="AA384" s="212">
        <v>1</v>
      </c>
      <c r="AB384" s="212">
        <v>1</v>
      </c>
      <c r="AC384" s="212">
        <v>1</v>
      </c>
      <c r="AD384" s="212">
        <v>1</v>
      </c>
      <c r="AE384" s="1064">
        <v>1</v>
      </c>
      <c r="AF384" s="1323">
        <v>1</v>
      </c>
      <c r="AG384" s="1323">
        <f t="shared" si="71"/>
        <v>1</v>
      </c>
      <c r="DG384" s="543"/>
      <c r="DH384" s="149"/>
      <c r="DI384" s="1020"/>
    </row>
    <row r="385" spans="1:113" outlineLevel="1" x14ac:dyDescent="0.25">
      <c r="A385" s="2145"/>
      <c r="C385" s="49"/>
      <c r="D385" s="2415"/>
      <c r="E385" s="2415"/>
      <c r="F385" s="2414" t="str">
        <f t="shared" si="76"/>
        <v>Mini/MultiSplitASHP_ER1_SF</v>
      </c>
      <c r="G385" s="2414"/>
      <c r="H385" s="2414"/>
      <c r="I385" s="874" t="str">
        <f t="shared" si="77"/>
        <v>351500_2024_12_</v>
      </c>
      <c r="J385" s="1458">
        <v>1</v>
      </c>
      <c r="K385" s="213"/>
      <c r="L385" s="2416"/>
      <c r="N385" s="535"/>
      <c r="T385" s="50"/>
      <c r="U385" s="50"/>
      <c r="V385" s="2415"/>
      <c r="W385" s="212">
        <v>1</v>
      </c>
      <c r="X385" s="212">
        <v>1</v>
      </c>
      <c r="Y385" s="212">
        <v>1</v>
      </c>
      <c r="Z385" s="212">
        <v>1</v>
      </c>
      <c r="AA385" s="212">
        <v>1</v>
      </c>
      <c r="AB385" s="212">
        <v>1</v>
      </c>
      <c r="AC385" s="212">
        <v>1</v>
      </c>
      <c r="AD385" s="212">
        <v>1</v>
      </c>
      <c r="AE385" s="1064">
        <v>1</v>
      </c>
      <c r="AF385" s="1323">
        <v>1</v>
      </c>
      <c r="AG385" s="1323">
        <f t="shared" si="71"/>
        <v>1</v>
      </c>
      <c r="DG385" s="543"/>
      <c r="DH385" s="149"/>
      <c r="DI385" s="1020"/>
    </row>
    <row r="386" spans="1:113" outlineLevel="1" x14ac:dyDescent="0.25">
      <c r="A386" s="2145"/>
      <c r="C386" s="49"/>
      <c r="D386" s="2415"/>
      <c r="E386" s="2415"/>
      <c r="F386" s="2414" t="str">
        <f t="shared" si="76"/>
        <v>Mini/MultiSplitASHP_ER2_SF</v>
      </c>
      <c r="G386" s="2414"/>
      <c r="H386" s="2414"/>
      <c r="I386" s="874" t="str">
        <f t="shared" si="77"/>
        <v>351500_2024_12_</v>
      </c>
      <c r="J386" s="1458">
        <v>1</v>
      </c>
      <c r="K386" s="213"/>
      <c r="L386" s="2416"/>
      <c r="N386" s="535"/>
      <c r="T386" s="50"/>
      <c r="U386" s="50"/>
      <c r="V386" s="2415"/>
      <c r="W386" s="212">
        <v>1</v>
      </c>
      <c r="X386" s="212">
        <v>1</v>
      </c>
      <c r="Y386" s="212">
        <v>1</v>
      </c>
      <c r="Z386" s="212">
        <v>1</v>
      </c>
      <c r="AA386" s="212">
        <v>1</v>
      </c>
      <c r="AB386" s="212">
        <v>1</v>
      </c>
      <c r="AC386" s="212">
        <v>1</v>
      </c>
      <c r="AD386" s="212">
        <v>1</v>
      </c>
      <c r="AE386" s="1064">
        <v>1</v>
      </c>
      <c r="AF386" s="1323">
        <v>1</v>
      </c>
      <c r="AG386" s="1323">
        <f t="shared" si="71"/>
        <v>1</v>
      </c>
      <c r="DG386" s="543"/>
      <c r="DH386" s="149"/>
      <c r="DI386" s="1020"/>
    </row>
    <row r="387" spans="1:113" outlineLevel="1" x14ac:dyDescent="0.25">
      <c r="A387" s="2145"/>
      <c r="C387" s="49"/>
      <c r="D387" s="2415"/>
      <c r="E387" s="2415"/>
      <c r="F387" s="2414" t="str">
        <f t="shared" si="76"/>
        <v>Mini/MultiSplitASHP_ER2_SF</v>
      </c>
      <c r="G387" s="2414"/>
      <c r="H387" s="2414"/>
      <c r="I387" s="874" t="str">
        <f t="shared" si="77"/>
        <v>351500_2024_12_</v>
      </c>
      <c r="J387" s="1458">
        <v>1</v>
      </c>
      <c r="K387" s="213"/>
      <c r="L387" s="2416"/>
      <c r="N387" s="535"/>
      <c r="T387" s="50"/>
      <c r="U387" s="50"/>
      <c r="V387" s="2415"/>
      <c r="W387" s="212">
        <v>1</v>
      </c>
      <c r="X387" s="212">
        <v>1</v>
      </c>
      <c r="Y387" s="212">
        <v>1</v>
      </c>
      <c r="Z387" s="212">
        <v>1</v>
      </c>
      <c r="AA387" s="212">
        <v>1</v>
      </c>
      <c r="AB387" s="212">
        <v>1</v>
      </c>
      <c r="AC387" s="212">
        <v>1</v>
      </c>
      <c r="AD387" s="212">
        <v>1</v>
      </c>
      <c r="AE387" s="1064">
        <v>1</v>
      </c>
      <c r="AF387" s="1323">
        <v>1</v>
      </c>
      <c r="AG387" s="1323">
        <f t="shared" si="71"/>
        <v>1</v>
      </c>
      <c r="DG387" s="543"/>
      <c r="DH387" s="149"/>
      <c r="DI387" s="1020"/>
    </row>
    <row r="388" spans="1:113" ht="15" customHeight="1" outlineLevel="1" x14ac:dyDescent="0.25">
      <c r="A388" s="2145"/>
      <c r="C388" s="49"/>
      <c r="D388" s="2415"/>
      <c r="E388" s="2415"/>
      <c r="F388" s="2414" t="str">
        <f t="shared" si="76"/>
        <v>Mini/MultiSplitAC_ER1_MF</v>
      </c>
      <c r="G388" s="2414"/>
      <c r="H388" s="2414"/>
      <c r="I388" s="874" t="str">
        <f t="shared" si="77"/>
        <v>351550_2024_12_</v>
      </c>
      <c r="J388" s="1458">
        <v>1</v>
      </c>
      <c r="K388" s="213"/>
      <c r="L388" s="2417" t="s">
        <v>1022</v>
      </c>
      <c r="N388" s="535"/>
      <c r="T388" s="50"/>
      <c r="U388" s="50"/>
      <c r="V388" s="2415"/>
      <c r="W388" s="212">
        <v>0.65</v>
      </c>
      <c r="X388" s="212">
        <v>0.65</v>
      </c>
      <c r="Y388" s="214">
        <v>1</v>
      </c>
      <c r="Z388" s="212">
        <v>1</v>
      </c>
      <c r="AA388" s="212">
        <v>1</v>
      </c>
      <c r="AB388" s="212">
        <v>1</v>
      </c>
      <c r="AC388" s="212">
        <v>1</v>
      </c>
      <c r="AD388" s="212">
        <v>1</v>
      </c>
      <c r="AE388" s="1064">
        <v>1</v>
      </c>
      <c r="AF388" s="1323">
        <v>1</v>
      </c>
      <c r="AG388" s="1323">
        <f t="shared" si="71"/>
        <v>1</v>
      </c>
      <c r="DG388" s="543"/>
      <c r="DH388" s="149"/>
      <c r="DI388" s="1020"/>
    </row>
    <row r="389" spans="1:113" outlineLevel="1" x14ac:dyDescent="0.25">
      <c r="A389" s="2145"/>
      <c r="C389" s="49"/>
      <c r="D389" s="2415"/>
      <c r="E389" s="2415"/>
      <c r="F389" s="2414" t="str">
        <f t="shared" si="76"/>
        <v>Mini/MultiSplitAC_ER2_MF</v>
      </c>
      <c r="G389" s="2414"/>
      <c r="H389" s="2414"/>
      <c r="I389" s="874" t="str">
        <f t="shared" si="77"/>
        <v>351550_2024_12_</v>
      </c>
      <c r="J389" s="1458">
        <f>J388</f>
        <v>1</v>
      </c>
      <c r="K389" s="213"/>
      <c r="L389" s="2407"/>
      <c r="N389" s="535"/>
      <c r="T389" s="50"/>
      <c r="U389" s="50"/>
      <c r="V389" s="2415"/>
      <c r="W389" s="212">
        <v>0.65</v>
      </c>
      <c r="X389" s="212">
        <v>0.65</v>
      </c>
      <c r="Y389" s="214">
        <f>Y388</f>
        <v>1</v>
      </c>
      <c r="Z389" s="212">
        <v>1</v>
      </c>
      <c r="AA389" s="212">
        <v>1</v>
      </c>
      <c r="AB389" s="212">
        <v>1</v>
      </c>
      <c r="AC389" s="212">
        <v>1</v>
      </c>
      <c r="AD389" s="212">
        <v>1</v>
      </c>
      <c r="AE389" s="1064">
        <v>1</v>
      </c>
      <c r="AF389" s="1323">
        <v>1</v>
      </c>
      <c r="AG389" s="1323">
        <f t="shared" si="71"/>
        <v>1</v>
      </c>
      <c r="DG389" s="543"/>
      <c r="DH389" s="149"/>
      <c r="DI389" s="1020"/>
    </row>
    <row r="390" spans="1:113" ht="45" outlineLevel="1" x14ac:dyDescent="0.25">
      <c r="A390" s="2145"/>
      <c r="C390" s="49"/>
      <c r="D390" s="1248" t="s">
        <v>105</v>
      </c>
      <c r="E390" s="1248" t="s">
        <v>944</v>
      </c>
      <c r="F390" s="2380" t="s">
        <v>742</v>
      </c>
      <c r="G390" s="2380"/>
      <c r="H390" s="2380"/>
      <c r="I390" s="1256" t="s">
        <v>742</v>
      </c>
      <c r="J390" s="1446">
        <v>1</v>
      </c>
      <c r="K390" s="1276"/>
      <c r="L390" s="1276" t="s">
        <v>1023</v>
      </c>
      <c r="N390" s="535"/>
      <c r="T390" s="39"/>
      <c r="U390" s="39"/>
      <c r="V390" s="1248" t="s">
        <v>105</v>
      </c>
      <c r="W390" s="1428"/>
      <c r="X390" s="1428"/>
      <c r="Y390" s="1428"/>
      <c r="Z390" s="1428"/>
      <c r="AA390" s="1428">
        <v>1</v>
      </c>
      <c r="AB390" s="1428">
        <v>1</v>
      </c>
      <c r="AC390" s="1432">
        <v>1</v>
      </c>
      <c r="AD390" s="1432">
        <v>1</v>
      </c>
      <c r="AE390" s="1432">
        <v>1</v>
      </c>
      <c r="AF390" s="253">
        <v>1</v>
      </c>
      <c r="AG390" s="253">
        <f t="shared" si="71"/>
        <v>1</v>
      </c>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c r="BY390" s="39"/>
      <c r="BZ390" s="39"/>
      <c r="CA390" s="39"/>
      <c r="CB390" s="39"/>
      <c r="CC390" s="39"/>
      <c r="CD390" s="39"/>
      <c r="CE390" s="39"/>
      <c r="CF390" s="39"/>
      <c r="CG390" s="39"/>
      <c r="CH390" s="39"/>
      <c r="CI390" s="39"/>
      <c r="CJ390" s="39"/>
      <c r="CK390" s="39"/>
      <c r="CL390" s="39"/>
      <c r="CM390" s="39"/>
      <c r="CN390" s="39"/>
      <c r="CO390" s="39"/>
      <c r="CP390" s="39"/>
      <c r="CQ390" s="39"/>
      <c r="CR390" s="39"/>
      <c r="CS390" s="39"/>
      <c r="CT390" s="39"/>
      <c r="CU390" s="39"/>
      <c r="CV390" s="39"/>
      <c r="CW390" s="39"/>
      <c r="CX390" s="39"/>
      <c r="CY390" s="39"/>
      <c r="CZ390" s="39"/>
      <c r="DA390" s="39"/>
      <c r="DB390" s="39"/>
      <c r="DC390" s="39"/>
      <c r="DD390" s="39"/>
      <c r="DE390" s="39"/>
      <c r="DF390" s="39"/>
      <c r="DG390" s="1015"/>
      <c r="DH390" s="149"/>
      <c r="DI390" s="1020"/>
    </row>
    <row r="391" spans="1:113" ht="14.45" customHeight="1" outlineLevel="1" x14ac:dyDescent="0.25">
      <c r="A391" s="2145"/>
      <c r="C391" s="49"/>
      <c r="D391" s="2415" t="s">
        <v>50</v>
      </c>
      <c r="E391" s="2415" t="s">
        <v>801</v>
      </c>
      <c r="F391" s="2414" t="str">
        <f t="shared" ref="F391:F415" si="78">F365</f>
        <v>Mini/MultiSplitAC_ER1_SF</v>
      </c>
      <c r="G391" s="2414"/>
      <c r="H391" s="2414"/>
      <c r="I391" s="874" t="str">
        <f t="shared" ref="I391:I415" si="79">I365</f>
        <v>351200_2024_12_</v>
      </c>
      <c r="J391" s="1442">
        <v>6</v>
      </c>
      <c r="K391" s="213"/>
      <c r="L391" s="2397" t="s">
        <v>1024</v>
      </c>
      <c r="N391" s="535"/>
      <c r="T391" s="50"/>
      <c r="U391" s="50"/>
      <c r="V391" s="2415" t="str">
        <f>D391</f>
        <v>EUL</v>
      </c>
      <c r="W391" s="215">
        <v>6</v>
      </c>
      <c r="X391" s="215">
        <v>6</v>
      </c>
      <c r="Y391" s="215">
        <v>6</v>
      </c>
      <c r="Z391" s="215">
        <v>6</v>
      </c>
      <c r="AA391" s="215">
        <v>6</v>
      </c>
      <c r="AB391" s="215">
        <v>6</v>
      </c>
      <c r="AC391" s="215">
        <v>6</v>
      </c>
      <c r="AD391" s="215">
        <v>6</v>
      </c>
      <c r="AE391" s="1065">
        <v>6</v>
      </c>
      <c r="AF391" s="253">
        <v>6</v>
      </c>
      <c r="AG391" s="253">
        <f t="shared" si="71"/>
        <v>6</v>
      </c>
      <c r="DG391" s="543"/>
      <c r="DH391" s="149"/>
      <c r="DI391" s="1020"/>
    </row>
    <row r="392" spans="1:113" outlineLevel="1" x14ac:dyDescent="0.25">
      <c r="A392" s="2145"/>
      <c r="C392" s="49"/>
      <c r="D392" s="2415"/>
      <c r="E392" s="2415"/>
      <c r="F392" s="2414" t="str">
        <f t="shared" si="78"/>
        <v>Mini/MultiSplitAC_ER2_SF</v>
      </c>
      <c r="G392" s="2414"/>
      <c r="H392" s="2414"/>
      <c r="I392" s="873" t="str">
        <f t="shared" si="79"/>
        <v>351200_2024_12_</v>
      </c>
      <c r="J392" s="1442">
        <v>12</v>
      </c>
      <c r="K392" s="213"/>
      <c r="L392" s="2398"/>
      <c r="N392" s="535"/>
      <c r="T392" s="50"/>
      <c r="U392" s="50"/>
      <c r="V392" s="2415"/>
      <c r="W392" s="215">
        <v>12</v>
      </c>
      <c r="X392" s="215">
        <v>12</v>
      </c>
      <c r="Y392" s="215">
        <v>12</v>
      </c>
      <c r="Z392" s="215">
        <v>12</v>
      </c>
      <c r="AA392" s="215">
        <v>12</v>
      </c>
      <c r="AB392" s="215">
        <v>12</v>
      </c>
      <c r="AC392" s="215">
        <v>12</v>
      </c>
      <c r="AD392" s="215">
        <v>12</v>
      </c>
      <c r="AE392" s="1065">
        <v>12</v>
      </c>
      <c r="AF392" s="253">
        <v>12</v>
      </c>
      <c r="AG392" s="253">
        <f t="shared" si="71"/>
        <v>12</v>
      </c>
      <c r="DG392" s="543"/>
      <c r="DH392" s="149"/>
      <c r="DI392" s="1020"/>
    </row>
    <row r="393" spans="1:113" outlineLevel="1" x14ac:dyDescent="0.25">
      <c r="A393" s="2145"/>
      <c r="C393" s="49"/>
      <c r="D393" s="2415"/>
      <c r="E393" s="2415"/>
      <c r="F393" s="2414" t="str">
        <f t="shared" si="78"/>
        <v>Mini/MultiSplitAC_ROF_SF</v>
      </c>
      <c r="G393" s="2414"/>
      <c r="H393" s="2414"/>
      <c r="I393" s="873" t="str">
        <f t="shared" si="79"/>
        <v>351250_2024_12_</v>
      </c>
      <c r="J393" s="1442">
        <v>18</v>
      </c>
      <c r="K393" s="213"/>
      <c r="L393" s="2398"/>
      <c r="N393" s="535"/>
      <c r="T393" s="50"/>
      <c r="U393" s="50"/>
      <c r="V393" s="2415"/>
      <c r="W393" s="215">
        <v>18</v>
      </c>
      <c r="X393" s="215">
        <v>18</v>
      </c>
      <c r="Y393" s="215">
        <v>18</v>
      </c>
      <c r="Z393" s="215">
        <v>18</v>
      </c>
      <c r="AA393" s="215">
        <v>18</v>
      </c>
      <c r="AB393" s="215">
        <v>18</v>
      </c>
      <c r="AC393" s="215">
        <v>18</v>
      </c>
      <c r="AD393" s="215">
        <v>18</v>
      </c>
      <c r="AE393" s="1065">
        <v>18</v>
      </c>
      <c r="AF393" s="253">
        <v>18</v>
      </c>
      <c r="AG393" s="253">
        <f t="shared" si="71"/>
        <v>18</v>
      </c>
      <c r="DG393" s="543"/>
      <c r="DH393" s="149"/>
      <c r="DI393" s="1020"/>
    </row>
    <row r="394" spans="1:113" outlineLevel="1" x14ac:dyDescent="0.25">
      <c r="A394" s="2145"/>
      <c r="C394" s="49"/>
      <c r="D394" s="2415"/>
      <c r="E394" s="2415"/>
      <c r="F394" s="2414" t="str">
        <f t="shared" si="78"/>
        <v>Mini/MultiSplitASHP_ROF_SF_NC</v>
      </c>
      <c r="G394" s="2414"/>
      <c r="H394" s="2414"/>
      <c r="I394" s="873" t="str">
        <f t="shared" si="79"/>
        <v>351300_2024_12_</v>
      </c>
      <c r="J394" s="1442">
        <v>18</v>
      </c>
      <c r="K394" s="213"/>
      <c r="L394" s="2398"/>
      <c r="N394" s="535"/>
      <c r="T394" s="50"/>
      <c r="U394" s="50"/>
      <c r="V394" s="2415"/>
      <c r="W394" s="215">
        <v>18</v>
      </c>
      <c r="X394" s="215">
        <v>18</v>
      </c>
      <c r="Y394" s="215">
        <v>18</v>
      </c>
      <c r="Z394" s="215">
        <v>18</v>
      </c>
      <c r="AA394" s="215">
        <v>18</v>
      </c>
      <c r="AB394" s="215">
        <v>18</v>
      </c>
      <c r="AC394" s="215">
        <v>18</v>
      </c>
      <c r="AD394" s="215">
        <v>18</v>
      </c>
      <c r="AE394" s="1065">
        <v>18</v>
      </c>
      <c r="AF394" s="253">
        <v>18</v>
      </c>
      <c r="AG394" s="253">
        <f t="shared" ref="AG394:AG440" si="80">IF(J394&lt;&gt;"",J394,"")</f>
        <v>18</v>
      </c>
      <c r="DG394" s="543"/>
      <c r="DH394" s="149"/>
      <c r="DI394" s="1020"/>
    </row>
    <row r="395" spans="1:113" outlineLevel="1" x14ac:dyDescent="0.25">
      <c r="A395" s="2145"/>
      <c r="C395" s="49"/>
      <c r="D395" s="2415"/>
      <c r="E395" s="2415"/>
      <c r="F395" s="2414" t="str">
        <f t="shared" si="78"/>
        <v>Mini/MultiSplitASHP_ROF_SF_NC</v>
      </c>
      <c r="G395" s="2414"/>
      <c r="H395" s="2414"/>
      <c r="I395" s="873" t="str">
        <f t="shared" si="79"/>
        <v>351300_2024_12_</v>
      </c>
      <c r="J395" s="1442">
        <v>18</v>
      </c>
      <c r="K395" s="213"/>
      <c r="L395" s="2398"/>
      <c r="N395" s="535"/>
      <c r="T395" s="50"/>
      <c r="U395" s="50"/>
      <c r="V395" s="2415"/>
      <c r="W395" s="215">
        <v>18</v>
      </c>
      <c r="X395" s="215">
        <v>18</v>
      </c>
      <c r="Y395" s="215">
        <v>18</v>
      </c>
      <c r="Z395" s="215">
        <v>18</v>
      </c>
      <c r="AA395" s="215">
        <v>18</v>
      </c>
      <c r="AB395" s="215">
        <v>18</v>
      </c>
      <c r="AC395" s="215">
        <v>18</v>
      </c>
      <c r="AD395" s="215">
        <v>18</v>
      </c>
      <c r="AE395" s="1065">
        <v>18</v>
      </c>
      <c r="AF395" s="253">
        <v>18</v>
      </c>
      <c r="AG395" s="253">
        <f t="shared" si="80"/>
        <v>18</v>
      </c>
      <c r="DG395" s="543"/>
      <c r="DH395" s="149"/>
      <c r="DI395" s="1020"/>
    </row>
    <row r="396" spans="1:113" outlineLevel="1" x14ac:dyDescent="0.25">
      <c r="A396" s="2145"/>
      <c r="C396" s="49"/>
      <c r="D396" s="2415"/>
      <c r="E396" s="2415"/>
      <c r="F396" s="2414" t="str">
        <f t="shared" si="78"/>
        <v>Mini/MultiSplitASHP_ROF_SF</v>
      </c>
      <c r="G396" s="2414"/>
      <c r="H396" s="2414"/>
      <c r="I396" s="873" t="str">
        <f t="shared" si="79"/>
        <v>351350_2024_12_</v>
      </c>
      <c r="J396" s="1442">
        <v>18</v>
      </c>
      <c r="K396" s="213"/>
      <c r="L396" s="2398"/>
      <c r="N396" s="535"/>
      <c r="T396" s="50"/>
      <c r="U396" s="50"/>
      <c r="V396" s="2415"/>
      <c r="W396" s="215">
        <v>18</v>
      </c>
      <c r="X396" s="215">
        <v>18</v>
      </c>
      <c r="Y396" s="215">
        <v>18</v>
      </c>
      <c r="Z396" s="215">
        <v>18</v>
      </c>
      <c r="AA396" s="215">
        <v>18</v>
      </c>
      <c r="AB396" s="215">
        <v>18</v>
      </c>
      <c r="AC396" s="215">
        <v>18</v>
      </c>
      <c r="AD396" s="215">
        <v>18</v>
      </c>
      <c r="AE396" s="1065">
        <v>18</v>
      </c>
      <c r="AF396" s="253">
        <v>18</v>
      </c>
      <c r="AG396" s="253">
        <f t="shared" si="80"/>
        <v>18</v>
      </c>
      <c r="DG396" s="543"/>
      <c r="DH396" s="149"/>
      <c r="DI396" s="1020"/>
    </row>
    <row r="397" spans="1:113" outlineLevel="1" x14ac:dyDescent="0.25">
      <c r="A397" s="2145"/>
      <c r="C397" s="49"/>
      <c r="D397" s="2415"/>
      <c r="E397" s="2415"/>
      <c r="F397" s="2414" t="str">
        <f t="shared" si="78"/>
        <v>Mini/MultiSplitASHP_ROF_SF</v>
      </c>
      <c r="G397" s="2414"/>
      <c r="H397" s="2414"/>
      <c r="I397" s="873" t="str">
        <f t="shared" si="79"/>
        <v>351350_2024_12_</v>
      </c>
      <c r="J397" s="1442">
        <v>18</v>
      </c>
      <c r="K397" s="213"/>
      <c r="L397" s="2398"/>
      <c r="N397" s="535"/>
      <c r="T397" s="50"/>
      <c r="U397" s="50"/>
      <c r="V397" s="2415"/>
      <c r="W397" s="215">
        <v>18</v>
      </c>
      <c r="X397" s="215">
        <v>18</v>
      </c>
      <c r="Y397" s="215">
        <v>18</v>
      </c>
      <c r="Z397" s="215">
        <v>18</v>
      </c>
      <c r="AA397" s="215">
        <v>18</v>
      </c>
      <c r="AB397" s="215">
        <v>18</v>
      </c>
      <c r="AC397" s="215">
        <v>18</v>
      </c>
      <c r="AD397" s="215">
        <v>18</v>
      </c>
      <c r="AE397" s="1065">
        <v>18</v>
      </c>
      <c r="AF397" s="253">
        <v>18</v>
      </c>
      <c r="AG397" s="253">
        <f t="shared" si="80"/>
        <v>18</v>
      </c>
      <c r="DG397" s="543"/>
      <c r="DH397" s="149"/>
      <c r="DI397" s="1020"/>
    </row>
    <row r="398" spans="1:113" outlineLevel="1" x14ac:dyDescent="0.25">
      <c r="A398" s="2145"/>
      <c r="C398" s="49"/>
      <c r="D398" s="2415"/>
      <c r="E398" s="2415"/>
      <c r="F398" s="2414" t="str">
        <f t="shared" si="78"/>
        <v>Mini/MultiSplitASHP-Replace_CAC_ElectricHeat_ER1_SF</v>
      </c>
      <c r="G398" s="2414"/>
      <c r="H398" s="2414"/>
      <c r="I398" s="873" t="str">
        <f t="shared" si="79"/>
        <v>351400_2024_12_</v>
      </c>
      <c r="J398" s="1442">
        <v>6</v>
      </c>
      <c r="K398" s="213"/>
      <c r="L398" s="2398"/>
      <c r="N398" s="535"/>
      <c r="T398" s="50"/>
      <c r="U398" s="50"/>
      <c r="V398" s="2415"/>
      <c r="W398" s="215">
        <v>6</v>
      </c>
      <c r="X398" s="215">
        <v>6</v>
      </c>
      <c r="Y398" s="215">
        <v>6</v>
      </c>
      <c r="Z398" s="215">
        <v>6</v>
      </c>
      <c r="AA398" s="215">
        <v>6</v>
      </c>
      <c r="AB398" s="215">
        <v>6</v>
      </c>
      <c r="AC398" s="215">
        <v>6</v>
      </c>
      <c r="AD398" s="215">
        <v>6</v>
      </c>
      <c r="AE398" s="1065">
        <v>6</v>
      </c>
      <c r="AF398" s="253">
        <v>6</v>
      </c>
      <c r="AG398" s="253">
        <f t="shared" si="80"/>
        <v>6</v>
      </c>
      <c r="DG398" s="543"/>
      <c r="DH398" s="149"/>
      <c r="DI398" s="1020"/>
    </row>
    <row r="399" spans="1:113" outlineLevel="1" x14ac:dyDescent="0.25">
      <c r="A399" s="2145"/>
      <c r="C399" s="49"/>
      <c r="D399" s="2415"/>
      <c r="E399" s="2415"/>
      <c r="F399" s="2414" t="str">
        <f t="shared" si="78"/>
        <v>Mini/MultiSplitASHP-Replace_CAC_ElectricHeat_ER1_SF</v>
      </c>
      <c r="G399" s="2414"/>
      <c r="H399" s="2414"/>
      <c r="I399" s="873" t="str">
        <f t="shared" si="79"/>
        <v>351400_2024_12_</v>
      </c>
      <c r="J399" s="1442">
        <v>6</v>
      </c>
      <c r="K399" s="213"/>
      <c r="L399" s="2398"/>
      <c r="N399" s="535"/>
      <c r="T399" s="50"/>
      <c r="U399" s="50"/>
      <c r="V399" s="2415"/>
      <c r="W399" s="215">
        <v>6</v>
      </c>
      <c r="X399" s="215">
        <v>6</v>
      </c>
      <c r="Y399" s="215">
        <v>6</v>
      </c>
      <c r="Z399" s="215">
        <v>6</v>
      </c>
      <c r="AA399" s="215">
        <v>6</v>
      </c>
      <c r="AB399" s="215">
        <v>6</v>
      </c>
      <c r="AC399" s="215">
        <v>6</v>
      </c>
      <c r="AD399" s="215">
        <v>6</v>
      </c>
      <c r="AE399" s="1065">
        <v>6</v>
      </c>
      <c r="AF399" s="253">
        <v>6</v>
      </c>
      <c r="AG399" s="253">
        <f t="shared" si="80"/>
        <v>6</v>
      </c>
      <c r="DG399" s="543"/>
      <c r="DH399" s="149"/>
      <c r="DI399" s="1020"/>
    </row>
    <row r="400" spans="1:113" outlineLevel="1" x14ac:dyDescent="0.25">
      <c r="A400" s="2145"/>
      <c r="C400" s="49"/>
      <c r="D400" s="2415"/>
      <c r="E400" s="2415"/>
      <c r="F400" s="2414" t="str">
        <f t="shared" si="78"/>
        <v>Mini/MultiSplitASHP-Replace_CAC_ElectricHeat_ER2_SF</v>
      </c>
      <c r="G400" s="2414"/>
      <c r="H400" s="2414"/>
      <c r="I400" s="873" t="str">
        <f t="shared" si="79"/>
        <v>351400_2024_12_</v>
      </c>
      <c r="J400" s="1442">
        <v>12</v>
      </c>
      <c r="K400" s="213"/>
      <c r="L400" s="2398"/>
      <c r="N400" s="535"/>
      <c r="T400" s="50"/>
      <c r="U400" s="50"/>
      <c r="V400" s="2415"/>
      <c r="W400" s="215">
        <v>12</v>
      </c>
      <c r="X400" s="215">
        <v>12</v>
      </c>
      <c r="Y400" s="215">
        <v>12</v>
      </c>
      <c r="Z400" s="215">
        <v>12</v>
      </c>
      <c r="AA400" s="215">
        <v>12</v>
      </c>
      <c r="AB400" s="215">
        <v>12</v>
      </c>
      <c r="AC400" s="215">
        <v>12</v>
      </c>
      <c r="AD400" s="215">
        <v>12</v>
      </c>
      <c r="AE400" s="1065">
        <v>12</v>
      </c>
      <c r="AF400" s="253">
        <v>12</v>
      </c>
      <c r="AG400" s="253">
        <f t="shared" si="80"/>
        <v>12</v>
      </c>
      <c r="DG400" s="543"/>
      <c r="DH400" s="149"/>
      <c r="DI400" s="1020"/>
    </row>
    <row r="401" spans="1:113" outlineLevel="1" x14ac:dyDescent="0.25">
      <c r="A401" s="2145"/>
      <c r="C401" s="49"/>
      <c r="D401" s="2415"/>
      <c r="E401" s="2415"/>
      <c r="F401" s="2414" t="str">
        <f t="shared" si="78"/>
        <v>Mini/MultiSplitASHP-Replace_CAC_ElectricHeat_ER2_SF</v>
      </c>
      <c r="G401" s="2414"/>
      <c r="H401" s="2414"/>
      <c r="I401" s="873" t="str">
        <f t="shared" si="79"/>
        <v>351400_2024_12_</v>
      </c>
      <c r="J401" s="1442">
        <v>12</v>
      </c>
      <c r="K401" s="213"/>
      <c r="L401" s="2398"/>
      <c r="N401" s="535"/>
      <c r="T401" s="50"/>
      <c r="U401" s="50"/>
      <c r="V401" s="2415"/>
      <c r="W401" s="215">
        <v>12</v>
      </c>
      <c r="X401" s="215">
        <v>12</v>
      </c>
      <c r="Y401" s="215">
        <v>12</v>
      </c>
      <c r="Z401" s="215">
        <v>12</v>
      </c>
      <c r="AA401" s="215">
        <v>12</v>
      </c>
      <c r="AB401" s="215">
        <v>12</v>
      </c>
      <c r="AC401" s="215">
        <v>12</v>
      </c>
      <c r="AD401" s="215">
        <v>12</v>
      </c>
      <c r="AE401" s="1065">
        <v>12</v>
      </c>
      <c r="AF401" s="253">
        <v>12</v>
      </c>
      <c r="AG401" s="253">
        <f t="shared" si="80"/>
        <v>12</v>
      </c>
      <c r="DG401" s="543"/>
      <c r="DH401" s="149"/>
      <c r="DI401" s="1020"/>
    </row>
    <row r="402" spans="1:113" outlineLevel="1" x14ac:dyDescent="0.25">
      <c r="A402" s="2145"/>
      <c r="C402" s="49"/>
      <c r="D402" s="2415"/>
      <c r="E402" s="2415"/>
      <c r="F402" s="2414" t="str">
        <f t="shared" si="78"/>
        <v>Mini/MultiSplitASHP-Replace_CAC_NonElectricHeat_ER1_SF</v>
      </c>
      <c r="G402" s="2414"/>
      <c r="H402" s="2414"/>
      <c r="I402" s="874" t="str">
        <f t="shared" si="79"/>
        <v>351401_2024_12_</v>
      </c>
      <c r="J402" s="1442">
        <v>6</v>
      </c>
      <c r="K402" s="213"/>
      <c r="L402" s="2398"/>
      <c r="N402" s="535"/>
      <c r="T402" s="50"/>
      <c r="U402" s="50"/>
      <c r="V402" s="2415"/>
      <c r="W402" s="215"/>
      <c r="X402" s="215"/>
      <c r="Y402" s="215"/>
      <c r="Z402" s="215"/>
      <c r="AA402" s="215"/>
      <c r="AB402" s="215"/>
      <c r="AC402" s="215"/>
      <c r="AD402" s="224">
        <v>6</v>
      </c>
      <c r="AE402" s="1065">
        <v>6</v>
      </c>
      <c r="AF402" s="253">
        <v>6</v>
      </c>
      <c r="AG402" s="253">
        <f t="shared" si="80"/>
        <v>6</v>
      </c>
      <c r="DG402" s="543"/>
      <c r="DH402" s="149"/>
      <c r="DI402" s="1020"/>
    </row>
    <row r="403" spans="1:113" outlineLevel="1" x14ac:dyDescent="0.25">
      <c r="A403" s="2145"/>
      <c r="C403" s="49"/>
      <c r="D403" s="2415"/>
      <c r="E403" s="2415"/>
      <c r="F403" s="2414" t="str">
        <f t="shared" si="78"/>
        <v>Mini/MultiSplitASHP-Replace_CAC_NonElectricHeat_ER1_SF</v>
      </c>
      <c r="G403" s="2414"/>
      <c r="H403" s="2414"/>
      <c r="I403" s="874" t="str">
        <f t="shared" si="79"/>
        <v>351401_2024_12_</v>
      </c>
      <c r="J403" s="1442">
        <v>6</v>
      </c>
      <c r="K403" s="213"/>
      <c r="L403" s="2398"/>
      <c r="N403" s="535"/>
      <c r="T403" s="50"/>
      <c r="U403" s="50"/>
      <c r="V403" s="2415"/>
      <c r="W403" s="215"/>
      <c r="X403" s="215"/>
      <c r="Y403" s="215"/>
      <c r="Z403" s="215"/>
      <c r="AA403" s="215"/>
      <c r="AB403" s="215"/>
      <c r="AC403" s="215"/>
      <c r="AD403" s="224">
        <v>6</v>
      </c>
      <c r="AE403" s="1065">
        <v>6</v>
      </c>
      <c r="AF403" s="253">
        <v>6</v>
      </c>
      <c r="AG403" s="253">
        <f t="shared" si="80"/>
        <v>6</v>
      </c>
      <c r="DG403" s="543"/>
      <c r="DH403" s="149"/>
      <c r="DI403" s="1020"/>
    </row>
    <row r="404" spans="1:113" outlineLevel="1" x14ac:dyDescent="0.25">
      <c r="A404" s="2145"/>
      <c r="C404" s="49"/>
      <c r="D404" s="2415"/>
      <c r="E404" s="2415"/>
      <c r="F404" s="2414" t="str">
        <f t="shared" si="78"/>
        <v>Mini/MultiSplitASHP-Replace_CAC_NonElectricHeat_ER2_SF</v>
      </c>
      <c r="G404" s="2414"/>
      <c r="H404" s="2414"/>
      <c r="I404" s="874" t="str">
        <f t="shared" si="79"/>
        <v>351401_2024_12_</v>
      </c>
      <c r="J404" s="1442">
        <v>12</v>
      </c>
      <c r="K404" s="213"/>
      <c r="L404" s="2398"/>
      <c r="N404" s="535"/>
      <c r="T404" s="50"/>
      <c r="U404" s="50"/>
      <c r="V404" s="2415"/>
      <c r="W404" s="215"/>
      <c r="X404" s="215"/>
      <c r="Y404" s="215"/>
      <c r="Z404" s="215"/>
      <c r="AA404" s="215"/>
      <c r="AB404" s="215"/>
      <c r="AC404" s="215"/>
      <c r="AD404" s="224">
        <v>12</v>
      </c>
      <c r="AE404" s="1065">
        <v>12</v>
      </c>
      <c r="AF404" s="253">
        <v>12</v>
      </c>
      <c r="AG404" s="253">
        <f t="shared" si="80"/>
        <v>12</v>
      </c>
      <c r="DG404" s="543"/>
      <c r="DH404" s="149"/>
      <c r="DI404" s="1020"/>
    </row>
    <row r="405" spans="1:113" outlineLevel="1" x14ac:dyDescent="0.25">
      <c r="A405" s="2145"/>
      <c r="C405" s="49"/>
      <c r="D405" s="2415"/>
      <c r="E405" s="2415"/>
      <c r="F405" s="2414" t="str">
        <f t="shared" si="78"/>
        <v>Mini/MultiSplitASHP-Replace_CAC_NonElectricHeat_ER2_SF</v>
      </c>
      <c r="G405" s="2414"/>
      <c r="H405" s="2414"/>
      <c r="I405" s="874" t="str">
        <f t="shared" si="79"/>
        <v>351401_2024_12_</v>
      </c>
      <c r="J405" s="1442">
        <v>12</v>
      </c>
      <c r="K405" s="213"/>
      <c r="L405" s="2398"/>
      <c r="N405" s="535"/>
      <c r="T405" s="50"/>
      <c r="U405" s="50"/>
      <c r="V405" s="2415"/>
      <c r="W405" s="215"/>
      <c r="X405" s="215"/>
      <c r="Y405" s="215"/>
      <c r="Z405" s="215"/>
      <c r="AA405" s="215"/>
      <c r="AB405" s="215"/>
      <c r="AC405" s="215"/>
      <c r="AD405" s="224">
        <v>12</v>
      </c>
      <c r="AE405" s="1065">
        <v>12</v>
      </c>
      <c r="AF405" s="253">
        <v>12</v>
      </c>
      <c r="AG405" s="253">
        <f t="shared" si="80"/>
        <v>12</v>
      </c>
      <c r="DG405" s="543"/>
      <c r="DH405" s="149"/>
      <c r="DI405" s="1020"/>
    </row>
    <row r="406" spans="1:113" outlineLevel="1" x14ac:dyDescent="0.25">
      <c r="A406" s="2145"/>
      <c r="C406" s="49"/>
      <c r="D406" s="2415"/>
      <c r="E406" s="2415"/>
      <c r="F406" s="2414" t="str">
        <f t="shared" si="78"/>
        <v>Mini/MultiSplitASHP-Replace_CAC_ElectricHeat_ROF_SF</v>
      </c>
      <c r="G406" s="2414"/>
      <c r="H406" s="2414"/>
      <c r="I406" s="873" t="str">
        <f t="shared" si="79"/>
        <v>351450_2024_12_</v>
      </c>
      <c r="J406" s="1442">
        <v>18</v>
      </c>
      <c r="K406" s="213"/>
      <c r="L406" s="2398"/>
      <c r="N406" s="535"/>
      <c r="T406" s="50"/>
      <c r="U406" s="50"/>
      <c r="V406" s="2415"/>
      <c r="W406" s="215">
        <v>18</v>
      </c>
      <c r="X406" s="215">
        <v>18</v>
      </c>
      <c r="Y406" s="215">
        <v>18</v>
      </c>
      <c r="Z406" s="215">
        <v>18</v>
      </c>
      <c r="AA406" s="215">
        <v>18</v>
      </c>
      <c r="AB406" s="215">
        <v>18</v>
      </c>
      <c r="AC406" s="215">
        <v>18</v>
      </c>
      <c r="AD406" s="215">
        <v>18</v>
      </c>
      <c r="AE406" s="1065">
        <v>18</v>
      </c>
      <c r="AF406" s="253">
        <v>18</v>
      </c>
      <c r="AG406" s="253">
        <f t="shared" si="80"/>
        <v>18</v>
      </c>
      <c r="DG406" s="543"/>
      <c r="DH406" s="149"/>
      <c r="DI406" s="1020"/>
    </row>
    <row r="407" spans="1:113" outlineLevel="1" x14ac:dyDescent="0.25">
      <c r="A407" s="2145"/>
      <c r="C407" s="49"/>
      <c r="D407" s="2415"/>
      <c r="E407" s="2415"/>
      <c r="F407" s="2414" t="str">
        <f t="shared" si="78"/>
        <v>Mini/MultiSplitASHP-Replace_CAC_ElectricHeat_ROF_SF</v>
      </c>
      <c r="G407" s="2414"/>
      <c r="H407" s="2414"/>
      <c r="I407" s="873" t="str">
        <f t="shared" si="79"/>
        <v>351450_2024_12_</v>
      </c>
      <c r="J407" s="1442">
        <v>18</v>
      </c>
      <c r="K407" s="213"/>
      <c r="L407" s="2398"/>
      <c r="N407" s="535"/>
      <c r="T407" s="50"/>
      <c r="U407" s="50"/>
      <c r="V407" s="2415"/>
      <c r="W407" s="215">
        <v>18</v>
      </c>
      <c r="X407" s="215">
        <v>18</v>
      </c>
      <c r="Y407" s="215">
        <v>18</v>
      </c>
      <c r="Z407" s="215">
        <v>18</v>
      </c>
      <c r="AA407" s="215">
        <v>18</v>
      </c>
      <c r="AB407" s="215">
        <v>18</v>
      </c>
      <c r="AC407" s="215">
        <v>18</v>
      </c>
      <c r="AD407" s="215">
        <v>18</v>
      </c>
      <c r="AE407" s="1065">
        <v>18</v>
      </c>
      <c r="AF407" s="253">
        <v>18</v>
      </c>
      <c r="AG407" s="253">
        <f t="shared" si="80"/>
        <v>18</v>
      </c>
      <c r="DG407" s="543"/>
      <c r="DH407" s="149"/>
      <c r="DI407" s="1020"/>
    </row>
    <row r="408" spans="1:113" outlineLevel="1" x14ac:dyDescent="0.25">
      <c r="A408" s="2145"/>
      <c r="C408" s="49"/>
      <c r="D408" s="2415"/>
      <c r="E408" s="2415"/>
      <c r="F408" s="2414" t="str">
        <f t="shared" si="78"/>
        <v>Mini/MultiSplitASHP-Replace_CAC_NonElectricHeat_ROF_SF</v>
      </c>
      <c r="G408" s="2414"/>
      <c r="H408" s="2414"/>
      <c r="I408" s="873" t="str">
        <f t="shared" si="79"/>
        <v>351451_2024_12_</v>
      </c>
      <c r="J408" s="1442">
        <v>18</v>
      </c>
      <c r="K408" s="213"/>
      <c r="L408" s="2398"/>
      <c r="N408" s="535"/>
      <c r="T408" s="50"/>
      <c r="U408" s="50"/>
      <c r="V408" s="2415"/>
      <c r="W408" s="215"/>
      <c r="X408" s="215"/>
      <c r="Y408" s="215"/>
      <c r="Z408" s="215"/>
      <c r="AA408" s="215"/>
      <c r="AB408" s="215"/>
      <c r="AC408" s="215"/>
      <c r="AD408" s="224">
        <v>18</v>
      </c>
      <c r="AE408" s="1065">
        <v>18</v>
      </c>
      <c r="AF408" s="253">
        <v>18</v>
      </c>
      <c r="AG408" s="253">
        <f t="shared" si="80"/>
        <v>18</v>
      </c>
      <c r="DG408" s="543"/>
      <c r="DH408" s="149"/>
      <c r="DI408" s="1020"/>
    </row>
    <row r="409" spans="1:113" outlineLevel="1" x14ac:dyDescent="0.25">
      <c r="A409" s="2145"/>
      <c r="C409" s="49"/>
      <c r="D409" s="2415"/>
      <c r="E409" s="2415"/>
      <c r="F409" s="2414" t="str">
        <f t="shared" si="78"/>
        <v>Mini/MultiSplitASHP-Replace_CAC_NonElectricHeat_ROF_SF</v>
      </c>
      <c r="G409" s="2414"/>
      <c r="H409" s="2414"/>
      <c r="I409" s="873" t="str">
        <f t="shared" si="79"/>
        <v>351451_2024_12_</v>
      </c>
      <c r="J409" s="1442">
        <v>18</v>
      </c>
      <c r="K409" s="213"/>
      <c r="L409" s="2398"/>
      <c r="N409" s="535"/>
      <c r="T409" s="50"/>
      <c r="U409" s="50"/>
      <c r="V409" s="2415"/>
      <c r="W409" s="215"/>
      <c r="X409" s="215"/>
      <c r="Y409" s="215"/>
      <c r="Z409" s="215"/>
      <c r="AA409" s="215"/>
      <c r="AB409" s="215"/>
      <c r="AC409" s="215"/>
      <c r="AD409" s="224">
        <v>18</v>
      </c>
      <c r="AE409" s="1065">
        <v>18</v>
      </c>
      <c r="AF409" s="253">
        <v>18</v>
      </c>
      <c r="AG409" s="253">
        <f t="shared" si="80"/>
        <v>18</v>
      </c>
      <c r="DG409" s="543"/>
      <c r="DH409" s="149"/>
      <c r="DI409" s="1020"/>
    </row>
    <row r="410" spans="1:113" outlineLevel="1" x14ac:dyDescent="0.25">
      <c r="A410" s="2145"/>
      <c r="C410" s="49"/>
      <c r="D410" s="2415"/>
      <c r="E410" s="2415"/>
      <c r="F410" s="2414" t="str">
        <f t="shared" si="78"/>
        <v>Mini/MultiSplitASHP_ER1_SF</v>
      </c>
      <c r="G410" s="2414"/>
      <c r="H410" s="2414"/>
      <c r="I410" s="873" t="str">
        <f t="shared" si="79"/>
        <v>351500_2024_12_</v>
      </c>
      <c r="J410" s="1442">
        <v>6</v>
      </c>
      <c r="K410" s="213"/>
      <c r="L410" s="2398"/>
      <c r="N410" s="535"/>
      <c r="T410" s="50"/>
      <c r="U410" s="50"/>
      <c r="V410" s="2415"/>
      <c r="W410" s="215">
        <v>6</v>
      </c>
      <c r="X410" s="215">
        <v>6</v>
      </c>
      <c r="Y410" s="215">
        <v>6</v>
      </c>
      <c r="Z410" s="215">
        <v>6</v>
      </c>
      <c r="AA410" s="215">
        <v>6</v>
      </c>
      <c r="AB410" s="215">
        <v>6</v>
      </c>
      <c r="AC410" s="215">
        <v>6</v>
      </c>
      <c r="AD410" s="215">
        <v>6</v>
      </c>
      <c r="AE410" s="1065">
        <v>6</v>
      </c>
      <c r="AF410" s="253">
        <v>6</v>
      </c>
      <c r="AG410" s="253">
        <f t="shared" si="80"/>
        <v>6</v>
      </c>
      <c r="DG410" s="543"/>
      <c r="DH410" s="149"/>
      <c r="DI410" s="1020"/>
    </row>
    <row r="411" spans="1:113" outlineLevel="1" x14ac:dyDescent="0.25">
      <c r="A411" s="2145"/>
      <c r="C411" s="49"/>
      <c r="D411" s="2415"/>
      <c r="E411" s="2415"/>
      <c r="F411" s="2414" t="str">
        <f t="shared" si="78"/>
        <v>Mini/MultiSplitASHP_ER1_SF</v>
      </c>
      <c r="G411" s="2414"/>
      <c r="H411" s="2414"/>
      <c r="I411" s="873" t="str">
        <f t="shared" si="79"/>
        <v>351500_2024_12_</v>
      </c>
      <c r="J411" s="1442">
        <v>6</v>
      </c>
      <c r="K411" s="213"/>
      <c r="L411" s="2398"/>
      <c r="N411" s="535"/>
      <c r="T411" s="50"/>
      <c r="U411" s="50"/>
      <c r="V411" s="2415"/>
      <c r="W411" s="215">
        <v>6</v>
      </c>
      <c r="X411" s="215">
        <v>6</v>
      </c>
      <c r="Y411" s="215">
        <v>6</v>
      </c>
      <c r="Z411" s="215">
        <v>6</v>
      </c>
      <c r="AA411" s="215">
        <v>6</v>
      </c>
      <c r="AB411" s="215">
        <v>6</v>
      </c>
      <c r="AC411" s="215">
        <v>6</v>
      </c>
      <c r="AD411" s="215">
        <v>6</v>
      </c>
      <c r="AE411" s="1065">
        <v>6</v>
      </c>
      <c r="AF411" s="253">
        <v>6</v>
      </c>
      <c r="AG411" s="253">
        <f t="shared" si="80"/>
        <v>6</v>
      </c>
      <c r="DG411" s="543"/>
      <c r="DH411" s="149"/>
      <c r="DI411" s="1020"/>
    </row>
    <row r="412" spans="1:113" outlineLevel="1" x14ac:dyDescent="0.25">
      <c r="A412" s="2145"/>
      <c r="C412" s="49"/>
      <c r="D412" s="2415"/>
      <c r="E412" s="2415"/>
      <c r="F412" s="2414" t="str">
        <f t="shared" si="78"/>
        <v>Mini/MultiSplitASHP_ER2_SF</v>
      </c>
      <c r="G412" s="2414"/>
      <c r="H412" s="2414"/>
      <c r="I412" s="873" t="str">
        <f t="shared" si="79"/>
        <v>351500_2024_12_</v>
      </c>
      <c r="J412" s="1442">
        <v>12</v>
      </c>
      <c r="K412" s="213"/>
      <c r="L412" s="2398"/>
      <c r="N412" s="535"/>
      <c r="T412" s="50"/>
      <c r="U412" s="50"/>
      <c r="V412" s="2415"/>
      <c r="W412" s="215">
        <v>12</v>
      </c>
      <c r="X412" s="215">
        <v>12</v>
      </c>
      <c r="Y412" s="215">
        <v>12</v>
      </c>
      <c r="Z412" s="215">
        <v>12</v>
      </c>
      <c r="AA412" s="215">
        <v>12</v>
      </c>
      <c r="AB412" s="215">
        <v>12</v>
      </c>
      <c r="AC412" s="215">
        <v>12</v>
      </c>
      <c r="AD412" s="215">
        <v>12</v>
      </c>
      <c r="AE412" s="1065">
        <v>12</v>
      </c>
      <c r="AF412" s="253">
        <v>12</v>
      </c>
      <c r="AG412" s="253">
        <f t="shared" si="80"/>
        <v>12</v>
      </c>
      <c r="DG412" s="543"/>
      <c r="DH412" s="149"/>
      <c r="DI412" s="1020"/>
    </row>
    <row r="413" spans="1:113" outlineLevel="1" x14ac:dyDescent="0.25">
      <c r="A413" s="2145"/>
      <c r="C413" s="49"/>
      <c r="D413" s="2415"/>
      <c r="E413" s="2415"/>
      <c r="F413" s="2414" t="str">
        <f t="shared" si="78"/>
        <v>Mini/MultiSplitASHP_ER2_SF</v>
      </c>
      <c r="G413" s="2414"/>
      <c r="H413" s="2414"/>
      <c r="I413" s="873" t="str">
        <f t="shared" si="79"/>
        <v>351500_2024_12_</v>
      </c>
      <c r="J413" s="1442">
        <v>12</v>
      </c>
      <c r="K413" s="213"/>
      <c r="L413" s="2398"/>
      <c r="N413" s="535"/>
      <c r="T413" s="50"/>
      <c r="U413" s="50"/>
      <c r="V413" s="2415"/>
      <c r="W413" s="215">
        <v>12</v>
      </c>
      <c r="X413" s="215">
        <v>12</v>
      </c>
      <c r="Y413" s="215">
        <v>12</v>
      </c>
      <c r="Z413" s="215">
        <v>12</v>
      </c>
      <c r="AA413" s="215">
        <v>12</v>
      </c>
      <c r="AB413" s="215">
        <v>12</v>
      </c>
      <c r="AC413" s="215">
        <v>12</v>
      </c>
      <c r="AD413" s="215">
        <v>12</v>
      </c>
      <c r="AE413" s="1065">
        <v>12</v>
      </c>
      <c r="AF413" s="253">
        <v>12</v>
      </c>
      <c r="AG413" s="253">
        <f t="shared" si="80"/>
        <v>12</v>
      </c>
      <c r="DG413" s="543"/>
      <c r="DH413" s="149"/>
      <c r="DI413" s="1020"/>
    </row>
    <row r="414" spans="1:113" outlineLevel="1" x14ac:dyDescent="0.25">
      <c r="A414" s="2145"/>
      <c r="C414" s="49"/>
      <c r="D414" s="2415"/>
      <c r="E414" s="2415"/>
      <c r="F414" s="2414" t="str">
        <f t="shared" si="78"/>
        <v>Mini/MultiSplitAC_ER1_MF</v>
      </c>
      <c r="G414" s="2414"/>
      <c r="H414" s="2414"/>
      <c r="I414" s="873" t="str">
        <f t="shared" si="79"/>
        <v>351550_2024_12_</v>
      </c>
      <c r="J414" s="1442">
        <v>6</v>
      </c>
      <c r="K414" s="213"/>
      <c r="L414" s="2398"/>
      <c r="N414" s="535"/>
      <c r="T414" s="50"/>
      <c r="U414" s="50"/>
      <c r="V414" s="2415"/>
      <c r="W414" s="215">
        <v>6</v>
      </c>
      <c r="X414" s="215">
        <v>6</v>
      </c>
      <c r="Y414" s="215">
        <v>6</v>
      </c>
      <c r="Z414" s="215">
        <v>6</v>
      </c>
      <c r="AA414" s="215">
        <v>6</v>
      </c>
      <c r="AB414" s="215">
        <v>6</v>
      </c>
      <c r="AC414" s="215">
        <v>6</v>
      </c>
      <c r="AD414" s="215">
        <v>6</v>
      </c>
      <c r="AE414" s="1065">
        <v>6</v>
      </c>
      <c r="AF414" s="253">
        <v>6</v>
      </c>
      <c r="AG414" s="253">
        <f t="shared" si="80"/>
        <v>6</v>
      </c>
      <c r="DG414" s="543"/>
      <c r="DH414" s="149"/>
      <c r="DI414" s="1020"/>
    </row>
    <row r="415" spans="1:113" outlineLevel="1" x14ac:dyDescent="0.25">
      <c r="A415" s="2145"/>
      <c r="C415" s="49"/>
      <c r="D415" s="2415"/>
      <c r="E415" s="2415"/>
      <c r="F415" s="2414" t="str">
        <f t="shared" si="78"/>
        <v>Mini/MultiSplitAC_ER2_MF</v>
      </c>
      <c r="G415" s="2414"/>
      <c r="H415" s="2414"/>
      <c r="I415" s="873" t="str">
        <f t="shared" si="79"/>
        <v>351550_2024_12_</v>
      </c>
      <c r="J415" s="1442">
        <v>12</v>
      </c>
      <c r="K415" s="213"/>
      <c r="L415" s="2398"/>
      <c r="N415" s="535"/>
      <c r="T415" s="50"/>
      <c r="U415" s="50"/>
      <c r="V415" s="2415"/>
      <c r="W415" s="215">
        <v>12</v>
      </c>
      <c r="X415" s="215">
        <v>12</v>
      </c>
      <c r="Y415" s="215">
        <v>12</v>
      </c>
      <c r="Z415" s="215">
        <v>12</v>
      </c>
      <c r="AA415" s="215">
        <v>12</v>
      </c>
      <c r="AB415" s="215">
        <v>12</v>
      </c>
      <c r="AC415" s="215">
        <v>12</v>
      </c>
      <c r="AD415" s="215">
        <v>12</v>
      </c>
      <c r="AE415" s="1065">
        <v>12</v>
      </c>
      <c r="AF415" s="253">
        <v>12</v>
      </c>
      <c r="AG415" s="253">
        <f t="shared" si="80"/>
        <v>12</v>
      </c>
      <c r="DG415" s="543"/>
      <c r="DH415" s="149"/>
      <c r="DI415" s="1020"/>
    </row>
    <row r="416" spans="1:113" outlineLevel="1" x14ac:dyDescent="0.25">
      <c r="A416" s="2145"/>
      <c r="C416" s="49"/>
      <c r="D416" s="2419" t="s">
        <v>51</v>
      </c>
      <c r="E416" s="2419" t="s">
        <v>688</v>
      </c>
      <c r="F416" s="2414" t="str">
        <f t="shared" ref="F416:F440" si="81">F391</f>
        <v>Mini/MultiSplitAC_ER1_SF</v>
      </c>
      <c r="G416" s="2414"/>
      <c r="H416" s="2414"/>
      <c r="I416" s="873" t="str">
        <f t="shared" ref="I416:I440" si="82">I391</f>
        <v>351200_2024_12_</v>
      </c>
      <c r="J416" s="1476">
        <f>SUMIFS(S$266:S$269,Q$266:Q$269,"&lt;="&amp;L416,R$266:R$269,"&gt;"&amp;L416)*K416-((S$276+T$276*K416)*S$286)</f>
        <v>683.91788099116957</v>
      </c>
      <c r="K416" s="976">
        <f>VLOOKUP(INDEX($C$231:$E$255,MATCH(SUBSTITUTE(F416, "MultiSplitAC_", "MultiSplitASHP_"),$E$231:$E$255,0),1),$I$265:$K$274,3,FALSE)</f>
        <v>1.8757575757575757</v>
      </c>
      <c r="L416" s="1522">
        <f>VLOOKUP(INDEX($C$231:$E$255,MATCH(SUBSTITUTE(F416, "MultiSplitAC_", "MultiSplitASHP_"),$E$231:$E$255,0),1),$I$305:$J$314,2,FALSE)</f>
        <v>11.185185185185182</v>
      </c>
      <c r="M416" s="524">
        <f>VLOOKUP(I416,I$285:J$304,2,FALSE)</f>
        <v>0</v>
      </c>
      <c r="N416" s="988"/>
      <c r="T416" s="50"/>
      <c r="U416" s="50"/>
      <c r="V416" s="2415" t="str">
        <f>D416</f>
        <v>Inc. Cost</v>
      </c>
      <c r="W416" s="217">
        <v>2389.0666666666666</v>
      </c>
      <c r="X416" s="216">
        <f>(2108*(X$315/12000)/1.5)*X$365</f>
        <v>2108</v>
      </c>
      <c r="Y416" s="216">
        <f>(2108*(Y$315/12000)/1.5)*Y$365</f>
        <v>2108</v>
      </c>
      <c r="Z416" s="217">
        <v>2108</v>
      </c>
      <c r="AA416" s="217">
        <v>2108</v>
      </c>
      <c r="AB416" s="694">
        <v>1231.1592671062349</v>
      </c>
      <c r="AC416" s="216">
        <v>1133.5954314013989</v>
      </c>
      <c r="AD416" s="216">
        <v>1408.9941341172375</v>
      </c>
      <c r="AE416" s="1066">
        <v>1449.703861156642</v>
      </c>
      <c r="AF416" s="253">
        <f t="shared" ref="AF416:AF440" si="83">IF(J416&lt;&gt;"",J416,"")</f>
        <v>683.91788099116957</v>
      </c>
      <c r="AG416" s="253">
        <f t="shared" si="80"/>
        <v>683.91788099116957</v>
      </c>
      <c r="DG416" s="543"/>
      <c r="DH416" s="149"/>
      <c r="DI416" s="1020"/>
    </row>
    <row r="417" spans="1:113" outlineLevel="1" x14ac:dyDescent="0.25">
      <c r="A417" s="2145"/>
      <c r="C417" s="49"/>
      <c r="D417" s="2419"/>
      <c r="E417" s="2419"/>
      <c r="F417" s="2414" t="str">
        <f t="shared" si="81"/>
        <v>Mini/MultiSplitAC_ER2_SF</v>
      </c>
      <c r="G417" s="2414"/>
      <c r="H417" s="2414"/>
      <c r="I417" s="873" t="str">
        <f t="shared" si="82"/>
        <v>351200_2024_12_</v>
      </c>
      <c r="J417" s="697"/>
      <c r="K417" s="976"/>
      <c r="L417" s="873"/>
      <c r="N417" s="535"/>
      <c r="T417" s="50"/>
      <c r="U417" s="50"/>
      <c r="V417" s="2415"/>
      <c r="W417" s="217"/>
      <c r="X417" s="216"/>
      <c r="Y417" s="216"/>
      <c r="Z417" s="217"/>
      <c r="AA417" s="217"/>
      <c r="AB417" s="694"/>
      <c r="AC417" s="216"/>
      <c r="AD417" s="216"/>
      <c r="AE417" s="1258"/>
      <c r="AF417" s="253" t="str">
        <f t="shared" si="83"/>
        <v/>
      </c>
      <c r="AG417" s="253" t="str">
        <f t="shared" si="80"/>
        <v/>
      </c>
      <c r="DG417" s="543"/>
      <c r="DH417" s="149"/>
      <c r="DI417" s="1020"/>
    </row>
    <row r="418" spans="1:113" outlineLevel="1" x14ac:dyDescent="0.25">
      <c r="A418" s="2145"/>
      <c r="C418" s="49"/>
      <c r="D418" s="2419"/>
      <c r="E418" s="2419"/>
      <c r="F418" s="2414" t="str">
        <f t="shared" si="81"/>
        <v>Mini/MultiSplitAC_ROF_SF</v>
      </c>
      <c r="G418" s="2414"/>
      <c r="H418" s="2414"/>
      <c r="I418" s="873" t="str">
        <f t="shared" si="82"/>
        <v>351250_2024_12_</v>
      </c>
      <c r="J418" s="1476">
        <f>SUMIFS(T$266:T$269,Q$266:Q$269,"&lt;="&amp;L418,R$266:R$269,"&gt;"&amp;L418)*K418</f>
        <v>543.7067546700647</v>
      </c>
      <c r="K418" s="976">
        <f>VLOOKUP(INDEX($C$231:$E$255,MATCH(SUBSTITUTE(F418, "MultiSplitAC_", "MultiSplitASHP_"),$E$231:$E$255,0),1),$I$265:$K$274,3,FALSE)</f>
        <v>1.6278645349403136</v>
      </c>
      <c r="L418" s="1522">
        <f>VLOOKUP(INDEX($C$231:$E$255,MATCH(SUBSTITUTE(F418, "MultiSplitAC_", "MultiSplitASHP_"),$E$231:$E$255,0),1),$I$305:$J$314,2,FALSE)</f>
        <v>11.370854271356771</v>
      </c>
      <c r="M418" s="524"/>
      <c r="N418" s="988"/>
      <c r="T418" s="50"/>
      <c r="U418" s="50"/>
      <c r="V418" s="2415"/>
      <c r="W418" s="217">
        <v>1648</v>
      </c>
      <c r="X418" s="216">
        <f>(1545*(X$316/12000)/1.5)*X$367</f>
        <v>1545</v>
      </c>
      <c r="Y418" s="216">
        <f>(1545*(Y$316/12000)/1.5)*Y$367</f>
        <v>1545</v>
      </c>
      <c r="Z418" s="217">
        <v>1545</v>
      </c>
      <c r="AA418" s="217">
        <v>1545</v>
      </c>
      <c r="AB418" s="694">
        <v>336</v>
      </c>
      <c r="AC418" s="216">
        <v>337.89830508474574</v>
      </c>
      <c r="AD418" s="216">
        <v>364.64165582663026</v>
      </c>
      <c r="AE418" s="1258">
        <v>364.64165582663026</v>
      </c>
      <c r="AF418" s="253">
        <f t="shared" si="83"/>
        <v>543.7067546700647</v>
      </c>
      <c r="AG418" s="253">
        <f t="shared" si="80"/>
        <v>543.7067546700647</v>
      </c>
      <c r="DG418" s="543"/>
      <c r="DH418" s="149"/>
      <c r="DI418" s="1020"/>
    </row>
    <row r="419" spans="1:113" outlineLevel="1" x14ac:dyDescent="0.25">
      <c r="A419" s="2145"/>
      <c r="C419" s="49"/>
      <c r="D419" s="2419"/>
      <c r="E419" s="2419"/>
      <c r="F419" s="2414" t="str">
        <f t="shared" si="81"/>
        <v>Mini/MultiSplitASHP_ROF_SF_NC</v>
      </c>
      <c r="G419" s="2414"/>
      <c r="H419" s="2414"/>
      <c r="I419" s="873" t="str">
        <f t="shared" si="82"/>
        <v>351300_2024_12_</v>
      </c>
      <c r="J419" s="1476">
        <f>SUMIFS(T$266:T$269,Q$266:Q$269,"&lt;="&amp;L419,R$266:R$269,"&gt;"&amp;L419)*K419</f>
        <v>543.7067546700647</v>
      </c>
      <c r="K419" s="976">
        <f>VLOOKUP(INDEX($C$231:$E$255,MATCH(SUBSTITUTE(F419, "MultiSplitAC_", "MultiSplitASHP_"),$E$231:$E$255,0),1),$I$265:$K$274,3,FALSE)</f>
        <v>1.6278645349403136</v>
      </c>
      <c r="L419" s="1522">
        <f>VLOOKUP(INDEX($C$231:$E$255,MATCH(SUBSTITUTE(F419, "MultiSplitAC_", "MultiSplitASHP_"),$E$231:$E$255,0),1),$I$305:$J$314,2,FALSE)</f>
        <v>11.370854271356771</v>
      </c>
      <c r="M419" s="524"/>
      <c r="N419" s="988"/>
      <c r="T419" s="50"/>
      <c r="U419" s="50"/>
      <c r="V419" s="2415"/>
      <c r="W419" s="217">
        <v>828.79999999999984</v>
      </c>
      <c r="X419" s="216">
        <f>(888*(X$317/12000)/1.5)*X$368</f>
        <v>888</v>
      </c>
      <c r="Y419" s="216">
        <f>(888*(Y$317/12000)/1.5)*Y$368</f>
        <v>888</v>
      </c>
      <c r="Z419" s="217">
        <v>888</v>
      </c>
      <c r="AA419" s="217">
        <v>888</v>
      </c>
      <c r="AB419" s="694">
        <v>336</v>
      </c>
      <c r="AC419" s="216">
        <v>337.89830508474574</v>
      </c>
      <c r="AD419" s="216">
        <v>364.64165582663026</v>
      </c>
      <c r="AE419" s="1258">
        <v>364.64165582663026</v>
      </c>
      <c r="AF419" s="253">
        <f t="shared" si="83"/>
        <v>543.7067546700647</v>
      </c>
      <c r="AG419" s="253">
        <f t="shared" si="80"/>
        <v>543.7067546700647</v>
      </c>
      <c r="DG419" s="543"/>
      <c r="DH419" s="149"/>
      <c r="DI419" s="1020"/>
    </row>
    <row r="420" spans="1:113" outlineLevel="1" x14ac:dyDescent="0.25">
      <c r="A420" s="2145"/>
      <c r="C420" s="49"/>
      <c r="D420" s="2419"/>
      <c r="E420" s="2419"/>
      <c r="F420" s="2414" t="str">
        <f t="shared" si="81"/>
        <v>Mini/MultiSplitASHP_ROF_SF_NC</v>
      </c>
      <c r="G420" s="2414"/>
      <c r="H420" s="2414"/>
      <c r="I420" s="873" t="str">
        <f t="shared" si="82"/>
        <v>351300_2024_12_</v>
      </c>
      <c r="J420" s="697"/>
      <c r="K420" s="976"/>
      <c r="L420" s="873"/>
      <c r="N420" s="535"/>
      <c r="T420" s="50"/>
      <c r="U420" s="50"/>
      <c r="V420" s="2415"/>
      <c r="W420" s="217"/>
      <c r="X420" s="216"/>
      <c r="Y420" s="216"/>
      <c r="Z420" s="217"/>
      <c r="AA420" s="217"/>
      <c r="AB420" s="694"/>
      <c r="AC420" s="216"/>
      <c r="AD420" s="216"/>
      <c r="AE420" s="1258"/>
      <c r="AF420" s="253" t="str">
        <f t="shared" si="83"/>
        <v/>
      </c>
      <c r="AG420" s="253" t="str">
        <f t="shared" si="80"/>
        <v/>
      </c>
      <c r="DG420" s="543"/>
      <c r="DH420" s="149"/>
      <c r="DI420" s="1020"/>
    </row>
    <row r="421" spans="1:113" outlineLevel="1" x14ac:dyDescent="0.25">
      <c r="A421" s="2145"/>
      <c r="C421" s="49"/>
      <c r="D421" s="2419"/>
      <c r="E421" s="2419"/>
      <c r="F421" s="2414" t="str">
        <f t="shared" si="81"/>
        <v>Mini/MultiSplitASHP_ROF_SF</v>
      </c>
      <c r="G421" s="2414"/>
      <c r="H421" s="2414"/>
      <c r="I421" s="873" t="str">
        <f t="shared" si="82"/>
        <v>351350_2024_12_</v>
      </c>
      <c r="J421" s="1476">
        <f>SUMIFS(T$266:T$269,Q$266:Q$269,"&lt;="&amp;L421,R$266:R$269,"&gt;"&amp;L421)*K421</f>
        <v>543.7067546700647</v>
      </c>
      <c r="K421" s="976">
        <f>VLOOKUP(INDEX($C$231:$E$255,MATCH(SUBSTITUTE(F421, "MultiSplitAC_", "MultiSplitASHP_"),$E$231:$E$255,0),1),$I$265:$K$274,3,FALSE)</f>
        <v>1.6278645349403136</v>
      </c>
      <c r="L421" s="1522">
        <f>VLOOKUP(INDEX($C$231:$E$255,MATCH(SUBSTITUTE(F421, "MultiSplitAC_", "MultiSplitASHP_"),$E$231:$E$255,0),1),$I$305:$J$314,2,FALSE)</f>
        <v>11.370854271356771</v>
      </c>
      <c r="M421" s="524"/>
      <c r="N421" s="988"/>
      <c r="T421" s="50"/>
      <c r="U421" s="50"/>
      <c r="V421" s="2415"/>
      <c r="W421" s="217">
        <v>1006.4</v>
      </c>
      <c r="X421" s="216">
        <f>(888*(X$315/12000)/1.5)*X$370</f>
        <v>888</v>
      </c>
      <c r="Y421" s="216">
        <f>(888*(Y$315/12000)/1.5)*Y$370</f>
        <v>888</v>
      </c>
      <c r="Z421" s="217">
        <v>888</v>
      </c>
      <c r="AA421" s="217">
        <v>888</v>
      </c>
      <c r="AB421" s="694">
        <v>336</v>
      </c>
      <c r="AC421" s="216">
        <v>337.89830508474574</v>
      </c>
      <c r="AD421" s="216">
        <v>364.64165582663026</v>
      </c>
      <c r="AE421" s="1258">
        <v>364.64165582663026</v>
      </c>
      <c r="AF421" s="253">
        <f t="shared" si="83"/>
        <v>543.7067546700647</v>
      </c>
      <c r="AG421" s="253">
        <f t="shared" si="80"/>
        <v>543.7067546700647</v>
      </c>
      <c r="DG421" s="543"/>
      <c r="DH421" s="149"/>
      <c r="DI421" s="1020"/>
    </row>
    <row r="422" spans="1:113" outlineLevel="1" x14ac:dyDescent="0.25">
      <c r="A422" s="2145"/>
      <c r="C422" s="49"/>
      <c r="D422" s="2419"/>
      <c r="E422" s="2419"/>
      <c r="F422" s="2414" t="str">
        <f t="shared" si="81"/>
        <v>Mini/MultiSplitASHP_ROF_SF</v>
      </c>
      <c r="G422" s="2414"/>
      <c r="H422" s="2414"/>
      <c r="I422" s="873" t="str">
        <f t="shared" si="82"/>
        <v>351350_2024_12_</v>
      </c>
      <c r="J422" s="697"/>
      <c r="K422" s="976"/>
      <c r="L422" s="873"/>
      <c r="N422" s="535"/>
      <c r="T422" s="50"/>
      <c r="U422" s="50"/>
      <c r="V422" s="2415"/>
      <c r="W422" s="217"/>
      <c r="X422" s="216"/>
      <c r="Y422" s="216"/>
      <c r="Z422" s="217"/>
      <c r="AA422" s="217"/>
      <c r="AB422" s="694"/>
      <c r="AC422" s="216"/>
      <c r="AD422" s="216"/>
      <c r="AE422" s="1258"/>
      <c r="AF422" s="253" t="str">
        <f t="shared" si="83"/>
        <v/>
      </c>
      <c r="AG422" s="253" t="str">
        <f t="shared" si="80"/>
        <v/>
      </c>
      <c r="DG422" s="543"/>
      <c r="DH422" s="149"/>
      <c r="DI422" s="1020"/>
    </row>
    <row r="423" spans="1:113" outlineLevel="1" x14ac:dyDescent="0.25">
      <c r="A423" s="2145"/>
      <c r="C423" s="49"/>
      <c r="D423" s="2419"/>
      <c r="E423" s="2419"/>
      <c r="F423" s="2414" t="str">
        <f t="shared" si="81"/>
        <v>Mini/MultiSplitASHP-Replace_CAC_ElectricHeat_ER1_SF</v>
      </c>
      <c r="G423" s="2414"/>
      <c r="H423" s="2414"/>
      <c r="I423" s="873" t="str">
        <f t="shared" si="82"/>
        <v>351400_2024_12_</v>
      </c>
      <c r="J423" s="1476">
        <f>MAX((SUMIFS(S$266:S$269,Q$266:Q$269,"&lt;="&amp;L423,R$266:R$269,"&gt;"&amp;L423)*K423)-((S$277+T$277*K423)*S$286),(SUMIFS(T$266:T$269,Q$266:Q$269,"&lt;="&amp;L423,R$266:R$269,"&gt;"&amp;L423)*K423))</f>
        <v>626.5030303030303</v>
      </c>
      <c r="K423" s="976">
        <f>VLOOKUP(INDEX($C$231:$E$255,MATCH(SUBSTITUTE(F423, "MultiSplitAC_", "MultiSplitASHP_"),$E$231:$E$255,0),1),$I$265:$K$274,3,FALSE)</f>
        <v>1.8757575757575757</v>
      </c>
      <c r="L423" s="1522">
        <f>VLOOKUP(INDEX($C$231:$E$255,MATCH(SUBSTITUTE(F423, "MultiSplitAC_", "MultiSplitASHP_"),$E$231:$E$255,0),1),$I$305:$J$314,2,FALSE)</f>
        <v>11.185185185185182</v>
      </c>
      <c r="M423" s="524">
        <f>VLOOKUP(I423,I$285:J$304,2,FALSE)</f>
        <v>3.4119999999999999</v>
      </c>
      <c r="N423" s="988"/>
      <c r="T423" s="50"/>
      <c r="U423" s="50"/>
      <c r="V423" s="2415"/>
      <c r="W423" s="217">
        <v>1967.4666666666665</v>
      </c>
      <c r="X423" s="216">
        <f>(2108*(X$319/12000)/1.5)*X$372</f>
        <v>2108</v>
      </c>
      <c r="Y423" s="216">
        <f>(2108*(Y$319/12000)/1.5)*Y$372</f>
        <v>2108</v>
      </c>
      <c r="Z423" s="217">
        <v>2108</v>
      </c>
      <c r="AA423" s="217">
        <v>2108</v>
      </c>
      <c r="AB423" s="694">
        <v>2504.17</v>
      </c>
      <c r="AC423" s="216">
        <v>2505.747142294048</v>
      </c>
      <c r="AD423" s="216">
        <v>2768.8371103720847</v>
      </c>
      <c r="AE423" s="1066">
        <v>2505.1916558266303</v>
      </c>
      <c r="AF423" s="253">
        <f t="shared" si="83"/>
        <v>626.5030303030303</v>
      </c>
      <c r="AG423" s="253">
        <f t="shared" si="80"/>
        <v>626.5030303030303</v>
      </c>
      <c r="DG423" s="543"/>
      <c r="DH423" s="149"/>
      <c r="DI423" s="1020"/>
    </row>
    <row r="424" spans="1:113" outlineLevel="1" x14ac:dyDescent="0.25">
      <c r="A424" s="2145"/>
      <c r="C424" s="49"/>
      <c r="D424" s="2419"/>
      <c r="E424" s="2419"/>
      <c r="F424" s="2414" t="str">
        <f t="shared" si="81"/>
        <v>Mini/MultiSplitASHP-Replace_CAC_ElectricHeat_ER1_SF</v>
      </c>
      <c r="G424" s="2414"/>
      <c r="H424" s="2414"/>
      <c r="I424" s="873" t="str">
        <f t="shared" si="82"/>
        <v>351400_2024_12_</v>
      </c>
      <c r="J424" s="697"/>
      <c r="K424" s="976"/>
      <c r="L424" s="873"/>
      <c r="N424" s="535"/>
      <c r="T424" s="50"/>
      <c r="U424" s="50"/>
      <c r="V424" s="2415"/>
      <c r="W424" s="217"/>
      <c r="X424" s="216"/>
      <c r="Y424" s="216"/>
      <c r="Z424" s="217"/>
      <c r="AA424" s="217"/>
      <c r="AB424" s="694"/>
      <c r="AC424" s="216"/>
      <c r="AD424" s="216"/>
      <c r="AE424" s="1258"/>
      <c r="AF424" s="253" t="str">
        <f t="shared" si="83"/>
        <v/>
      </c>
      <c r="AG424" s="253" t="str">
        <f t="shared" si="80"/>
        <v/>
      </c>
      <c r="DG424" s="543"/>
      <c r="DH424" s="149"/>
      <c r="DI424" s="1020"/>
    </row>
    <row r="425" spans="1:113" outlineLevel="1" x14ac:dyDescent="0.25">
      <c r="A425" s="2145"/>
      <c r="C425" s="49"/>
      <c r="D425" s="2419"/>
      <c r="E425" s="2419"/>
      <c r="F425" s="2414" t="str">
        <f t="shared" si="81"/>
        <v>Mini/MultiSplitASHP-Replace_CAC_ElectricHeat_ER2_SF</v>
      </c>
      <c r="G425" s="2414"/>
      <c r="H425" s="2414"/>
      <c r="I425" s="873" t="str">
        <f t="shared" si="82"/>
        <v>351400_2024_12_</v>
      </c>
      <c r="J425" s="697"/>
      <c r="K425" s="976"/>
      <c r="L425" s="873"/>
      <c r="N425" s="535"/>
      <c r="T425" s="50"/>
      <c r="U425" s="50"/>
      <c r="V425" s="2415"/>
      <c r="W425" s="217"/>
      <c r="X425" s="216"/>
      <c r="Y425" s="216"/>
      <c r="Z425" s="217"/>
      <c r="AA425" s="217"/>
      <c r="AB425" s="694"/>
      <c r="AC425" s="216"/>
      <c r="AD425" s="216"/>
      <c r="AE425" s="1258"/>
      <c r="AF425" s="253" t="str">
        <f t="shared" si="83"/>
        <v/>
      </c>
      <c r="AG425" s="253" t="str">
        <f t="shared" si="80"/>
        <v/>
      </c>
      <c r="DG425" s="543"/>
      <c r="DH425" s="149"/>
      <c r="DI425" s="1020"/>
    </row>
    <row r="426" spans="1:113" outlineLevel="1" x14ac:dyDescent="0.25">
      <c r="A426" s="2145"/>
      <c r="C426" s="49"/>
      <c r="D426" s="2419"/>
      <c r="E426" s="2419"/>
      <c r="F426" s="2414" t="str">
        <f t="shared" si="81"/>
        <v>Mini/MultiSplitASHP-Replace_CAC_ElectricHeat_ER2_SF</v>
      </c>
      <c r="G426" s="2414"/>
      <c r="H426" s="2414"/>
      <c r="I426" s="873" t="str">
        <f t="shared" si="82"/>
        <v>351400_2024_12_</v>
      </c>
      <c r="J426" s="697"/>
      <c r="K426" s="976"/>
      <c r="L426" s="873"/>
      <c r="N426" s="535"/>
      <c r="T426" s="50"/>
      <c r="U426" s="50"/>
      <c r="V426" s="2415"/>
      <c r="W426" s="217"/>
      <c r="X426" s="216"/>
      <c r="Y426" s="216"/>
      <c r="Z426" s="217"/>
      <c r="AA426" s="217"/>
      <c r="AB426" s="694"/>
      <c r="AC426" s="216"/>
      <c r="AD426" s="216"/>
      <c r="AE426" s="1258"/>
      <c r="AF426" s="253" t="str">
        <f t="shared" si="83"/>
        <v/>
      </c>
      <c r="AG426" s="253" t="str">
        <f t="shared" si="80"/>
        <v/>
      </c>
      <c r="DG426" s="543"/>
      <c r="DH426" s="149"/>
      <c r="DI426" s="1020"/>
    </row>
    <row r="427" spans="1:113" outlineLevel="1" x14ac:dyDescent="0.25">
      <c r="A427" s="2145"/>
      <c r="C427" s="49"/>
      <c r="D427" s="2419"/>
      <c r="E427" s="2419"/>
      <c r="F427" s="2414" t="str">
        <f t="shared" si="81"/>
        <v>Mini/MultiSplitASHP-Replace_CAC_NonElectricHeat_ER1_SF</v>
      </c>
      <c r="G427" s="2414"/>
      <c r="H427" s="2414"/>
      <c r="I427" s="873" t="str">
        <f t="shared" si="82"/>
        <v>351401_2024_12_</v>
      </c>
      <c r="J427" s="1476">
        <f>MAX((SUMIFS(S$266:S$269,Q$266:Q$269,"&lt;="&amp;L427,R$266:R$269,"&gt;"&amp;L427)*K427-((T$278*K427+S$278)*S$286))*VLOOKUP(I427,$I$441:$J$442,2,FALSE),SUMIFS(T$266:T$269,Q$266:Q$269,"&lt;="&amp;L427,R$266:R$269,"&gt;"&amp;L427)*K427*VLOOKUP(I427,$I$441:$J$442,2,FALSE))</f>
        <v>89.869631889142951</v>
      </c>
      <c r="K427" s="976">
        <f>VLOOKUP(INDEX($C$231:$E$255,MATCH(SUBSTITUTE(F427, "MultiSplitAC_", "MultiSplitASHP_"),$E$231:$E$255,0),1),$I$265:$K$274,3,FALSE)</f>
        <v>1.8757575757575757</v>
      </c>
      <c r="L427" s="1522">
        <f>VLOOKUP(INDEX($C$231:$E$255,MATCH(SUBSTITUTE(F427, "MultiSplitAC_", "MultiSplitASHP_"),$E$231:$E$255,0),1),$I$305:$J$314,2,FALSE)</f>
        <v>11.185185185185182</v>
      </c>
      <c r="M427" s="524">
        <f>VLOOKUP(I427,I$285:J$304,2,FALSE)</f>
        <v>0</v>
      </c>
      <c r="N427" s="988"/>
      <c r="T427" s="50"/>
      <c r="U427" s="50"/>
      <c r="V427" s="2415"/>
      <c r="W427" s="217"/>
      <c r="X427" s="216"/>
      <c r="Y427" s="216"/>
      <c r="Z427" s="217"/>
      <c r="AA427" s="217"/>
      <c r="AB427" s="694"/>
      <c r="AC427" s="216"/>
      <c r="AD427" s="216">
        <v>2768.8371103720847</v>
      </c>
      <c r="AE427" s="1066">
        <v>2505.1916558266303</v>
      </c>
      <c r="AF427" s="253">
        <f t="shared" si="83"/>
        <v>89.869631889142951</v>
      </c>
      <c r="AG427" s="253">
        <f t="shared" si="80"/>
        <v>89.869631889142951</v>
      </c>
      <c r="DG427" s="543"/>
      <c r="DH427" s="149"/>
      <c r="DI427" s="1020"/>
    </row>
    <row r="428" spans="1:113" outlineLevel="1" x14ac:dyDescent="0.25">
      <c r="A428" s="2145"/>
      <c r="C428" s="49"/>
      <c r="D428" s="2419"/>
      <c r="E428" s="2419"/>
      <c r="F428" s="2414" t="str">
        <f t="shared" si="81"/>
        <v>Mini/MultiSplitASHP-Replace_CAC_NonElectricHeat_ER1_SF</v>
      </c>
      <c r="G428" s="2414"/>
      <c r="H428" s="2414"/>
      <c r="I428" s="873" t="str">
        <f t="shared" si="82"/>
        <v>351401_2024_12_</v>
      </c>
      <c r="J428" s="697"/>
      <c r="K428" s="976"/>
      <c r="L428" s="873"/>
      <c r="N428" s="535"/>
      <c r="T428" s="50"/>
      <c r="U428" s="50"/>
      <c r="V428" s="2415"/>
      <c r="W428" s="217"/>
      <c r="X428" s="216"/>
      <c r="Y428" s="216"/>
      <c r="Z428" s="217"/>
      <c r="AA428" s="217"/>
      <c r="AB428" s="694"/>
      <c r="AC428" s="216"/>
      <c r="AD428" s="216"/>
      <c r="AE428" s="1258"/>
      <c r="AF428" s="253" t="str">
        <f t="shared" si="83"/>
        <v/>
      </c>
      <c r="AG428" s="253" t="str">
        <f t="shared" si="80"/>
        <v/>
      </c>
      <c r="DG428" s="543"/>
      <c r="DH428" s="149"/>
      <c r="DI428" s="1020"/>
    </row>
    <row r="429" spans="1:113" outlineLevel="1" x14ac:dyDescent="0.25">
      <c r="A429" s="2145"/>
      <c r="C429" s="49"/>
      <c r="D429" s="2419"/>
      <c r="E429" s="2419"/>
      <c r="F429" s="2414" t="str">
        <f t="shared" si="81"/>
        <v>Mini/MultiSplitASHP-Replace_CAC_NonElectricHeat_ER2_SF</v>
      </c>
      <c r="G429" s="2414"/>
      <c r="H429" s="2414"/>
      <c r="I429" s="873" t="str">
        <f t="shared" si="82"/>
        <v>351401_2024_12_</v>
      </c>
      <c r="J429" s="697"/>
      <c r="K429" s="976"/>
      <c r="L429" s="873"/>
      <c r="N429" s="535"/>
      <c r="T429" s="50"/>
      <c r="U429" s="50"/>
      <c r="V429" s="2415"/>
      <c r="W429" s="217"/>
      <c r="X429" s="216"/>
      <c r="Y429" s="216"/>
      <c r="Z429" s="217"/>
      <c r="AA429" s="217"/>
      <c r="AB429" s="694"/>
      <c r="AC429" s="216"/>
      <c r="AD429" s="216"/>
      <c r="AE429" s="1258"/>
      <c r="AF429" s="253" t="str">
        <f t="shared" si="83"/>
        <v/>
      </c>
      <c r="AG429" s="253" t="str">
        <f t="shared" si="80"/>
        <v/>
      </c>
      <c r="DG429" s="543"/>
      <c r="DH429" s="149"/>
      <c r="DI429" s="1020"/>
    </row>
    <row r="430" spans="1:113" outlineLevel="1" x14ac:dyDescent="0.25">
      <c r="A430" s="2145"/>
      <c r="C430" s="49"/>
      <c r="D430" s="2419"/>
      <c r="E430" s="2419"/>
      <c r="F430" s="2414" t="str">
        <f t="shared" si="81"/>
        <v>Mini/MultiSplitASHP-Replace_CAC_NonElectricHeat_ER2_SF</v>
      </c>
      <c r="G430" s="2414"/>
      <c r="H430" s="2414"/>
      <c r="I430" s="873" t="str">
        <f t="shared" si="82"/>
        <v>351401_2024_12_</v>
      </c>
      <c r="J430" s="697"/>
      <c r="K430" s="976"/>
      <c r="L430" s="873"/>
      <c r="N430" s="535"/>
      <c r="T430" s="50"/>
      <c r="U430" s="50"/>
      <c r="V430" s="2415"/>
      <c r="W430" s="217"/>
      <c r="X430" s="216"/>
      <c r="Y430" s="216"/>
      <c r="Z430" s="217"/>
      <c r="AA430" s="217"/>
      <c r="AB430" s="694"/>
      <c r="AC430" s="216"/>
      <c r="AD430" s="216"/>
      <c r="AE430" s="1258"/>
      <c r="AF430" s="253" t="str">
        <f t="shared" si="83"/>
        <v/>
      </c>
      <c r="AG430" s="253" t="str">
        <f t="shared" si="80"/>
        <v/>
      </c>
      <c r="DG430" s="543"/>
      <c r="DH430" s="149"/>
      <c r="DI430" s="1020"/>
    </row>
    <row r="431" spans="1:113" outlineLevel="1" x14ac:dyDescent="0.25">
      <c r="A431" s="2145"/>
      <c r="C431" s="49"/>
      <c r="D431" s="2419"/>
      <c r="E431" s="2419"/>
      <c r="F431" s="2414" t="str">
        <f t="shared" si="81"/>
        <v>Mini/MultiSplitASHP-Replace_CAC_ElectricHeat_ROF_SF</v>
      </c>
      <c r="G431" s="2414"/>
      <c r="H431" s="2414"/>
      <c r="I431" s="873" t="str">
        <f t="shared" si="82"/>
        <v>351450_2024_12_</v>
      </c>
      <c r="J431" s="1476">
        <f>MAX((SUMIFS(S$266:S$269,Q$266:Q$269,"&lt;="&amp;L431,R$266:R$269,"&gt;"&amp;L431)*K431)-(S$274+T$274*K431),(SUMIFS(T$266:T$269,Q$266:Q$269,"&lt;="&amp;L431,R$266:R$269,"&gt;"&amp;L431)*K431))</f>
        <v>543.7067546700647</v>
      </c>
      <c r="K431" s="976">
        <f>VLOOKUP(INDEX($C$231:$E$255,MATCH(SUBSTITUTE(F431, "MultiSplitAC_", "MultiSplitASHP_"),$E$231:$E$255,0),1),$I$265:$K$274,3,FALSE)</f>
        <v>1.6278645349403136</v>
      </c>
      <c r="L431" s="1522">
        <f>VLOOKUP(INDEX($C$231:$E$255,MATCH(SUBSTITUTE(F431, "MultiSplitAC_", "MultiSplitASHP_"),$E$231:$E$255,0),1),$I$305:$J$314,2,FALSE)</f>
        <v>11.370854271356771</v>
      </c>
      <c r="M431" s="524"/>
      <c r="N431" s="988"/>
      <c r="T431" s="50"/>
      <c r="U431" s="50"/>
      <c r="V431" s="2415"/>
      <c r="W431" s="217">
        <v>1121.0666666666668</v>
      </c>
      <c r="X431" s="216">
        <f>(1051*(X$320/12000)/1.5)*X$380</f>
        <v>1051</v>
      </c>
      <c r="Y431" s="216">
        <f>(1051*(Y$320/12000)/1.5)*Y$380</f>
        <v>1121.0666666666668</v>
      </c>
      <c r="Z431" s="217">
        <v>1121.0666666666668</v>
      </c>
      <c r="AA431" s="217">
        <v>1121.0666666666668</v>
      </c>
      <c r="AB431" s="694">
        <v>336</v>
      </c>
      <c r="AC431" s="216">
        <v>337.89830508474574</v>
      </c>
      <c r="AD431" s="216">
        <v>364.64165582663026</v>
      </c>
      <c r="AE431" s="1258">
        <v>364.64165582663026</v>
      </c>
      <c r="AF431" s="253">
        <f t="shared" si="83"/>
        <v>543.7067546700647</v>
      </c>
      <c r="AG431" s="253">
        <f t="shared" si="80"/>
        <v>543.7067546700647</v>
      </c>
      <c r="DG431" s="543"/>
      <c r="DH431" s="149"/>
      <c r="DI431" s="1020"/>
    </row>
    <row r="432" spans="1:113" outlineLevel="1" x14ac:dyDescent="0.25">
      <c r="A432" s="2145"/>
      <c r="C432" s="49"/>
      <c r="D432" s="2419"/>
      <c r="E432" s="2419"/>
      <c r="F432" s="2414" t="str">
        <f t="shared" si="81"/>
        <v>Mini/MultiSplitASHP-Replace_CAC_ElectricHeat_ROF_SF</v>
      </c>
      <c r="G432" s="2414"/>
      <c r="H432" s="2414"/>
      <c r="I432" s="873" t="str">
        <f t="shared" si="82"/>
        <v>351450_2024_12_</v>
      </c>
      <c r="J432" s="697"/>
      <c r="K432" s="976"/>
      <c r="L432" s="873"/>
      <c r="N432" s="535"/>
      <c r="T432" s="50"/>
      <c r="U432" s="50"/>
      <c r="V432" s="2415"/>
      <c r="W432" s="217"/>
      <c r="X432" s="216"/>
      <c r="Y432" s="216"/>
      <c r="Z432" s="217"/>
      <c r="AA432" s="217"/>
      <c r="AB432" s="694"/>
      <c r="AC432" s="216"/>
      <c r="AD432" s="216"/>
      <c r="AE432" s="1258"/>
      <c r="AF432" s="253" t="str">
        <f t="shared" si="83"/>
        <v/>
      </c>
      <c r="AG432" s="253" t="str">
        <f t="shared" si="80"/>
        <v/>
      </c>
      <c r="DG432" s="543"/>
      <c r="DH432" s="149"/>
      <c r="DI432" s="1020"/>
    </row>
    <row r="433" spans="1:114" outlineLevel="1" x14ac:dyDescent="0.25">
      <c r="A433" s="2145"/>
      <c r="C433" s="49"/>
      <c r="D433" s="2419"/>
      <c r="E433" s="2419"/>
      <c r="F433" s="2414" t="str">
        <f t="shared" si="81"/>
        <v>Mini/MultiSplitASHP-Replace_CAC_NonElectricHeat_ROF_SF</v>
      </c>
      <c r="G433" s="2414"/>
      <c r="H433" s="2414"/>
      <c r="I433" s="873" t="str">
        <f t="shared" si="82"/>
        <v>351451_2024_12_</v>
      </c>
      <c r="J433" s="1476">
        <f>MAX((SUMIFS(S$266:S$269,Q$266:Q$269,"&lt;="&amp;L433,R$266:R$269,"&gt;"&amp;L433)*K433)-(S$275+T$275*K433),(SUMIFS(T$266:T$269,Q$266:Q$269,"&lt;="&amp;L433,R$266:R$269,"&gt;"&amp;L433)*K433))*VLOOKUP(I433,$I$441:$J$442,2,FALSE)</f>
        <v>36.630324772238367</v>
      </c>
      <c r="K433" s="976">
        <f>VLOOKUP(INDEX($C$231:$E$255,MATCH(SUBSTITUTE(F433, "MultiSplitAC_", "MultiSplitASHP_"),$E$231:$E$255,0),1),$I$265:$K$274,3,FALSE)</f>
        <v>1.6278645349403136</v>
      </c>
      <c r="L433" s="1522">
        <f>VLOOKUP(INDEX($C$231:$E$255,MATCH(SUBSTITUTE(F433, "MultiSplitAC_", "MultiSplitASHP_"),$E$231:$E$255,0),1),$I$305:$J$314,2,FALSE)</f>
        <v>11.370854271356771</v>
      </c>
      <c r="M433" s="524"/>
      <c r="N433" s="988"/>
      <c r="T433" s="50"/>
      <c r="U433" s="50"/>
      <c r="V433" s="2415"/>
      <c r="W433" s="217"/>
      <c r="X433" s="216"/>
      <c r="Y433" s="216"/>
      <c r="Z433" s="217"/>
      <c r="AA433" s="217"/>
      <c r="AB433" s="694"/>
      <c r="AC433" s="216"/>
      <c r="AD433" s="216">
        <v>364.64165582663026</v>
      </c>
      <c r="AE433" s="1258">
        <v>364.64165582663026</v>
      </c>
      <c r="AF433" s="253">
        <f t="shared" si="83"/>
        <v>36.630324772238367</v>
      </c>
      <c r="AG433" s="253">
        <f t="shared" si="80"/>
        <v>36.630324772238367</v>
      </c>
      <c r="DG433" s="543"/>
      <c r="DH433" s="149"/>
      <c r="DI433" s="1020"/>
    </row>
    <row r="434" spans="1:114" outlineLevel="1" x14ac:dyDescent="0.25">
      <c r="A434" s="2145"/>
      <c r="C434" s="49"/>
      <c r="D434" s="2419"/>
      <c r="E434" s="2419"/>
      <c r="F434" s="2414" t="str">
        <f t="shared" si="81"/>
        <v>Mini/MultiSplitASHP-Replace_CAC_NonElectricHeat_ROF_SF</v>
      </c>
      <c r="G434" s="2414"/>
      <c r="H434" s="2414"/>
      <c r="I434" s="873" t="str">
        <f t="shared" si="82"/>
        <v>351451_2024_12_</v>
      </c>
      <c r="J434" s="697"/>
      <c r="K434" s="976"/>
      <c r="L434" s="873"/>
      <c r="N434" s="535"/>
      <c r="T434" s="50"/>
      <c r="U434" s="50"/>
      <c r="V434" s="2415"/>
      <c r="W434" s="217"/>
      <c r="X434" s="216"/>
      <c r="Y434" s="216"/>
      <c r="Z434" s="217"/>
      <c r="AA434" s="217"/>
      <c r="AB434" s="694"/>
      <c r="AC434" s="216"/>
      <c r="AD434" s="216"/>
      <c r="AE434" s="1258"/>
      <c r="AF434" s="253" t="str">
        <f t="shared" si="83"/>
        <v/>
      </c>
      <c r="AG434" s="253" t="str">
        <f t="shared" si="80"/>
        <v/>
      </c>
      <c r="DG434" s="543"/>
      <c r="DH434" s="149"/>
      <c r="DI434" s="1020"/>
    </row>
    <row r="435" spans="1:114" outlineLevel="1" x14ac:dyDescent="0.25">
      <c r="A435" s="2145"/>
      <c r="C435" s="49"/>
      <c r="D435" s="2419"/>
      <c r="E435" s="2419"/>
      <c r="F435" s="2414" t="str">
        <f t="shared" si="81"/>
        <v>Mini/MultiSplitASHP_ER1_SF</v>
      </c>
      <c r="G435" s="2414"/>
      <c r="H435" s="2414"/>
      <c r="I435" s="873" t="str">
        <f t="shared" si="82"/>
        <v>351500_2024_12_</v>
      </c>
      <c r="J435" s="1476">
        <f>MAX((SUMIFS(S$266:S$269,Q$266:Q$269,"&lt;="&amp;L435,R$266:R$269,"&gt;"&amp;L435)*K435)-((S$276+T$276*K435)*S$286),(SUMIFS(T$266:T$269,Q$266:Q$269,"&lt;="&amp;L435,R$266:R$269,"&gt;"&amp;L435)*K435))</f>
        <v>683.91788099116957</v>
      </c>
      <c r="K435" s="976">
        <f>VLOOKUP(INDEX($C$231:$E$255,MATCH(SUBSTITUTE(F435, "MultiSplitAC_", "MultiSplitASHP_"),$E$231:$E$255,0),1),$I$265:$K$274,3,FALSE)</f>
        <v>1.8757575757575757</v>
      </c>
      <c r="L435" s="1522">
        <f>VLOOKUP(INDEX($C$231:$E$255,MATCH(SUBSTITUTE(F435, "MultiSplitAC_", "MultiSplitASHP_"),$E$231:$E$255,0),1),$I$305:$J$314,2,FALSE)</f>
        <v>11.185185185185182</v>
      </c>
      <c r="M435" s="524">
        <f>VLOOKUP(I435,I$285:J$304,2,FALSE)</f>
        <v>7.5</v>
      </c>
      <c r="N435" s="988"/>
      <c r="T435" s="50"/>
      <c r="U435" s="50"/>
      <c r="V435" s="2415"/>
      <c r="W435" s="217">
        <v>2246.2666666666669</v>
      </c>
      <c r="X435" s="216">
        <f>(1982*(X$323/12000)/1.5)*X$384</f>
        <v>1982</v>
      </c>
      <c r="Y435" s="216">
        <f>(1982*(Y$323/12000)/1.5)*Y$384</f>
        <v>1982</v>
      </c>
      <c r="Z435" s="217">
        <v>1982</v>
      </c>
      <c r="AA435" s="217">
        <v>1982</v>
      </c>
      <c r="AB435" s="694">
        <v>648.60319098531227</v>
      </c>
      <c r="AC435" s="216">
        <v>698.32770489042764</v>
      </c>
      <c r="AD435" s="216">
        <v>789.39384082840229</v>
      </c>
      <c r="AE435" s="1066">
        <v>795.09302732123228</v>
      </c>
      <c r="AF435" s="253">
        <f t="shared" si="83"/>
        <v>683.91788099116957</v>
      </c>
      <c r="AG435" s="253">
        <f t="shared" si="80"/>
        <v>683.91788099116957</v>
      </c>
      <c r="DG435" s="543"/>
      <c r="DH435" s="149"/>
      <c r="DI435" s="1020"/>
    </row>
    <row r="436" spans="1:114" outlineLevel="1" x14ac:dyDescent="0.25">
      <c r="A436" s="2145"/>
      <c r="C436" s="49"/>
      <c r="D436" s="2419"/>
      <c r="E436" s="2419"/>
      <c r="F436" s="2414" t="str">
        <f t="shared" si="81"/>
        <v>Mini/MultiSplitASHP_ER1_SF</v>
      </c>
      <c r="G436" s="2414"/>
      <c r="H436" s="2414"/>
      <c r="I436" s="873" t="str">
        <f t="shared" si="82"/>
        <v>351500_2024_12_</v>
      </c>
      <c r="J436" s="360"/>
      <c r="K436" s="976"/>
      <c r="L436" s="873"/>
      <c r="N436" s="535"/>
      <c r="T436" s="50"/>
      <c r="U436" s="50"/>
      <c r="V436" s="2415"/>
      <c r="W436" s="219"/>
      <c r="X436" s="218"/>
      <c r="Y436" s="218"/>
      <c r="Z436" s="219"/>
      <c r="AA436" s="219"/>
      <c r="AB436" s="694"/>
      <c r="AC436" s="218"/>
      <c r="AD436" s="218"/>
      <c r="AE436" s="220"/>
      <c r="AF436" s="253" t="str">
        <f t="shared" si="83"/>
        <v/>
      </c>
      <c r="AG436" s="253" t="str">
        <f t="shared" si="80"/>
        <v/>
      </c>
      <c r="DG436" s="543"/>
      <c r="DH436" s="149"/>
      <c r="DI436" s="1020"/>
    </row>
    <row r="437" spans="1:114" outlineLevel="1" x14ac:dyDescent="0.25">
      <c r="A437" s="2145"/>
      <c r="C437" s="49"/>
      <c r="D437" s="2419"/>
      <c r="E437" s="2419"/>
      <c r="F437" s="2414" t="str">
        <f t="shared" si="81"/>
        <v>Mini/MultiSplitASHP_ER2_SF</v>
      </c>
      <c r="G437" s="2414"/>
      <c r="H437" s="2414"/>
      <c r="I437" s="873" t="str">
        <f t="shared" si="82"/>
        <v>351500_2024_12_</v>
      </c>
      <c r="J437" s="360"/>
      <c r="K437" s="976"/>
      <c r="L437" s="873"/>
      <c r="N437" s="535"/>
      <c r="T437" s="50"/>
      <c r="U437" s="50"/>
      <c r="V437" s="2415"/>
      <c r="W437" s="219"/>
      <c r="X437" s="218"/>
      <c r="Y437" s="218"/>
      <c r="Z437" s="219"/>
      <c r="AA437" s="219"/>
      <c r="AB437" s="694"/>
      <c r="AC437" s="218"/>
      <c r="AD437" s="218"/>
      <c r="AE437" s="220"/>
      <c r="AF437" s="253" t="str">
        <f t="shared" si="83"/>
        <v/>
      </c>
      <c r="AG437" s="253" t="str">
        <f t="shared" si="80"/>
        <v/>
      </c>
      <c r="DG437" s="543"/>
      <c r="DH437" s="149"/>
      <c r="DI437" s="1020"/>
    </row>
    <row r="438" spans="1:114" outlineLevel="1" x14ac:dyDescent="0.25">
      <c r="A438" s="2145"/>
      <c r="C438" s="49"/>
      <c r="D438" s="2419"/>
      <c r="E438" s="2419"/>
      <c r="F438" s="2414" t="str">
        <f t="shared" si="81"/>
        <v>Mini/MultiSplitASHP_ER2_SF</v>
      </c>
      <c r="G438" s="2414"/>
      <c r="H438" s="2414"/>
      <c r="I438" s="873" t="str">
        <f t="shared" si="82"/>
        <v>351500_2024_12_</v>
      </c>
      <c r="J438" s="360"/>
      <c r="K438" s="976"/>
      <c r="L438" s="873"/>
      <c r="N438" s="535"/>
      <c r="T438" s="50"/>
      <c r="U438" s="50"/>
      <c r="V438" s="2415"/>
      <c r="W438" s="219"/>
      <c r="X438" s="218"/>
      <c r="Y438" s="218"/>
      <c r="Z438" s="219"/>
      <c r="AA438" s="219"/>
      <c r="AB438" s="694"/>
      <c r="AC438" s="218"/>
      <c r="AD438" s="218"/>
      <c r="AE438" s="220"/>
      <c r="AF438" s="253" t="str">
        <f t="shared" si="83"/>
        <v/>
      </c>
      <c r="AG438" s="253" t="str">
        <f t="shared" si="80"/>
        <v/>
      </c>
      <c r="DG438" s="543"/>
      <c r="DH438" s="149"/>
      <c r="DI438" s="1020"/>
    </row>
    <row r="439" spans="1:114" outlineLevel="1" x14ac:dyDescent="0.25">
      <c r="A439" s="2145"/>
      <c r="C439" s="49"/>
      <c r="D439" s="2419"/>
      <c r="E439" s="2419"/>
      <c r="F439" s="2414" t="str">
        <f t="shared" si="81"/>
        <v>Mini/MultiSplitAC_ER1_MF</v>
      </c>
      <c r="G439" s="2414"/>
      <c r="H439" s="2414"/>
      <c r="I439" s="873" t="str">
        <f t="shared" si="82"/>
        <v>351550_2024_12_</v>
      </c>
      <c r="J439" s="1963">
        <f>MAX((SUMIFS(S$266:S$269,Q$266:Q$269,"&lt;="&amp;L439,R$266:R$269,"&gt;"&amp;L439)*K439)-((S$276+T$276*K439)*S$286),(SUMIFS(T$266:T$269,Q$266:Q$269,"&lt;="&amp;L439,R$266:R$269,"&gt;"&amp;L439)*K439))</f>
        <v>0</v>
      </c>
      <c r="K439" s="1964">
        <f>K274</f>
        <v>0</v>
      </c>
      <c r="L439" s="1965">
        <f>J314</f>
        <v>0</v>
      </c>
      <c r="M439" s="524">
        <f>VLOOKUP(I439,I$285:J$304,2,FALSE)</f>
        <v>0</v>
      </c>
      <c r="N439" s="988"/>
      <c r="T439" s="50"/>
      <c r="U439" s="50"/>
      <c r="V439" s="2415"/>
      <c r="W439" s="219">
        <v>1601.3999999999999</v>
      </c>
      <c r="X439" s="218">
        <f>(1413*(X$315/12000)/1.5*X$388)</f>
        <v>918.45</v>
      </c>
      <c r="Y439" s="218">
        <f>(1413*(Y$315/12000)/1.5*Y$388)</f>
        <v>1413</v>
      </c>
      <c r="Z439" s="219">
        <v>1413</v>
      </c>
      <c r="AA439" s="219">
        <v>1413</v>
      </c>
      <c r="AB439" s="694">
        <v>1231.1592671062349</v>
      </c>
      <c r="AC439" s="216">
        <v>1133.5954314013989</v>
      </c>
      <c r="AD439" s="216">
        <v>1558.1873453016101</v>
      </c>
      <c r="AE439" s="1066">
        <v>1604.7127476323578</v>
      </c>
      <c r="AF439" s="253">
        <f t="shared" si="83"/>
        <v>0</v>
      </c>
      <c r="AG439" s="253">
        <f t="shared" si="80"/>
        <v>0</v>
      </c>
      <c r="DG439" s="543"/>
      <c r="DH439" s="149"/>
      <c r="DI439" s="1020"/>
    </row>
    <row r="440" spans="1:114" outlineLevel="1" x14ac:dyDescent="0.25">
      <c r="A440" s="2145"/>
      <c r="C440" s="49"/>
      <c r="D440" s="2419"/>
      <c r="E440" s="2419"/>
      <c r="F440" s="2414" t="str">
        <f t="shared" si="81"/>
        <v>Mini/MultiSplitAC_ER2_MF</v>
      </c>
      <c r="G440" s="2414"/>
      <c r="H440" s="2414"/>
      <c r="I440" s="873" t="str">
        <f t="shared" si="82"/>
        <v>351550_2024_12_</v>
      </c>
      <c r="J440" s="360"/>
      <c r="K440" s="976"/>
      <c r="L440" s="873"/>
      <c r="N440" s="535"/>
      <c r="T440" s="50"/>
      <c r="U440" s="50"/>
      <c r="V440" s="2415"/>
      <c r="W440" s="219"/>
      <c r="X440" s="218"/>
      <c r="Y440" s="218"/>
      <c r="Z440" s="219"/>
      <c r="AA440" s="219"/>
      <c r="AB440" s="694"/>
      <c r="AC440" s="218"/>
      <c r="AD440" s="218"/>
      <c r="AE440" s="220"/>
      <c r="AF440" s="253" t="str">
        <f t="shared" si="83"/>
        <v/>
      </c>
      <c r="AG440" s="253" t="str">
        <f t="shared" si="80"/>
        <v/>
      </c>
      <c r="DG440" s="543"/>
      <c r="DH440" s="149"/>
      <c r="DI440" s="1020"/>
    </row>
    <row r="441" spans="1:114" outlineLevel="1" x14ac:dyDescent="0.25">
      <c r="A441" s="2145"/>
      <c r="C441" s="49"/>
      <c r="D441" s="2396" t="s">
        <v>1025</v>
      </c>
      <c r="E441" s="2396" t="s">
        <v>1026</v>
      </c>
      <c r="F441" s="2414" t="s">
        <v>962</v>
      </c>
      <c r="G441" s="2414"/>
      <c r="H441" s="2414"/>
      <c r="I441" s="873" t="s">
        <v>961</v>
      </c>
      <c r="J441" s="1445">
        <f>SUMIFS(F$231:F$255,C$231:C$255,I441)/SUMIFS(F$231:F$255,C$231:C$255,L441)</f>
        <v>0.14344644405897658</v>
      </c>
      <c r="K441" s="976"/>
      <c r="L441" s="1812" t="str">
        <f>INDEX($C$231:$E$255,MATCH(SUBSTITUTE(F441, "NonElectric", "Electric"),$E$231:$E$255,0),1)</f>
        <v>351400_2024_12_</v>
      </c>
      <c r="N441" s="535"/>
      <c r="T441" s="50"/>
      <c r="U441" s="50"/>
      <c r="V441" s="2396" t="s">
        <v>1025</v>
      </c>
      <c r="W441" s="2010"/>
      <c r="X441" s="2011"/>
      <c r="Y441" s="2011"/>
      <c r="Z441" s="2010"/>
      <c r="AA441" s="2010"/>
      <c r="AB441" s="222"/>
      <c r="AC441" s="2012"/>
      <c r="AD441" s="2012"/>
      <c r="AE441" s="1427"/>
      <c r="AF441" s="1323">
        <v>0.14344644405897658</v>
      </c>
      <c r="AG441" s="1323">
        <v>0.14344644405897658</v>
      </c>
      <c r="DG441" s="543"/>
      <c r="DH441" s="149"/>
      <c r="DI441" s="1020"/>
    </row>
    <row r="442" spans="1:114" outlineLevel="1" x14ac:dyDescent="0.25">
      <c r="A442" s="2145"/>
      <c r="C442" s="49"/>
      <c r="D442" s="2396"/>
      <c r="E442" s="2396"/>
      <c r="F442" s="2414" t="s">
        <v>967</v>
      </c>
      <c r="G442" s="2414"/>
      <c r="H442" s="2414"/>
      <c r="I442" s="873" t="s">
        <v>966</v>
      </c>
      <c r="J442" s="1445">
        <f>SUMIFS(F$231:F$255,C$231:C$255,I442)/SUMIFS(F$231:F$255,C$231:C$255,L442)</f>
        <v>6.7371472687453721E-2</v>
      </c>
      <c r="K442" s="976"/>
      <c r="L442" s="1812" t="str">
        <f>INDEX($C$231:$E$255,MATCH(SUBSTITUTE(F442, "NonElectric", "Electric"),$E$231:$E$255,0),1)</f>
        <v>351450_2024_12_</v>
      </c>
      <c r="N442" s="535"/>
      <c r="T442" s="50"/>
      <c r="U442" s="50"/>
      <c r="V442" s="2396"/>
      <c r="W442" s="2010"/>
      <c r="X442" s="2011"/>
      <c r="Y442" s="2011"/>
      <c r="Z442" s="2010"/>
      <c r="AA442" s="2010"/>
      <c r="AB442" s="222"/>
      <c r="AC442" s="2011"/>
      <c r="AD442" s="2011"/>
      <c r="AE442" s="2013"/>
      <c r="AF442" s="1323">
        <v>6.7371472687453721E-2</v>
      </c>
      <c r="AG442" s="1323">
        <v>6.7371472687453721E-2</v>
      </c>
      <c r="DG442" s="543"/>
      <c r="DH442" s="149"/>
      <c r="DI442" s="1020"/>
    </row>
    <row r="443" spans="1:114" x14ac:dyDescent="0.25">
      <c r="A443" s="2145"/>
      <c r="C443" s="49"/>
      <c r="D443" s="100"/>
      <c r="E443" s="100"/>
      <c r="G443" s="100"/>
      <c r="N443" s="535"/>
      <c r="T443" s="50"/>
      <c r="U443" s="50"/>
      <c r="V443" s="50"/>
      <c r="DG443" s="543"/>
      <c r="DH443" s="149"/>
      <c r="DI443" s="1020"/>
    </row>
    <row r="444" spans="1:114" ht="9.75" customHeight="1" x14ac:dyDescent="0.25">
      <c r="A444" s="2145"/>
      <c r="C444" s="49"/>
      <c r="D444" s="100"/>
      <c r="E444" s="100"/>
      <c r="G444" s="100"/>
      <c r="T444" s="50"/>
      <c r="U444" s="50"/>
      <c r="V444" s="50"/>
      <c r="DG444" s="543"/>
      <c r="DH444" s="149"/>
      <c r="DI444" s="1020"/>
    </row>
    <row r="445" spans="1:114" x14ac:dyDescent="0.25">
      <c r="A445" s="2145"/>
      <c r="B445" s="1234" t="s">
        <v>1027</v>
      </c>
      <c r="C445" s="203"/>
      <c r="D445" s="1235"/>
      <c r="E445" s="1235"/>
      <c r="F445" s="1235"/>
      <c r="G445" s="1235"/>
      <c r="H445" s="1235"/>
      <c r="I445" s="1235"/>
      <c r="J445" s="1235"/>
      <c r="K445" s="1235"/>
      <c r="L445" s="1235"/>
      <c r="M445" s="1235"/>
      <c r="N445" s="1235"/>
      <c r="O445" s="1235"/>
      <c r="P445" s="1235"/>
      <c r="Q445" s="1269"/>
      <c r="T445" s="50"/>
      <c r="U445" s="50"/>
      <c r="V445" s="2339" t="str">
        <f>B445</f>
        <v>Dual Fuel Heat Pumps</v>
      </c>
      <c r="W445" s="2340"/>
      <c r="X445" s="2340"/>
      <c r="Y445" s="2340"/>
      <c r="Z445" s="2340"/>
      <c r="AA445" s="2340"/>
      <c r="AB445" s="2340"/>
      <c r="AC445" s="2341"/>
      <c r="AD445" s="2341"/>
      <c r="AE445" s="2341"/>
      <c r="AF445" s="2341"/>
      <c r="AG445" s="2341"/>
      <c r="AH445" s="2342"/>
      <c r="DG445" s="543"/>
      <c r="DH445" s="149"/>
      <c r="DI445" s="1020"/>
    </row>
    <row r="446" spans="1:114" x14ac:dyDescent="0.25">
      <c r="A446" s="2145"/>
      <c r="C446" s="49"/>
      <c r="D446" s="100"/>
      <c r="E446" s="100"/>
      <c r="G446" s="100"/>
      <c r="H446" s="49"/>
      <c r="I446" s="49"/>
      <c r="J446" s="49"/>
      <c r="K446" s="49"/>
      <c r="L446" s="49"/>
      <c r="M446" s="49"/>
      <c r="Q446" s="100"/>
      <c r="T446" s="50"/>
      <c r="U446" s="50"/>
      <c r="V446" s="50"/>
      <c r="DG446" s="543"/>
      <c r="DH446" s="149"/>
      <c r="DI446" s="1020"/>
    </row>
    <row r="447" spans="1:114" ht="30" x14ac:dyDescent="0.25">
      <c r="A447" s="2145"/>
      <c r="C447" s="1242" t="s">
        <v>43</v>
      </c>
      <c r="D447" s="1270" t="s">
        <v>597</v>
      </c>
      <c r="E447" s="1242" t="s">
        <v>45</v>
      </c>
      <c r="F447" s="1242" t="s">
        <v>46</v>
      </c>
      <c r="G447" s="1242" t="s">
        <v>47</v>
      </c>
      <c r="H447" s="1242" t="s">
        <v>48</v>
      </c>
      <c r="I447" s="1242" t="s">
        <v>49</v>
      </c>
      <c r="J447" s="1254" t="s">
        <v>50</v>
      </c>
      <c r="K447" s="1242" t="s">
        <v>51</v>
      </c>
      <c r="L447" s="1242" t="s">
        <v>860</v>
      </c>
      <c r="T447" s="50"/>
      <c r="U447" s="50"/>
      <c r="V447" s="162" t="s">
        <v>53</v>
      </c>
      <c r="W447" s="637">
        <f>W$7</f>
        <v>43252</v>
      </c>
      <c r="X447" s="637">
        <f t="shared" ref="X447:AG447" si="84">X$7</f>
        <v>43800</v>
      </c>
      <c r="Y447" s="637">
        <f t="shared" si="84"/>
        <v>43800</v>
      </c>
      <c r="Z447" s="637">
        <f t="shared" si="84"/>
        <v>43862</v>
      </c>
      <c r="AA447" s="637">
        <f t="shared" si="84"/>
        <v>44013</v>
      </c>
      <c r="AB447" s="637">
        <f t="shared" si="84"/>
        <v>44166</v>
      </c>
      <c r="AC447" s="637">
        <f t="shared" si="84"/>
        <v>44531</v>
      </c>
      <c r="AD447" s="637">
        <f t="shared" si="84"/>
        <v>44774</v>
      </c>
      <c r="AE447" s="637">
        <f t="shared" si="84"/>
        <v>45139</v>
      </c>
      <c r="AF447" s="637">
        <f t="shared" si="84"/>
        <v>45672</v>
      </c>
      <c r="AG447" s="110">
        <f t="shared" si="84"/>
        <v>45931</v>
      </c>
      <c r="DG447" s="1007" t="str">
        <f>'Efficient Products Deemed Table'!$DG$6</f>
        <v>TRC (2025)</v>
      </c>
      <c r="DH447" s="1007" t="str">
        <f>'Efficient Products Deemed Table'!$DH$6</f>
        <v>Benefit Lookup</v>
      </c>
      <c r="DI447" s="1007" t="str">
        <f>'Efficient Products Deemed Table'!$DI$6</f>
        <v>Benefits (2025 $)</v>
      </c>
      <c r="DJ447" s="1007" t="str">
        <f>'Efficient Products Deemed Table'!$DJ$6</f>
        <v>Incremental Cost (2025 $)</v>
      </c>
    </row>
    <row r="448" spans="1:114" x14ac:dyDescent="0.25">
      <c r="A448" s="2146" t="s">
        <v>861</v>
      </c>
      <c r="B448" s="1318">
        <f t="shared" ref="B448:B453" si="85">VALUE(LEFT(C448,6))</f>
        <v>351900</v>
      </c>
      <c r="C448" s="425" t="s">
        <v>1028</v>
      </c>
      <c r="D448" s="1382" t="s">
        <v>863</v>
      </c>
      <c r="E448" s="1240" t="s">
        <v>1029</v>
      </c>
      <c r="F448" s="167">
        <f>ROUND(((J487*J490*(1/J493-1/J496))/1000)*J499,2)</f>
        <v>398.66</v>
      </c>
      <c r="G448" s="81" t="s">
        <v>1030</v>
      </c>
      <c r="H448" s="66">
        <f>VLOOKUP(G448,'CP FACTORS'!$A$3:$B$38, 2, FALSE)</f>
        <v>9.4741810000000004E-4</v>
      </c>
      <c r="I448" s="43">
        <f t="shared" ref="I448:I453" si="86">ROUND(F448*H448,6)</f>
        <v>0.37769799999999998</v>
      </c>
      <c r="J448" s="44">
        <f>J502</f>
        <v>18</v>
      </c>
      <c r="K448" s="144">
        <f>J505</f>
        <v>1081</v>
      </c>
      <c r="L448" s="538">
        <f>K487</f>
        <v>3.4</v>
      </c>
      <c r="M448" s="531"/>
      <c r="R448" s="510"/>
      <c r="T448" s="50"/>
      <c r="U448" s="50"/>
      <c r="V448" s="1249" t="s">
        <v>46</v>
      </c>
      <c r="W448" s="900">
        <v>433.19323308270674</v>
      </c>
      <c r="X448" s="900">
        <v>433.19323308270674</v>
      </c>
      <c r="Y448" s="901">
        <v>433.19</v>
      </c>
      <c r="Z448" s="208">
        <v>433.19</v>
      </c>
      <c r="AA448" s="208">
        <v>433.19</v>
      </c>
      <c r="AB448" s="902">
        <v>433.19</v>
      </c>
      <c r="AC448" s="902">
        <v>433.19</v>
      </c>
      <c r="AD448" s="902">
        <v>433.19</v>
      </c>
      <c r="AE448" s="210">
        <v>323.45</v>
      </c>
      <c r="AF448" s="253">
        <v>398.66</v>
      </c>
      <c r="AG448" s="253">
        <f>IF(F448&lt;&gt;"",F448,"")</f>
        <v>398.66</v>
      </c>
      <c r="DG448" s="930">
        <f>(DI448+DI449)/(DJ448+DJ449)</f>
        <v>1.15042615353807</v>
      </c>
      <c r="DH448" s="1240" t="str">
        <f t="shared" ref="DH448:DH453" si="87">CONCATENATE(G448," ",J448," Year EUL")</f>
        <v>Cooling Res 18 Year EUL</v>
      </c>
      <c r="DI448" s="1016">
        <f>(INDEX('Avoided Cost Benefits'!$B$4:$B$866,MATCH(DH448,'Avoided Cost Benefits'!$A$4:$A$866,0)))*F448</f>
        <v>912.83926953079788</v>
      </c>
      <c r="DJ448" s="2052">
        <f t="shared" ref="DJ448:DJ453" si="88">IFERROR(K448/((1+DiscountRate)^(CurrentYear-DiscountYear)),0)</f>
        <v>1081</v>
      </c>
    </row>
    <row r="449" spans="1:114" x14ac:dyDescent="0.25">
      <c r="A449" s="2146" t="s">
        <v>861</v>
      </c>
      <c r="B449" s="1318">
        <f t="shared" si="85"/>
        <v>351900</v>
      </c>
      <c r="C449" s="425" t="s">
        <v>1028</v>
      </c>
      <c r="D449" s="1382" t="s">
        <v>863</v>
      </c>
      <c r="E449" s="1241" t="s">
        <v>1029</v>
      </c>
      <c r="F449" s="208">
        <f>ROUND(((J475*J478*(1/J481-1/J484))/1000)*J499,2)</f>
        <v>545.76</v>
      </c>
      <c r="G449" s="81" t="s">
        <v>1031</v>
      </c>
      <c r="H449" s="66">
        <f>VLOOKUP(G449,'CP FACTORS'!$A$3:$B$38, 2, FALSE)</f>
        <v>0</v>
      </c>
      <c r="I449" s="43">
        <f t="shared" si="86"/>
        <v>0</v>
      </c>
      <c r="J449" s="44">
        <f>J448</f>
        <v>18</v>
      </c>
      <c r="K449" s="144"/>
      <c r="L449" s="538"/>
      <c r="M449" s="531"/>
      <c r="R449" s="510"/>
      <c r="T449" s="50"/>
      <c r="U449" s="50"/>
      <c r="V449" s="1249" t="s">
        <v>46</v>
      </c>
      <c r="W449" s="900">
        <v>651.42175609756123</v>
      </c>
      <c r="X449" s="900">
        <v>651.42175609756123</v>
      </c>
      <c r="Y449" s="901">
        <v>651.41999999999996</v>
      </c>
      <c r="Z449" s="208">
        <v>651.41999999999996</v>
      </c>
      <c r="AA449" s="208">
        <v>651.41999999999996</v>
      </c>
      <c r="AB449" s="902">
        <v>651.41999999999996</v>
      </c>
      <c r="AC449" s="902">
        <v>651.41999999999996</v>
      </c>
      <c r="AD449" s="902">
        <v>651.41999999999996</v>
      </c>
      <c r="AE449" s="210">
        <v>483.1</v>
      </c>
      <c r="AF449" s="253">
        <v>545.76</v>
      </c>
      <c r="AG449" s="253">
        <f t="shared" ref="AG449:AG453" si="89">IF(F449&lt;&gt;"",F449,"")</f>
        <v>545.76</v>
      </c>
      <c r="DG449" s="1021"/>
      <c r="DH449" s="1241" t="str">
        <f t="shared" si="87"/>
        <v>Heating Res 18 Year EUL</v>
      </c>
      <c r="DI449" s="1020">
        <f>(INDEX('Avoided Cost Benefits'!$B$4:$B$866,MATCH(DH449,'Avoided Cost Benefits'!$A$4:$A$866,0)))*F449</f>
        <v>330.77140244385566</v>
      </c>
      <c r="DJ449" s="2051">
        <f t="shared" si="88"/>
        <v>0</v>
      </c>
    </row>
    <row r="450" spans="1:114" x14ac:dyDescent="0.25">
      <c r="A450" s="2146" t="s">
        <v>861</v>
      </c>
      <c r="B450" s="1318">
        <f t="shared" si="85"/>
        <v>351950</v>
      </c>
      <c r="C450" s="425" t="s">
        <v>1032</v>
      </c>
      <c r="D450" s="1382" t="s">
        <v>863</v>
      </c>
      <c r="E450" s="1240" t="s">
        <v>1033</v>
      </c>
      <c r="F450" s="208">
        <f>ROUND(((J488*J491*(1/J494-1/J497))/1000)*J500,2)</f>
        <v>594.4</v>
      </c>
      <c r="G450" s="81" t="s">
        <v>1030</v>
      </c>
      <c r="H450" s="66">
        <f>VLOOKUP(G450,'CP FACTORS'!$A$3:$B$38, 2, FALSE)</f>
        <v>9.4741810000000004E-4</v>
      </c>
      <c r="I450" s="43">
        <f t="shared" si="86"/>
        <v>0.56314500000000001</v>
      </c>
      <c r="J450" s="44">
        <f>J503</f>
        <v>18</v>
      </c>
      <c r="K450" s="144">
        <f>J506</f>
        <v>1081</v>
      </c>
      <c r="L450" s="538">
        <f>K488</f>
        <v>4.4000000000000004</v>
      </c>
      <c r="M450" s="531"/>
      <c r="R450" s="510"/>
      <c r="T450" s="50"/>
      <c r="U450" s="50"/>
      <c r="V450" s="1249" t="s">
        <v>46</v>
      </c>
      <c r="W450" s="900">
        <v>639.08742857142852</v>
      </c>
      <c r="X450" s="900">
        <v>639.08742857142852</v>
      </c>
      <c r="Y450" s="901">
        <v>639.09</v>
      </c>
      <c r="Z450" s="208">
        <v>639.09</v>
      </c>
      <c r="AA450" s="208">
        <v>639.09</v>
      </c>
      <c r="AB450" s="902">
        <v>639.09</v>
      </c>
      <c r="AC450" s="902">
        <v>639.09</v>
      </c>
      <c r="AD450" s="902">
        <v>639.09</v>
      </c>
      <c r="AE450" s="210">
        <v>497.07</v>
      </c>
      <c r="AF450" s="253">
        <v>594.4</v>
      </c>
      <c r="AG450" s="253">
        <f t="shared" si="89"/>
        <v>594.4</v>
      </c>
      <c r="DG450" s="1019">
        <f>(DI450+DI451)/(DJ450+DJ451)</f>
        <v>1.7502280801942376</v>
      </c>
      <c r="DH450" s="1240" t="str">
        <f t="shared" si="87"/>
        <v>Cooling Res 18 Year EUL</v>
      </c>
      <c r="DI450" s="1020">
        <f>(INDEX('Avoided Cost Benefits'!$B$4:$B$866,MATCH(DH450,'Avoided Cost Benefits'!$A$4:$A$866,0)))*F450</f>
        <v>1361.0386339464862</v>
      </c>
      <c r="DJ450" s="2051">
        <f t="shared" si="88"/>
        <v>1081</v>
      </c>
    </row>
    <row r="451" spans="1:114" x14ac:dyDescent="0.25">
      <c r="A451" s="2146" t="s">
        <v>861</v>
      </c>
      <c r="B451" s="1318">
        <f t="shared" si="85"/>
        <v>351950</v>
      </c>
      <c r="C451" s="425" t="s">
        <v>1032</v>
      </c>
      <c r="D451" s="1382" t="s">
        <v>863</v>
      </c>
      <c r="E451" s="1241" t="s">
        <v>1033</v>
      </c>
      <c r="F451" s="208">
        <f>ROUND(((J476*J479*(1/J482-1/J485))/1000)*J500,2)</f>
        <v>876.06</v>
      </c>
      <c r="G451" s="81" t="s">
        <v>1031</v>
      </c>
      <c r="H451" s="66">
        <f>VLOOKUP(G451,'CP FACTORS'!$A$3:$B$38, 2, FALSE)</f>
        <v>0</v>
      </c>
      <c r="I451" s="43">
        <f t="shared" si="86"/>
        <v>0</v>
      </c>
      <c r="J451" s="44">
        <f>J450</f>
        <v>18</v>
      </c>
      <c r="K451" s="144"/>
      <c r="L451" s="538"/>
      <c r="M451" s="531"/>
      <c r="R451" s="510"/>
      <c r="T451" s="50"/>
      <c r="U451" s="50"/>
      <c r="V451" s="1249" t="s">
        <v>46</v>
      </c>
      <c r="W451" s="900">
        <v>990.72439024390337</v>
      </c>
      <c r="X451" s="900">
        <v>990.72439024390337</v>
      </c>
      <c r="Y451" s="901">
        <v>990.72</v>
      </c>
      <c r="Z451" s="208">
        <v>990.72</v>
      </c>
      <c r="AA451" s="208">
        <v>990.72</v>
      </c>
      <c r="AB451" s="902">
        <v>990.72</v>
      </c>
      <c r="AC451" s="902">
        <v>990.72</v>
      </c>
      <c r="AD451" s="902">
        <v>990.72</v>
      </c>
      <c r="AE451" s="210">
        <v>772.89</v>
      </c>
      <c r="AF451" s="253">
        <v>876.06</v>
      </c>
      <c r="AG451" s="253">
        <f t="shared" si="89"/>
        <v>876.06</v>
      </c>
      <c r="DG451" s="1021"/>
      <c r="DH451" s="1241" t="str">
        <f t="shared" si="87"/>
        <v>Heating Res 18 Year EUL</v>
      </c>
      <c r="DI451" s="1020">
        <f>(INDEX('Avoided Cost Benefits'!$B$4:$B$866,MATCH(DH451,'Avoided Cost Benefits'!$A$4:$A$866,0)))*F451</f>
        <v>530.95792074348469</v>
      </c>
      <c r="DJ451" s="2051">
        <f t="shared" si="88"/>
        <v>0</v>
      </c>
    </row>
    <row r="452" spans="1:114" x14ac:dyDescent="0.25">
      <c r="A452" s="2146" t="s">
        <v>861</v>
      </c>
      <c r="B452" s="1318">
        <f t="shared" si="85"/>
        <v>352000</v>
      </c>
      <c r="C452" s="425" t="s">
        <v>1034</v>
      </c>
      <c r="D452" s="1382" t="s">
        <v>863</v>
      </c>
      <c r="E452" s="1240" t="s">
        <v>1035</v>
      </c>
      <c r="F452" s="208">
        <f>ROUND(((J489*J492*(1/J495-1/J498))/1000)*J501,2)</f>
        <v>816.63</v>
      </c>
      <c r="G452" s="81" t="s">
        <v>1030</v>
      </c>
      <c r="H452" s="66">
        <f>VLOOKUP(G452,'CP FACTORS'!$A$3:$B$38, 2, FALSE)</f>
        <v>9.4741810000000004E-4</v>
      </c>
      <c r="I452" s="43">
        <f t="shared" si="86"/>
        <v>0.77368999999999999</v>
      </c>
      <c r="J452" s="44">
        <f>J504</f>
        <v>18</v>
      </c>
      <c r="K452" s="144">
        <f>J507</f>
        <v>1081</v>
      </c>
      <c r="L452" s="538">
        <f>K489</f>
        <v>5.4</v>
      </c>
      <c r="M452" s="531"/>
      <c r="R452" s="510"/>
      <c r="T452" s="50"/>
      <c r="U452" s="50"/>
      <c r="V452" s="1249" t="s">
        <v>46</v>
      </c>
      <c r="W452" s="900">
        <v>871.48285714285726</v>
      </c>
      <c r="X452" s="900">
        <v>871.48285714285726</v>
      </c>
      <c r="Y452" s="901">
        <v>871.48</v>
      </c>
      <c r="Z452" s="208">
        <v>871.48</v>
      </c>
      <c r="AA452" s="208">
        <v>871.48</v>
      </c>
      <c r="AB452" s="902">
        <v>871.48</v>
      </c>
      <c r="AC452" s="902">
        <v>871.48</v>
      </c>
      <c r="AD452" s="902">
        <v>871.48</v>
      </c>
      <c r="AE452" s="210">
        <v>697.19</v>
      </c>
      <c r="AF452" s="253">
        <v>816.63</v>
      </c>
      <c r="AG452" s="253">
        <f t="shared" si="89"/>
        <v>816.63</v>
      </c>
      <c r="DG452" s="1019">
        <f>(DI452+DI453)/(DJ452+DJ453)</f>
        <v>2.4407562219478138</v>
      </c>
      <c r="DH452" s="1240" t="str">
        <f t="shared" si="87"/>
        <v>Cooling Res 18 Year EUL</v>
      </c>
      <c r="DI452" s="1020">
        <f>(INDEX('Avoided Cost Benefits'!$B$4:$B$866,MATCH(DH452,'Avoided Cost Benefits'!$A$4:$A$866,0)))*F452</f>
        <v>1869.8939765136593</v>
      </c>
      <c r="DJ452" s="2051">
        <f t="shared" si="88"/>
        <v>1081</v>
      </c>
    </row>
    <row r="453" spans="1:114" x14ac:dyDescent="0.25">
      <c r="A453" s="2146" t="s">
        <v>861</v>
      </c>
      <c r="B453" s="1318">
        <f t="shared" si="85"/>
        <v>352000</v>
      </c>
      <c r="C453" s="425" t="s">
        <v>1034</v>
      </c>
      <c r="D453" s="1382" t="s">
        <v>863</v>
      </c>
      <c r="E453" s="1241" t="s">
        <v>1035</v>
      </c>
      <c r="F453" s="208">
        <f>ROUND(((J477*J480*(1/J483-1/J486))/1000)*J501,2)</f>
        <v>1268.0999999999999</v>
      </c>
      <c r="G453" s="81" t="s">
        <v>1031</v>
      </c>
      <c r="H453" s="66">
        <f>VLOOKUP(G453,'CP FACTORS'!$A$3:$B$38, 2, FALSE)</f>
        <v>0</v>
      </c>
      <c r="I453" s="43">
        <f t="shared" si="86"/>
        <v>0</v>
      </c>
      <c r="J453" s="44">
        <f>J452</f>
        <v>18</v>
      </c>
      <c r="K453" s="144"/>
      <c r="L453" s="538"/>
      <c r="M453" s="531"/>
      <c r="R453" s="510"/>
      <c r="T453" s="50"/>
      <c r="U453" s="50"/>
      <c r="V453" s="1249" t="s">
        <v>46</v>
      </c>
      <c r="W453" s="900">
        <v>1383.739024390245</v>
      </c>
      <c r="X453" s="900">
        <v>1383.739024390245</v>
      </c>
      <c r="Y453" s="901">
        <v>1383.74</v>
      </c>
      <c r="Z453" s="208">
        <v>1383.74</v>
      </c>
      <c r="AA453" s="208">
        <v>1383.74</v>
      </c>
      <c r="AB453" s="902">
        <v>1383.74</v>
      </c>
      <c r="AC453" s="902">
        <v>1383.74</v>
      </c>
      <c r="AD453" s="902">
        <v>1383.74</v>
      </c>
      <c r="AE453" s="210">
        <v>1116.4000000000001</v>
      </c>
      <c r="AF453" s="253">
        <v>1268.0999999999999</v>
      </c>
      <c r="AG453" s="253">
        <f t="shared" si="89"/>
        <v>1268.0999999999999</v>
      </c>
      <c r="DG453" s="1021"/>
      <c r="DH453" s="1241" t="str">
        <f t="shared" si="87"/>
        <v>Heating Res 18 Year EUL</v>
      </c>
      <c r="DI453" s="1020">
        <f>(INDEX('Avoided Cost Benefits'!$B$4:$B$866,MATCH(DH453,'Avoided Cost Benefits'!$A$4:$A$866,0)))*F453</f>
        <v>768.56349941192718</v>
      </c>
      <c r="DJ453" s="2051">
        <f t="shared" si="88"/>
        <v>0</v>
      </c>
    </row>
    <row r="454" spans="1:114" outlineLevel="1" x14ac:dyDescent="0.25">
      <c r="A454" s="2145"/>
      <c r="B454" s="1318"/>
      <c r="C454" s="49"/>
      <c r="D454" s="74" t="s">
        <v>95</v>
      </c>
      <c r="E454" s="50" t="s">
        <v>1036</v>
      </c>
      <c r="F454" s="519"/>
      <c r="G454" s="539"/>
      <c r="H454" s="49"/>
      <c r="I454" s="49"/>
      <c r="J454" s="49"/>
      <c r="K454" s="100" t="s">
        <v>1037</v>
      </c>
      <c r="L454" s="49"/>
      <c r="M454" s="49"/>
      <c r="Q454" s="100"/>
      <c r="T454" s="50"/>
      <c r="U454" s="50"/>
      <c r="V454" s="50"/>
      <c r="DG454" s="543"/>
      <c r="DH454" s="149"/>
      <c r="DI454" s="1020"/>
    </row>
    <row r="455" spans="1:114" outlineLevel="1" x14ac:dyDescent="0.25">
      <c r="A455" s="2145"/>
      <c r="B455" s="1318"/>
      <c r="C455" s="49"/>
      <c r="D455" s="71" t="s">
        <v>609</v>
      </c>
      <c r="E455" s="100" t="s">
        <v>1038</v>
      </c>
      <c r="F455" s="519"/>
      <c r="G455" s="539"/>
      <c r="H455" s="49"/>
      <c r="I455" s="49"/>
      <c r="J455" s="49"/>
      <c r="K455" s="49"/>
      <c r="L455" s="49"/>
      <c r="M455" s="49"/>
      <c r="Q455" s="100"/>
      <c r="T455" s="50"/>
      <c r="U455" s="50"/>
      <c r="V455" s="50"/>
      <c r="DG455" s="543"/>
      <c r="DH455" s="149"/>
      <c r="DI455" s="1020"/>
    </row>
    <row r="456" spans="1:114" outlineLevel="1" x14ac:dyDescent="0.25">
      <c r="A456" s="2145"/>
      <c r="B456" s="1318"/>
      <c r="C456" s="49"/>
      <c r="D456" s="71"/>
      <c r="E456" s="100" t="s">
        <v>1039</v>
      </c>
      <c r="G456" s="100"/>
      <c r="T456" s="50"/>
      <c r="U456" s="50"/>
      <c r="V456" s="50"/>
      <c r="DG456" s="543"/>
      <c r="DH456" s="149"/>
      <c r="DI456" s="1020"/>
    </row>
    <row r="457" spans="1:114" outlineLevel="1" x14ac:dyDescent="0.25">
      <c r="A457" s="2145"/>
      <c r="B457" s="1318"/>
      <c r="C457" s="49"/>
      <c r="D457" s="100"/>
      <c r="E457" s="100" t="s">
        <v>1040</v>
      </c>
      <c r="G457" s="100"/>
      <c r="H457" s="49"/>
      <c r="T457" s="50"/>
      <c r="U457" s="50"/>
      <c r="V457" s="50"/>
      <c r="DG457" s="543"/>
      <c r="DH457" s="149"/>
      <c r="DI457" s="1020"/>
    </row>
    <row r="458" spans="1:114" outlineLevel="1" x14ac:dyDescent="0.25">
      <c r="A458" s="2145"/>
      <c r="B458" s="1318"/>
      <c r="C458" s="49"/>
      <c r="D458" s="100"/>
      <c r="E458" s="100" t="s">
        <v>1041</v>
      </c>
      <c r="G458" s="100"/>
      <c r="H458" s="49"/>
      <c r="T458" s="50"/>
      <c r="U458" s="50"/>
      <c r="V458" s="50"/>
      <c r="DG458" s="543"/>
      <c r="DH458" s="149"/>
      <c r="DI458" s="1020"/>
    </row>
    <row r="459" spans="1:114" outlineLevel="1" x14ac:dyDescent="0.25">
      <c r="A459" s="2145"/>
      <c r="B459" s="1318"/>
      <c r="C459" s="49"/>
      <c r="D459" s="100"/>
      <c r="E459" s="100"/>
      <c r="G459" s="100"/>
      <c r="H459" s="49"/>
      <c r="T459" s="50"/>
      <c r="U459" s="50"/>
      <c r="V459" s="50"/>
      <c r="DG459" s="543"/>
      <c r="DH459" s="149"/>
      <c r="DI459" s="1020"/>
    </row>
    <row r="460" spans="1:114" outlineLevel="1" x14ac:dyDescent="0.25">
      <c r="A460" s="2145"/>
      <c r="B460" s="1318"/>
      <c r="C460" s="49"/>
      <c r="D460" s="100"/>
      <c r="E460" s="100" t="s">
        <v>1042</v>
      </c>
      <c r="G460" s="100"/>
      <c r="H460" s="49"/>
      <c r="T460" s="50"/>
      <c r="U460" s="50"/>
      <c r="V460" s="50"/>
      <c r="DG460" s="543"/>
      <c r="DH460" s="149"/>
      <c r="DI460" s="1020"/>
    </row>
    <row r="461" spans="1:114" outlineLevel="1" x14ac:dyDescent="0.25">
      <c r="A461" s="2145"/>
      <c r="B461" s="1318"/>
      <c r="C461" s="49"/>
      <c r="D461" s="100"/>
      <c r="E461" s="100" t="s">
        <v>1043</v>
      </c>
      <c r="G461" s="100"/>
      <c r="H461" s="49"/>
      <c r="J461" s="100"/>
      <c r="T461" s="50"/>
      <c r="U461" s="50"/>
      <c r="V461" s="50"/>
      <c r="DG461" s="543"/>
      <c r="DH461" s="149"/>
      <c r="DI461" s="1020"/>
    </row>
    <row r="462" spans="1:114" outlineLevel="1" x14ac:dyDescent="0.25">
      <c r="A462" s="2145"/>
      <c r="B462" s="1318"/>
      <c r="C462" s="49"/>
      <c r="E462" s="100" t="s">
        <v>1044</v>
      </c>
      <c r="G462" s="100"/>
      <c r="H462" s="49"/>
      <c r="T462" s="50"/>
      <c r="U462" s="50"/>
      <c r="V462" s="50"/>
      <c r="DG462" s="543"/>
      <c r="DH462" s="149"/>
      <c r="DI462" s="1020"/>
    </row>
    <row r="463" spans="1:114" outlineLevel="1" x14ac:dyDescent="0.25">
      <c r="A463" s="2145"/>
      <c r="B463" s="1318"/>
      <c r="C463" s="49"/>
      <c r="D463" s="100"/>
      <c r="E463" s="100" t="s">
        <v>1040</v>
      </c>
      <c r="G463" s="100"/>
      <c r="H463" s="49"/>
      <c r="T463" s="50"/>
      <c r="U463" s="50"/>
      <c r="V463" s="50"/>
      <c r="DG463" s="543"/>
      <c r="DH463" s="149"/>
      <c r="DI463" s="1020"/>
    </row>
    <row r="464" spans="1:114" outlineLevel="1" x14ac:dyDescent="0.25">
      <c r="A464" s="2145"/>
      <c r="B464" s="1318"/>
      <c r="C464" s="49"/>
      <c r="D464" s="100"/>
      <c r="E464" s="100" t="s">
        <v>1045</v>
      </c>
      <c r="G464" s="100"/>
      <c r="H464" s="49"/>
      <c r="T464" s="50"/>
      <c r="U464" s="50"/>
      <c r="V464" s="50"/>
      <c r="DG464" s="543"/>
      <c r="DH464" s="149"/>
      <c r="DI464" s="1020"/>
    </row>
    <row r="465" spans="1:113" outlineLevel="1" x14ac:dyDescent="0.25">
      <c r="A465" s="2145"/>
      <c r="B465" s="1318"/>
      <c r="C465" s="49"/>
      <c r="D465" s="100"/>
      <c r="E465" s="100" t="s">
        <v>1046</v>
      </c>
      <c r="G465" s="100"/>
      <c r="H465" s="49"/>
      <c r="T465" s="50"/>
      <c r="U465" s="50"/>
      <c r="V465" s="50"/>
      <c r="DG465" s="543"/>
      <c r="DH465" s="149"/>
      <c r="DI465" s="1020"/>
    </row>
    <row r="466" spans="1:113" outlineLevel="1" x14ac:dyDescent="0.25">
      <c r="A466" s="2145"/>
      <c r="B466" s="1318"/>
      <c r="C466" s="49"/>
      <c r="D466" s="100"/>
      <c r="E466" s="100" t="s">
        <v>1047</v>
      </c>
      <c r="G466" s="100"/>
      <c r="H466" s="49"/>
      <c r="T466" s="50"/>
      <c r="U466" s="50"/>
      <c r="V466" s="50"/>
      <c r="DG466" s="543"/>
      <c r="DH466" s="149"/>
      <c r="DI466" s="1020"/>
    </row>
    <row r="467" spans="1:113" outlineLevel="1" x14ac:dyDescent="0.25">
      <c r="A467" s="2145"/>
      <c r="B467" s="1318"/>
      <c r="C467" s="49"/>
      <c r="D467" s="100"/>
      <c r="E467" s="100" t="s">
        <v>1040</v>
      </c>
      <c r="G467" s="100"/>
      <c r="H467" s="49"/>
      <c r="T467" s="50"/>
      <c r="U467" s="50"/>
      <c r="V467" s="50"/>
      <c r="DG467" s="543"/>
      <c r="DH467" s="149"/>
      <c r="DI467" s="1020"/>
    </row>
    <row r="468" spans="1:113" outlineLevel="1" x14ac:dyDescent="0.25">
      <c r="A468" s="2145"/>
      <c r="B468" s="1318"/>
      <c r="C468" s="49"/>
      <c r="E468" s="100" t="s">
        <v>1041</v>
      </c>
      <c r="G468" s="100"/>
      <c r="H468" s="49"/>
      <c r="T468" s="50"/>
      <c r="U468" s="50"/>
      <c r="V468" s="50"/>
      <c r="DG468" s="543"/>
      <c r="DH468" s="149"/>
      <c r="DI468" s="1020"/>
    </row>
    <row r="469" spans="1:113" outlineLevel="1" x14ac:dyDescent="0.25">
      <c r="A469" s="2145"/>
      <c r="B469" s="1318"/>
      <c r="C469" s="49"/>
      <c r="D469" s="100"/>
      <c r="E469" s="100"/>
      <c r="G469" s="100"/>
      <c r="H469" s="49"/>
      <c r="T469" s="50"/>
      <c r="U469" s="50"/>
      <c r="V469" s="50"/>
      <c r="DG469" s="543"/>
      <c r="DH469" s="149"/>
      <c r="DI469" s="1020"/>
    </row>
    <row r="470" spans="1:113" outlineLevel="1" x14ac:dyDescent="0.25">
      <c r="A470" s="2145"/>
      <c r="B470" s="1318"/>
      <c r="C470" s="49"/>
      <c r="D470" s="100"/>
      <c r="E470" s="50" t="s">
        <v>717</v>
      </c>
      <c r="G470" s="100"/>
      <c r="H470" s="49"/>
      <c r="T470" s="50"/>
      <c r="U470" s="50"/>
      <c r="V470" s="50"/>
      <c r="DG470" s="543"/>
      <c r="DH470" s="149"/>
      <c r="DI470" s="1020"/>
    </row>
    <row r="471" spans="1:113" outlineLevel="1" x14ac:dyDescent="0.25">
      <c r="A471" s="2145"/>
      <c r="B471" s="1318"/>
      <c r="C471" s="49"/>
      <c r="D471" s="100"/>
      <c r="E471" s="100"/>
      <c r="G471" s="100"/>
      <c r="H471" s="49"/>
      <c r="Q471" s="1578" t="str">
        <f>B445</f>
        <v>Dual Fuel Heat Pumps</v>
      </c>
      <c r="T471" s="50"/>
      <c r="U471" s="50"/>
      <c r="V471" s="50"/>
      <c r="DG471" s="543"/>
      <c r="DH471" s="149"/>
      <c r="DI471" s="1020"/>
    </row>
    <row r="472" spans="1:113" outlineLevel="1" x14ac:dyDescent="0.25">
      <c r="A472" s="2145"/>
      <c r="B472" s="1318"/>
      <c r="C472" s="49"/>
      <c r="D472" s="100"/>
      <c r="E472" s="100"/>
      <c r="G472" s="100"/>
      <c r="H472" s="49"/>
      <c r="I472" s="49"/>
      <c r="J472" s="49"/>
      <c r="K472" s="49"/>
      <c r="L472" s="49"/>
      <c r="M472" s="49"/>
      <c r="T472" s="50"/>
      <c r="U472" s="50"/>
      <c r="V472" s="50"/>
      <c r="DG472" s="543"/>
      <c r="DH472" s="149"/>
      <c r="DI472" s="1020"/>
    </row>
    <row r="473" spans="1:113" ht="30" outlineLevel="1" x14ac:dyDescent="0.25">
      <c r="A473" s="2145"/>
      <c r="B473" s="1318"/>
      <c r="C473" s="49"/>
      <c r="D473" s="1309" t="s">
        <v>720</v>
      </c>
      <c r="E473" s="1309" t="s">
        <v>613</v>
      </c>
      <c r="F473" s="2378" t="s">
        <v>614</v>
      </c>
      <c r="G473" s="2378"/>
      <c r="H473" s="2378"/>
      <c r="I473" s="1242" t="s">
        <v>43</v>
      </c>
      <c r="J473" s="1242" t="s">
        <v>615</v>
      </c>
      <c r="K473" s="1242" t="s">
        <v>909</v>
      </c>
      <c r="L473" s="1242" t="s">
        <v>910</v>
      </c>
      <c r="S473" s="2432" t="s">
        <v>1048</v>
      </c>
      <c r="T473" s="2432"/>
      <c r="U473" s="50"/>
      <c r="V473" s="162" t="s">
        <v>53</v>
      </c>
      <c r="W473" s="637">
        <f>W$7</f>
        <v>43252</v>
      </c>
      <c r="X473" s="637">
        <f t="shared" ref="X473:AG473" si="90">X$7</f>
        <v>43800</v>
      </c>
      <c r="Y473" s="637">
        <f t="shared" si="90"/>
        <v>43800</v>
      </c>
      <c r="Z473" s="637">
        <f t="shared" si="90"/>
        <v>43862</v>
      </c>
      <c r="AA473" s="637">
        <f t="shared" si="90"/>
        <v>44013</v>
      </c>
      <c r="AB473" s="637">
        <f t="shared" si="90"/>
        <v>44166</v>
      </c>
      <c r="AC473" s="637">
        <f t="shared" si="90"/>
        <v>44531</v>
      </c>
      <c r="AD473" s="637">
        <f t="shared" si="90"/>
        <v>44774</v>
      </c>
      <c r="AE473" s="637">
        <f t="shared" si="90"/>
        <v>45139</v>
      </c>
      <c r="AF473" s="637">
        <f t="shared" si="90"/>
        <v>45672</v>
      </c>
      <c r="AG473" s="110">
        <f t="shared" si="90"/>
        <v>45931</v>
      </c>
      <c r="DG473" s="543"/>
      <c r="DH473" s="149"/>
      <c r="DI473" s="1020"/>
    </row>
    <row r="474" spans="1:113" outlineLevel="1" x14ac:dyDescent="0.25">
      <c r="A474" s="2145"/>
      <c r="B474" s="1318"/>
      <c r="C474" s="49"/>
      <c r="D474" s="1309"/>
      <c r="E474" s="1309"/>
      <c r="F474" s="1242"/>
      <c r="G474" s="1242"/>
      <c r="H474" s="1242"/>
      <c r="I474" s="1242"/>
      <c r="J474" s="1242"/>
      <c r="K474" s="1242"/>
      <c r="L474" s="1242"/>
      <c r="R474" s="1806" t="s">
        <v>915</v>
      </c>
      <c r="S474" s="1806" t="s">
        <v>991</v>
      </c>
      <c r="T474" s="1431" t="s">
        <v>992</v>
      </c>
      <c r="U474" s="50"/>
      <c r="V474" s="162"/>
      <c r="W474" s="637"/>
      <c r="X474" s="637"/>
      <c r="Y474" s="637"/>
      <c r="Z474" s="637"/>
      <c r="AA474" s="637"/>
      <c r="AB474" s="637"/>
      <c r="AC474" s="637"/>
      <c r="AD474" s="637"/>
      <c r="AE474" s="637"/>
      <c r="AF474" s="637"/>
      <c r="AG474" s="110"/>
      <c r="DG474" s="543"/>
      <c r="DH474" s="149"/>
      <c r="DI474" s="1020"/>
    </row>
    <row r="475" spans="1:113" outlineLevel="1" x14ac:dyDescent="0.25">
      <c r="A475" s="2145"/>
      <c r="B475" s="1318"/>
      <c r="C475" s="49"/>
      <c r="D475" s="2415" t="s">
        <v>1049</v>
      </c>
      <c r="E475" s="2415" t="s">
        <v>1050</v>
      </c>
      <c r="F475" s="2417" t="str">
        <f>E448</f>
        <v>DFHP-SEER19-ROF_MF</v>
      </c>
      <c r="G475" s="2417"/>
      <c r="H475" s="2417"/>
      <c r="I475" s="772"/>
      <c r="J475" s="1516">
        <v>40800</v>
      </c>
      <c r="K475" s="1307">
        <f>J475/12000</f>
        <v>3.4</v>
      </c>
      <c r="L475" s="873" t="s">
        <v>1051</v>
      </c>
      <c r="R475" s="1805">
        <v>15.2</v>
      </c>
      <c r="S475" s="1805">
        <v>7000</v>
      </c>
      <c r="T475" s="68">
        <v>600</v>
      </c>
      <c r="U475" s="50"/>
      <c r="V475" s="2415"/>
      <c r="W475" s="1268" t="e">
        <f>#REF!*12000</f>
        <v>#REF!</v>
      </c>
      <c r="X475" s="1268">
        <v>40800</v>
      </c>
      <c r="Y475" s="1268">
        <v>40800</v>
      </c>
      <c r="Z475" s="1268">
        <v>40800</v>
      </c>
      <c r="AA475" s="1268">
        <v>40800</v>
      </c>
      <c r="AB475" s="1268">
        <v>40800</v>
      </c>
      <c r="AC475" s="1268">
        <v>40800</v>
      </c>
      <c r="AD475" s="1268">
        <v>40800</v>
      </c>
      <c r="AE475" s="1268">
        <v>40800</v>
      </c>
      <c r="AF475" s="253">
        <v>40800</v>
      </c>
      <c r="AG475" s="253">
        <f>IF(J475&lt;&gt;"",J475,"")</f>
        <v>40800</v>
      </c>
      <c r="DG475" s="543"/>
      <c r="DH475" s="149"/>
      <c r="DI475" s="1020"/>
    </row>
    <row r="476" spans="1:113" outlineLevel="1" x14ac:dyDescent="0.25">
      <c r="A476" s="2145"/>
      <c r="B476" s="1318"/>
      <c r="C476" s="49"/>
      <c r="D476" s="2415"/>
      <c r="E476" s="2415"/>
      <c r="F476" s="2417" t="str">
        <f>E450</f>
        <v>DFHP-SEER20-ROF_MF</v>
      </c>
      <c r="G476" s="2417"/>
      <c r="H476" s="2417"/>
      <c r="I476" s="772"/>
      <c r="J476" s="1516">
        <v>52800.000000000007</v>
      </c>
      <c r="K476" s="1307">
        <f t="shared" ref="K476:K477" si="91">J476/12000</f>
        <v>4.4000000000000004</v>
      </c>
      <c r="L476" s="873" t="s">
        <v>1051</v>
      </c>
      <c r="R476" s="1805">
        <v>16.2</v>
      </c>
      <c r="S476" s="1805">
        <v>7286</v>
      </c>
      <c r="T476" s="68">
        <v>600</v>
      </c>
      <c r="U476" s="50"/>
      <c r="V476" s="2415"/>
      <c r="W476" s="1268">
        <f>$K476*12000</f>
        <v>52800.000000000007</v>
      </c>
      <c r="X476" s="1268">
        <v>52800.000000000007</v>
      </c>
      <c r="Y476" s="1268">
        <v>52800.000000000007</v>
      </c>
      <c r="Z476" s="1268">
        <v>52800.000000000007</v>
      </c>
      <c r="AA476" s="1268">
        <v>52800.000000000007</v>
      </c>
      <c r="AB476" s="1268">
        <v>52800.000000000007</v>
      </c>
      <c r="AC476" s="1268">
        <v>52800.000000000007</v>
      </c>
      <c r="AD476" s="1268">
        <v>52800.000000000007</v>
      </c>
      <c r="AE476" s="1268">
        <v>52800.000000000007</v>
      </c>
      <c r="AF476" s="253">
        <v>52800.000000000007</v>
      </c>
      <c r="AG476" s="253">
        <f t="shared" ref="AG476:AG507" si="92">IF(J476&lt;&gt;"",J476,"")</f>
        <v>52800.000000000007</v>
      </c>
      <c r="DG476" s="543"/>
      <c r="DH476" s="149"/>
      <c r="DI476" s="1020"/>
    </row>
    <row r="477" spans="1:113" outlineLevel="1" x14ac:dyDescent="0.25">
      <c r="A477" s="2145"/>
      <c r="B477" s="1318"/>
      <c r="C477" s="49"/>
      <c r="D477" s="2415"/>
      <c r="E477" s="2415"/>
      <c r="F477" s="2417" t="str">
        <f>E452</f>
        <v>DFHP-SEER21-ROF_MF</v>
      </c>
      <c r="G477" s="2417"/>
      <c r="H477" s="2417"/>
      <c r="I477" s="772"/>
      <c r="J477" s="1516">
        <v>64800.000000000007</v>
      </c>
      <c r="K477" s="1307">
        <f t="shared" si="91"/>
        <v>5.4</v>
      </c>
      <c r="L477" s="873" t="s">
        <v>1051</v>
      </c>
      <c r="R477" s="1805">
        <v>17.100000000000001</v>
      </c>
      <c r="S477" s="1805">
        <v>7495</v>
      </c>
      <c r="T477" s="68">
        <v>600</v>
      </c>
      <c r="U477" s="50"/>
      <c r="V477" s="2415"/>
      <c r="W477" s="1268">
        <f>$K477*12000</f>
        <v>64800.000000000007</v>
      </c>
      <c r="X477" s="1268">
        <v>64800.000000000007</v>
      </c>
      <c r="Y477" s="1268">
        <v>64800.000000000007</v>
      </c>
      <c r="Z477" s="1268">
        <v>64800.000000000007</v>
      </c>
      <c r="AA477" s="1268">
        <v>64800.000000000007</v>
      </c>
      <c r="AB477" s="1268">
        <v>64800.000000000007</v>
      </c>
      <c r="AC477" s="1268">
        <v>64800.000000000007</v>
      </c>
      <c r="AD477" s="1268">
        <v>64800.000000000007</v>
      </c>
      <c r="AE477" s="1268">
        <v>64800.000000000007</v>
      </c>
      <c r="AF477" s="253">
        <v>64800.000000000007</v>
      </c>
      <c r="AG477" s="253">
        <f t="shared" si="92"/>
        <v>64800.000000000007</v>
      </c>
      <c r="DG477" s="543"/>
      <c r="DH477" s="149"/>
      <c r="DI477" s="1020"/>
    </row>
    <row r="478" spans="1:113" outlineLevel="1" x14ac:dyDescent="0.25">
      <c r="A478" s="2145"/>
      <c r="B478" s="1318"/>
      <c r="C478" s="49"/>
      <c r="D478" s="2415" t="s">
        <v>1052</v>
      </c>
      <c r="E478" s="2415" t="s">
        <v>1053</v>
      </c>
      <c r="F478" s="2417" t="str">
        <f>$F$475</f>
        <v>DFHP-SEER19-ROF_MF</v>
      </c>
      <c r="G478" s="2417"/>
      <c r="H478" s="2417"/>
      <c r="I478" s="772"/>
      <c r="J478" s="1534">
        <v>1119</v>
      </c>
      <c r="K478" s="1307"/>
      <c r="L478" s="873" t="s">
        <v>1054</v>
      </c>
      <c r="R478" s="1805">
        <v>18.100000000000001</v>
      </c>
      <c r="S478" s="1805">
        <v>7720</v>
      </c>
      <c r="T478" s="68">
        <v>600</v>
      </c>
      <c r="U478" s="50"/>
      <c r="V478" s="2415" t="s">
        <v>1052</v>
      </c>
      <c r="W478" s="1268">
        <v>1119</v>
      </c>
      <c r="X478" s="1268">
        <v>1119</v>
      </c>
      <c r="Y478" s="1268">
        <v>1119</v>
      </c>
      <c r="Z478" s="1268">
        <v>1119</v>
      </c>
      <c r="AA478" s="1268">
        <v>1119</v>
      </c>
      <c r="AB478" s="1268">
        <v>1119</v>
      </c>
      <c r="AC478" s="1268">
        <v>1119</v>
      </c>
      <c r="AD478" s="1268">
        <v>1119</v>
      </c>
      <c r="AE478" s="1268">
        <v>1119</v>
      </c>
      <c r="AF478" s="253">
        <v>1119</v>
      </c>
      <c r="AG478" s="253">
        <f t="shared" si="92"/>
        <v>1119</v>
      </c>
      <c r="DG478" s="543"/>
      <c r="DH478" s="149"/>
      <c r="DI478" s="1020"/>
    </row>
    <row r="479" spans="1:113" outlineLevel="1" x14ac:dyDescent="0.25">
      <c r="A479" s="2145"/>
      <c r="B479" s="1318"/>
      <c r="C479" s="49"/>
      <c r="D479" s="2415"/>
      <c r="E479" s="2415"/>
      <c r="F479" s="2417" t="str">
        <f>$F$476</f>
        <v>DFHP-SEER20-ROF_MF</v>
      </c>
      <c r="G479" s="2417"/>
      <c r="H479" s="2417"/>
      <c r="I479" s="772"/>
      <c r="J479" s="1534">
        <v>1119</v>
      </c>
      <c r="K479" s="1307"/>
      <c r="L479" s="873"/>
      <c r="R479" s="1805">
        <v>19</v>
      </c>
      <c r="S479" s="1805">
        <v>7946</v>
      </c>
      <c r="T479" s="68">
        <v>600</v>
      </c>
      <c r="U479" s="50"/>
      <c r="V479" s="2415"/>
      <c r="W479" s="1268">
        <v>1119</v>
      </c>
      <c r="X479" s="1268">
        <v>1119</v>
      </c>
      <c r="Y479" s="1268">
        <v>1119</v>
      </c>
      <c r="Z479" s="1268">
        <v>1119</v>
      </c>
      <c r="AA479" s="1268">
        <v>1119</v>
      </c>
      <c r="AB479" s="1268">
        <v>1119</v>
      </c>
      <c r="AC479" s="1268">
        <v>1119</v>
      </c>
      <c r="AD479" s="1268">
        <v>1119</v>
      </c>
      <c r="AE479" s="1268">
        <v>1119</v>
      </c>
      <c r="AF479" s="253">
        <v>1119</v>
      </c>
      <c r="AG479" s="253">
        <f t="shared" si="92"/>
        <v>1119</v>
      </c>
      <c r="DG479" s="543"/>
      <c r="DH479" s="149"/>
      <c r="DI479" s="1020"/>
    </row>
    <row r="480" spans="1:113" outlineLevel="1" x14ac:dyDescent="0.25">
      <c r="A480" s="2145"/>
      <c r="B480" s="1318"/>
      <c r="C480" s="49"/>
      <c r="D480" s="2415"/>
      <c r="E480" s="2415"/>
      <c r="F480" s="2417" t="str">
        <f>$F$477</f>
        <v>DFHP-SEER21-ROF_MF</v>
      </c>
      <c r="G480" s="2417"/>
      <c r="H480" s="2417"/>
      <c r="I480" s="772"/>
      <c r="J480" s="1534">
        <v>1119</v>
      </c>
      <c r="K480" s="1307"/>
      <c r="L480" s="873"/>
      <c r="U480" s="50"/>
      <c r="V480" s="2415"/>
      <c r="W480" s="1268">
        <v>1119</v>
      </c>
      <c r="X480" s="1268">
        <v>1119</v>
      </c>
      <c r="Y480" s="1268">
        <v>1119</v>
      </c>
      <c r="Z480" s="1268">
        <v>1119</v>
      </c>
      <c r="AA480" s="1268">
        <v>1119</v>
      </c>
      <c r="AB480" s="1268">
        <v>1119</v>
      </c>
      <c r="AC480" s="1268">
        <v>1119</v>
      </c>
      <c r="AD480" s="1268">
        <v>1119</v>
      </c>
      <c r="AE480" s="1268">
        <v>1119</v>
      </c>
      <c r="AF480" s="253">
        <v>1119</v>
      </c>
      <c r="AG480" s="253">
        <f t="shared" si="92"/>
        <v>1119</v>
      </c>
      <c r="DG480" s="543"/>
      <c r="DH480" s="149"/>
      <c r="DI480" s="1020"/>
    </row>
    <row r="481" spans="1:113" outlineLevel="1" x14ac:dyDescent="0.25">
      <c r="A481" s="2145"/>
      <c r="B481" s="1318"/>
      <c r="C481" s="49"/>
      <c r="D481" s="2415" t="s">
        <v>1055</v>
      </c>
      <c r="E481" s="2415" t="s">
        <v>1056</v>
      </c>
      <c r="F481" s="2417" t="str">
        <f>$F$475</f>
        <v>DFHP-SEER19-ROF_MF</v>
      </c>
      <c r="G481" s="2417"/>
      <c r="H481" s="2417"/>
      <c r="I481" s="772"/>
      <c r="J481" s="1567">
        <v>7.5</v>
      </c>
      <c r="K481" s="1307"/>
      <c r="L481" s="873" t="s">
        <v>936</v>
      </c>
      <c r="S481" s="1431" t="s">
        <v>988</v>
      </c>
      <c r="T481" s="1431"/>
      <c r="U481" s="50"/>
      <c r="V481" s="2415" t="s">
        <v>1057</v>
      </c>
      <c r="W481" s="1268">
        <v>8.1999999999999993</v>
      </c>
      <c r="X481" s="1268">
        <v>8.1999999999999993</v>
      </c>
      <c r="Y481" s="1268">
        <v>8.1999999999999993</v>
      </c>
      <c r="Z481" s="1268">
        <v>8.1999999999999993</v>
      </c>
      <c r="AA481" s="1268">
        <v>8.1999999999999993</v>
      </c>
      <c r="AB481" s="1268">
        <v>8.1999999999999993</v>
      </c>
      <c r="AC481" s="1268">
        <v>8.1999999999999993</v>
      </c>
      <c r="AD481" s="1268">
        <v>8.1999999999999993</v>
      </c>
      <c r="AE481" s="779">
        <v>8.6</v>
      </c>
      <c r="AF481" s="253">
        <v>7.5</v>
      </c>
      <c r="AG481" s="253">
        <f t="shared" si="92"/>
        <v>7.5</v>
      </c>
      <c r="DG481" s="543"/>
      <c r="DH481" s="149"/>
      <c r="DI481" s="1020"/>
    </row>
    <row r="482" spans="1:113" outlineLevel="1" x14ac:dyDescent="0.25">
      <c r="A482" s="2145"/>
      <c r="B482" s="1318"/>
      <c r="C482" s="49"/>
      <c r="D482" s="2415"/>
      <c r="E482" s="2415"/>
      <c r="F482" s="2417" t="str">
        <f>$F$476</f>
        <v>DFHP-SEER20-ROF_MF</v>
      </c>
      <c r="G482" s="2417"/>
      <c r="H482" s="2417"/>
      <c r="I482" s="772"/>
      <c r="J482" s="1567">
        <v>7.5</v>
      </c>
      <c r="K482" s="1307"/>
      <c r="L482" s="873" t="s">
        <v>936</v>
      </c>
      <c r="Q482" s="1806" t="s">
        <v>989</v>
      </c>
      <c r="R482" s="1806" t="s">
        <v>990</v>
      </c>
      <c r="S482" s="1806" t="s">
        <v>991</v>
      </c>
      <c r="T482" s="1431" t="s">
        <v>992</v>
      </c>
      <c r="U482" s="50"/>
      <c r="V482" s="2415"/>
      <c r="W482" s="1268">
        <v>8.1999999999999993</v>
      </c>
      <c r="X482" s="1268">
        <v>8.1999999999999993</v>
      </c>
      <c r="Y482" s="1268">
        <v>8.1999999999999993</v>
      </c>
      <c r="Z482" s="1268">
        <v>8.1999999999999993</v>
      </c>
      <c r="AA482" s="1268">
        <v>8.1999999999999993</v>
      </c>
      <c r="AB482" s="1268">
        <v>8.1999999999999993</v>
      </c>
      <c r="AC482" s="1268">
        <v>8.1999999999999993</v>
      </c>
      <c r="AD482" s="1268">
        <v>8.1999999999999993</v>
      </c>
      <c r="AE482" s="779">
        <v>8.6</v>
      </c>
      <c r="AF482" s="253">
        <v>7.5</v>
      </c>
      <c r="AG482" s="253">
        <f t="shared" si="92"/>
        <v>7.5</v>
      </c>
      <c r="DG482" s="543"/>
      <c r="DH482" s="149"/>
      <c r="DI482" s="1020"/>
    </row>
    <row r="483" spans="1:113" outlineLevel="1" x14ac:dyDescent="0.25">
      <c r="A483" s="2145"/>
      <c r="B483" s="1318"/>
      <c r="C483" s="49"/>
      <c r="D483" s="2415"/>
      <c r="E483" s="2415"/>
      <c r="F483" s="2417" t="str">
        <f>$F$477</f>
        <v>DFHP-SEER21-ROF_MF</v>
      </c>
      <c r="G483" s="2417"/>
      <c r="H483" s="2417"/>
      <c r="I483" s="772"/>
      <c r="J483" s="1567">
        <v>7.5</v>
      </c>
      <c r="K483" s="1307"/>
      <c r="L483" s="873" t="s">
        <v>936</v>
      </c>
      <c r="Q483" s="1249" t="s">
        <v>1058</v>
      </c>
      <c r="R483" s="1249" t="s">
        <v>1058</v>
      </c>
      <c r="S483" s="1249">
        <v>6865</v>
      </c>
      <c r="T483" s="68">
        <v>600</v>
      </c>
      <c r="U483" s="50"/>
      <c r="V483" s="2415"/>
      <c r="W483" s="1268">
        <v>8.1999999999999993</v>
      </c>
      <c r="X483" s="1268">
        <v>8.1999999999999993</v>
      </c>
      <c r="Y483" s="1268">
        <v>8.1999999999999993</v>
      </c>
      <c r="Z483" s="1268">
        <v>8.1999999999999993</v>
      </c>
      <c r="AA483" s="1268">
        <v>8.1999999999999993</v>
      </c>
      <c r="AB483" s="1268">
        <v>8.1999999999999993</v>
      </c>
      <c r="AC483" s="1268">
        <v>8.1999999999999993</v>
      </c>
      <c r="AD483" s="1268">
        <v>8.1999999999999993</v>
      </c>
      <c r="AE483" s="779">
        <v>8.6</v>
      </c>
      <c r="AF483" s="253">
        <v>7.5</v>
      </c>
      <c r="AG483" s="253">
        <f t="shared" si="92"/>
        <v>7.5</v>
      </c>
      <c r="DG483" s="543"/>
      <c r="DH483" s="149"/>
      <c r="DI483" s="1020"/>
    </row>
    <row r="484" spans="1:113" outlineLevel="1" x14ac:dyDescent="0.25">
      <c r="A484" s="2145"/>
      <c r="B484" s="1318"/>
      <c r="C484" s="49"/>
      <c r="D484" s="2415" t="s">
        <v>1059</v>
      </c>
      <c r="E484" s="2415" t="s">
        <v>1060</v>
      </c>
      <c r="F484" s="2417" t="str">
        <f>$F$475</f>
        <v>DFHP-SEER19-ROF_MF</v>
      </c>
      <c r="G484" s="2417"/>
      <c r="H484" s="2417"/>
      <c r="I484" s="772"/>
      <c r="J484" s="859">
        <f>0.87*10</f>
        <v>8.6999999999999993</v>
      </c>
      <c r="K484" s="1307"/>
      <c r="L484" s="873" t="s">
        <v>1061</v>
      </c>
      <c r="Q484" s="1249" t="s">
        <v>993</v>
      </c>
      <c r="R484" s="1249" t="s">
        <v>993</v>
      </c>
      <c r="S484" s="1249">
        <f>2011+3338</f>
        <v>5349</v>
      </c>
      <c r="T484" s="68"/>
      <c r="U484" s="50"/>
      <c r="V484" s="2415" t="s">
        <v>1062</v>
      </c>
      <c r="W484" s="1268">
        <v>10</v>
      </c>
      <c r="X484" s="1268">
        <v>10</v>
      </c>
      <c r="Y484" s="1268">
        <v>10</v>
      </c>
      <c r="Z484" s="1268">
        <v>10</v>
      </c>
      <c r="AA484" s="1268">
        <v>10</v>
      </c>
      <c r="AB484" s="1268">
        <v>10</v>
      </c>
      <c r="AC484" s="1268">
        <v>10</v>
      </c>
      <c r="AD484" s="1268">
        <v>10</v>
      </c>
      <c r="AE484" s="1268">
        <v>10</v>
      </c>
      <c r="AF484" s="253">
        <v>8.6999999999999993</v>
      </c>
      <c r="AG484" s="253">
        <f t="shared" si="92"/>
        <v>8.6999999999999993</v>
      </c>
      <c r="DG484" s="543"/>
      <c r="DH484" s="149"/>
      <c r="DI484" s="1020"/>
    </row>
    <row r="485" spans="1:113" outlineLevel="1" x14ac:dyDescent="0.25">
      <c r="A485" s="2145"/>
      <c r="B485" s="1318"/>
      <c r="C485" s="49"/>
      <c r="D485" s="2415"/>
      <c r="E485" s="2415"/>
      <c r="F485" s="2417" t="str">
        <f>$F$476</f>
        <v>DFHP-SEER20-ROF_MF</v>
      </c>
      <c r="G485" s="2417"/>
      <c r="H485" s="2417"/>
      <c r="I485" s="772"/>
      <c r="J485" s="859">
        <f>0.87*10.4</f>
        <v>9.048</v>
      </c>
      <c r="K485" s="1307"/>
      <c r="L485" s="873" t="s">
        <v>1061</v>
      </c>
      <c r="Q485" s="1249" t="s">
        <v>1063</v>
      </c>
      <c r="R485" s="1249" t="s">
        <v>1063</v>
      </c>
      <c r="S485" s="1249">
        <v>7722</v>
      </c>
      <c r="T485" s="68">
        <v>674</v>
      </c>
      <c r="U485" s="50"/>
      <c r="V485" s="2415"/>
      <c r="W485" s="1268">
        <v>10.4</v>
      </c>
      <c r="X485" s="1268">
        <v>10.4</v>
      </c>
      <c r="Y485" s="1268">
        <v>10.4</v>
      </c>
      <c r="Z485" s="1268">
        <v>10.4</v>
      </c>
      <c r="AA485" s="1268">
        <v>10.4</v>
      </c>
      <c r="AB485" s="1268">
        <v>10.4</v>
      </c>
      <c r="AC485" s="1268">
        <v>10.4</v>
      </c>
      <c r="AD485" s="1268">
        <v>10.4</v>
      </c>
      <c r="AE485" s="1268">
        <v>10.4</v>
      </c>
      <c r="AF485" s="253">
        <v>9.048</v>
      </c>
      <c r="AG485" s="253">
        <f t="shared" si="92"/>
        <v>9.048</v>
      </c>
      <c r="DG485" s="543"/>
      <c r="DH485" s="149"/>
      <c r="DI485" s="1020"/>
    </row>
    <row r="486" spans="1:113" outlineLevel="1" x14ac:dyDescent="0.25">
      <c r="A486" s="2145"/>
      <c r="B486" s="1318"/>
      <c r="C486" s="49"/>
      <c r="D486" s="2415"/>
      <c r="E486" s="2415"/>
      <c r="F486" s="2417" t="str">
        <f>$F$477</f>
        <v>DFHP-SEER21-ROF_MF</v>
      </c>
      <c r="G486" s="2417"/>
      <c r="H486" s="2417"/>
      <c r="I486" s="772"/>
      <c r="J486" s="859">
        <f>0.87*10.8</f>
        <v>9.3960000000000008</v>
      </c>
      <c r="K486" s="1307"/>
      <c r="L486" s="873" t="s">
        <v>1061</v>
      </c>
      <c r="Q486" s="1249" t="s">
        <v>998</v>
      </c>
      <c r="R486" s="1249" t="s">
        <v>998</v>
      </c>
      <c r="S486" s="1249">
        <f>2296+3670</f>
        <v>5966</v>
      </c>
      <c r="T486" s="68"/>
      <c r="U486" s="50"/>
      <c r="V486" s="2415"/>
      <c r="W486" s="1268">
        <v>10.8</v>
      </c>
      <c r="X486" s="1268">
        <v>10.8</v>
      </c>
      <c r="Y486" s="1268">
        <v>10.8</v>
      </c>
      <c r="Z486" s="1268">
        <v>10.8</v>
      </c>
      <c r="AA486" s="1268">
        <v>10.8</v>
      </c>
      <c r="AB486" s="1268">
        <v>10.8</v>
      </c>
      <c r="AC486" s="1268">
        <v>10.8</v>
      </c>
      <c r="AD486" s="1268">
        <v>10.8</v>
      </c>
      <c r="AE486" s="1268">
        <v>10.8</v>
      </c>
      <c r="AF486" s="253">
        <v>9.3960000000000008</v>
      </c>
      <c r="AG486" s="253">
        <f t="shared" si="92"/>
        <v>9.3960000000000008</v>
      </c>
      <c r="DG486" s="543"/>
      <c r="DH486" s="149"/>
      <c r="DI486" s="1020"/>
    </row>
    <row r="487" spans="1:113" outlineLevel="1" x14ac:dyDescent="0.25">
      <c r="A487" s="2145"/>
      <c r="B487" s="1318"/>
      <c r="C487" s="49"/>
      <c r="D487" s="2415" t="s">
        <v>1064</v>
      </c>
      <c r="E487" s="2415" t="s">
        <v>1065</v>
      </c>
      <c r="F487" s="2417" t="str">
        <f>$F$475</f>
        <v>DFHP-SEER19-ROF_MF</v>
      </c>
      <c r="G487" s="2417"/>
      <c r="H487" s="2417"/>
      <c r="I487" s="772"/>
      <c r="J487" s="1516">
        <v>40800</v>
      </c>
      <c r="K487" s="1307">
        <f t="shared" ref="K487:K489" si="93">J487/12000</f>
        <v>3.4</v>
      </c>
      <c r="L487" s="873" t="s">
        <v>1051</v>
      </c>
      <c r="T487" s="192"/>
      <c r="U487" s="50"/>
      <c r="V487" s="2415" t="s">
        <v>1064</v>
      </c>
      <c r="W487" s="1268">
        <f>$K487*12000</f>
        <v>40800</v>
      </c>
      <c r="X487" s="1268">
        <f>$K487*12000</f>
        <v>40800</v>
      </c>
      <c r="Y487" s="1268">
        <v>40800</v>
      </c>
      <c r="Z487" s="1268">
        <v>40800</v>
      </c>
      <c r="AA487" s="1268">
        <v>40800</v>
      </c>
      <c r="AB487" s="1268">
        <v>40800</v>
      </c>
      <c r="AC487" s="1268">
        <v>40800</v>
      </c>
      <c r="AD487" s="1268">
        <v>40800</v>
      </c>
      <c r="AE487" s="1268">
        <v>40800</v>
      </c>
      <c r="AF487" s="253">
        <v>40800</v>
      </c>
      <c r="AG487" s="253">
        <f t="shared" si="92"/>
        <v>40800</v>
      </c>
      <c r="DG487" s="543"/>
      <c r="DH487" s="149"/>
      <c r="DI487" s="1020"/>
    </row>
    <row r="488" spans="1:113" outlineLevel="1" x14ac:dyDescent="0.25">
      <c r="A488" s="2145"/>
      <c r="B488" s="1318"/>
      <c r="C488" s="49"/>
      <c r="D488" s="2415"/>
      <c r="E488" s="2415"/>
      <c r="F488" s="2417" t="str">
        <f>$F$476</f>
        <v>DFHP-SEER20-ROF_MF</v>
      </c>
      <c r="G488" s="2417"/>
      <c r="H488" s="2417"/>
      <c r="I488" s="772"/>
      <c r="J488" s="1516">
        <v>52800.000000000007</v>
      </c>
      <c r="K488" s="1307">
        <f t="shared" si="93"/>
        <v>4.4000000000000004</v>
      </c>
      <c r="L488" s="873" t="s">
        <v>1051</v>
      </c>
      <c r="R488" s="1806" t="s">
        <v>920</v>
      </c>
      <c r="S488" s="1806" t="s">
        <v>615</v>
      </c>
      <c r="T488" s="1431" t="s">
        <v>616</v>
      </c>
      <c r="U488" s="50"/>
      <c r="V488" s="2415"/>
      <c r="W488" s="1268">
        <f t="shared" ref="W488:X489" si="94">$K488*12000</f>
        <v>52800.000000000007</v>
      </c>
      <c r="X488" s="1268">
        <f t="shared" si="94"/>
        <v>52800.000000000007</v>
      </c>
      <c r="Y488" s="1268">
        <v>52800.000000000007</v>
      </c>
      <c r="Z488" s="1268">
        <v>52800.000000000007</v>
      </c>
      <c r="AA488" s="1268">
        <v>52800.000000000007</v>
      </c>
      <c r="AB488" s="1268">
        <v>52800.000000000007</v>
      </c>
      <c r="AC488" s="1268">
        <v>52800.000000000007</v>
      </c>
      <c r="AD488" s="1268">
        <v>52800.000000000007</v>
      </c>
      <c r="AE488" s="1268">
        <v>52800.000000000007</v>
      </c>
      <c r="AF488" s="253">
        <v>52800.000000000007</v>
      </c>
      <c r="AG488" s="253">
        <f t="shared" si="92"/>
        <v>52800.000000000007</v>
      </c>
      <c r="DG488" s="543"/>
      <c r="DH488" s="149"/>
      <c r="DI488" s="1020"/>
    </row>
    <row r="489" spans="1:113" outlineLevel="1" x14ac:dyDescent="0.25">
      <c r="A489" s="2145"/>
      <c r="B489" s="1318"/>
      <c r="C489" s="49"/>
      <c r="D489" s="2415"/>
      <c r="E489" s="2415"/>
      <c r="F489" s="2417" t="str">
        <f>$F$477</f>
        <v>DFHP-SEER21-ROF_MF</v>
      </c>
      <c r="G489" s="2417"/>
      <c r="H489" s="2417"/>
      <c r="I489" s="772"/>
      <c r="J489" s="1516">
        <v>64800.000000000007</v>
      </c>
      <c r="K489" s="1307">
        <f t="shared" si="93"/>
        <v>5.4</v>
      </c>
      <c r="L489" s="873" t="s">
        <v>1051</v>
      </c>
      <c r="R489" s="1249" t="s">
        <v>921</v>
      </c>
      <c r="S489" s="242">
        <v>2.3128228708516586E-2</v>
      </c>
      <c r="T489" s="68" t="s">
        <v>922</v>
      </c>
      <c r="U489" s="50"/>
      <c r="V489" s="2415"/>
      <c r="W489" s="1268">
        <f t="shared" si="94"/>
        <v>64800.000000000007</v>
      </c>
      <c r="X489" s="1268">
        <f t="shared" si="94"/>
        <v>64800.000000000007</v>
      </c>
      <c r="Y489" s="1268">
        <v>64800.000000000007</v>
      </c>
      <c r="Z489" s="1268">
        <v>64800.000000000007</v>
      </c>
      <c r="AA489" s="1268">
        <v>64800.000000000007</v>
      </c>
      <c r="AB489" s="1268">
        <v>64800.000000000007</v>
      </c>
      <c r="AC489" s="1268">
        <v>64800.000000000007</v>
      </c>
      <c r="AD489" s="1268">
        <v>64800.000000000007</v>
      </c>
      <c r="AE489" s="1268">
        <v>64800.000000000007</v>
      </c>
      <c r="AF489" s="253">
        <v>64800.000000000007</v>
      </c>
      <c r="AG489" s="253">
        <f t="shared" si="92"/>
        <v>64800.000000000007</v>
      </c>
      <c r="DG489" s="543"/>
      <c r="DH489" s="149"/>
      <c r="DI489" s="1020"/>
    </row>
    <row r="490" spans="1:113" outlineLevel="1" x14ac:dyDescent="0.25">
      <c r="A490" s="2145"/>
      <c r="B490" s="1318"/>
      <c r="C490" s="49"/>
      <c r="D490" s="2415" t="s">
        <v>1066</v>
      </c>
      <c r="E490" s="2415" t="s">
        <v>1067</v>
      </c>
      <c r="F490" s="2417" t="str">
        <f>$F$475</f>
        <v>DFHP-SEER19-ROF_MF</v>
      </c>
      <c r="G490" s="2417"/>
      <c r="H490" s="2417"/>
      <c r="I490" s="772"/>
      <c r="J490" s="1534">
        <v>869</v>
      </c>
      <c r="K490" s="1307"/>
      <c r="L490" s="873" t="s">
        <v>1017</v>
      </c>
      <c r="R490" s="1249" t="s">
        <v>923</v>
      </c>
      <c r="S490" s="1249">
        <v>6</v>
      </c>
      <c r="T490" s="68" t="s">
        <v>924</v>
      </c>
      <c r="U490" s="50"/>
      <c r="V490" s="2415" t="s">
        <v>1066</v>
      </c>
      <c r="W490" s="1268">
        <v>869</v>
      </c>
      <c r="X490" s="1268">
        <v>869</v>
      </c>
      <c r="Y490" s="1268">
        <v>869</v>
      </c>
      <c r="Z490" s="1268">
        <v>869</v>
      </c>
      <c r="AA490" s="1268">
        <v>869</v>
      </c>
      <c r="AB490" s="1268">
        <v>869</v>
      </c>
      <c r="AC490" s="1268">
        <v>869</v>
      </c>
      <c r="AD490" s="1268">
        <v>869</v>
      </c>
      <c r="AE490" s="1268">
        <v>869</v>
      </c>
      <c r="AF490" s="253">
        <v>869</v>
      </c>
      <c r="AG490" s="253">
        <f t="shared" si="92"/>
        <v>869</v>
      </c>
      <c r="DG490" s="543"/>
      <c r="DH490" s="149"/>
      <c r="DI490" s="1020"/>
    </row>
    <row r="491" spans="1:113" outlineLevel="1" x14ac:dyDescent="0.25">
      <c r="A491" s="2145"/>
      <c r="B491" s="1318"/>
      <c r="C491" s="49"/>
      <c r="D491" s="2415"/>
      <c r="E491" s="2415"/>
      <c r="F491" s="2417" t="str">
        <f>$F$476</f>
        <v>DFHP-SEER20-ROF_MF</v>
      </c>
      <c r="G491" s="2417"/>
      <c r="H491" s="2417"/>
      <c r="I491" s="772"/>
      <c r="J491" s="1534">
        <v>869</v>
      </c>
      <c r="K491" s="1307"/>
      <c r="L491" s="873" t="s">
        <v>1017</v>
      </c>
      <c r="R491" s="1249" t="s">
        <v>925</v>
      </c>
      <c r="S491" s="185">
        <f>(1-S489)^(S490-1)</f>
        <v>0.88958571378558426</v>
      </c>
      <c r="T491" s="68" t="s">
        <v>926</v>
      </c>
      <c r="U491" s="50"/>
      <c r="V491" s="2415"/>
      <c r="W491" s="1268">
        <v>869</v>
      </c>
      <c r="X491" s="1268">
        <v>869</v>
      </c>
      <c r="Y491" s="1268">
        <v>869</v>
      </c>
      <c r="Z491" s="1268">
        <v>869</v>
      </c>
      <c r="AA491" s="1268">
        <v>869</v>
      </c>
      <c r="AB491" s="1268">
        <v>869</v>
      </c>
      <c r="AC491" s="1268">
        <v>869</v>
      </c>
      <c r="AD491" s="1268">
        <v>869</v>
      </c>
      <c r="AE491" s="1268">
        <v>869</v>
      </c>
      <c r="AF491" s="253">
        <v>869</v>
      </c>
      <c r="AG491" s="253">
        <f t="shared" si="92"/>
        <v>869</v>
      </c>
      <c r="DG491" s="543"/>
      <c r="DH491" s="149"/>
      <c r="DI491" s="1020"/>
    </row>
    <row r="492" spans="1:113" outlineLevel="1" x14ac:dyDescent="0.25">
      <c r="A492" s="2145"/>
      <c r="B492" s="1318"/>
      <c r="C492" s="49"/>
      <c r="D492" s="2415"/>
      <c r="E492" s="2415"/>
      <c r="F492" s="2417" t="str">
        <f>$F$477</f>
        <v>DFHP-SEER21-ROF_MF</v>
      </c>
      <c r="G492" s="2417"/>
      <c r="H492" s="2417"/>
      <c r="I492" s="772"/>
      <c r="J492" s="1534">
        <v>869</v>
      </c>
      <c r="K492" s="1307"/>
      <c r="L492" s="873" t="s">
        <v>1017</v>
      </c>
      <c r="R492" s="166"/>
      <c r="T492" s="50"/>
      <c r="U492" s="50"/>
      <c r="V492" s="2415"/>
      <c r="W492" s="1268">
        <v>869</v>
      </c>
      <c r="X492" s="1268">
        <v>869</v>
      </c>
      <c r="Y492" s="1268">
        <v>869</v>
      </c>
      <c r="Z492" s="1268">
        <v>869</v>
      </c>
      <c r="AA492" s="1268">
        <v>869</v>
      </c>
      <c r="AB492" s="1268">
        <v>869</v>
      </c>
      <c r="AC492" s="1268">
        <v>869</v>
      </c>
      <c r="AD492" s="1268">
        <v>869</v>
      </c>
      <c r="AE492" s="1268">
        <v>869</v>
      </c>
      <c r="AF492" s="253">
        <v>869</v>
      </c>
      <c r="AG492" s="253">
        <f t="shared" si="92"/>
        <v>869</v>
      </c>
      <c r="DG492" s="543"/>
      <c r="DH492" s="149"/>
      <c r="DI492" s="1020"/>
    </row>
    <row r="493" spans="1:113" outlineLevel="1" x14ac:dyDescent="0.25">
      <c r="A493" s="2145"/>
      <c r="B493" s="1318"/>
      <c r="C493" s="49"/>
      <c r="D493" s="2415" t="s">
        <v>1068</v>
      </c>
      <c r="E493" s="2415" t="s">
        <v>1069</v>
      </c>
      <c r="F493" s="2417" t="str">
        <f>$F$475</f>
        <v>DFHP-SEER19-ROF_MF</v>
      </c>
      <c r="G493" s="2417"/>
      <c r="H493" s="2417"/>
      <c r="I493" s="772"/>
      <c r="J493" s="1567">
        <v>14.3</v>
      </c>
      <c r="K493" s="1307"/>
      <c r="L493" s="873" t="s">
        <v>936</v>
      </c>
      <c r="R493" s="166"/>
      <c r="T493" s="50"/>
      <c r="U493" s="50"/>
      <c r="V493" s="2415" t="s">
        <v>1070</v>
      </c>
      <c r="W493" s="1268">
        <v>14</v>
      </c>
      <c r="X493" s="1268">
        <v>14</v>
      </c>
      <c r="Y493" s="1268">
        <v>14</v>
      </c>
      <c r="Z493" s="1268">
        <v>14</v>
      </c>
      <c r="AA493" s="1268">
        <v>14</v>
      </c>
      <c r="AB493" s="1268">
        <v>14</v>
      </c>
      <c r="AC493" s="1268">
        <v>14</v>
      </c>
      <c r="AD493" s="1268">
        <v>14</v>
      </c>
      <c r="AE493" s="779">
        <v>15</v>
      </c>
      <c r="AF493" s="253">
        <v>14.3</v>
      </c>
      <c r="AG493" s="253">
        <f t="shared" si="92"/>
        <v>14.3</v>
      </c>
      <c r="DG493" s="543"/>
      <c r="DH493" s="149"/>
      <c r="DI493" s="1020"/>
    </row>
    <row r="494" spans="1:113" outlineLevel="1" x14ac:dyDescent="0.25">
      <c r="A494" s="2145"/>
      <c r="B494" s="1318"/>
      <c r="C494" s="49"/>
      <c r="D494" s="2415"/>
      <c r="E494" s="2415"/>
      <c r="F494" s="2417" t="str">
        <f>$F$476</f>
        <v>DFHP-SEER20-ROF_MF</v>
      </c>
      <c r="G494" s="2417"/>
      <c r="H494" s="2417"/>
      <c r="I494" s="772"/>
      <c r="J494" s="1567">
        <v>14.3</v>
      </c>
      <c r="K494" s="1307"/>
      <c r="L494" s="873" t="s">
        <v>936</v>
      </c>
      <c r="R494" s="166"/>
      <c r="T494" s="50"/>
      <c r="U494" s="50"/>
      <c r="V494" s="2415"/>
      <c r="W494" s="1268">
        <v>14</v>
      </c>
      <c r="X494" s="1268">
        <v>14</v>
      </c>
      <c r="Y494" s="1268">
        <v>14</v>
      </c>
      <c r="Z494" s="1268">
        <v>14</v>
      </c>
      <c r="AA494" s="1268">
        <v>14</v>
      </c>
      <c r="AB494" s="1268">
        <v>14</v>
      </c>
      <c r="AC494" s="1268">
        <v>14</v>
      </c>
      <c r="AD494" s="1268">
        <v>14</v>
      </c>
      <c r="AE494" s="779">
        <v>15</v>
      </c>
      <c r="AF494" s="253">
        <v>14.3</v>
      </c>
      <c r="AG494" s="253">
        <f t="shared" si="92"/>
        <v>14.3</v>
      </c>
      <c r="DG494" s="543"/>
      <c r="DH494" s="149"/>
      <c r="DI494" s="1020"/>
    </row>
    <row r="495" spans="1:113" outlineLevel="1" x14ac:dyDescent="0.25">
      <c r="A495" s="2145"/>
      <c r="B495" s="1318"/>
      <c r="C495" s="49"/>
      <c r="D495" s="2415"/>
      <c r="E495" s="2415"/>
      <c r="F495" s="2417" t="str">
        <f>$F$477</f>
        <v>DFHP-SEER21-ROF_MF</v>
      </c>
      <c r="G495" s="2417"/>
      <c r="H495" s="2417"/>
      <c r="I495" s="772"/>
      <c r="J495" s="1567">
        <v>14.3</v>
      </c>
      <c r="K495" s="1307"/>
      <c r="L495" s="873" t="s">
        <v>936</v>
      </c>
      <c r="R495" s="166"/>
      <c r="T495" s="50"/>
      <c r="U495" s="50"/>
      <c r="V495" s="2415"/>
      <c r="W495" s="1268">
        <v>14</v>
      </c>
      <c r="X495" s="1268">
        <v>14</v>
      </c>
      <c r="Y495" s="1268">
        <v>14</v>
      </c>
      <c r="Z495" s="1268">
        <v>14</v>
      </c>
      <c r="AA495" s="1268">
        <v>14</v>
      </c>
      <c r="AB495" s="1268">
        <v>14</v>
      </c>
      <c r="AC495" s="1268">
        <v>14</v>
      </c>
      <c r="AD495" s="1268">
        <v>14</v>
      </c>
      <c r="AE495" s="779">
        <v>15</v>
      </c>
      <c r="AF495" s="253">
        <v>14.3</v>
      </c>
      <c r="AG495" s="253">
        <f t="shared" si="92"/>
        <v>14.3</v>
      </c>
      <c r="DG495" s="543"/>
      <c r="DH495" s="149"/>
      <c r="DI495" s="1020"/>
    </row>
    <row r="496" spans="1:113" outlineLevel="1" x14ac:dyDescent="0.25">
      <c r="A496" s="2145"/>
      <c r="B496" s="1318"/>
      <c r="C496" s="49"/>
      <c r="D496" s="2415" t="s">
        <v>1071</v>
      </c>
      <c r="E496" s="2415" t="s">
        <v>1072</v>
      </c>
      <c r="F496" s="2417" t="str">
        <f>$F$475</f>
        <v>DFHP-SEER19-ROF_MF</v>
      </c>
      <c r="G496" s="2417"/>
      <c r="H496" s="2417"/>
      <c r="I496" s="772"/>
      <c r="J496" s="1517">
        <v>19</v>
      </c>
      <c r="K496" s="1307"/>
      <c r="L496" s="873" t="s">
        <v>1073</v>
      </c>
      <c r="R496" s="166"/>
      <c r="T496" s="50"/>
      <c r="U496" s="50"/>
      <c r="V496" s="2415" t="s">
        <v>1074</v>
      </c>
      <c r="W496" s="1268">
        <v>19</v>
      </c>
      <c r="X496" s="1268">
        <v>19</v>
      </c>
      <c r="Y496" s="1268">
        <v>19</v>
      </c>
      <c r="Z496" s="1268">
        <v>19</v>
      </c>
      <c r="AA496" s="1268">
        <v>19</v>
      </c>
      <c r="AB496" s="1268">
        <v>19</v>
      </c>
      <c r="AC496" s="1268">
        <v>19</v>
      </c>
      <c r="AD496" s="1268">
        <v>19</v>
      </c>
      <c r="AE496" s="1268">
        <v>19</v>
      </c>
      <c r="AF496" s="253">
        <v>19</v>
      </c>
      <c r="AG496" s="253">
        <f t="shared" si="92"/>
        <v>19</v>
      </c>
      <c r="DG496" s="543"/>
      <c r="DH496" s="149"/>
      <c r="DI496" s="1020"/>
    </row>
    <row r="497" spans="1:114" outlineLevel="1" x14ac:dyDescent="0.25">
      <c r="A497" s="2145"/>
      <c r="B497" s="1318"/>
      <c r="C497" s="49"/>
      <c r="D497" s="2415"/>
      <c r="E497" s="2415"/>
      <c r="F497" s="2417" t="str">
        <f>$F$476</f>
        <v>DFHP-SEER20-ROF_MF</v>
      </c>
      <c r="G497" s="2417"/>
      <c r="H497" s="2417"/>
      <c r="I497" s="772"/>
      <c r="J497" s="1517">
        <v>20</v>
      </c>
      <c r="K497" s="1307"/>
      <c r="L497" s="873" t="s">
        <v>1073</v>
      </c>
      <c r="R497" s="166"/>
      <c r="T497" s="50"/>
      <c r="U497" s="50"/>
      <c r="V497" s="2415"/>
      <c r="W497" s="1268">
        <v>20</v>
      </c>
      <c r="X497" s="1268">
        <v>20</v>
      </c>
      <c r="Y497" s="1268">
        <v>20</v>
      </c>
      <c r="Z497" s="1268">
        <v>20</v>
      </c>
      <c r="AA497" s="1268">
        <v>20</v>
      </c>
      <c r="AB497" s="1268">
        <v>20</v>
      </c>
      <c r="AC497" s="1268">
        <v>20</v>
      </c>
      <c r="AD497" s="1268">
        <v>20</v>
      </c>
      <c r="AE497" s="1268">
        <v>20</v>
      </c>
      <c r="AF497" s="253">
        <v>20</v>
      </c>
      <c r="AG497" s="253">
        <f t="shared" si="92"/>
        <v>20</v>
      </c>
      <c r="DG497" s="543"/>
      <c r="DH497" s="149"/>
      <c r="DI497" s="1020"/>
    </row>
    <row r="498" spans="1:114" outlineLevel="1" x14ac:dyDescent="0.25">
      <c r="A498" s="2145"/>
      <c r="B498" s="1318"/>
      <c r="C498" s="49"/>
      <c r="D498" s="2415"/>
      <c r="E498" s="2415"/>
      <c r="F498" s="2417" t="str">
        <f>$F$477</f>
        <v>DFHP-SEER21-ROF_MF</v>
      </c>
      <c r="G498" s="2417"/>
      <c r="H498" s="2417"/>
      <c r="I498" s="772"/>
      <c r="J498" s="1517">
        <v>21</v>
      </c>
      <c r="K498" s="1307"/>
      <c r="L498" s="873" t="s">
        <v>1073</v>
      </c>
      <c r="R498" s="166"/>
      <c r="T498" s="50"/>
      <c r="U498" s="50"/>
      <c r="V498" s="2415"/>
      <c r="W498" s="1268">
        <v>21</v>
      </c>
      <c r="X498" s="1268">
        <v>21</v>
      </c>
      <c r="Y498" s="1268">
        <v>21</v>
      </c>
      <c r="Z498" s="1268">
        <v>21</v>
      </c>
      <c r="AA498" s="1268">
        <v>21</v>
      </c>
      <c r="AB498" s="1268">
        <v>21</v>
      </c>
      <c r="AC498" s="1268">
        <v>21</v>
      </c>
      <c r="AD498" s="1268">
        <v>21</v>
      </c>
      <c r="AE498" s="1268">
        <v>21</v>
      </c>
      <c r="AF498" s="253">
        <v>21</v>
      </c>
      <c r="AG498" s="253">
        <f t="shared" si="92"/>
        <v>21</v>
      </c>
      <c r="DG498" s="543"/>
      <c r="DH498" s="149"/>
      <c r="DI498" s="1020"/>
    </row>
    <row r="499" spans="1:114" outlineLevel="1" x14ac:dyDescent="0.25">
      <c r="A499" s="2145"/>
      <c r="B499" s="1318"/>
      <c r="C499" s="49"/>
      <c r="D499" s="2383" t="s">
        <v>730</v>
      </c>
      <c r="E499" s="2383" t="s">
        <v>1075</v>
      </c>
      <c r="F499" s="2407" t="str">
        <f>$F$475</f>
        <v>DFHP-SEER19-ROF_MF</v>
      </c>
      <c r="G499" s="2407"/>
      <c r="H499" s="2407"/>
      <c r="I499" s="1276"/>
      <c r="J499" s="1446">
        <v>0.65</v>
      </c>
      <c r="K499" s="1249"/>
      <c r="L499" s="1519" t="s">
        <v>1017</v>
      </c>
      <c r="R499" s="166"/>
      <c r="T499" s="50"/>
      <c r="U499" s="50"/>
      <c r="V499" s="2415" t="s">
        <v>730</v>
      </c>
      <c r="W499" s="223">
        <v>0.65</v>
      </c>
      <c r="X499" s="223">
        <v>0.65</v>
      </c>
      <c r="Y499" s="223">
        <v>0.65</v>
      </c>
      <c r="Z499" s="223">
        <v>0.65</v>
      </c>
      <c r="AA499" s="223">
        <v>0.65</v>
      </c>
      <c r="AB499" s="223">
        <v>0.65</v>
      </c>
      <c r="AC499" s="223">
        <v>0.65</v>
      </c>
      <c r="AD499" s="223">
        <v>0.65</v>
      </c>
      <c r="AE499" s="223">
        <v>0.65</v>
      </c>
      <c r="AF499" s="253">
        <v>0.65</v>
      </c>
      <c r="AG499" s="253">
        <f t="shared" si="92"/>
        <v>0.65</v>
      </c>
      <c r="DG499" s="543"/>
      <c r="DH499" s="149"/>
      <c r="DI499" s="1020"/>
    </row>
    <row r="500" spans="1:114" outlineLevel="1" x14ac:dyDescent="0.25">
      <c r="A500" s="2145"/>
      <c r="B500" s="1318"/>
      <c r="C500" s="49"/>
      <c r="D500" s="2383"/>
      <c r="E500" s="2383"/>
      <c r="F500" s="2407" t="str">
        <f>$F$476</f>
        <v>DFHP-SEER20-ROF_MF</v>
      </c>
      <c r="G500" s="2407"/>
      <c r="H500" s="2407"/>
      <c r="I500" s="1276"/>
      <c r="J500" s="1446">
        <v>0.65</v>
      </c>
      <c r="K500" s="1249"/>
      <c r="L500" s="1519" t="s">
        <v>1017</v>
      </c>
      <c r="R500" s="166"/>
      <c r="T500" s="50"/>
      <c r="U500" s="50"/>
      <c r="V500" s="2415"/>
      <c r="W500" s="223">
        <v>0.65</v>
      </c>
      <c r="X500" s="223">
        <v>0.65</v>
      </c>
      <c r="Y500" s="223">
        <v>0.65</v>
      </c>
      <c r="Z500" s="223">
        <v>0.65</v>
      </c>
      <c r="AA500" s="223">
        <v>0.65</v>
      </c>
      <c r="AB500" s="223">
        <v>0.65</v>
      </c>
      <c r="AC500" s="223">
        <v>0.65</v>
      </c>
      <c r="AD500" s="223">
        <v>0.65</v>
      </c>
      <c r="AE500" s="223">
        <v>0.65</v>
      </c>
      <c r="AF500" s="253">
        <v>0.65</v>
      </c>
      <c r="AG500" s="253">
        <f t="shared" si="92"/>
        <v>0.65</v>
      </c>
      <c r="DG500" s="543"/>
      <c r="DH500" s="149"/>
      <c r="DI500" s="1020"/>
    </row>
    <row r="501" spans="1:114" outlineLevel="1" x14ac:dyDescent="0.25">
      <c r="A501" s="2145"/>
      <c r="B501" s="1318"/>
      <c r="C501" s="49"/>
      <c r="D501" s="2383"/>
      <c r="E501" s="2383"/>
      <c r="F501" s="2407" t="str">
        <f>$F$477</f>
        <v>DFHP-SEER21-ROF_MF</v>
      </c>
      <c r="G501" s="2407"/>
      <c r="H501" s="2407"/>
      <c r="I501" s="1276"/>
      <c r="J501" s="1446">
        <v>0.65</v>
      </c>
      <c r="K501" s="1249"/>
      <c r="L501" s="1519" t="s">
        <v>1017</v>
      </c>
      <c r="R501" s="166"/>
      <c r="T501" s="50"/>
      <c r="U501" s="50"/>
      <c r="V501" s="2415"/>
      <c r="W501" s="223">
        <v>0.65</v>
      </c>
      <c r="X501" s="223">
        <v>0.65</v>
      </c>
      <c r="Y501" s="223">
        <v>0.65</v>
      </c>
      <c r="Z501" s="223">
        <v>0.65</v>
      </c>
      <c r="AA501" s="223">
        <v>0.65</v>
      </c>
      <c r="AB501" s="223">
        <v>0.65</v>
      </c>
      <c r="AC501" s="223">
        <v>0.65</v>
      </c>
      <c r="AD501" s="223">
        <v>0.65</v>
      </c>
      <c r="AE501" s="223">
        <v>0.65</v>
      </c>
      <c r="AF501" s="253">
        <v>0.65</v>
      </c>
      <c r="AG501" s="253">
        <f t="shared" si="92"/>
        <v>0.65</v>
      </c>
      <c r="DG501" s="543"/>
      <c r="DH501" s="149"/>
      <c r="DI501" s="1020"/>
    </row>
    <row r="502" spans="1:114" outlineLevel="1" x14ac:dyDescent="0.25">
      <c r="A502" s="2145"/>
      <c r="B502" s="1318"/>
      <c r="C502" s="49"/>
      <c r="D502" s="2415" t="s">
        <v>50</v>
      </c>
      <c r="E502" s="2415" t="s">
        <v>1076</v>
      </c>
      <c r="F502" s="2417" t="str">
        <f>$F$475</f>
        <v>DFHP-SEER19-ROF_MF</v>
      </c>
      <c r="G502" s="2417"/>
      <c r="H502" s="2417"/>
      <c r="I502" s="772"/>
      <c r="J502" s="1537">
        <v>18</v>
      </c>
      <c r="K502" s="1307"/>
      <c r="L502" s="2397" t="s">
        <v>946</v>
      </c>
      <c r="R502" s="166"/>
      <c r="T502" s="50"/>
      <c r="U502" s="50"/>
      <c r="V502" s="2415" t="str">
        <f>D502</f>
        <v>EUL</v>
      </c>
      <c r="W502" s="215">
        <v>18</v>
      </c>
      <c r="X502" s="215">
        <v>18</v>
      </c>
      <c r="Y502" s="215">
        <v>18</v>
      </c>
      <c r="Z502" s="215">
        <v>18</v>
      </c>
      <c r="AA502" s="215">
        <v>18</v>
      </c>
      <c r="AB502" s="215">
        <v>18</v>
      </c>
      <c r="AC502" s="1268">
        <v>18</v>
      </c>
      <c r="AD502" s="1268">
        <v>18</v>
      </c>
      <c r="AE502" s="1268">
        <v>18</v>
      </c>
      <c r="AF502" s="253">
        <v>18</v>
      </c>
      <c r="AG502" s="253">
        <f t="shared" si="92"/>
        <v>18</v>
      </c>
      <c r="DG502" s="543"/>
      <c r="DH502" s="149"/>
      <c r="DI502" s="1020"/>
    </row>
    <row r="503" spans="1:114" outlineLevel="1" x14ac:dyDescent="0.25">
      <c r="A503" s="2145"/>
      <c r="B503" s="1318"/>
      <c r="C503" s="49"/>
      <c r="D503" s="2415"/>
      <c r="E503" s="2415"/>
      <c r="F503" s="2417" t="str">
        <f>$F$476</f>
        <v>DFHP-SEER20-ROF_MF</v>
      </c>
      <c r="G503" s="2417"/>
      <c r="H503" s="2417"/>
      <c r="I503" s="772"/>
      <c r="J503" s="1537">
        <v>18</v>
      </c>
      <c r="K503" s="1307"/>
      <c r="L503" s="2398"/>
      <c r="R503" s="166"/>
      <c r="T503" s="50"/>
      <c r="U503" s="50"/>
      <c r="V503" s="2415"/>
      <c r="W503" s="215">
        <v>18</v>
      </c>
      <c r="X503" s="215">
        <v>18</v>
      </c>
      <c r="Y503" s="215">
        <v>18</v>
      </c>
      <c r="Z503" s="215">
        <v>18</v>
      </c>
      <c r="AA503" s="215">
        <v>18</v>
      </c>
      <c r="AB503" s="215">
        <v>18</v>
      </c>
      <c r="AC503" s="1268">
        <v>18</v>
      </c>
      <c r="AD503" s="1268">
        <v>18</v>
      </c>
      <c r="AE503" s="1268">
        <v>18</v>
      </c>
      <c r="AF503" s="253">
        <v>18</v>
      </c>
      <c r="AG503" s="253">
        <f t="shared" si="92"/>
        <v>18</v>
      </c>
      <c r="DG503" s="543"/>
      <c r="DH503" s="149"/>
      <c r="DI503" s="1020"/>
    </row>
    <row r="504" spans="1:114" outlineLevel="1" x14ac:dyDescent="0.25">
      <c r="A504" s="2145"/>
      <c r="B504" s="1318"/>
      <c r="C504" s="49"/>
      <c r="D504" s="2415"/>
      <c r="E504" s="2415"/>
      <c r="F504" s="2417" t="str">
        <f>$F$477</f>
        <v>DFHP-SEER21-ROF_MF</v>
      </c>
      <c r="G504" s="2417"/>
      <c r="H504" s="2417"/>
      <c r="I504" s="772"/>
      <c r="J504" s="1537">
        <v>18</v>
      </c>
      <c r="K504" s="1307"/>
      <c r="L504" s="2398"/>
      <c r="R504" s="166"/>
      <c r="T504" s="50"/>
      <c r="U504" s="50"/>
      <c r="V504" s="2415"/>
      <c r="W504" s="215">
        <v>18</v>
      </c>
      <c r="X504" s="215">
        <v>18</v>
      </c>
      <c r="Y504" s="215">
        <v>18</v>
      </c>
      <c r="Z504" s="215">
        <v>18</v>
      </c>
      <c r="AA504" s="215">
        <v>18</v>
      </c>
      <c r="AB504" s="215">
        <v>18</v>
      </c>
      <c r="AC504" s="1268">
        <v>18</v>
      </c>
      <c r="AD504" s="1268">
        <v>18</v>
      </c>
      <c r="AE504" s="1268">
        <v>18</v>
      </c>
      <c r="AF504" s="253">
        <v>18</v>
      </c>
      <c r="AG504" s="253">
        <f t="shared" si="92"/>
        <v>18</v>
      </c>
      <c r="DG504" s="543"/>
      <c r="DH504" s="149"/>
      <c r="DI504" s="1020"/>
    </row>
    <row r="505" spans="1:114" outlineLevel="1" x14ac:dyDescent="0.25">
      <c r="A505" s="2145"/>
      <c r="B505" s="1318"/>
      <c r="C505" s="49"/>
      <c r="D505" s="2415" t="s">
        <v>51</v>
      </c>
      <c r="E505" s="2415" t="s">
        <v>835</v>
      </c>
      <c r="F505" s="2417" t="str">
        <f>$F$475</f>
        <v>DFHP-SEER19-ROF_MF</v>
      </c>
      <c r="G505" s="2417"/>
      <c r="H505" s="2417"/>
      <c r="I505" s="772"/>
      <c r="J505" s="1514">
        <f>(S$479+K505*T$479)-(S$483+K505*T$483)</f>
        <v>1081</v>
      </c>
      <c r="K505" s="1307">
        <f>VLOOKUP(F505,F$475:K$477,6,FALSE)</f>
        <v>3.4</v>
      </c>
      <c r="L505" s="873"/>
      <c r="R505" s="166"/>
      <c r="T505" s="50"/>
      <c r="U505" s="50"/>
      <c r="V505" s="2415" t="str">
        <f>D505</f>
        <v>Inc. Cost</v>
      </c>
      <c r="W505" s="226">
        <v>2936.6</v>
      </c>
      <c r="X505" s="226">
        <v>2936.6</v>
      </c>
      <c r="Y505" s="226">
        <v>2936.6</v>
      </c>
      <c r="Z505" s="226">
        <v>2936.6</v>
      </c>
      <c r="AA505" s="226">
        <v>2936.6</v>
      </c>
      <c r="AB505" s="226">
        <v>2936.6</v>
      </c>
      <c r="AC505" s="226">
        <v>2936.6</v>
      </c>
      <c r="AD505" s="226">
        <v>2936.6</v>
      </c>
      <c r="AE505" s="226">
        <v>2936.6</v>
      </c>
      <c r="AF505" s="253">
        <v>1081</v>
      </c>
      <c r="AG505" s="253">
        <f t="shared" si="92"/>
        <v>1081</v>
      </c>
      <c r="DG505" s="543"/>
      <c r="DH505" s="149"/>
      <c r="DI505" s="1020"/>
    </row>
    <row r="506" spans="1:114" outlineLevel="1" x14ac:dyDescent="0.25">
      <c r="A506" s="2145"/>
      <c r="B506" s="1318"/>
      <c r="C506" s="49"/>
      <c r="D506" s="2415"/>
      <c r="E506" s="2415"/>
      <c r="F506" s="2417" t="str">
        <f>$F$476</f>
        <v>DFHP-SEER20-ROF_MF</v>
      </c>
      <c r="G506" s="2417"/>
      <c r="H506" s="2417"/>
      <c r="I506" s="772"/>
      <c r="J506" s="1514">
        <f>(S$479+K506*T$479)-(S$483+K506*T$483)</f>
        <v>1081</v>
      </c>
      <c r="K506" s="1307">
        <f>VLOOKUP(F506,F$475:K$477,6,FALSE)</f>
        <v>4.4000000000000004</v>
      </c>
      <c r="L506" s="873"/>
      <c r="R506" s="166"/>
      <c r="T506" s="50"/>
      <c r="U506" s="50"/>
      <c r="V506" s="2415"/>
      <c r="W506" s="226">
        <v>3176.6</v>
      </c>
      <c r="X506" s="226">
        <v>3176.6</v>
      </c>
      <c r="Y506" s="226">
        <v>3176.6</v>
      </c>
      <c r="Z506" s="226">
        <v>3176.6</v>
      </c>
      <c r="AA506" s="226">
        <v>3176.6</v>
      </c>
      <c r="AB506" s="226">
        <v>3176.6</v>
      </c>
      <c r="AC506" s="226">
        <v>3176.6</v>
      </c>
      <c r="AD506" s="226">
        <v>3176.6</v>
      </c>
      <c r="AE506" s="226">
        <v>3176.6</v>
      </c>
      <c r="AF506" s="253">
        <v>1081</v>
      </c>
      <c r="AG506" s="253">
        <f t="shared" si="92"/>
        <v>1081</v>
      </c>
      <c r="DG506" s="543"/>
      <c r="DH506" s="149"/>
      <c r="DI506" s="1020"/>
    </row>
    <row r="507" spans="1:114" outlineLevel="1" x14ac:dyDescent="0.25">
      <c r="A507" s="2145"/>
      <c r="B507" s="1318"/>
      <c r="C507" s="49"/>
      <c r="D507" s="2415"/>
      <c r="E507" s="2415"/>
      <c r="F507" s="2417" t="str">
        <f>$F$477</f>
        <v>DFHP-SEER21-ROF_MF</v>
      </c>
      <c r="G507" s="2417"/>
      <c r="H507" s="2417"/>
      <c r="I507" s="772"/>
      <c r="J507" s="1514">
        <f>(S$479+K507*T$479)-(S$483+K507*T$483)</f>
        <v>1081</v>
      </c>
      <c r="K507" s="1307">
        <f>VLOOKUP(F507,F$475:K$477,6,FALSE)</f>
        <v>5.4</v>
      </c>
      <c r="L507" s="873"/>
      <c r="R507" s="166"/>
      <c r="T507" s="50"/>
      <c r="U507" s="50"/>
      <c r="V507" s="2415"/>
      <c r="W507" s="226">
        <v>3626.6</v>
      </c>
      <c r="X507" s="226">
        <v>3626.6</v>
      </c>
      <c r="Y507" s="226">
        <v>3626.6</v>
      </c>
      <c r="Z507" s="226">
        <v>3626.6</v>
      </c>
      <c r="AA507" s="226">
        <v>3626.6</v>
      </c>
      <c r="AB507" s="226">
        <v>3626.6</v>
      </c>
      <c r="AC507" s="226">
        <v>3626.6</v>
      </c>
      <c r="AD507" s="226">
        <v>3626.6</v>
      </c>
      <c r="AE507" s="226">
        <v>3626.6</v>
      </c>
      <c r="AF507" s="253">
        <v>1081</v>
      </c>
      <c r="AG507" s="253">
        <f t="shared" si="92"/>
        <v>1081</v>
      </c>
      <c r="DG507" s="543"/>
      <c r="DH507" s="149"/>
      <c r="DI507" s="1020"/>
    </row>
    <row r="508" spans="1:114" x14ac:dyDescent="0.25">
      <c r="A508" s="2145"/>
      <c r="C508" s="49"/>
      <c r="D508" s="388"/>
      <c r="E508" s="388"/>
      <c r="F508" s="1303"/>
      <c r="G508" s="1303"/>
      <c r="H508" s="1303"/>
      <c r="I508" s="1303"/>
      <c r="J508" s="869"/>
      <c r="K508" s="534"/>
      <c r="L508" s="1303"/>
      <c r="R508" s="166"/>
      <c r="T508" s="50"/>
      <c r="U508" s="50"/>
      <c r="V508" s="50"/>
      <c r="DG508" s="543"/>
      <c r="DH508" s="149"/>
      <c r="DI508" s="1020"/>
    </row>
    <row r="509" spans="1:114" x14ac:dyDescent="0.25">
      <c r="A509" s="2145"/>
      <c r="C509" s="49"/>
      <c r="D509" s="100"/>
      <c r="E509" s="100"/>
      <c r="G509" s="100"/>
      <c r="T509" s="50"/>
      <c r="U509" s="50"/>
      <c r="V509" s="50"/>
      <c r="DG509" s="543"/>
      <c r="DH509" s="149"/>
      <c r="DI509" s="1020"/>
    </row>
    <row r="510" spans="1:114" x14ac:dyDescent="0.25">
      <c r="A510" s="2145"/>
      <c r="B510" s="1234" t="s">
        <v>1077</v>
      </c>
      <c r="C510" s="203"/>
      <c r="D510" s="1235"/>
      <c r="E510" s="1235"/>
      <c r="F510" s="1235"/>
      <c r="G510" s="1235"/>
      <c r="H510" s="1235"/>
      <c r="I510" s="1235"/>
      <c r="J510" s="1235"/>
      <c r="K510" s="1235"/>
      <c r="L510" s="1235"/>
      <c r="M510" s="1235"/>
      <c r="N510" s="1235"/>
      <c r="O510" s="1235"/>
      <c r="P510" s="1235"/>
      <c r="Q510" s="1269"/>
      <c r="T510" s="50"/>
      <c r="U510" s="50"/>
      <c r="V510" s="2339" t="str">
        <f>B510</f>
        <v>Ground Source Heat Pumps</v>
      </c>
      <c r="W510" s="2340"/>
      <c r="X510" s="2340"/>
      <c r="Y510" s="2340"/>
      <c r="Z510" s="2340"/>
      <c r="AA510" s="2340"/>
      <c r="AB510" s="2340"/>
      <c r="AC510" s="2341"/>
      <c r="AD510" s="2341"/>
      <c r="AE510" s="2341"/>
      <c r="AF510" s="2341"/>
      <c r="AG510" s="2341"/>
      <c r="AH510" s="2342"/>
      <c r="DG510" s="543"/>
      <c r="DH510" s="149"/>
      <c r="DI510" s="1020"/>
    </row>
    <row r="511" spans="1:114" x14ac:dyDescent="0.25">
      <c r="A511" s="2145"/>
      <c r="C511" s="49"/>
      <c r="D511" s="100"/>
      <c r="E511" s="100"/>
      <c r="G511" s="100"/>
      <c r="I511" s="49"/>
      <c r="J511" s="49"/>
      <c r="K511" s="49"/>
      <c r="L511" s="49"/>
      <c r="M511" s="49"/>
      <c r="Q511" s="100"/>
      <c r="T511" s="50"/>
      <c r="U511" s="50"/>
      <c r="V511" s="50"/>
      <c r="AD511" s="39"/>
      <c r="DG511" s="543"/>
      <c r="DH511" s="149"/>
      <c r="DI511" s="1020"/>
    </row>
    <row r="512" spans="1:114" ht="30" x14ac:dyDescent="0.25">
      <c r="A512" s="2145"/>
      <c r="C512" s="1242" t="s">
        <v>43</v>
      </c>
      <c r="D512" s="1242" t="s">
        <v>597</v>
      </c>
      <c r="E512" s="1242" t="s">
        <v>45</v>
      </c>
      <c r="F512" s="1242" t="s">
        <v>46</v>
      </c>
      <c r="G512" s="1242" t="s">
        <v>47</v>
      </c>
      <c r="H512" s="1242" t="s">
        <v>48</v>
      </c>
      <c r="I512" s="1242" t="s">
        <v>49</v>
      </c>
      <c r="J512" s="1242" t="s">
        <v>50</v>
      </c>
      <c r="K512" s="1242" t="s">
        <v>51</v>
      </c>
      <c r="L512" s="1242" t="s">
        <v>860</v>
      </c>
      <c r="M512" s="49"/>
      <c r="T512" s="50"/>
      <c r="U512" s="50"/>
      <c r="V512" s="162" t="s">
        <v>53</v>
      </c>
      <c r="W512" s="637">
        <f>W$7</f>
        <v>43252</v>
      </c>
      <c r="X512" s="637">
        <f t="shared" ref="X512:AG512" si="95">X$7</f>
        <v>43800</v>
      </c>
      <c r="Y512" s="637">
        <f t="shared" si="95"/>
        <v>43800</v>
      </c>
      <c r="Z512" s="637">
        <f t="shared" si="95"/>
        <v>43862</v>
      </c>
      <c r="AA512" s="637">
        <f t="shared" si="95"/>
        <v>44013</v>
      </c>
      <c r="AB512" s="637">
        <f t="shared" si="95"/>
        <v>44166</v>
      </c>
      <c r="AC512" s="637">
        <f t="shared" si="95"/>
        <v>44531</v>
      </c>
      <c r="AD512" s="637">
        <f t="shared" si="95"/>
        <v>44774</v>
      </c>
      <c r="AE512" s="637">
        <f t="shared" si="95"/>
        <v>45139</v>
      </c>
      <c r="AF512" s="637">
        <f t="shared" si="95"/>
        <v>45672</v>
      </c>
      <c r="AG512" s="110">
        <f t="shared" si="95"/>
        <v>45931</v>
      </c>
      <c r="DG512" s="1007" t="str">
        <f>'Efficient Products Deemed Table'!$DG$6</f>
        <v>TRC (2025)</v>
      </c>
      <c r="DH512" s="1007" t="str">
        <f>'Efficient Products Deemed Table'!$DH$6</f>
        <v>Benefit Lookup</v>
      </c>
      <c r="DI512" s="1007" t="str">
        <f>'Efficient Products Deemed Table'!$DI$6</f>
        <v>Benefits (2025 $)</v>
      </c>
      <c r="DJ512" s="1007" t="str">
        <f>'Efficient Products Deemed Table'!$DJ$6</f>
        <v>Incremental Cost (2025 $)</v>
      </c>
    </row>
    <row r="513" spans="1:114" x14ac:dyDescent="0.25">
      <c r="A513" s="2146" t="s">
        <v>861</v>
      </c>
      <c r="B513" s="1318">
        <f t="shared" ref="B513:B528" si="96">VALUE(LEFT(C513,6))</f>
        <v>352050</v>
      </c>
      <c r="C513" s="650" t="s">
        <v>1078</v>
      </c>
      <c r="D513" s="1974" t="s">
        <v>863</v>
      </c>
      <c r="E513" s="1248" t="s">
        <v>1079</v>
      </c>
      <c r="F513" s="885">
        <f>ROUND((($J$581*$J$589*(1/$J$597-1/$J$605))/1000)*$J$613,2)</f>
        <v>1641.63</v>
      </c>
      <c r="G513" s="81" t="s">
        <v>1030</v>
      </c>
      <c r="H513" s="66">
        <f>VLOOKUP(G513,'CP FACTORS'!$A$3:$B$38, 2, FALSE)</f>
        <v>9.4741810000000004E-4</v>
      </c>
      <c r="I513" s="43">
        <f t="shared" ref="I513:I528" si="97">ROUND(F513*H513,6)</f>
        <v>1.55531</v>
      </c>
      <c r="J513" s="57">
        <v>18</v>
      </c>
      <c r="K513" s="1813">
        <f>VLOOKUP(E513,$F$628:$J$640,5,FALSE)</f>
        <v>10389.878378378377</v>
      </c>
      <c r="L513" s="17">
        <f>K581</f>
        <v>3.993150684931507</v>
      </c>
      <c r="M513" s="531"/>
      <c r="R513" s="510"/>
      <c r="T513" s="50"/>
      <c r="U513" s="50"/>
      <c r="V513" s="1249" t="s">
        <v>46</v>
      </c>
      <c r="W513" s="228">
        <v>1811.005012964564</v>
      </c>
      <c r="X513" s="228">
        <v>1413.8603840319427</v>
      </c>
      <c r="Y513" s="229">
        <v>1413.86</v>
      </c>
      <c r="Z513" s="687">
        <v>1413.86</v>
      </c>
      <c r="AA513" s="687">
        <v>1413.86</v>
      </c>
      <c r="AB513" s="627">
        <v>1387.05</v>
      </c>
      <c r="AC513" s="646">
        <v>1403.37</v>
      </c>
      <c r="AD513" s="885">
        <v>1510.41</v>
      </c>
      <c r="AE513" s="885">
        <v>1603.02</v>
      </c>
      <c r="AF513" s="253">
        <v>1606.94</v>
      </c>
      <c r="AG513" s="253">
        <f>IF(F513&lt;&gt;"",F513,"")</f>
        <v>1641.63</v>
      </c>
      <c r="AH513" s="114"/>
      <c r="DG513" s="930">
        <f>(DI513+DI514)/(DJ513+DJ514)</f>
        <v>1.3123737247060048</v>
      </c>
      <c r="DH513" s="1240" t="str">
        <f t="shared" ref="DH513:DH524" si="98">CONCATENATE(G513," ",J513," Year EUL")</f>
        <v>Cooling Res 18 Year EUL</v>
      </c>
      <c r="DI513" s="1016">
        <f>(INDEX('Avoided Cost Benefits'!$B$4:$B$866,MATCH(DH513,'Avoided Cost Benefits'!$A$4:$A$866,0)))*F513</f>
        <v>3758.9533187173124</v>
      </c>
      <c r="DJ513" s="2052">
        <f t="shared" ref="DJ513:DJ528" si="99">IFERROR(K513/((1+DiscountRate)^(CurrentYear-DiscountYear)),0)</f>
        <v>10389.878378378377</v>
      </c>
    </row>
    <row r="514" spans="1:114" x14ac:dyDescent="0.25">
      <c r="A514" s="2146" t="s">
        <v>861</v>
      </c>
      <c r="B514" s="1318">
        <f t="shared" si="96"/>
        <v>352050</v>
      </c>
      <c r="C514" s="650" t="s">
        <v>1078</v>
      </c>
      <c r="D514" s="1974" t="s">
        <v>863</v>
      </c>
      <c r="E514" s="1248" t="s">
        <v>1079</v>
      </c>
      <c r="F514" s="885">
        <f>ROUND((($J$549*$J$557*(1/$J$565-1/$J$573))/1000)*$J$613,2)</f>
        <v>16295.76</v>
      </c>
      <c r="G514" s="81" t="s">
        <v>695</v>
      </c>
      <c r="H514" s="66">
        <f>VLOOKUP(G514,'CP FACTORS'!$A$3:$B$38, 2, FALSE)</f>
        <v>0</v>
      </c>
      <c r="I514" s="43">
        <f t="shared" si="97"/>
        <v>0</v>
      </c>
      <c r="J514" s="57">
        <v>18</v>
      </c>
      <c r="K514" s="1814"/>
      <c r="L514" s="17"/>
      <c r="M514" s="531"/>
      <c r="R514" s="510"/>
      <c r="T514" s="50"/>
      <c r="U514" s="50"/>
      <c r="V514" s="1249" t="s">
        <v>46</v>
      </c>
      <c r="W514" s="228">
        <v>6530.865353107697</v>
      </c>
      <c r="X514" s="230">
        <v>21786.888829533</v>
      </c>
      <c r="Y514" s="229">
        <v>16223.59</v>
      </c>
      <c r="Z514" s="687">
        <v>16223.59</v>
      </c>
      <c r="AA514" s="687">
        <v>16223.59</v>
      </c>
      <c r="AB514" s="627">
        <v>16908.54</v>
      </c>
      <c r="AC514" s="646">
        <v>15839.4</v>
      </c>
      <c r="AD514" s="885">
        <v>16223.39</v>
      </c>
      <c r="AE514" s="977">
        <v>16223.39</v>
      </c>
      <c r="AF514" s="253">
        <v>16223.39</v>
      </c>
      <c r="AG514" s="253">
        <f t="shared" ref="AG514:AG528" si="100">IF(F514&lt;&gt;"",F514,"")</f>
        <v>16295.76</v>
      </c>
      <c r="AH514" s="114"/>
      <c r="DG514" s="1021"/>
      <c r="DH514" s="1241" t="str">
        <f t="shared" si="98"/>
        <v>Heating RES 18 Year EUL</v>
      </c>
      <c r="DI514" s="1020">
        <f>(INDEX('Avoided Cost Benefits'!$B$4:$B$866,MATCH(DH514,'Avoided Cost Benefits'!$A$4:$A$866,0)))*F514</f>
        <v>9876.4500679575012</v>
      </c>
      <c r="DJ514" s="2051">
        <f t="shared" si="99"/>
        <v>0</v>
      </c>
    </row>
    <row r="515" spans="1:114" x14ac:dyDescent="0.25">
      <c r="A515" s="2146" t="s">
        <v>861</v>
      </c>
      <c r="B515" s="1318">
        <f t="shared" si="96"/>
        <v>352100</v>
      </c>
      <c r="C515" s="650" t="s">
        <v>1080</v>
      </c>
      <c r="D515" s="1974" t="s">
        <v>863</v>
      </c>
      <c r="E515" s="1248" t="s">
        <v>1081</v>
      </c>
      <c r="F515" s="885">
        <f>ROUND((($J$582*$J$590*(1/$J$598-1/$J$606))/1000)*$J$613,2)</f>
        <v>4759.3100000000004</v>
      </c>
      <c r="G515" s="81" t="s">
        <v>1030</v>
      </c>
      <c r="H515" s="66">
        <f>VLOOKUP(G515,'CP FACTORS'!$A$3:$B$38, 2, FALSE)</f>
        <v>9.4741810000000004E-4</v>
      </c>
      <c r="I515" s="43">
        <f t="shared" si="97"/>
        <v>4.5090560000000002</v>
      </c>
      <c r="J515" s="57">
        <v>6</v>
      </c>
      <c r="K515" s="1813">
        <f>VLOOKUP(E515,$F$628:$J$640,5,FALSE)</f>
        <v>10005.779576760684</v>
      </c>
      <c r="L515" s="17">
        <f>K582</f>
        <v>3.8698630136986303</v>
      </c>
      <c r="M515" s="531"/>
      <c r="R515" s="510"/>
      <c r="T515" s="50"/>
      <c r="U515" s="50"/>
      <c r="V515" s="1249" t="s">
        <v>46</v>
      </c>
      <c r="W515" s="228">
        <v>4715.6029411764694</v>
      </c>
      <c r="X515" s="228">
        <v>4824.9949536200738</v>
      </c>
      <c r="Y515" s="229">
        <v>4824.99</v>
      </c>
      <c r="Z515" s="687">
        <v>4824.99</v>
      </c>
      <c r="AA515" s="687">
        <v>4824.99</v>
      </c>
      <c r="AB515" s="627">
        <v>4734.18</v>
      </c>
      <c r="AC515" s="646">
        <v>5417.2</v>
      </c>
      <c r="AD515" s="885">
        <v>4933.84</v>
      </c>
      <c r="AE515" s="977">
        <v>4933.84</v>
      </c>
      <c r="AF515" s="253">
        <v>4725.7</v>
      </c>
      <c r="AG515" s="253">
        <f t="shared" si="100"/>
        <v>4759.3100000000004</v>
      </c>
      <c r="AH515" s="114"/>
      <c r="DG515" s="1019">
        <f>(DI515+DI516+DI517+DI518)/(DJ515+DJ516+DJ517+DJ518)</f>
        <v>1.6397854576196593</v>
      </c>
      <c r="DH515" s="1240" t="str">
        <f t="shared" si="98"/>
        <v>Cooling Res 6 Year EUL</v>
      </c>
      <c r="DI515" s="1020">
        <f>(INDEX('Avoided Cost Benefits'!$B$4:$B$866,MATCH(DH515,'Avoided Cost Benefits'!$A$4:$A$866,0)))*F515</f>
        <v>4739.5498080755196</v>
      </c>
      <c r="DJ515" s="2051">
        <f t="shared" si="99"/>
        <v>10005.779576760684</v>
      </c>
    </row>
    <row r="516" spans="1:114" x14ac:dyDescent="0.25">
      <c r="A516" s="2146" t="s">
        <v>861</v>
      </c>
      <c r="B516" s="1318">
        <f t="shared" si="96"/>
        <v>352100</v>
      </c>
      <c r="C516" s="650" t="s">
        <v>1080</v>
      </c>
      <c r="D516" s="1974" t="s">
        <v>863</v>
      </c>
      <c r="E516" s="1248" t="s">
        <v>1081</v>
      </c>
      <c r="F516" s="885">
        <f>ROUND((($J$550*$J$558*(1/$J$566-1/$J$574))/1000)*$J$613,2)</f>
        <v>15854.86</v>
      </c>
      <c r="G516" s="81" t="s">
        <v>695</v>
      </c>
      <c r="H516" s="66">
        <f>VLOOKUP(G516,'CP FACTORS'!$A$3:$B$38, 2, FALSE)</f>
        <v>0</v>
      </c>
      <c r="I516" s="43">
        <f t="shared" si="97"/>
        <v>0</v>
      </c>
      <c r="J516" s="57">
        <v>6</v>
      </c>
      <c r="K516" s="1814"/>
      <c r="L516" s="17"/>
      <c r="M516" s="531"/>
      <c r="R516" s="510"/>
      <c r="T516" s="50"/>
      <c r="U516" s="50"/>
      <c r="V516" s="1249" t="s">
        <v>46</v>
      </c>
      <c r="W516" s="228">
        <v>6530.865353107697</v>
      </c>
      <c r="X516" s="230">
        <v>21786.888829533</v>
      </c>
      <c r="Y516" s="229">
        <v>16223.59</v>
      </c>
      <c r="Z516" s="687">
        <v>16223.59</v>
      </c>
      <c r="AA516" s="687">
        <v>16223.59</v>
      </c>
      <c r="AB516" s="627">
        <v>15550.48</v>
      </c>
      <c r="AC516" s="646">
        <v>16555.189999999999</v>
      </c>
      <c r="AD516" s="885">
        <v>15784.45</v>
      </c>
      <c r="AE516" s="977">
        <v>15784.45</v>
      </c>
      <c r="AF516" s="253">
        <v>15784.45</v>
      </c>
      <c r="AG516" s="253">
        <f t="shared" si="100"/>
        <v>15854.86</v>
      </c>
      <c r="AH516" s="114"/>
      <c r="DG516" s="1023"/>
      <c r="DH516" s="1265" t="str">
        <f t="shared" si="98"/>
        <v>Heating RES 6 Year EUL</v>
      </c>
      <c r="DI516" s="1020">
        <f>(INDEX('Avoided Cost Benefits'!$B$4:$B$866,MATCH(DH516,'Avoided Cost Benefits'!$A$4:$A$866,0)))*F516</f>
        <v>4251.9374976337358</v>
      </c>
      <c r="DJ516" s="2051">
        <f t="shared" si="99"/>
        <v>0</v>
      </c>
    </row>
    <row r="517" spans="1:114" x14ac:dyDescent="0.25">
      <c r="A517" s="2146" t="s">
        <v>861</v>
      </c>
      <c r="B517" s="1318">
        <f t="shared" si="96"/>
        <v>352100</v>
      </c>
      <c r="C517" s="650" t="s">
        <v>1080</v>
      </c>
      <c r="D517" s="1974" t="s">
        <v>863</v>
      </c>
      <c r="E517" s="1248" t="s">
        <v>1082</v>
      </c>
      <c r="F517" s="885">
        <f>ROUND((($J$583*$J$591*(1/$J$599-1/$J$607))/1000)*$J$613,2)</f>
        <v>1590.94</v>
      </c>
      <c r="G517" s="540" t="s">
        <v>1083</v>
      </c>
      <c r="H517" s="66">
        <f>VLOOKUP(G517,'CP FACTORS'!$A$3:$B$38, 2, FALSE)</f>
        <v>9.4741810000000004E-4</v>
      </c>
      <c r="I517" s="43">
        <f t="shared" si="97"/>
        <v>1.507285</v>
      </c>
      <c r="J517" s="57">
        <v>12</v>
      </c>
      <c r="K517" s="1814"/>
      <c r="L517" s="17"/>
      <c r="M517" s="531"/>
      <c r="R517" s="510"/>
      <c r="T517" s="50"/>
      <c r="U517" s="50"/>
      <c r="V517" s="1249" t="s">
        <v>46</v>
      </c>
      <c r="W517" s="228">
        <v>1716.9631221719455</v>
      </c>
      <c r="X517" s="228">
        <v>1413.8603840319427</v>
      </c>
      <c r="Y517" s="229">
        <v>1413.86</v>
      </c>
      <c r="Z517" s="687">
        <v>1413.86</v>
      </c>
      <c r="AA517" s="687">
        <v>1413.86</v>
      </c>
      <c r="AB517" s="627">
        <v>1603.59</v>
      </c>
      <c r="AC517" s="646">
        <v>1743.88</v>
      </c>
      <c r="AD517" s="885">
        <v>1431.53</v>
      </c>
      <c r="AE517" s="977">
        <v>1431.53</v>
      </c>
      <c r="AF517" s="253">
        <v>1557.33</v>
      </c>
      <c r="AG517" s="253">
        <f t="shared" si="100"/>
        <v>1590.94</v>
      </c>
      <c r="AH517" s="114"/>
      <c r="DG517" s="1023"/>
      <c r="DH517" s="1265" t="str">
        <f t="shared" si="98"/>
        <v>Cooling Res ER2 12 Year EUL</v>
      </c>
      <c r="DI517" s="1020">
        <f>(INDEX('Avoided Cost Benefits'!$B$4:$B$866,MATCH(DH517,'Avoided Cost Benefits'!$A$4:$A$866,0)))*F517</f>
        <v>2058.5503612377311</v>
      </c>
      <c r="DJ517" s="2051">
        <f t="shared" si="99"/>
        <v>0</v>
      </c>
    </row>
    <row r="518" spans="1:114" x14ac:dyDescent="0.25">
      <c r="A518" s="2146" t="s">
        <v>861</v>
      </c>
      <c r="B518" s="1318">
        <f t="shared" si="96"/>
        <v>352100</v>
      </c>
      <c r="C518" s="650" t="s">
        <v>1080</v>
      </c>
      <c r="D518" s="1974" t="s">
        <v>863</v>
      </c>
      <c r="E518" s="1248" t="s">
        <v>1082</v>
      </c>
      <c r="F518" s="885">
        <f>ROUND((($J$551*$J$559*(1/$J$567-1/$J$575))/1000)*$J$613,2)</f>
        <v>15854.86</v>
      </c>
      <c r="G518" s="540" t="s">
        <v>960</v>
      </c>
      <c r="H518" s="66">
        <f>VLOOKUP(G518,'CP FACTORS'!$A$3:$B$38, 2, FALSE)</f>
        <v>0</v>
      </c>
      <c r="I518" s="43">
        <f t="shared" si="97"/>
        <v>0</v>
      </c>
      <c r="J518" s="57">
        <v>12</v>
      </c>
      <c r="K518" s="1814"/>
      <c r="L518" s="17"/>
      <c r="M518" s="531"/>
      <c r="R518" s="510"/>
      <c r="T518" s="50"/>
      <c r="U518" s="50"/>
      <c r="V518" s="1249" t="s">
        <v>46</v>
      </c>
      <c r="W518" s="228">
        <v>6530.865353107697</v>
      </c>
      <c r="X518" s="230">
        <v>21786.888829533</v>
      </c>
      <c r="Y518" s="229">
        <v>16223.59</v>
      </c>
      <c r="Z518" s="687">
        <v>16223.59</v>
      </c>
      <c r="AA518" s="687">
        <v>16223.59</v>
      </c>
      <c r="AB518" s="627">
        <v>15550.48</v>
      </c>
      <c r="AC518" s="646">
        <v>16555.189999999999</v>
      </c>
      <c r="AD518" s="885">
        <v>15784.45</v>
      </c>
      <c r="AE518" s="977">
        <v>15784.45</v>
      </c>
      <c r="AF518" s="253">
        <v>15784.45</v>
      </c>
      <c r="AG518" s="253">
        <f t="shared" si="100"/>
        <v>15854.86</v>
      </c>
      <c r="AH518" s="114"/>
      <c r="DG518" s="1023"/>
      <c r="DH518" s="1241" t="str">
        <f t="shared" si="98"/>
        <v>Heating RES ER2 12 Year EUL</v>
      </c>
      <c r="DI518" s="1020">
        <f>(INDEX('Avoided Cost Benefits'!$B$4:$B$866,MATCH(DH518,'Avoided Cost Benefits'!$A$4:$A$866,0)))*F518</f>
        <v>5357.2941751729732</v>
      </c>
      <c r="DJ518" s="2051">
        <f t="shared" si="99"/>
        <v>0</v>
      </c>
    </row>
    <row r="519" spans="1:114" x14ac:dyDescent="0.25">
      <c r="A519" s="2146" t="s">
        <v>861</v>
      </c>
      <c r="B519" s="1318">
        <f t="shared" si="96"/>
        <v>352200</v>
      </c>
      <c r="C519" s="650" t="s">
        <v>1084</v>
      </c>
      <c r="D519" s="1974" t="s">
        <v>863</v>
      </c>
      <c r="E519" s="1248" t="s">
        <v>1085</v>
      </c>
      <c r="F519" s="885">
        <f>ROUND(((J584*J592*(1/J600-1/J608))/1000)*$J$613,2)</f>
        <v>4419.46</v>
      </c>
      <c r="G519" s="81" t="s">
        <v>1030</v>
      </c>
      <c r="H519" s="66">
        <f>VLOOKUP(G519,'CP FACTORS'!$A$3:$B$38, 2, FALSE)</f>
        <v>9.4741810000000004E-4</v>
      </c>
      <c r="I519" s="43">
        <f t="shared" si="97"/>
        <v>4.1870760000000002</v>
      </c>
      <c r="J519" s="57">
        <v>6</v>
      </c>
      <c r="K519" s="1813">
        <f>VLOOKUP(E519,$F$628:$J$640,5,FALSE)</f>
        <v>6248.64477985144</v>
      </c>
      <c r="L519" s="17">
        <f>K584</f>
        <v>3.8698630136986303</v>
      </c>
      <c r="M519" s="531"/>
      <c r="R519" s="510"/>
      <c r="T519" s="50"/>
      <c r="U519" s="50"/>
      <c r="V519" s="1249" t="s">
        <v>46</v>
      </c>
      <c r="W519" s="228">
        <v>4715.6029411764694</v>
      </c>
      <c r="X519" s="228">
        <v>1930.2682563723677</v>
      </c>
      <c r="Y519" s="229">
        <v>1930.27</v>
      </c>
      <c r="Z519" s="687">
        <v>1930.27</v>
      </c>
      <c r="AA519" s="687">
        <v>1930.27</v>
      </c>
      <c r="AB519" s="627">
        <v>2089.52</v>
      </c>
      <c r="AC519" s="646">
        <v>3155.16</v>
      </c>
      <c r="AD519" s="885">
        <v>3557.73</v>
      </c>
      <c r="AE519" s="977">
        <v>3557.73</v>
      </c>
      <c r="AF519" s="253">
        <v>4385.8500000000004</v>
      </c>
      <c r="AG519" s="253">
        <f t="shared" si="100"/>
        <v>4419.46</v>
      </c>
      <c r="AH519" s="114"/>
      <c r="DG519" s="1019">
        <f>(DI519+DI520+DI521+DI522)/(DJ519+DJ520+DJ521+DJ522)</f>
        <v>1.4547348596340037</v>
      </c>
      <c r="DH519" s="1251" t="str">
        <f t="shared" si="98"/>
        <v>Cooling Res 6 Year EUL</v>
      </c>
      <c r="DI519" s="1020">
        <f>(INDEX('Avoided Cost Benefits'!$B$4:$B$866,MATCH(DH519,'Avoided Cost Benefits'!$A$4:$A$866,0)))*F519</f>
        <v>4401.1108321999272</v>
      </c>
      <c r="DJ519" s="2051">
        <f t="shared" si="99"/>
        <v>6248.64477985144</v>
      </c>
    </row>
    <row r="520" spans="1:114" x14ac:dyDescent="0.25">
      <c r="A520" s="2146" t="s">
        <v>861</v>
      </c>
      <c r="B520" s="1318">
        <f t="shared" si="96"/>
        <v>352200</v>
      </c>
      <c r="C520" s="650" t="s">
        <v>1084</v>
      </c>
      <c r="D520" s="1974" t="s">
        <v>863</v>
      </c>
      <c r="E520" s="1248" t="s">
        <v>1085</v>
      </c>
      <c r="F520" s="885">
        <f>ROUND(((J553*J561*(1/J568-1/J577))/1000)*$J$613,2)</f>
        <v>4744.8100000000004</v>
      </c>
      <c r="G520" s="81" t="s">
        <v>695</v>
      </c>
      <c r="H520" s="66">
        <f>VLOOKUP(G520,'CP FACTORS'!$A$3:$B$38, 2, FALSE)</f>
        <v>0</v>
      </c>
      <c r="I520" s="43">
        <f t="shared" si="97"/>
        <v>0</v>
      </c>
      <c r="J520" s="57">
        <v>6</v>
      </c>
      <c r="K520" s="1814"/>
      <c r="L520" s="17"/>
      <c r="M520" s="531"/>
      <c r="R520" s="510"/>
      <c r="T520" s="50"/>
      <c r="U520" s="50"/>
      <c r="V520" s="1249" t="s">
        <v>46</v>
      </c>
      <c r="W520" s="228">
        <v>6530.865353107697</v>
      </c>
      <c r="X520" s="230">
        <v>3650.7555350956377</v>
      </c>
      <c r="Y520" s="229">
        <v>2718.53</v>
      </c>
      <c r="Z520" s="687">
        <v>2718.53</v>
      </c>
      <c r="AA520" s="687">
        <v>2718.53</v>
      </c>
      <c r="AB520" s="627">
        <v>2968.34</v>
      </c>
      <c r="AC520" s="646">
        <v>2827.56</v>
      </c>
      <c r="AD520" s="885">
        <v>2686.03</v>
      </c>
      <c r="AE520" s="977">
        <v>2686.03</v>
      </c>
      <c r="AF520" s="253">
        <v>4674.3999999999996</v>
      </c>
      <c r="AG520" s="253">
        <f t="shared" si="100"/>
        <v>4744.8100000000004</v>
      </c>
      <c r="AH520" s="114"/>
      <c r="DG520" s="1023"/>
      <c r="DH520" s="1260" t="str">
        <f t="shared" si="98"/>
        <v>Heating RES 6 Year EUL</v>
      </c>
      <c r="DI520" s="1020">
        <f>(INDEX('Avoided Cost Benefits'!$B$4:$B$866,MATCH(DH520,'Avoided Cost Benefits'!$A$4:$A$866,0)))*F520</f>
        <v>1272.4575025038082</v>
      </c>
      <c r="DJ520" s="2051">
        <f t="shared" si="99"/>
        <v>0</v>
      </c>
    </row>
    <row r="521" spans="1:114" x14ac:dyDescent="0.25">
      <c r="A521" s="2146" t="s">
        <v>861</v>
      </c>
      <c r="B521" s="1318">
        <f t="shared" si="96"/>
        <v>352200</v>
      </c>
      <c r="C521" s="650" t="s">
        <v>1084</v>
      </c>
      <c r="D521" s="1974" t="s">
        <v>863</v>
      </c>
      <c r="E521" s="1248" t="s">
        <v>1086</v>
      </c>
      <c r="F521" s="606">
        <f>ROUND(((J584*J592*(1/J602-1/J608))/1000)*$J$613,2)</f>
        <v>1401.4</v>
      </c>
      <c r="G521" s="540" t="s">
        <v>1083</v>
      </c>
      <c r="H521" s="66">
        <f>VLOOKUP(G521,'CP FACTORS'!$A$3:$B$38, 2, FALSE)</f>
        <v>9.4741810000000004E-4</v>
      </c>
      <c r="I521" s="43">
        <f t="shared" si="97"/>
        <v>1.327712</v>
      </c>
      <c r="J521" s="57">
        <v>12</v>
      </c>
      <c r="K521" s="1814"/>
      <c r="L521" s="17"/>
      <c r="M521" s="531"/>
      <c r="R521" s="510"/>
      <c r="T521" s="50"/>
      <c r="U521" s="50"/>
      <c r="V521" s="1249" t="s">
        <v>46</v>
      </c>
      <c r="W521" s="123">
        <v>1460.3876720901126</v>
      </c>
      <c r="X521" s="123">
        <v>1413.8603840319427</v>
      </c>
      <c r="Y521" s="229">
        <v>1413.86</v>
      </c>
      <c r="Z521" s="687">
        <v>1413.86</v>
      </c>
      <c r="AA521" s="687">
        <v>1413.86</v>
      </c>
      <c r="AB521" s="627">
        <v>1536.02</v>
      </c>
      <c r="AC521" s="646">
        <v>1481.42</v>
      </c>
      <c r="AD521" s="606">
        <v>1431.53</v>
      </c>
      <c r="AE521" s="421">
        <v>1431.53</v>
      </c>
      <c r="AF521" s="253">
        <v>1367.79</v>
      </c>
      <c r="AG521" s="253">
        <f t="shared" si="100"/>
        <v>1401.4</v>
      </c>
      <c r="AH521" s="114"/>
      <c r="DG521" s="1023"/>
      <c r="DH521" s="1260" t="str">
        <f t="shared" si="98"/>
        <v>Cooling Res ER2 12 Year EUL</v>
      </c>
      <c r="DI521" s="1020">
        <f>(INDEX('Avoided Cost Benefits'!$B$4:$B$866,MATCH(DH521,'Avoided Cost Benefits'!$A$4:$A$866,0)))*F521</f>
        <v>1813.3006123666237</v>
      </c>
      <c r="DJ521" s="2051">
        <f t="shared" si="99"/>
        <v>0</v>
      </c>
    </row>
    <row r="522" spans="1:114" x14ac:dyDescent="0.25">
      <c r="A522" s="2146" t="s">
        <v>861</v>
      </c>
      <c r="B522" s="1318">
        <f t="shared" si="96"/>
        <v>352200</v>
      </c>
      <c r="C522" s="650" t="s">
        <v>1084</v>
      </c>
      <c r="D522" s="1974" t="s">
        <v>863</v>
      </c>
      <c r="E522" s="1248" t="s">
        <v>1086</v>
      </c>
      <c r="F522" s="606">
        <f>ROUND(((J553*J561*(1/J569-1/J577))/1000)*$J$613,2)</f>
        <v>4744.8100000000004</v>
      </c>
      <c r="G522" s="540" t="s">
        <v>960</v>
      </c>
      <c r="H522" s="66">
        <f>VLOOKUP(G522,'CP FACTORS'!$A$3:$B$38, 2, FALSE)</f>
        <v>0</v>
      </c>
      <c r="I522" s="43">
        <f t="shared" si="97"/>
        <v>0</v>
      </c>
      <c r="J522" s="57">
        <v>12</v>
      </c>
      <c r="K522" s="1814"/>
      <c r="L522" s="17"/>
      <c r="M522" s="531"/>
      <c r="R522" s="510"/>
      <c r="T522" s="50"/>
      <c r="U522" s="50"/>
      <c r="V522" s="1249" t="s">
        <v>46</v>
      </c>
      <c r="W522" s="123">
        <v>6530.865353107697</v>
      </c>
      <c r="X522" s="231">
        <v>2670.177267298056</v>
      </c>
      <c r="Y522" s="229">
        <v>1988.35</v>
      </c>
      <c r="Z522" s="687">
        <v>1988.35</v>
      </c>
      <c r="AA522" s="687">
        <v>1988.35</v>
      </c>
      <c r="AB522" s="627">
        <v>2185.6999999999998</v>
      </c>
      <c r="AC522" s="646">
        <v>2082.04</v>
      </c>
      <c r="AD522" s="606">
        <v>1977.83</v>
      </c>
      <c r="AE522" s="421">
        <v>1977.83</v>
      </c>
      <c r="AF522" s="253">
        <v>4674.3999999999996</v>
      </c>
      <c r="AG522" s="253">
        <f t="shared" si="100"/>
        <v>4744.8100000000004</v>
      </c>
      <c r="AH522" s="114"/>
      <c r="DG522" s="1023"/>
      <c r="DH522" s="2015" t="str">
        <f t="shared" si="98"/>
        <v>Heating RES ER2 12 Year EUL</v>
      </c>
      <c r="DI522" s="1020">
        <f>(INDEX('Avoided Cost Benefits'!$B$4:$B$866,MATCH(DH522,'Avoided Cost Benefits'!$A$4:$A$866,0)))*F522</f>
        <v>1603.252439649576</v>
      </c>
      <c r="DJ522" s="2051">
        <f t="shared" si="99"/>
        <v>0</v>
      </c>
    </row>
    <row r="523" spans="1:114" x14ac:dyDescent="0.25">
      <c r="A523" s="2146" t="s">
        <v>861</v>
      </c>
      <c r="B523" s="1318">
        <f t="shared" si="96"/>
        <v>352250</v>
      </c>
      <c r="C523" s="650" t="s">
        <v>1087</v>
      </c>
      <c r="D523" s="1974" t="s">
        <v>863</v>
      </c>
      <c r="E523" s="1248" t="s">
        <v>1088</v>
      </c>
      <c r="F523" s="885">
        <f>ROUND(((J586*J594*(1/J602-1/J610))/1000)*$J$613,2)</f>
        <v>1473.84</v>
      </c>
      <c r="G523" s="81" t="s">
        <v>1030</v>
      </c>
      <c r="H523" s="66">
        <f>VLOOKUP(G523,'CP FACTORS'!$A$3:$B$38, 2, FALSE)</f>
        <v>9.4741810000000004E-4</v>
      </c>
      <c r="I523" s="43">
        <f t="shared" si="97"/>
        <v>1.3963429999999999</v>
      </c>
      <c r="J523" s="57">
        <v>18</v>
      </c>
      <c r="K523" s="1813">
        <f>VLOOKUP(E523,$F$628:$J$640,5,FALSE)</f>
        <v>7508.8881687196081</v>
      </c>
      <c r="L523" s="17">
        <f>K586</f>
        <v>3.993150684931507</v>
      </c>
      <c r="M523" s="531"/>
      <c r="R523" s="510"/>
      <c r="T523" s="50"/>
      <c r="U523" s="50"/>
      <c r="V523" s="1249" t="s">
        <v>46</v>
      </c>
      <c r="W523" s="228">
        <v>1535.655749462109</v>
      </c>
      <c r="X523" s="228">
        <v>1413.8603840319427</v>
      </c>
      <c r="Y523" s="229">
        <v>1413.86</v>
      </c>
      <c r="Z523" s="687">
        <v>1413.86</v>
      </c>
      <c r="AA523" s="687">
        <v>1413.86</v>
      </c>
      <c r="AB523" s="627">
        <v>1553.75</v>
      </c>
      <c r="AC523" s="646">
        <v>1520.53</v>
      </c>
      <c r="AD523" s="885">
        <v>1510.41</v>
      </c>
      <c r="AE523" s="885">
        <v>1603.02</v>
      </c>
      <c r="AF523" s="253">
        <v>1411.37</v>
      </c>
      <c r="AG523" s="253">
        <f t="shared" si="100"/>
        <v>1473.84</v>
      </c>
      <c r="AH523" s="114"/>
      <c r="DG523" s="1019">
        <f>(DI523+DI524)/(DJ523+DJ524)</f>
        <v>0.84583379349211296</v>
      </c>
      <c r="DH523" s="1251" t="str">
        <f t="shared" si="98"/>
        <v>Cooling Res 18 Year EUL</v>
      </c>
      <c r="DI523" s="1020">
        <f>(INDEX('Avoided Cost Benefits'!$B$4:$B$866,MATCH(DH523,'Avoided Cost Benefits'!$A$4:$A$866,0)))*F523</f>
        <v>3374.7529950465837</v>
      </c>
      <c r="DJ523" s="2051">
        <f t="shared" si="99"/>
        <v>7508.8881687196081</v>
      </c>
    </row>
    <row r="524" spans="1:114" x14ac:dyDescent="0.25">
      <c r="A524" s="2146" t="s">
        <v>861</v>
      </c>
      <c r="B524" s="1318">
        <f t="shared" si="96"/>
        <v>352250</v>
      </c>
      <c r="C524" s="650" t="s">
        <v>1087</v>
      </c>
      <c r="D524" s="1974" t="s">
        <v>863</v>
      </c>
      <c r="E524" s="1248" t="s">
        <v>1088</v>
      </c>
      <c r="F524" s="885">
        <f>ROUND(((J554*J562*(1/J570-1/J578))/1000)*$J$613,2)</f>
        <v>4911.1400000000003</v>
      </c>
      <c r="G524" s="81" t="s">
        <v>695</v>
      </c>
      <c r="H524" s="66">
        <f>VLOOKUP(G524,'CP FACTORS'!$A$3:$B$38, 2, FALSE)</f>
        <v>0</v>
      </c>
      <c r="I524" s="43">
        <f t="shared" si="97"/>
        <v>0</v>
      </c>
      <c r="J524" s="57">
        <v>18</v>
      </c>
      <c r="K524" s="425"/>
      <c r="L524" s="18"/>
      <c r="M524" s="531"/>
      <c r="R524" s="510"/>
      <c r="T524" s="50"/>
      <c r="U524" s="50"/>
      <c r="V524" s="1249" t="s">
        <v>46</v>
      </c>
      <c r="W524" s="228">
        <v>7008.7335496765554</v>
      </c>
      <c r="X524" s="230">
        <v>2670.177267298056</v>
      </c>
      <c r="Y524" s="229">
        <v>1988.35</v>
      </c>
      <c r="Z524" s="687">
        <v>1988.35</v>
      </c>
      <c r="AA524" s="687">
        <v>1988.35</v>
      </c>
      <c r="AB524" s="627">
        <v>2199.89</v>
      </c>
      <c r="AC524" s="646">
        <v>2128.5500000000002</v>
      </c>
      <c r="AD524" s="885">
        <v>2032.83</v>
      </c>
      <c r="AE524" s="977">
        <v>2032.83</v>
      </c>
      <c r="AF524" s="253">
        <v>4804.3900000000003</v>
      </c>
      <c r="AG524" s="253">
        <f t="shared" si="100"/>
        <v>4911.1400000000003</v>
      </c>
      <c r="AH524" s="114"/>
      <c r="DG524" s="933"/>
      <c r="DH524" s="2015" t="str">
        <f t="shared" si="98"/>
        <v>Heating RES 18 Year EUL</v>
      </c>
      <c r="DI524" s="1017">
        <f>(INDEX('Avoided Cost Benefits'!$B$4:$B$866,MATCH(DH524,'Avoided Cost Benefits'!$A$4:$A$866,0)))*F524</f>
        <v>2976.5183696095673</v>
      </c>
      <c r="DJ524" s="2051">
        <f t="shared" si="99"/>
        <v>0</v>
      </c>
    </row>
    <row r="525" spans="1:114" s="39" customFormat="1" x14ac:dyDescent="0.25">
      <c r="A525" s="2146" t="s">
        <v>861</v>
      </c>
      <c r="B525" s="1318">
        <f t="shared" si="96"/>
        <v>352260</v>
      </c>
      <c r="C525" s="650" t="s">
        <v>1089</v>
      </c>
      <c r="D525" s="1974" t="s">
        <v>863</v>
      </c>
      <c r="E525" s="1248" t="s">
        <v>1090</v>
      </c>
      <c r="F525" s="606">
        <f>ROUND(((J587*J595*(1/J603-1/J611))/1000)*$J$613,2)</f>
        <v>1590.94</v>
      </c>
      <c r="G525" s="81" t="s">
        <v>1030</v>
      </c>
      <c r="H525" s="66">
        <f>VLOOKUP(G525,'CP FACTORS'!$A$3:$B$38, 2, FALSE)</f>
        <v>9.4741810000000004E-4</v>
      </c>
      <c r="I525" s="43">
        <f t="shared" si="97"/>
        <v>1.507285</v>
      </c>
      <c r="J525" s="57">
        <v>6</v>
      </c>
      <c r="K525" s="1813">
        <f>VLOOKUP(E525,$F$628:$J$640,5,FALSE)</f>
        <v>6248.64477985144</v>
      </c>
      <c r="L525" s="17">
        <f>K587</f>
        <v>3.8698630136986303</v>
      </c>
      <c r="M525" s="531"/>
      <c r="N525" s="50"/>
      <c r="O525" s="50"/>
      <c r="P525" s="50"/>
      <c r="Q525" s="50"/>
      <c r="R525" s="510"/>
      <c r="S525" s="50"/>
      <c r="V525" s="1249" t="s">
        <v>46</v>
      </c>
      <c r="W525" s="231"/>
      <c r="X525" s="231"/>
      <c r="Y525" s="229"/>
      <c r="Z525" s="229"/>
      <c r="AA525" s="229"/>
      <c r="AB525" s="627"/>
      <c r="AC525" s="646"/>
      <c r="AD525" s="606"/>
      <c r="AE525" s="606"/>
      <c r="AF525" s="253">
        <v>1557.33</v>
      </c>
      <c r="AG525" s="253">
        <f t="shared" si="100"/>
        <v>1590.94</v>
      </c>
      <c r="AH525" s="683"/>
      <c r="DG525" s="1019">
        <f>(DI525+DI526+DI527+DI528)/(DJ525+DJ526+DJ527+DJ528)</f>
        <v>1.0039529125907434</v>
      </c>
      <c r="DH525" s="1251" t="str">
        <f t="shared" ref="DH525:DH528" si="101">CONCATENATE(G525," ",J525," Year EUL")</f>
        <v>Cooling Res 6 Year EUL</v>
      </c>
      <c r="DI525" s="1020">
        <f>(INDEX('Avoided Cost Benefits'!$B$4:$B$866,MATCH(DH525,'Avoided Cost Benefits'!$A$4:$A$866,0)))*F525</f>
        <v>1584.3345719567894</v>
      </c>
      <c r="DJ525" s="2051">
        <f t="shared" si="99"/>
        <v>6248.64477985144</v>
      </c>
    </row>
    <row r="526" spans="1:114" s="39" customFormat="1" x14ac:dyDescent="0.25">
      <c r="A526" s="2146" t="s">
        <v>861</v>
      </c>
      <c r="B526" s="1318">
        <f t="shared" si="96"/>
        <v>352260</v>
      </c>
      <c r="C526" s="650" t="s">
        <v>1089</v>
      </c>
      <c r="D526" s="1974" t="s">
        <v>863</v>
      </c>
      <c r="E526" s="1248" t="s">
        <v>1090</v>
      </c>
      <c r="F526" s="606">
        <f>ROUND(((J556*J564*(1/J571-1/J580))/1000)*$J$613,2)</f>
        <v>4744.8100000000004</v>
      </c>
      <c r="G526" s="81" t="s">
        <v>695</v>
      </c>
      <c r="H526" s="66">
        <f>VLOOKUP(G526,'CP FACTORS'!$A$3:$B$38, 2, FALSE)</f>
        <v>0</v>
      </c>
      <c r="I526" s="43">
        <f t="shared" si="97"/>
        <v>0</v>
      </c>
      <c r="J526" s="57">
        <v>6</v>
      </c>
      <c r="K526" s="1814"/>
      <c r="L526" s="17"/>
      <c r="M526" s="531"/>
      <c r="N526" s="50"/>
      <c r="O526" s="50"/>
      <c r="P526" s="50"/>
      <c r="Q526" s="50"/>
      <c r="R526" s="510"/>
      <c r="S526" s="50"/>
      <c r="V526" s="1249" t="s">
        <v>46</v>
      </c>
      <c r="W526" s="231"/>
      <c r="X526" s="231"/>
      <c r="Y526" s="229"/>
      <c r="Z526" s="229"/>
      <c r="AA526" s="229"/>
      <c r="AB526" s="627"/>
      <c r="AC526" s="646"/>
      <c r="AD526" s="606"/>
      <c r="AE526" s="606"/>
      <c r="AF526" s="253">
        <v>4674.3999999999996</v>
      </c>
      <c r="AG526" s="253">
        <f t="shared" si="100"/>
        <v>4744.8100000000004</v>
      </c>
      <c r="AH526" s="683"/>
      <c r="DG526" s="1023"/>
      <c r="DH526" s="1260" t="str">
        <f t="shared" si="101"/>
        <v>Heating RES 6 Year EUL</v>
      </c>
      <c r="DI526" s="1020">
        <f>(INDEX('Avoided Cost Benefits'!$B$4:$B$866,MATCH(DH526,'Avoided Cost Benefits'!$A$4:$A$866,0)))*F526</f>
        <v>1272.4575025038082</v>
      </c>
      <c r="DJ526" s="2051">
        <f t="shared" si="99"/>
        <v>0</v>
      </c>
    </row>
    <row r="527" spans="1:114" s="39" customFormat="1" x14ac:dyDescent="0.25">
      <c r="A527" s="2146" t="s">
        <v>861</v>
      </c>
      <c r="B527" s="1318">
        <f t="shared" si="96"/>
        <v>352260</v>
      </c>
      <c r="C527" s="650" t="s">
        <v>1089</v>
      </c>
      <c r="D527" s="1974" t="s">
        <v>863</v>
      </c>
      <c r="E527" s="1248" t="s">
        <v>1091</v>
      </c>
      <c r="F527" s="885">
        <f>ROUND(((J588*J596*(1/J604-1/J612))/1000)*$J$613,2)</f>
        <v>1401.4</v>
      </c>
      <c r="G527" s="540" t="s">
        <v>1083</v>
      </c>
      <c r="H527" s="66">
        <f>VLOOKUP(G527,'CP FACTORS'!$A$3:$B$38, 2, FALSE)</f>
        <v>9.4741810000000004E-4</v>
      </c>
      <c r="I527" s="43">
        <f t="shared" si="97"/>
        <v>1.327712</v>
      </c>
      <c r="J527" s="57">
        <v>12</v>
      </c>
      <c r="K527" s="1813"/>
      <c r="L527" s="17"/>
      <c r="M527" s="531"/>
      <c r="N527" s="50"/>
      <c r="O527" s="50"/>
      <c r="P527" s="50"/>
      <c r="Q527" s="50"/>
      <c r="R527" s="510"/>
      <c r="S527" s="50"/>
      <c r="V527" s="1249" t="s">
        <v>46</v>
      </c>
      <c r="W527" s="230"/>
      <c r="X527" s="230"/>
      <c r="Y527" s="229"/>
      <c r="Z527" s="229"/>
      <c r="AA527" s="229"/>
      <c r="AB527" s="627"/>
      <c r="AC527" s="646"/>
      <c r="AD527" s="885"/>
      <c r="AE527" s="885"/>
      <c r="AF527" s="253">
        <v>1367.79</v>
      </c>
      <c r="AG527" s="253">
        <f t="shared" si="100"/>
        <v>1401.4</v>
      </c>
      <c r="AH527" s="683"/>
      <c r="DG527" s="1023"/>
      <c r="DH527" s="1260" t="str">
        <f t="shared" si="101"/>
        <v>Cooling Res ER2 12 Year EUL</v>
      </c>
      <c r="DI527" s="1020">
        <f>(INDEX('Avoided Cost Benefits'!$B$4:$B$866,MATCH(DH527,'Avoided Cost Benefits'!$A$4:$A$866,0)))*F527</f>
        <v>1813.3006123666237</v>
      </c>
      <c r="DJ527" s="2051">
        <f t="shared" si="99"/>
        <v>0</v>
      </c>
    </row>
    <row r="528" spans="1:114" s="39" customFormat="1" x14ac:dyDescent="0.25">
      <c r="A528" s="2146" t="s">
        <v>861</v>
      </c>
      <c r="B528" s="1318">
        <f t="shared" si="96"/>
        <v>352260</v>
      </c>
      <c r="C528" s="650" t="s">
        <v>1089</v>
      </c>
      <c r="D528" s="1974" t="s">
        <v>863</v>
      </c>
      <c r="E528" s="1248" t="s">
        <v>1091</v>
      </c>
      <c r="F528" s="885">
        <f>ROUND(((J556*J564*(1/J572-1/J580))/1000)*$J$613,2)</f>
        <v>4744.8100000000004</v>
      </c>
      <c r="G528" s="540" t="s">
        <v>960</v>
      </c>
      <c r="H528" s="66">
        <f>VLOOKUP(G528,'CP FACTORS'!$A$3:$B$38, 2, FALSE)</f>
        <v>0</v>
      </c>
      <c r="I528" s="43">
        <f t="shared" si="97"/>
        <v>0</v>
      </c>
      <c r="J528" s="57">
        <v>12</v>
      </c>
      <c r="K528" s="425"/>
      <c r="L528" s="18"/>
      <c r="M528" s="531"/>
      <c r="N528" s="50"/>
      <c r="O528" s="50"/>
      <c r="P528" s="50"/>
      <c r="Q528" s="50"/>
      <c r="R528" s="510"/>
      <c r="S528" s="50"/>
      <c r="V528" s="1249" t="s">
        <v>46</v>
      </c>
      <c r="W528" s="230"/>
      <c r="X528" s="230"/>
      <c r="Y528" s="229"/>
      <c r="Z528" s="229"/>
      <c r="AA528" s="229"/>
      <c r="AB528" s="627"/>
      <c r="AC528" s="646"/>
      <c r="AD528" s="885"/>
      <c r="AE528" s="885"/>
      <c r="AF528" s="253">
        <v>4674.3999999999996</v>
      </c>
      <c r="AG528" s="253">
        <f t="shared" si="100"/>
        <v>4744.8100000000004</v>
      </c>
      <c r="AH528" s="683"/>
      <c r="DG528" s="1023"/>
      <c r="DH528" s="2015" t="str">
        <f t="shared" si="101"/>
        <v>Heating RES ER2 12 Year EUL</v>
      </c>
      <c r="DI528" s="1020">
        <f>(INDEX('Avoided Cost Benefits'!$B$4:$B$866,MATCH(DH528,'Avoided Cost Benefits'!$A$4:$A$866,0)))*F528</f>
        <v>1603.252439649576</v>
      </c>
      <c r="DJ528" s="2053">
        <f t="shared" si="99"/>
        <v>0</v>
      </c>
    </row>
    <row r="529" spans="1:114" outlineLevel="1" x14ac:dyDescent="0.25">
      <c r="A529" s="2145"/>
      <c r="C529" s="541"/>
      <c r="D529" s="74" t="s">
        <v>95</v>
      </c>
      <c r="E529" s="50" t="s">
        <v>1092</v>
      </c>
      <c r="F529" s="100" t="s">
        <v>1021</v>
      </c>
      <c r="G529" s="539"/>
      <c r="H529" s="49"/>
      <c r="I529" s="49"/>
      <c r="J529" s="49"/>
      <c r="K529" s="49"/>
      <c r="L529" s="49"/>
      <c r="M529" s="49"/>
      <c r="T529" s="50"/>
      <c r="U529" s="50"/>
      <c r="V529" s="50"/>
      <c r="DG529" s="543"/>
      <c r="DH529" s="172"/>
      <c r="DI529" s="1020"/>
      <c r="DJ529" s="2045"/>
    </row>
    <row r="530" spans="1:114" outlineLevel="1" x14ac:dyDescent="0.25">
      <c r="A530" s="2145"/>
      <c r="C530" s="541"/>
      <c r="D530" s="71" t="s">
        <v>609</v>
      </c>
      <c r="E530" s="100" t="s">
        <v>1038</v>
      </c>
      <c r="F530" s="519"/>
      <c r="G530" s="539"/>
      <c r="H530" s="49"/>
      <c r="I530" s="49"/>
      <c r="J530" s="49"/>
      <c r="K530" s="49"/>
      <c r="L530" s="49"/>
      <c r="M530" s="49"/>
      <c r="T530" s="50"/>
      <c r="U530" s="50"/>
      <c r="V530" s="50"/>
      <c r="DG530" s="543"/>
      <c r="DH530" s="172"/>
      <c r="DI530" s="1020"/>
      <c r="DJ530" s="2045"/>
    </row>
    <row r="531" spans="1:114" outlineLevel="1" x14ac:dyDescent="0.25">
      <c r="A531" s="2145"/>
      <c r="C531" s="541"/>
      <c r="D531" s="71"/>
      <c r="E531" s="100" t="s">
        <v>1093</v>
      </c>
      <c r="G531" s="100"/>
      <c r="T531" s="50"/>
      <c r="U531" s="50"/>
      <c r="V531" s="50"/>
      <c r="DG531" s="543"/>
      <c r="DH531" s="172"/>
      <c r="DI531" s="1020"/>
      <c r="DJ531" s="2045"/>
    </row>
    <row r="532" spans="1:114" outlineLevel="1" x14ac:dyDescent="0.25">
      <c r="A532" s="2145"/>
      <c r="C532" s="541"/>
      <c r="D532" s="100"/>
      <c r="E532" s="100"/>
      <c r="G532" s="100"/>
      <c r="H532" s="49"/>
      <c r="T532" s="50"/>
      <c r="U532" s="50"/>
      <c r="V532" s="50"/>
      <c r="DG532" s="543"/>
      <c r="DH532" s="172"/>
      <c r="DI532" s="1020"/>
      <c r="DJ532" s="2045"/>
    </row>
    <row r="533" spans="1:114" outlineLevel="1" x14ac:dyDescent="0.25">
      <c r="A533" s="2145"/>
      <c r="C533" s="541"/>
      <c r="D533" s="100"/>
      <c r="E533" s="100" t="s">
        <v>1042</v>
      </c>
      <c r="G533" s="100"/>
      <c r="H533" s="49"/>
      <c r="T533" s="50"/>
      <c r="U533" s="50"/>
      <c r="V533" s="50"/>
      <c r="DG533" s="543"/>
      <c r="DH533" s="172"/>
      <c r="DI533" s="1020"/>
      <c r="DJ533" s="2045"/>
    </row>
    <row r="534" spans="1:114" outlineLevel="1" x14ac:dyDescent="0.25">
      <c r="A534" s="2145"/>
      <c r="C534" s="541"/>
      <c r="D534" s="100"/>
      <c r="E534" s="100" t="s">
        <v>1094</v>
      </c>
      <c r="G534" s="100"/>
      <c r="H534" s="49"/>
      <c r="T534" s="50"/>
      <c r="U534" s="50"/>
      <c r="V534" s="50"/>
      <c r="DG534" s="543"/>
      <c r="DH534" s="172"/>
      <c r="DI534" s="1020"/>
      <c r="DJ534" s="2045"/>
    </row>
    <row r="535" spans="1:114" outlineLevel="1" x14ac:dyDescent="0.25">
      <c r="A535" s="2145"/>
      <c r="C535" s="541"/>
      <c r="D535" s="100"/>
      <c r="E535" s="100" t="s">
        <v>1095</v>
      </c>
      <c r="G535" s="100"/>
      <c r="H535" s="49"/>
      <c r="T535" s="50"/>
      <c r="U535" s="50"/>
      <c r="V535" s="50"/>
      <c r="DG535" s="543"/>
      <c r="DH535" s="172"/>
      <c r="DI535" s="1020"/>
      <c r="DJ535" s="2045"/>
    </row>
    <row r="536" spans="1:114" outlineLevel="1" x14ac:dyDescent="0.25">
      <c r="A536" s="2145"/>
      <c r="C536" s="541"/>
      <c r="D536" s="100"/>
      <c r="E536" s="100" t="s">
        <v>1096</v>
      </c>
      <c r="G536" s="100"/>
      <c r="H536" s="49"/>
      <c r="J536" s="100"/>
      <c r="T536" s="50"/>
      <c r="U536" s="50"/>
      <c r="V536" s="50"/>
      <c r="DG536" s="543"/>
      <c r="DH536" s="172"/>
      <c r="DI536" s="1020"/>
      <c r="DJ536" s="2045"/>
    </row>
    <row r="537" spans="1:114" outlineLevel="1" x14ac:dyDescent="0.25">
      <c r="A537" s="2145"/>
      <c r="C537" s="541"/>
      <c r="E537" s="100" t="s">
        <v>1097</v>
      </c>
      <c r="G537" s="100"/>
      <c r="H537" s="49"/>
      <c r="T537" s="50"/>
      <c r="U537" s="50"/>
      <c r="V537" s="50"/>
      <c r="DG537" s="543"/>
      <c r="DH537" s="172"/>
      <c r="DI537" s="1020"/>
      <c r="DJ537" s="2045"/>
    </row>
    <row r="538" spans="1:114" outlineLevel="1" x14ac:dyDescent="0.25">
      <c r="A538" s="2145"/>
      <c r="C538" s="541"/>
      <c r="D538" s="100"/>
      <c r="E538" s="100"/>
      <c r="G538" s="100"/>
      <c r="H538" s="49"/>
      <c r="T538" s="50"/>
      <c r="U538" s="50"/>
      <c r="V538" s="50"/>
      <c r="DG538" s="543"/>
      <c r="DH538" s="172"/>
      <c r="DI538" s="1020"/>
      <c r="DJ538" s="2045"/>
    </row>
    <row r="539" spans="1:114" outlineLevel="1" x14ac:dyDescent="0.25">
      <c r="A539" s="2145"/>
      <c r="C539" s="541"/>
      <c r="D539" s="100"/>
      <c r="E539" s="100" t="s">
        <v>717</v>
      </c>
      <c r="G539" s="100"/>
      <c r="H539" s="49"/>
      <c r="T539" s="50"/>
      <c r="U539" s="50"/>
      <c r="V539" s="50"/>
      <c r="DG539" s="543"/>
      <c r="DH539" s="172"/>
      <c r="DI539" s="1020"/>
      <c r="DJ539" s="2045"/>
    </row>
    <row r="540" spans="1:114" outlineLevel="1" x14ac:dyDescent="0.25">
      <c r="A540" s="2145"/>
      <c r="C540" s="541"/>
      <c r="D540" s="100"/>
      <c r="E540" s="100"/>
      <c r="G540" s="100"/>
      <c r="H540" s="49"/>
      <c r="T540" s="50"/>
      <c r="U540" s="50"/>
      <c r="V540" s="50"/>
      <c r="DG540" s="543"/>
      <c r="DH540" s="172"/>
      <c r="DI540" s="1020"/>
      <c r="DJ540" s="2045"/>
    </row>
    <row r="541" spans="1:114" outlineLevel="1" x14ac:dyDescent="0.25">
      <c r="A541" s="2145"/>
      <c r="C541" s="541"/>
      <c r="D541" s="100"/>
      <c r="E541" s="100"/>
      <c r="G541" s="100"/>
      <c r="H541" s="49"/>
      <c r="T541" s="50"/>
      <c r="U541" s="50"/>
      <c r="V541" s="50"/>
      <c r="DG541" s="543"/>
      <c r="DH541" s="172"/>
      <c r="DI541" s="1020"/>
      <c r="DJ541" s="2045"/>
    </row>
    <row r="542" spans="1:114" outlineLevel="1" x14ac:dyDescent="0.25">
      <c r="A542" s="2145"/>
      <c r="C542" s="541"/>
      <c r="D542" s="100"/>
      <c r="E542" s="100"/>
      <c r="G542" s="100"/>
      <c r="H542" s="49"/>
      <c r="T542" s="50"/>
      <c r="U542" s="50"/>
      <c r="V542" s="50"/>
      <c r="DG542" s="543"/>
      <c r="DH542" s="172"/>
      <c r="DI542" s="1020"/>
      <c r="DJ542" s="2045"/>
    </row>
    <row r="543" spans="1:114" outlineLevel="1" x14ac:dyDescent="0.25">
      <c r="A543" s="2145"/>
      <c r="C543" s="541"/>
      <c r="D543" s="100"/>
      <c r="E543" s="100"/>
      <c r="G543" s="100"/>
      <c r="H543" s="49"/>
      <c r="T543" s="50"/>
      <c r="U543" s="50"/>
      <c r="V543" s="50"/>
      <c r="DG543" s="543"/>
      <c r="DH543" s="172"/>
      <c r="DI543" s="1020"/>
      <c r="DJ543" s="2045"/>
    </row>
    <row r="544" spans="1:114" outlineLevel="1" x14ac:dyDescent="0.25">
      <c r="A544" s="2145"/>
      <c r="C544" s="541"/>
      <c r="D544" s="100"/>
      <c r="E544" s="100"/>
      <c r="G544" s="100"/>
      <c r="H544" s="49"/>
      <c r="T544" s="50"/>
      <c r="U544" s="50"/>
      <c r="V544" s="50"/>
      <c r="DG544" s="543"/>
      <c r="DH544" s="172"/>
      <c r="DI544" s="1020"/>
      <c r="DJ544" s="2045"/>
    </row>
    <row r="545" spans="1:114" outlineLevel="1" x14ac:dyDescent="0.25">
      <c r="A545" s="2145"/>
      <c r="C545" s="541"/>
      <c r="D545" s="100"/>
      <c r="E545" s="100"/>
      <c r="G545" s="100"/>
      <c r="H545" s="49"/>
      <c r="T545" s="50"/>
      <c r="U545" s="50"/>
      <c r="V545" s="50"/>
      <c r="DG545" s="543"/>
      <c r="DH545" s="172"/>
      <c r="DI545" s="1020"/>
      <c r="DJ545" s="2045"/>
    </row>
    <row r="546" spans="1:114" outlineLevel="1" x14ac:dyDescent="0.25">
      <c r="A546" s="2145"/>
      <c r="C546" s="541"/>
      <c r="D546" s="100"/>
      <c r="E546" s="100"/>
      <c r="G546" s="100"/>
      <c r="H546" s="49"/>
      <c r="P546" s="141"/>
      <c r="T546" s="50"/>
      <c r="U546" s="50"/>
      <c r="V546" s="50"/>
      <c r="DG546" s="543"/>
      <c r="DH546" s="172"/>
      <c r="DI546" s="1020"/>
      <c r="DJ546" s="2045"/>
    </row>
    <row r="547" spans="1:114" outlineLevel="1" x14ac:dyDescent="0.25">
      <c r="A547" s="2145"/>
      <c r="C547" s="541"/>
      <c r="D547" s="100"/>
      <c r="E547" s="100"/>
      <c r="G547" s="100"/>
      <c r="H547" s="49"/>
      <c r="I547" s="49"/>
      <c r="J547" s="49"/>
      <c r="K547" s="49"/>
      <c r="L547" s="49"/>
      <c r="M547" s="49"/>
      <c r="T547" s="50"/>
      <c r="U547" s="50"/>
      <c r="V547" s="50"/>
      <c r="DG547" s="543"/>
      <c r="DH547" s="172"/>
      <c r="DI547" s="1020"/>
      <c r="DJ547" s="2045"/>
    </row>
    <row r="548" spans="1:114" ht="30" outlineLevel="1" x14ac:dyDescent="0.25">
      <c r="A548" s="2145"/>
      <c r="C548" s="541"/>
      <c r="D548" s="1309" t="s">
        <v>720</v>
      </c>
      <c r="E548" s="1309" t="s">
        <v>613</v>
      </c>
      <c r="F548" s="2378" t="s">
        <v>614</v>
      </c>
      <c r="G548" s="2378"/>
      <c r="H548" s="2378"/>
      <c r="I548" s="1242" t="s">
        <v>43</v>
      </c>
      <c r="J548" s="1242" t="s">
        <v>615</v>
      </c>
      <c r="K548" s="1242" t="s">
        <v>909</v>
      </c>
      <c r="L548" s="1242" t="s">
        <v>910</v>
      </c>
      <c r="Q548" s="1578" t="str">
        <f>B510</f>
        <v>Ground Source Heat Pumps</v>
      </c>
      <c r="T548"/>
      <c r="U548" s="50"/>
      <c r="V548" s="162" t="s">
        <v>53</v>
      </c>
      <c r="W548" s="637">
        <f>W$7</f>
        <v>43252</v>
      </c>
      <c r="X548" s="637">
        <f t="shared" ref="X548:AG548" si="102">X$7</f>
        <v>43800</v>
      </c>
      <c r="Y548" s="637">
        <f t="shared" si="102"/>
        <v>43800</v>
      </c>
      <c r="Z548" s="637">
        <f t="shared" si="102"/>
        <v>43862</v>
      </c>
      <c r="AA548" s="637">
        <f t="shared" si="102"/>
        <v>44013</v>
      </c>
      <c r="AB548" s="637">
        <f t="shared" si="102"/>
        <v>44166</v>
      </c>
      <c r="AC548" s="637">
        <f t="shared" si="102"/>
        <v>44531</v>
      </c>
      <c r="AD548" s="637">
        <f t="shared" si="102"/>
        <v>44774</v>
      </c>
      <c r="AE548" s="637">
        <f t="shared" si="102"/>
        <v>45139</v>
      </c>
      <c r="AF548" s="637">
        <f t="shared" si="102"/>
        <v>45672</v>
      </c>
      <c r="AG548" s="110">
        <f t="shared" si="102"/>
        <v>45931</v>
      </c>
      <c r="DG548" s="543"/>
      <c r="DH548" s="172"/>
      <c r="DI548" s="1020"/>
      <c r="DJ548" s="2045"/>
    </row>
    <row r="549" spans="1:114" outlineLevel="1" x14ac:dyDescent="0.25">
      <c r="A549" s="2145"/>
      <c r="C549" s="541"/>
      <c r="D549" s="2415" t="s">
        <v>1049</v>
      </c>
      <c r="E549" s="2415" t="s">
        <v>1098</v>
      </c>
      <c r="F549" s="2404" t="str">
        <f>$E$514</f>
        <v>GSHP-EER23-Replace_CAC_ElectricHeat_ROF_SF</v>
      </c>
      <c r="G549" s="2404"/>
      <c r="H549" s="2404"/>
      <c r="I549" s="1268"/>
      <c r="J549" s="1515">
        <v>47729.729729729726</v>
      </c>
      <c r="K549" s="53">
        <f t="shared" ref="K549:K552" si="103">J549/12000</f>
        <v>3.977477477477477</v>
      </c>
      <c r="L549" s="2413" t="s">
        <v>1099</v>
      </c>
      <c r="P549" s="1275"/>
      <c r="T549"/>
      <c r="U549" s="50"/>
      <c r="V549" s="2415" t="s">
        <v>1049</v>
      </c>
      <c r="W549" s="1268">
        <v>49199.999999999993</v>
      </c>
      <c r="X549" s="779">
        <f>3.99*12000</f>
        <v>47880</v>
      </c>
      <c r="Y549" s="779">
        <f>3.98*12000</f>
        <v>47760</v>
      </c>
      <c r="Z549" s="1268">
        <f>3.98*12000</f>
        <v>47760</v>
      </c>
      <c r="AA549" s="1268">
        <f>3.98*12000</f>
        <v>47760</v>
      </c>
      <c r="AB549" s="690">
        <v>49745.454545454544</v>
      </c>
      <c r="AC549" s="690">
        <v>46600</v>
      </c>
      <c r="AD549" s="690">
        <v>47729.729729729726</v>
      </c>
      <c r="AE549" s="978">
        <v>47729.729729729726</v>
      </c>
      <c r="AF549" s="253">
        <v>47729.729729729726</v>
      </c>
      <c r="AG549" s="253">
        <f>IF(J549&lt;&gt;"",J549,"")</f>
        <v>47729.729729729726</v>
      </c>
      <c r="DG549" s="543"/>
      <c r="DH549" s="172"/>
      <c r="DI549" s="1020"/>
      <c r="DJ549" s="2045"/>
    </row>
    <row r="550" spans="1:114" outlineLevel="1" x14ac:dyDescent="0.25">
      <c r="A550" s="2145"/>
      <c r="C550" s="541"/>
      <c r="D550" s="2415"/>
      <c r="E550" s="2415"/>
      <c r="F550" s="2404" t="str">
        <f>$E$516</f>
        <v>GSHP-EER23-Replace_CAC_ElectricHeat_ER1_SF</v>
      </c>
      <c r="G550" s="2404"/>
      <c r="H550" s="2404"/>
      <c r="I550" s="1268"/>
      <c r="J550" s="1515">
        <v>46438.356164383564</v>
      </c>
      <c r="K550" s="53">
        <f t="shared" si="103"/>
        <v>3.8698630136986303</v>
      </c>
      <c r="L550" s="2413"/>
      <c r="P550" s="1275"/>
      <c r="R550" s="1806" t="s">
        <v>1100</v>
      </c>
      <c r="S550" s="1805">
        <v>3957</v>
      </c>
      <c r="T550"/>
      <c r="U550" s="50"/>
      <c r="V550" s="2415"/>
      <c r="W550" s="1268">
        <v>49199.999999999993</v>
      </c>
      <c r="X550" s="779">
        <f>3.99*12000</f>
        <v>47880</v>
      </c>
      <c r="Y550" s="779">
        <f t="shared" ref="Y550:AA551" si="104">3.86*12000</f>
        <v>46320</v>
      </c>
      <c r="Z550" s="1268">
        <f t="shared" si="104"/>
        <v>46320</v>
      </c>
      <c r="AA550" s="1268">
        <f t="shared" si="104"/>
        <v>46320</v>
      </c>
      <c r="AB550" s="690">
        <v>45750</v>
      </c>
      <c r="AC550" s="690">
        <v>48705.882352941175</v>
      </c>
      <c r="AD550" s="690">
        <v>46438.356164383564</v>
      </c>
      <c r="AE550" s="978">
        <v>46438.356164383564</v>
      </c>
      <c r="AF550" s="253">
        <v>46438.356164383564</v>
      </c>
      <c r="AG550" s="253">
        <f t="shared" ref="AG550:AG614" si="105">IF(J550&lt;&gt;"",J550,"")</f>
        <v>46438.356164383564</v>
      </c>
      <c r="DG550" s="543"/>
      <c r="DH550" s="172"/>
      <c r="DI550" s="1020"/>
      <c r="DJ550" s="2045"/>
    </row>
    <row r="551" spans="1:114" outlineLevel="1" x14ac:dyDescent="0.25">
      <c r="A551" s="2145"/>
      <c r="C551" s="541"/>
      <c r="D551" s="2415"/>
      <c r="E551" s="2415"/>
      <c r="F551" s="2404" t="str">
        <f>$E$518</f>
        <v>GSHP-EER23-Replace_CAC_ElectricHeat_ER2_SF</v>
      </c>
      <c r="G551" s="2404"/>
      <c r="H551" s="2404"/>
      <c r="I551" s="1268"/>
      <c r="J551" s="1524">
        <f>J550</f>
        <v>46438.356164383564</v>
      </c>
      <c r="K551" s="53">
        <f t="shared" si="103"/>
        <v>3.8698630136986303</v>
      </c>
      <c r="L551" s="2413"/>
      <c r="P551" s="534"/>
      <c r="T551"/>
      <c r="U551" s="50"/>
      <c r="V551" s="2415"/>
      <c r="W551" s="1268">
        <v>49199.999999999993</v>
      </c>
      <c r="X551" s="779">
        <f>3.99*12000</f>
        <v>47880</v>
      </c>
      <c r="Y551" s="779">
        <f t="shared" si="104"/>
        <v>46320</v>
      </c>
      <c r="Z551" s="1268">
        <f t="shared" si="104"/>
        <v>46320</v>
      </c>
      <c r="AA551" s="1268">
        <f t="shared" si="104"/>
        <v>46320</v>
      </c>
      <c r="AB551" s="690">
        <v>45750</v>
      </c>
      <c r="AC551" s="690">
        <v>48705.882352941175</v>
      </c>
      <c r="AD551" s="690">
        <v>46438.356164383564</v>
      </c>
      <c r="AE551" s="753">
        <v>46438.356164383564</v>
      </c>
      <c r="AF551" s="253">
        <v>46438.356164383564</v>
      </c>
      <c r="AG551" s="253">
        <f t="shared" si="105"/>
        <v>46438.356164383564</v>
      </c>
      <c r="DG551" s="543"/>
      <c r="DH551" s="172"/>
      <c r="DI551" s="1020"/>
      <c r="DJ551" s="2045"/>
    </row>
    <row r="552" spans="1:114" outlineLevel="1" x14ac:dyDescent="0.25">
      <c r="A552" s="2145"/>
      <c r="C552" s="541"/>
      <c r="D552" s="2415"/>
      <c r="E552" s="2415"/>
      <c r="F552" s="2407" t="str">
        <f>$E$520</f>
        <v>GSHP-EER23-Replace_ASHP_ER1_SF</v>
      </c>
      <c r="G552" s="2407"/>
      <c r="H552" s="2407"/>
      <c r="I552" s="1268"/>
      <c r="J552" s="1524">
        <f>J550</f>
        <v>46438.356164383564</v>
      </c>
      <c r="K552" s="53">
        <f t="shared" si="103"/>
        <v>3.8698630136986303</v>
      </c>
      <c r="L552" s="2413"/>
      <c r="P552" s="534"/>
      <c r="T552"/>
      <c r="U552" s="50"/>
      <c r="V552" s="2415"/>
      <c r="W552" s="1268"/>
      <c r="X552" s="779"/>
      <c r="Y552" s="779"/>
      <c r="Z552" s="1268"/>
      <c r="AA552" s="1268"/>
      <c r="AB552" s="690">
        <v>51319.148936170212</v>
      </c>
      <c r="AC552" s="690">
        <v>48885.24590163934</v>
      </c>
      <c r="AD552" s="690">
        <v>46438.356164383564</v>
      </c>
      <c r="AE552" s="753">
        <v>46438.356164383564</v>
      </c>
      <c r="AF552" s="253">
        <v>46438.356164383564</v>
      </c>
      <c r="AG552" s="253">
        <f t="shared" si="105"/>
        <v>46438.356164383564</v>
      </c>
      <c r="DG552" s="543"/>
      <c r="DH552" s="172"/>
      <c r="DI552" s="1020"/>
      <c r="DJ552" s="2045"/>
    </row>
    <row r="553" spans="1:114" ht="15" customHeight="1" outlineLevel="1" x14ac:dyDescent="0.25">
      <c r="A553" s="2145"/>
      <c r="C553" s="541"/>
      <c r="D553" s="2415"/>
      <c r="E553" s="2415"/>
      <c r="F553" s="2407" t="str">
        <f>$E$522</f>
        <v>GSHP-EER23-Replace_ASHP_ER2_SF</v>
      </c>
      <c r="G553" s="2407"/>
      <c r="H553" s="2407"/>
      <c r="I553" s="1268"/>
      <c r="J553" s="1524">
        <f>J550</f>
        <v>46438.356164383564</v>
      </c>
      <c r="K553" s="53">
        <f>J553/12000</f>
        <v>3.8698630136986303</v>
      </c>
      <c r="L553" s="2413"/>
      <c r="P553" s="534"/>
      <c r="T553"/>
      <c r="U553" s="50"/>
      <c r="V553" s="2415"/>
      <c r="W553" s="1268">
        <v>49199.999999999993</v>
      </c>
      <c r="X553" s="779">
        <f>3.99*12000</f>
        <v>47880</v>
      </c>
      <c r="Y553" s="779">
        <f>4.2*12000</f>
        <v>50400</v>
      </c>
      <c r="Z553" s="1268">
        <f>4.2*12000</f>
        <v>50400</v>
      </c>
      <c r="AA553" s="1268">
        <f>4.2*12000</f>
        <v>50400</v>
      </c>
      <c r="AB553" s="690">
        <v>51319.148936170212</v>
      </c>
      <c r="AC553" s="690">
        <v>48885.24590163934</v>
      </c>
      <c r="AD553" s="690">
        <v>46438.356164383564</v>
      </c>
      <c r="AE553" s="753">
        <v>46438.356164383564</v>
      </c>
      <c r="AF553" s="253">
        <v>46438.356164383564</v>
      </c>
      <c r="AG553" s="253">
        <f t="shared" si="105"/>
        <v>46438.356164383564</v>
      </c>
      <c r="DG553" s="543"/>
      <c r="DH553" s="172"/>
      <c r="DI553" s="1020"/>
      <c r="DJ553" s="2045"/>
    </row>
    <row r="554" spans="1:114" ht="15.75" customHeight="1" outlineLevel="1" x14ac:dyDescent="0.25">
      <c r="A554" s="2145"/>
      <c r="C554" s="541"/>
      <c r="D554" s="2415"/>
      <c r="E554" s="2415"/>
      <c r="F554" s="2407" t="str">
        <f>$E$524</f>
        <v>GSHP-EER23_ROF_SF</v>
      </c>
      <c r="G554" s="2407"/>
      <c r="H554" s="2407"/>
      <c r="I554" s="1268"/>
      <c r="J554" s="1524">
        <f>J549</f>
        <v>47729.729729729726</v>
      </c>
      <c r="K554" s="53">
        <f>J554/12000</f>
        <v>3.977477477477477</v>
      </c>
      <c r="L554" s="2413"/>
      <c r="P554" s="534"/>
      <c r="T554"/>
      <c r="U554" s="50"/>
      <c r="V554" s="2415"/>
      <c r="W554" s="1268">
        <v>52800.000000000007</v>
      </c>
      <c r="X554" s="779">
        <f>3.99*12000</f>
        <v>47880</v>
      </c>
      <c r="Y554" s="779">
        <f>3.93*12000</f>
        <v>47160</v>
      </c>
      <c r="Z554" s="1268">
        <f>3.93*12000</f>
        <v>47160</v>
      </c>
      <c r="AA554" s="1268">
        <f>3.93*12000</f>
        <v>47160</v>
      </c>
      <c r="AB554" s="690">
        <v>51652.173913043473</v>
      </c>
      <c r="AC554" s="690">
        <v>49977.272727272728</v>
      </c>
      <c r="AD554" s="690">
        <v>47729.729729729726</v>
      </c>
      <c r="AE554" s="753">
        <v>47729.729729729726</v>
      </c>
      <c r="AF554" s="253">
        <v>47729.729729729726</v>
      </c>
      <c r="AG554" s="253">
        <f t="shared" si="105"/>
        <v>47729.729729729726</v>
      </c>
      <c r="DG554" s="543"/>
      <c r="DH554" s="172"/>
      <c r="DI554" s="1020"/>
      <c r="DJ554" s="2045"/>
    </row>
    <row r="555" spans="1:114" s="39" customFormat="1" outlineLevel="1" x14ac:dyDescent="0.25">
      <c r="A555" s="2145"/>
      <c r="C555" s="541"/>
      <c r="D555" s="2415"/>
      <c r="E555" s="2415"/>
      <c r="F555" s="2407" t="str">
        <f>$E$525</f>
        <v>GSHP-EER23-Replace_GSHP_ER1_SF</v>
      </c>
      <c r="G555" s="2407"/>
      <c r="H555" s="2407"/>
      <c r="I555" s="1268"/>
      <c r="J555" s="1524">
        <f>J553</f>
        <v>46438.356164383564</v>
      </c>
      <c r="K555" s="53">
        <f t="shared" ref="K555:K556" si="106">J555/12000</f>
        <v>3.8698630136986303</v>
      </c>
      <c r="L555" s="2413"/>
      <c r="M555" s="50"/>
      <c r="N555" s="50"/>
      <c r="O555" s="50"/>
      <c r="P555" s="534"/>
      <c r="Q555" s="50"/>
      <c r="R555" s="50"/>
      <c r="S555" s="50"/>
      <c r="T555" s="192"/>
      <c r="V555" s="2415"/>
      <c r="W555" s="779"/>
      <c r="X555" s="779"/>
      <c r="Y555" s="779"/>
      <c r="Z555" s="779"/>
      <c r="AA555" s="779"/>
      <c r="AB555" s="690"/>
      <c r="AC555" s="690"/>
      <c r="AD555" s="690"/>
      <c r="AE555" s="690"/>
      <c r="AF555" s="253">
        <v>46438.356164383564</v>
      </c>
      <c r="AG555" s="253">
        <f t="shared" si="105"/>
        <v>46438.356164383564</v>
      </c>
      <c r="DG555" s="543"/>
      <c r="DH555" s="172"/>
      <c r="DI555" s="1020"/>
      <c r="DJ555" s="2045"/>
    </row>
    <row r="556" spans="1:114" s="39" customFormat="1" outlineLevel="1" x14ac:dyDescent="0.25">
      <c r="A556" s="2145"/>
      <c r="C556" s="541"/>
      <c r="D556" s="2415"/>
      <c r="E556" s="2415"/>
      <c r="F556" s="2407" t="str">
        <f>$E$527</f>
        <v>GSHP-EER23-Replace_GSHP_ER2_SF</v>
      </c>
      <c r="G556" s="2407"/>
      <c r="H556" s="2407"/>
      <c r="I556" s="1268"/>
      <c r="J556" s="1524">
        <f>J553</f>
        <v>46438.356164383564</v>
      </c>
      <c r="K556" s="53">
        <f t="shared" si="106"/>
        <v>3.8698630136986303</v>
      </c>
      <c r="L556" s="2413"/>
      <c r="M556" s="50"/>
      <c r="N556" s="50"/>
      <c r="O556" s="50"/>
      <c r="P556" s="534"/>
      <c r="Q556" s="50"/>
      <c r="R556" s="50"/>
      <c r="S556" s="2432" t="s">
        <v>988</v>
      </c>
      <c r="T556" s="2432"/>
      <c r="V556" s="2415"/>
      <c r="W556" s="779"/>
      <c r="X556" s="779"/>
      <c r="Y556" s="779"/>
      <c r="Z556" s="779"/>
      <c r="AA556" s="779"/>
      <c r="AB556" s="690"/>
      <c r="AC556" s="690"/>
      <c r="AD556" s="690"/>
      <c r="AE556" s="690"/>
      <c r="AF556" s="253">
        <v>46438.356164383564</v>
      </c>
      <c r="AG556" s="253">
        <f t="shared" si="105"/>
        <v>46438.356164383564</v>
      </c>
      <c r="DG556" s="543"/>
      <c r="DH556" s="172"/>
      <c r="DI556" s="1020"/>
      <c r="DJ556" s="2045"/>
    </row>
    <row r="557" spans="1:114" ht="15" customHeight="1" outlineLevel="1" x14ac:dyDescent="0.25">
      <c r="A557" s="2145"/>
      <c r="C557" s="541"/>
      <c r="D557" s="2415" t="s">
        <v>1052</v>
      </c>
      <c r="E557" s="2415" t="s">
        <v>1053</v>
      </c>
      <c r="F557" s="2404" t="str">
        <f>$E$514</f>
        <v>GSHP-EER23-Replace_CAC_ElectricHeat_ROF_SF</v>
      </c>
      <c r="G557" s="2404"/>
      <c r="H557" s="2404"/>
      <c r="I557" s="1268"/>
      <c r="J557" s="1538">
        <v>1496</v>
      </c>
      <c r="K557" s="53"/>
      <c r="L557" s="2413" t="s">
        <v>1101</v>
      </c>
      <c r="P557" s="534"/>
      <c r="Q557" s="1806" t="s">
        <v>989</v>
      </c>
      <c r="R557" s="1806" t="s">
        <v>990</v>
      </c>
      <c r="S557" s="1806" t="s">
        <v>991</v>
      </c>
      <c r="T557" s="1431" t="s">
        <v>992</v>
      </c>
      <c r="U557" s="50"/>
      <c r="V557" s="2415" t="s">
        <v>1052</v>
      </c>
      <c r="W557" s="1268">
        <v>2009</v>
      </c>
      <c r="X557" s="1268">
        <v>2009</v>
      </c>
      <c r="Y557" s="779">
        <v>1496</v>
      </c>
      <c r="Z557" s="1268">
        <v>1496</v>
      </c>
      <c r="AA557" s="1268">
        <v>1496</v>
      </c>
      <c r="AB557" s="1268">
        <v>1496</v>
      </c>
      <c r="AC557" s="1268">
        <v>1496</v>
      </c>
      <c r="AD557" s="1268">
        <v>1496</v>
      </c>
      <c r="AE557" s="1268">
        <v>1496</v>
      </c>
      <c r="AF557" s="253">
        <v>1496</v>
      </c>
      <c r="AG557" s="253">
        <f t="shared" si="105"/>
        <v>1496</v>
      </c>
      <c r="DG557" s="543"/>
      <c r="DH557" s="172"/>
      <c r="DI557" s="1020"/>
      <c r="DJ557" s="2045"/>
    </row>
    <row r="558" spans="1:114" ht="15" customHeight="1" outlineLevel="1" x14ac:dyDescent="0.25">
      <c r="A558" s="2145"/>
      <c r="C558" s="541"/>
      <c r="D558" s="2415"/>
      <c r="E558" s="2415"/>
      <c r="F558" s="2404" t="str">
        <f>$E$516</f>
        <v>GSHP-EER23-Replace_CAC_ElectricHeat_ER1_SF</v>
      </c>
      <c r="G558" s="2404"/>
      <c r="H558" s="2404"/>
      <c r="I558" s="1268"/>
      <c r="J558" s="1538">
        <v>1496</v>
      </c>
      <c r="K558" s="53"/>
      <c r="L558" s="2413"/>
      <c r="P558" s="534"/>
      <c r="Q558" s="1249" t="s">
        <v>1058</v>
      </c>
      <c r="R558" s="1249" t="s">
        <v>1058</v>
      </c>
      <c r="S558" s="1249">
        <v>6865</v>
      </c>
      <c r="T558" s="68">
        <v>600</v>
      </c>
      <c r="U558" s="50"/>
      <c r="V558" s="2415"/>
      <c r="W558" s="1268">
        <v>2009</v>
      </c>
      <c r="X558" s="1268">
        <v>2009</v>
      </c>
      <c r="Y558" s="779">
        <v>1496</v>
      </c>
      <c r="Z558" s="1268">
        <v>1496</v>
      </c>
      <c r="AA558" s="1268">
        <v>1496</v>
      </c>
      <c r="AB558" s="1268">
        <v>1496</v>
      </c>
      <c r="AC558" s="1268">
        <v>1496</v>
      </c>
      <c r="AD558" s="1268">
        <v>1496</v>
      </c>
      <c r="AE558" s="1268">
        <v>1496</v>
      </c>
      <c r="AF558" s="253">
        <v>1496</v>
      </c>
      <c r="AG558" s="253">
        <f t="shared" si="105"/>
        <v>1496</v>
      </c>
      <c r="DG558" s="543"/>
      <c r="DH558" s="172"/>
      <c r="DI558" s="1020"/>
      <c r="DJ558" s="2045"/>
    </row>
    <row r="559" spans="1:114" ht="15" customHeight="1" outlineLevel="1" x14ac:dyDescent="0.25">
      <c r="A559" s="2145"/>
      <c r="C559" s="541"/>
      <c r="D559" s="2415"/>
      <c r="E559" s="2415"/>
      <c r="F559" s="2404" t="str">
        <f>$E$518</f>
        <v>GSHP-EER23-Replace_CAC_ElectricHeat_ER2_SF</v>
      </c>
      <c r="G559" s="2404"/>
      <c r="H559" s="2404"/>
      <c r="I559" s="1268"/>
      <c r="J559" s="1536">
        <v>1496</v>
      </c>
      <c r="K559" s="53"/>
      <c r="L559" s="2413"/>
      <c r="P559" s="534"/>
      <c r="Q559" s="1249" t="s">
        <v>993</v>
      </c>
      <c r="R559" s="1249" t="s">
        <v>993</v>
      </c>
      <c r="S559" s="1249">
        <f>2011+3338</f>
        <v>5349</v>
      </c>
      <c r="T559" s="68"/>
      <c r="U559" s="50"/>
      <c r="V559" s="2415"/>
      <c r="W559" s="1268">
        <v>2009</v>
      </c>
      <c r="X559" s="1268">
        <v>2009</v>
      </c>
      <c r="Y559" s="779">
        <v>1496</v>
      </c>
      <c r="Z559" s="1268">
        <v>1496</v>
      </c>
      <c r="AA559" s="1268">
        <v>1496</v>
      </c>
      <c r="AB559" s="1268">
        <v>1496</v>
      </c>
      <c r="AC559" s="1268">
        <v>1496</v>
      </c>
      <c r="AD559" s="1268">
        <v>1496</v>
      </c>
      <c r="AE559" s="1268">
        <v>1496</v>
      </c>
      <c r="AF559" s="253">
        <v>1496</v>
      </c>
      <c r="AG559" s="253">
        <f t="shared" si="105"/>
        <v>1496</v>
      </c>
      <c r="DG559" s="543"/>
      <c r="DH559" s="172"/>
      <c r="DI559" s="1020"/>
      <c r="DJ559" s="2045"/>
    </row>
    <row r="560" spans="1:114" ht="15" customHeight="1" outlineLevel="1" x14ac:dyDescent="0.25">
      <c r="A560" s="2145"/>
      <c r="C560" s="541"/>
      <c r="D560" s="2415"/>
      <c r="E560" s="2415"/>
      <c r="F560" s="2407" t="str">
        <f>$E$520</f>
        <v>GSHP-EER23-Replace_ASHP_ER1_SF</v>
      </c>
      <c r="G560" s="2407"/>
      <c r="H560" s="2407"/>
      <c r="I560" s="1268"/>
      <c r="J560" s="1536">
        <v>1496</v>
      </c>
      <c r="K560" s="53"/>
      <c r="L560" s="2413"/>
      <c r="P560" s="534"/>
      <c r="Q560" s="1249" t="s">
        <v>1063</v>
      </c>
      <c r="R560" s="1249" t="s">
        <v>1063</v>
      </c>
      <c r="S560" s="1249">
        <v>7527</v>
      </c>
      <c r="T560" s="68">
        <v>688</v>
      </c>
      <c r="U560" s="50"/>
      <c r="V560" s="2415"/>
      <c r="W560" s="1268"/>
      <c r="X560" s="1268"/>
      <c r="Y560" s="779"/>
      <c r="Z560" s="1268"/>
      <c r="AA560" s="1268"/>
      <c r="AB560" s="779">
        <v>1496</v>
      </c>
      <c r="AC560" s="1268">
        <v>1496</v>
      </c>
      <c r="AD560" s="1268">
        <v>1496</v>
      </c>
      <c r="AE560" s="1268">
        <v>1496</v>
      </c>
      <c r="AF560" s="253">
        <v>1496</v>
      </c>
      <c r="AG560" s="253">
        <f t="shared" si="105"/>
        <v>1496</v>
      </c>
      <c r="DG560" s="543"/>
      <c r="DH560" s="172"/>
      <c r="DI560" s="1020"/>
      <c r="DJ560" s="2045"/>
    </row>
    <row r="561" spans="1:114" ht="15" customHeight="1" outlineLevel="1" x14ac:dyDescent="0.25">
      <c r="A561" s="2145"/>
      <c r="C561" s="541"/>
      <c r="D561" s="2415"/>
      <c r="E561" s="2415"/>
      <c r="F561" s="2407" t="str">
        <f>$E$522</f>
        <v>GSHP-EER23-Replace_ASHP_ER2_SF</v>
      </c>
      <c r="G561" s="2407"/>
      <c r="H561" s="2407"/>
      <c r="I561" s="1268"/>
      <c r="J561" s="1536">
        <v>1496</v>
      </c>
      <c r="K561" s="53"/>
      <c r="L561" s="2413"/>
      <c r="P561" s="534"/>
      <c r="Q561" s="1249" t="s">
        <v>998</v>
      </c>
      <c r="R561" s="1249" t="s">
        <v>998</v>
      </c>
      <c r="S561" s="1249">
        <f>2296+3670</f>
        <v>5966</v>
      </c>
      <c r="T561" s="68"/>
      <c r="U561" s="50"/>
      <c r="V561" s="2415"/>
      <c r="W561" s="1268">
        <v>2009</v>
      </c>
      <c r="X561" s="1268">
        <v>2009</v>
      </c>
      <c r="Y561" s="779">
        <v>1496</v>
      </c>
      <c r="Z561" s="1268">
        <v>1496</v>
      </c>
      <c r="AA561" s="1268">
        <v>1496</v>
      </c>
      <c r="AB561" s="1268">
        <v>1496</v>
      </c>
      <c r="AC561" s="1268">
        <v>1496</v>
      </c>
      <c r="AD561" s="1268">
        <v>1496</v>
      </c>
      <c r="AE561" s="1268">
        <v>1496</v>
      </c>
      <c r="AF561" s="253">
        <v>1496</v>
      </c>
      <c r="AG561" s="253">
        <f t="shared" si="105"/>
        <v>1496</v>
      </c>
      <c r="DG561" s="543"/>
      <c r="DH561" s="172"/>
      <c r="DI561" s="1020"/>
      <c r="DJ561" s="2045"/>
    </row>
    <row r="562" spans="1:114" ht="15.75" customHeight="1" outlineLevel="1" x14ac:dyDescent="0.25">
      <c r="A562" s="2145"/>
      <c r="C562" s="541"/>
      <c r="D562" s="2415"/>
      <c r="E562" s="2415"/>
      <c r="F562" s="2407" t="str">
        <f>$E$524</f>
        <v>GSHP-EER23_ROF_SF</v>
      </c>
      <c r="G562" s="2407"/>
      <c r="H562" s="2407"/>
      <c r="I562" s="1268"/>
      <c r="J562" s="1536">
        <v>1496</v>
      </c>
      <c r="K562" s="53"/>
      <c r="L562" s="2413"/>
      <c r="P562" s="534"/>
      <c r="T562" s="192"/>
      <c r="U562" s="50"/>
      <c r="V562" s="2415"/>
      <c r="W562" s="1268">
        <v>2009</v>
      </c>
      <c r="X562" s="1268">
        <v>2009</v>
      </c>
      <c r="Y562" s="779">
        <v>1496</v>
      </c>
      <c r="Z562" s="1268">
        <v>1496</v>
      </c>
      <c r="AA562" s="1268">
        <v>1496</v>
      </c>
      <c r="AB562" s="1268">
        <v>1496</v>
      </c>
      <c r="AC562" s="1268">
        <v>1496</v>
      </c>
      <c r="AD562" s="1268">
        <v>1496</v>
      </c>
      <c r="AE562" s="1268">
        <v>1496</v>
      </c>
      <c r="AF562" s="253">
        <v>1496</v>
      </c>
      <c r="AG562" s="253">
        <f t="shared" si="105"/>
        <v>1496</v>
      </c>
      <c r="DG562" s="543"/>
      <c r="DH562" s="172"/>
      <c r="DI562" s="1020"/>
      <c r="DJ562" s="2045"/>
    </row>
    <row r="563" spans="1:114" s="39" customFormat="1" outlineLevel="1" x14ac:dyDescent="0.25">
      <c r="A563" s="2145"/>
      <c r="C563" s="541"/>
      <c r="D563" s="2415"/>
      <c r="E563" s="2415"/>
      <c r="F563" s="2407" t="str">
        <f>$E$525</f>
        <v>GSHP-EER23-Replace_GSHP_ER1_SF</v>
      </c>
      <c r="G563" s="2407"/>
      <c r="H563" s="2407"/>
      <c r="I563" s="1268"/>
      <c r="J563" s="1536">
        <v>1496</v>
      </c>
      <c r="K563" s="53"/>
      <c r="L563" s="2413"/>
      <c r="M563" s="50"/>
      <c r="N563" s="50"/>
      <c r="O563" s="50"/>
      <c r="P563" s="534"/>
      <c r="Q563" s="50"/>
      <c r="R563" s="1806" t="s">
        <v>920</v>
      </c>
      <c r="S563" s="1806" t="s">
        <v>615</v>
      </c>
      <c r="T563" s="1431" t="s">
        <v>616</v>
      </c>
      <c r="V563" s="2415"/>
      <c r="W563" s="779"/>
      <c r="X563" s="779"/>
      <c r="Y563" s="779"/>
      <c r="Z563" s="779"/>
      <c r="AA563" s="779"/>
      <c r="AB563" s="779"/>
      <c r="AC563" s="779"/>
      <c r="AD563" s="779"/>
      <c r="AE563" s="779"/>
      <c r="AF563" s="253">
        <v>1496</v>
      </c>
      <c r="AG563" s="253">
        <f t="shared" si="105"/>
        <v>1496</v>
      </c>
      <c r="DG563" s="543"/>
      <c r="DH563" s="172"/>
      <c r="DI563" s="1020"/>
      <c r="DJ563" s="2045"/>
    </row>
    <row r="564" spans="1:114" s="39" customFormat="1" outlineLevel="1" x14ac:dyDescent="0.25">
      <c r="A564" s="2145"/>
      <c r="C564" s="541"/>
      <c r="D564" s="2415"/>
      <c r="E564" s="2415"/>
      <c r="F564" s="2407" t="str">
        <f>$E$527</f>
        <v>GSHP-EER23-Replace_GSHP_ER2_SF</v>
      </c>
      <c r="G564" s="2407"/>
      <c r="H564" s="2407"/>
      <c r="I564" s="1268"/>
      <c r="J564" s="1536">
        <v>1496</v>
      </c>
      <c r="K564" s="53"/>
      <c r="L564" s="2413"/>
      <c r="M564" s="50"/>
      <c r="N564" s="50"/>
      <c r="O564" s="50"/>
      <c r="P564" s="534"/>
      <c r="Q564" s="50"/>
      <c r="R564" s="1249" t="s">
        <v>921</v>
      </c>
      <c r="S564" s="242">
        <v>2.3128228708516586E-2</v>
      </c>
      <c r="T564" s="68" t="s">
        <v>922</v>
      </c>
      <c r="V564" s="2415"/>
      <c r="W564" s="779"/>
      <c r="X564" s="779"/>
      <c r="Y564" s="779"/>
      <c r="Z564" s="779"/>
      <c r="AA564" s="779"/>
      <c r="AB564" s="779"/>
      <c r="AC564" s="779"/>
      <c r="AD564" s="779"/>
      <c r="AE564" s="779"/>
      <c r="AF564" s="253">
        <v>1496</v>
      </c>
      <c r="AG564" s="253">
        <f t="shared" si="105"/>
        <v>1496</v>
      </c>
      <c r="DG564" s="543"/>
      <c r="DH564" s="172"/>
      <c r="DI564" s="1020"/>
      <c r="DJ564" s="2045"/>
    </row>
    <row r="565" spans="1:114" ht="15" customHeight="1" outlineLevel="1" x14ac:dyDescent="0.25">
      <c r="A565" s="2145"/>
      <c r="C565" s="541"/>
      <c r="D565" s="2415" t="s">
        <v>1055</v>
      </c>
      <c r="E565" s="2415" t="s">
        <v>1056</v>
      </c>
      <c r="F565" s="2404" t="str">
        <f>$E$514</f>
        <v>GSHP-EER23-Replace_CAC_ElectricHeat_ROF_SF</v>
      </c>
      <c r="G565" s="2404"/>
      <c r="H565" s="2404"/>
      <c r="I565" s="1268"/>
      <c r="J565" s="1534">
        <v>3.41</v>
      </c>
      <c r="K565" s="1307"/>
      <c r="L565" s="2393" t="s">
        <v>1102</v>
      </c>
      <c r="P565" s="534"/>
      <c r="R565" s="1249" t="s">
        <v>923</v>
      </c>
      <c r="S565" s="1249">
        <v>6</v>
      </c>
      <c r="T565" s="68" t="s">
        <v>924</v>
      </c>
      <c r="U565" s="50"/>
      <c r="V565" s="2422" t="s">
        <v>1055</v>
      </c>
      <c r="W565" s="1268">
        <v>3.41</v>
      </c>
      <c r="X565" s="1268">
        <v>3.41</v>
      </c>
      <c r="Y565" s="1268">
        <v>3.41</v>
      </c>
      <c r="Z565" s="1268">
        <v>3.41</v>
      </c>
      <c r="AA565" s="1268">
        <v>3.41</v>
      </c>
      <c r="AB565" s="1268">
        <v>3.41</v>
      </c>
      <c r="AC565" s="1268">
        <v>3.41</v>
      </c>
      <c r="AD565" s="1268">
        <v>3.41</v>
      </c>
      <c r="AE565" s="1268">
        <v>3.41</v>
      </c>
      <c r="AF565" s="253">
        <v>3.41</v>
      </c>
      <c r="AG565" s="253">
        <f t="shared" si="105"/>
        <v>3.41</v>
      </c>
      <c r="DG565" s="543"/>
      <c r="DH565" s="172"/>
      <c r="DI565" s="1020"/>
      <c r="DJ565" s="2045"/>
    </row>
    <row r="566" spans="1:114" outlineLevel="1" x14ac:dyDescent="0.25">
      <c r="A566" s="2145"/>
      <c r="C566" s="541"/>
      <c r="D566" s="2415"/>
      <c r="E566" s="2415"/>
      <c r="F566" s="2404" t="str">
        <f>$E$516</f>
        <v>GSHP-EER23-Replace_CAC_ElectricHeat_ER1_SF</v>
      </c>
      <c r="G566" s="2404"/>
      <c r="H566" s="2404"/>
      <c r="I566" s="1268"/>
      <c r="J566" s="1534">
        <v>3.41</v>
      </c>
      <c r="K566" s="1307"/>
      <c r="L566" s="2420"/>
      <c r="P566" s="61"/>
      <c r="R566" s="1249" t="s">
        <v>925</v>
      </c>
      <c r="S566" s="185">
        <f>(1-S564)^(S565-1)</f>
        <v>0.88958571378558426</v>
      </c>
      <c r="T566" s="68" t="s">
        <v>926</v>
      </c>
      <c r="U566" s="50"/>
      <c r="V566" s="2422"/>
      <c r="W566" s="1268">
        <v>3.41</v>
      </c>
      <c r="X566" s="1268">
        <v>3.41</v>
      </c>
      <c r="Y566" s="1268">
        <v>3.41</v>
      </c>
      <c r="Z566" s="1268">
        <v>3.41</v>
      </c>
      <c r="AA566" s="1268">
        <v>3.41</v>
      </c>
      <c r="AB566" s="1268">
        <v>3.41</v>
      </c>
      <c r="AC566" s="1268">
        <v>3.41</v>
      </c>
      <c r="AD566" s="1268">
        <v>3.41</v>
      </c>
      <c r="AE566" s="1268">
        <v>3.41</v>
      </c>
      <c r="AF566" s="253">
        <v>3.41</v>
      </c>
      <c r="AG566" s="253">
        <f t="shared" si="105"/>
        <v>3.41</v>
      </c>
      <c r="DG566" s="543"/>
      <c r="DH566" s="172"/>
      <c r="DI566" s="1020"/>
      <c r="DJ566" s="2045"/>
    </row>
    <row r="567" spans="1:114" outlineLevel="1" x14ac:dyDescent="0.25">
      <c r="A567" s="2145"/>
      <c r="C567" s="541"/>
      <c r="D567" s="2415"/>
      <c r="E567" s="2415"/>
      <c r="F567" s="2404" t="str">
        <f>$E$518</f>
        <v>GSHP-EER23-Replace_CAC_ElectricHeat_ER2_SF</v>
      </c>
      <c r="G567" s="2404"/>
      <c r="H567" s="2404"/>
      <c r="I567" s="1268"/>
      <c r="J567" s="1534">
        <v>3.41</v>
      </c>
      <c r="K567" s="1307"/>
      <c r="L567" s="2420"/>
      <c r="T567" s="50"/>
      <c r="U567" s="50"/>
      <c r="V567" s="2422"/>
      <c r="W567" s="1268">
        <v>3.41</v>
      </c>
      <c r="X567" s="1268">
        <v>3.41</v>
      </c>
      <c r="Y567" s="1268">
        <v>3.41</v>
      </c>
      <c r="Z567" s="1268">
        <v>3.41</v>
      </c>
      <c r="AA567" s="1268">
        <v>3.41</v>
      </c>
      <c r="AB567" s="1268">
        <v>3.41</v>
      </c>
      <c r="AC567" s="1268">
        <v>3.41</v>
      </c>
      <c r="AD567" s="1268">
        <v>3.41</v>
      </c>
      <c r="AE567" s="1268">
        <v>3.41</v>
      </c>
      <c r="AF567" s="253">
        <v>3.41</v>
      </c>
      <c r="AG567" s="253">
        <f t="shared" si="105"/>
        <v>3.41</v>
      </c>
      <c r="DG567" s="543"/>
      <c r="DH567" s="172"/>
      <c r="DI567" s="1020"/>
      <c r="DJ567" s="2045"/>
    </row>
    <row r="568" spans="1:114" outlineLevel="1" x14ac:dyDescent="0.25">
      <c r="A568" s="2145"/>
      <c r="C568" s="541"/>
      <c r="D568" s="2415"/>
      <c r="E568" s="2415"/>
      <c r="F568" s="2407" t="str">
        <f>$E$520</f>
        <v>GSHP-EER23-Replace_ASHP_ER1_SF</v>
      </c>
      <c r="G568" s="2407"/>
      <c r="H568" s="2407"/>
      <c r="I568" s="1268"/>
      <c r="J568" s="1534">
        <v>7.5</v>
      </c>
      <c r="K568" s="1307"/>
      <c r="L568" s="2420"/>
      <c r="P568" s="1275"/>
      <c r="T568" s="50"/>
      <c r="U568" s="50"/>
      <c r="V568" s="2422"/>
      <c r="W568" s="1268"/>
      <c r="X568" s="779">
        <v>9.5500000000000007</v>
      </c>
      <c r="Y568" s="1268">
        <v>9.5500000000000007</v>
      </c>
      <c r="Z568" s="1268">
        <v>9.5500000000000007</v>
      </c>
      <c r="AA568" s="1268">
        <v>9.5500000000000007</v>
      </c>
      <c r="AB568" s="1268">
        <v>9.5500000000000007</v>
      </c>
      <c r="AC568" s="1268">
        <v>9.5500000000000007</v>
      </c>
      <c r="AD568" s="1268">
        <v>9.5500000000000007</v>
      </c>
      <c r="AE568" s="1268">
        <v>9.5500000000000007</v>
      </c>
      <c r="AF568" s="253">
        <v>7.5</v>
      </c>
      <c r="AG568" s="253">
        <f t="shared" si="105"/>
        <v>7.5</v>
      </c>
      <c r="DG568" s="543"/>
      <c r="DH568" s="172"/>
      <c r="DI568" s="1020"/>
      <c r="DJ568" s="2045"/>
    </row>
    <row r="569" spans="1:114" outlineLevel="1" x14ac:dyDescent="0.25">
      <c r="A569" s="2145"/>
      <c r="C569" s="541"/>
      <c r="D569" s="2415"/>
      <c r="E569" s="2415"/>
      <c r="F569" s="2404" t="str">
        <f>$E$522</f>
        <v>GSHP-EER23-Replace_ASHP_ER2_SF</v>
      </c>
      <c r="G569" s="2404"/>
      <c r="H569" s="2404"/>
      <c r="I569" s="1268"/>
      <c r="J569" s="1534">
        <v>7.5</v>
      </c>
      <c r="K569" s="1307"/>
      <c r="L569" s="2420"/>
      <c r="P569" s="622"/>
      <c r="Q569" s="49"/>
      <c r="R569" s="49"/>
      <c r="T569" s="50"/>
      <c r="U569" s="50"/>
      <c r="V569" s="2422"/>
      <c r="W569" s="1268">
        <v>3.41</v>
      </c>
      <c r="X569" s="779">
        <v>10.58</v>
      </c>
      <c r="Y569" s="1268">
        <v>10.58</v>
      </c>
      <c r="Z569" s="1268">
        <v>10.58</v>
      </c>
      <c r="AA569" s="1268">
        <v>10.58</v>
      </c>
      <c r="AB569" s="1268">
        <v>10.58</v>
      </c>
      <c r="AC569" s="1268">
        <v>10.58</v>
      </c>
      <c r="AD569" s="1268">
        <v>10.58</v>
      </c>
      <c r="AE569" s="1268">
        <v>10.58</v>
      </c>
      <c r="AF569" s="253">
        <v>7.5</v>
      </c>
      <c r="AG569" s="253">
        <f t="shared" si="105"/>
        <v>7.5</v>
      </c>
      <c r="DG569" s="543"/>
      <c r="DH569" s="172"/>
      <c r="DI569" s="1020"/>
      <c r="DJ569" s="2045"/>
    </row>
    <row r="570" spans="1:114" outlineLevel="1" x14ac:dyDescent="0.25">
      <c r="A570" s="2145"/>
      <c r="C570" s="541"/>
      <c r="D570" s="2415"/>
      <c r="E570" s="2415"/>
      <c r="F570" s="2404" t="str">
        <f>$E$524</f>
        <v>GSHP-EER23_ROF_SF</v>
      </c>
      <c r="G570" s="2404"/>
      <c r="H570" s="2404"/>
      <c r="I570" s="1268"/>
      <c r="J570" s="1534">
        <v>7.5</v>
      </c>
      <c r="K570" s="1307"/>
      <c r="L570" s="2420"/>
      <c r="P570" s="622"/>
      <c r="Q570" s="623"/>
      <c r="R570" s="623"/>
      <c r="T570" s="621"/>
      <c r="U570" s="50"/>
      <c r="V570" s="2422"/>
      <c r="W570" s="1268">
        <v>3.41</v>
      </c>
      <c r="X570" s="779">
        <v>10.58</v>
      </c>
      <c r="Y570" s="1268">
        <v>10.58</v>
      </c>
      <c r="Z570" s="1268">
        <v>10.58</v>
      </c>
      <c r="AA570" s="1268">
        <v>10.58</v>
      </c>
      <c r="AB570" s="1268">
        <v>10.58</v>
      </c>
      <c r="AC570" s="1268">
        <v>10.58</v>
      </c>
      <c r="AD570" s="1268">
        <v>10.58</v>
      </c>
      <c r="AE570" s="1268">
        <v>10.58</v>
      </c>
      <c r="AF570" s="253">
        <v>7.5</v>
      </c>
      <c r="AG570" s="253">
        <f t="shared" si="105"/>
        <v>7.5</v>
      </c>
      <c r="DG570" s="543"/>
      <c r="DH570" s="172"/>
      <c r="DI570" s="1020"/>
      <c r="DJ570" s="2045"/>
    </row>
    <row r="571" spans="1:114" s="39" customFormat="1" outlineLevel="1" x14ac:dyDescent="0.25">
      <c r="A571" s="2145"/>
      <c r="C571" s="541"/>
      <c r="D571" s="2415"/>
      <c r="E571" s="2415"/>
      <c r="F571" s="2407" t="str">
        <f>$E$525</f>
        <v>GSHP-EER23-Replace_GSHP_ER1_SF</v>
      </c>
      <c r="G571" s="2407"/>
      <c r="H571" s="2407"/>
      <c r="I571" s="1268"/>
      <c r="J571" s="1534">
        <v>7.5</v>
      </c>
      <c r="K571" s="1307"/>
      <c r="L571" s="2420"/>
      <c r="M571" s="50"/>
      <c r="N571" s="50"/>
      <c r="O571" s="50"/>
      <c r="P571" s="622"/>
      <c r="Q571" s="623"/>
      <c r="R571" s="623"/>
      <c r="S571" s="50"/>
      <c r="T571" s="1424"/>
      <c r="V571" s="2422"/>
      <c r="W571" s="779"/>
      <c r="X571" s="779"/>
      <c r="Y571" s="779"/>
      <c r="Z571" s="779"/>
      <c r="AA571" s="779"/>
      <c r="AB571" s="779"/>
      <c r="AC571" s="779"/>
      <c r="AD571" s="779"/>
      <c r="AE571" s="779"/>
      <c r="AF571" s="253">
        <v>7.5</v>
      </c>
      <c r="AG571" s="253">
        <f t="shared" si="105"/>
        <v>7.5</v>
      </c>
      <c r="DG571" s="543"/>
      <c r="DH571" s="172"/>
      <c r="DI571" s="1020"/>
      <c r="DJ571" s="2045"/>
    </row>
    <row r="572" spans="1:114" s="39" customFormat="1" outlineLevel="1" x14ac:dyDescent="0.25">
      <c r="A572" s="2145"/>
      <c r="C572" s="541"/>
      <c r="D572" s="2415"/>
      <c r="E572" s="2415"/>
      <c r="F572" s="2407" t="str">
        <f>$E$527</f>
        <v>GSHP-EER23-Replace_GSHP_ER2_SF</v>
      </c>
      <c r="G572" s="2407"/>
      <c r="H572" s="2407"/>
      <c r="I572" s="1268"/>
      <c r="J572" s="1534">
        <v>7.5</v>
      </c>
      <c r="K572" s="1307"/>
      <c r="L572" s="2421"/>
      <c r="M572" s="50"/>
      <c r="N572" s="50"/>
      <c r="O572" s="50"/>
      <c r="P572" s="622"/>
      <c r="Q572" s="623"/>
      <c r="R572" s="623"/>
      <c r="S572" s="50"/>
      <c r="T572" s="1424"/>
      <c r="V572" s="2422"/>
      <c r="W572" s="779"/>
      <c r="X572" s="779"/>
      <c r="Y572" s="779"/>
      <c r="Z572" s="779"/>
      <c r="AA572" s="779"/>
      <c r="AB572" s="779"/>
      <c r="AC572" s="779"/>
      <c r="AD572" s="779"/>
      <c r="AE572" s="779"/>
      <c r="AF572" s="253">
        <v>7.5</v>
      </c>
      <c r="AG572" s="253">
        <f t="shared" si="105"/>
        <v>7.5</v>
      </c>
      <c r="DG572" s="543"/>
      <c r="DH572" s="172"/>
      <c r="DI572" s="1020"/>
      <c r="DJ572" s="2045"/>
    </row>
    <row r="573" spans="1:114" outlineLevel="1" x14ac:dyDescent="0.25">
      <c r="A573" s="2145"/>
      <c r="C573" s="541"/>
      <c r="D573" s="2415" t="s">
        <v>1059</v>
      </c>
      <c r="E573" s="2415" t="s">
        <v>1103</v>
      </c>
      <c r="F573" s="2404" t="str">
        <f>$E$514</f>
        <v>GSHP-EER23-Replace_CAC_ElectricHeat_ROF_SF</v>
      </c>
      <c r="G573" s="2404"/>
      <c r="H573" s="2404"/>
      <c r="I573" s="1268"/>
      <c r="J573" s="1957">
        <v>15.376340476190499</v>
      </c>
      <c r="K573" s="1307"/>
      <c r="L573" s="1959" t="s">
        <v>1104</v>
      </c>
      <c r="P573" s="622"/>
      <c r="R573" s="624"/>
      <c r="T573" s="50"/>
      <c r="U573" s="50"/>
      <c r="V573" s="2422" t="s">
        <v>1059</v>
      </c>
      <c r="W573" s="1268">
        <f>15.01/3.41</f>
        <v>4.4017595307917885</v>
      </c>
      <c r="X573" s="195">
        <v>14.979294599999999</v>
      </c>
      <c r="Y573" s="779">
        <f>4.44*3.41</f>
        <v>15.140400000000001</v>
      </c>
      <c r="Z573" s="1268">
        <f t="shared" ref="Z573:AA578" si="107">4.44*3.41</f>
        <v>15.140400000000001</v>
      </c>
      <c r="AA573" s="1268">
        <f t="shared" si="107"/>
        <v>15.140400000000001</v>
      </c>
      <c r="AB573" s="194">
        <v>15.140400000000001</v>
      </c>
      <c r="AC573" s="194">
        <v>15.140400000000001</v>
      </c>
      <c r="AD573" s="194">
        <v>15.140400000000001</v>
      </c>
      <c r="AE573" s="194">
        <v>15.140400000000001</v>
      </c>
      <c r="AF573" s="253">
        <v>15.140400000000001</v>
      </c>
      <c r="AG573" s="253">
        <f t="shared" si="105"/>
        <v>15.376340476190499</v>
      </c>
      <c r="DG573" s="543"/>
      <c r="DH573" s="172"/>
      <c r="DI573" s="1020"/>
      <c r="DJ573" s="2045"/>
    </row>
    <row r="574" spans="1:114" outlineLevel="1" x14ac:dyDescent="0.25">
      <c r="A574" s="2145"/>
      <c r="C574" s="541"/>
      <c r="D574" s="2415"/>
      <c r="E574" s="2415"/>
      <c r="F574" s="2404" t="str">
        <f>$E$516</f>
        <v>GSHP-EER23-Replace_CAC_ElectricHeat_ER1_SF</v>
      </c>
      <c r="G574" s="2404"/>
      <c r="H574" s="2404"/>
      <c r="I574" s="1268"/>
      <c r="J574" s="1957">
        <v>15.376340476190499</v>
      </c>
      <c r="K574" s="1307"/>
      <c r="L574" s="1960" t="s">
        <v>1104</v>
      </c>
      <c r="P574" s="625"/>
      <c r="R574" s="624"/>
      <c r="T574" s="50"/>
      <c r="U574" s="50"/>
      <c r="V574" s="2422"/>
      <c r="W574" s="1268">
        <f>15.01/3.41</f>
        <v>4.4017595307917885</v>
      </c>
      <c r="X574" s="195">
        <v>14.979294599999999</v>
      </c>
      <c r="Y574" s="779">
        <f>4.44*3.41</f>
        <v>15.140400000000001</v>
      </c>
      <c r="Z574" s="1268">
        <f t="shared" si="107"/>
        <v>15.140400000000001</v>
      </c>
      <c r="AA574" s="1268">
        <f t="shared" si="107"/>
        <v>15.140400000000001</v>
      </c>
      <c r="AB574" s="194">
        <v>15.140400000000001</v>
      </c>
      <c r="AC574" s="194">
        <v>15.140400000000001</v>
      </c>
      <c r="AD574" s="194">
        <v>15.140400000000001</v>
      </c>
      <c r="AE574" s="194">
        <v>15.140400000000001</v>
      </c>
      <c r="AF574" s="253">
        <v>15.140400000000001</v>
      </c>
      <c r="AG574" s="253">
        <f t="shared" si="105"/>
        <v>15.376340476190499</v>
      </c>
      <c r="DG574" s="543"/>
      <c r="DH574" s="172"/>
      <c r="DI574" s="1020"/>
      <c r="DJ574" s="2045"/>
    </row>
    <row r="575" spans="1:114" outlineLevel="1" x14ac:dyDescent="0.25">
      <c r="A575" s="2145"/>
      <c r="C575" s="541"/>
      <c r="D575" s="2415"/>
      <c r="E575" s="2415"/>
      <c r="F575" s="2404" t="str">
        <f>$E$518</f>
        <v>GSHP-EER23-Replace_CAC_ElectricHeat_ER2_SF</v>
      </c>
      <c r="G575" s="2404"/>
      <c r="H575" s="2404"/>
      <c r="I575" s="1268"/>
      <c r="J575" s="1957">
        <v>15.376340476190499</v>
      </c>
      <c r="K575" s="1423"/>
      <c r="L575" s="1960" t="s">
        <v>1104</v>
      </c>
      <c r="P575" s="100"/>
      <c r="T575" s="50"/>
      <c r="U575" s="50"/>
      <c r="V575" s="2422"/>
      <c r="W575" s="1268">
        <f>15.01/3.41</f>
        <v>4.4017595307917885</v>
      </c>
      <c r="X575" s="195">
        <v>14.979294599999999</v>
      </c>
      <c r="Y575" s="779">
        <f>4.44*3.41</f>
        <v>15.140400000000001</v>
      </c>
      <c r="Z575" s="1268">
        <f t="shared" si="107"/>
        <v>15.140400000000001</v>
      </c>
      <c r="AA575" s="1268">
        <f t="shared" si="107"/>
        <v>15.140400000000001</v>
      </c>
      <c r="AB575" s="194">
        <v>15.140400000000001</v>
      </c>
      <c r="AC575" s="194">
        <v>15.140400000000001</v>
      </c>
      <c r="AD575" s="194">
        <v>15.140400000000001</v>
      </c>
      <c r="AE575" s="194">
        <v>15.140400000000001</v>
      </c>
      <c r="AF575" s="253">
        <v>15.140400000000001</v>
      </c>
      <c r="AG575" s="253">
        <f t="shared" si="105"/>
        <v>15.376340476190499</v>
      </c>
      <c r="DG575" s="543"/>
      <c r="DH575" s="172"/>
      <c r="DI575" s="1020"/>
      <c r="DJ575" s="2045"/>
    </row>
    <row r="576" spans="1:114" outlineLevel="1" x14ac:dyDescent="0.25">
      <c r="A576" s="2145"/>
      <c r="C576" s="541"/>
      <c r="D576" s="2415"/>
      <c r="E576" s="2415"/>
      <c r="F576" s="2407" t="str">
        <f>$E$520</f>
        <v>GSHP-EER23-Replace_ASHP_ER1_SF</v>
      </c>
      <c r="G576" s="2407"/>
      <c r="H576" s="2407"/>
      <c r="I576" s="1276"/>
      <c r="J576" s="1957">
        <v>15.376340476190499</v>
      </c>
      <c r="K576" s="1423"/>
      <c r="L576" s="1960" t="s">
        <v>1104</v>
      </c>
      <c r="P576" s="100"/>
      <c r="T576" s="50"/>
      <c r="U576" s="50"/>
      <c r="V576" s="2422"/>
      <c r="W576" s="1268"/>
      <c r="X576" s="195"/>
      <c r="Y576" s="779"/>
      <c r="Z576" s="1268"/>
      <c r="AA576" s="1268"/>
      <c r="AB576" s="691">
        <v>15.140400000000001</v>
      </c>
      <c r="AC576" s="696">
        <v>15.140400000000001</v>
      </c>
      <c r="AD576" s="696">
        <v>15.140400000000001</v>
      </c>
      <c r="AE576" s="696">
        <v>15.140400000000001</v>
      </c>
      <c r="AF576" s="253">
        <v>15.140400000000001</v>
      </c>
      <c r="AG576" s="253">
        <f t="shared" si="105"/>
        <v>15.376340476190499</v>
      </c>
      <c r="DG576" s="543"/>
      <c r="DH576" s="172"/>
      <c r="DI576" s="1020"/>
      <c r="DJ576" s="2045"/>
    </row>
    <row r="577" spans="1:114" outlineLevel="1" x14ac:dyDescent="0.25">
      <c r="A577" s="2145"/>
      <c r="C577" s="541"/>
      <c r="D577" s="2415"/>
      <c r="E577" s="2415"/>
      <c r="F577" s="2404" t="str">
        <f>$E$522</f>
        <v>GSHP-EER23-Replace_ASHP_ER2_SF</v>
      </c>
      <c r="G577" s="2404"/>
      <c r="H577" s="2404"/>
      <c r="I577" s="1268"/>
      <c r="J577" s="1957">
        <v>15.376340476190499</v>
      </c>
      <c r="K577" s="1423"/>
      <c r="L577" s="1960" t="s">
        <v>1104</v>
      </c>
      <c r="P577" s="192"/>
      <c r="T577" s="50"/>
      <c r="U577" s="50"/>
      <c r="V577" s="2422"/>
      <c r="W577" s="1268">
        <f>15.01/3.41</f>
        <v>4.4017595307917885</v>
      </c>
      <c r="X577" s="195">
        <v>14.979294599999999</v>
      </c>
      <c r="Y577" s="779">
        <f>4.44*3.41</f>
        <v>15.140400000000001</v>
      </c>
      <c r="Z577" s="1268">
        <f t="shared" si="107"/>
        <v>15.140400000000001</v>
      </c>
      <c r="AA577" s="1268">
        <f t="shared" si="107"/>
        <v>15.140400000000001</v>
      </c>
      <c r="AB577" s="194">
        <v>15.140400000000001</v>
      </c>
      <c r="AC577" s="194">
        <v>15.140400000000001</v>
      </c>
      <c r="AD577" s="194">
        <v>15.140400000000001</v>
      </c>
      <c r="AE577" s="194">
        <v>15.140400000000001</v>
      </c>
      <c r="AF577" s="253">
        <v>15.140400000000001</v>
      </c>
      <c r="AG577" s="253">
        <f t="shared" si="105"/>
        <v>15.376340476190499</v>
      </c>
      <c r="DG577" s="543"/>
      <c r="DH577" s="172"/>
      <c r="DI577" s="1020"/>
      <c r="DJ577" s="2045"/>
    </row>
    <row r="578" spans="1:114" outlineLevel="1" x14ac:dyDescent="0.25">
      <c r="A578" s="2145"/>
      <c r="C578" s="541"/>
      <c r="D578" s="2415"/>
      <c r="E578" s="2415"/>
      <c r="F578" s="2404" t="str">
        <f>$E$524</f>
        <v>GSHP-EER23_ROF_SF</v>
      </c>
      <c r="G578" s="2404"/>
      <c r="H578" s="2404"/>
      <c r="I578" s="1268"/>
      <c r="J578" s="1957">
        <v>15.491063247863201</v>
      </c>
      <c r="K578" s="1423"/>
      <c r="L578" s="1960" t="s">
        <v>1105</v>
      </c>
      <c r="T578" s="50"/>
      <c r="U578" s="50"/>
      <c r="V578" s="2422"/>
      <c r="W578" s="1268">
        <f>15.01/3.41</f>
        <v>4.4017595307917885</v>
      </c>
      <c r="X578" s="195">
        <v>14.979294599999999</v>
      </c>
      <c r="Y578" s="779">
        <f>4.44*3.41</f>
        <v>15.140400000000001</v>
      </c>
      <c r="Z578" s="1268">
        <f t="shared" si="107"/>
        <v>15.140400000000001</v>
      </c>
      <c r="AA578" s="1268">
        <f t="shared" si="107"/>
        <v>15.140400000000001</v>
      </c>
      <c r="AB578" s="194">
        <v>15.140400000000001</v>
      </c>
      <c r="AC578" s="194">
        <v>15.140400000000001</v>
      </c>
      <c r="AD578" s="194">
        <v>15.140400000000001</v>
      </c>
      <c r="AE578" s="194">
        <v>15.140400000000001</v>
      </c>
      <c r="AF578" s="253">
        <v>15.140400000000001</v>
      </c>
      <c r="AG578" s="253">
        <f t="shared" si="105"/>
        <v>15.491063247863201</v>
      </c>
      <c r="DG578" s="543"/>
      <c r="DH578" s="172"/>
      <c r="DI578" s="1020"/>
      <c r="DJ578" s="2045"/>
    </row>
    <row r="579" spans="1:114" s="39" customFormat="1" outlineLevel="1" x14ac:dyDescent="0.25">
      <c r="A579" s="2145"/>
      <c r="C579" s="541"/>
      <c r="D579" s="2415"/>
      <c r="E579" s="2415"/>
      <c r="F579" s="2407" t="str">
        <f>$E$525</f>
        <v>GSHP-EER23-Replace_GSHP_ER1_SF</v>
      </c>
      <c r="G579" s="2407"/>
      <c r="H579" s="2407"/>
      <c r="I579" s="1268"/>
      <c r="J579" s="1957">
        <v>15.376340476190499</v>
      </c>
      <c r="K579" s="1423"/>
      <c r="L579" s="1960" t="s">
        <v>1104</v>
      </c>
      <c r="M579" s="50"/>
      <c r="N579" s="50"/>
      <c r="O579" s="50"/>
      <c r="P579" s="50"/>
      <c r="Q579" s="50"/>
      <c r="R579" s="50"/>
      <c r="S579" s="50"/>
      <c r="V579" s="2422"/>
      <c r="W579" s="779"/>
      <c r="X579" s="195"/>
      <c r="Y579" s="779"/>
      <c r="Z579" s="779"/>
      <c r="AA579" s="779"/>
      <c r="AB579" s="195"/>
      <c r="AC579" s="195"/>
      <c r="AD579" s="195"/>
      <c r="AE579" s="195"/>
      <c r="AF579" s="253">
        <v>15.140400000000001</v>
      </c>
      <c r="AG579" s="253">
        <f t="shared" si="105"/>
        <v>15.376340476190499</v>
      </c>
      <c r="DG579" s="543"/>
      <c r="DH579" s="172"/>
      <c r="DI579" s="1020"/>
      <c r="DJ579" s="2045"/>
    </row>
    <row r="580" spans="1:114" s="39" customFormat="1" outlineLevel="1" x14ac:dyDescent="0.25">
      <c r="A580" s="2145"/>
      <c r="C580" s="541"/>
      <c r="D580" s="2415"/>
      <c r="E580" s="2415"/>
      <c r="F580" s="2407" t="str">
        <f>$E$527</f>
        <v>GSHP-EER23-Replace_GSHP_ER2_SF</v>
      </c>
      <c r="G580" s="2407"/>
      <c r="H580" s="2407"/>
      <c r="I580" s="1268"/>
      <c r="J580" s="1957">
        <v>15.376340476190499</v>
      </c>
      <c r="K580" s="1423"/>
      <c r="L580" s="1961" t="s">
        <v>1104</v>
      </c>
      <c r="M580" s="50"/>
      <c r="N580" s="50"/>
      <c r="O580" s="50"/>
      <c r="P580" s="50"/>
      <c r="Q580" s="50"/>
      <c r="R580" s="50"/>
      <c r="S580" s="50"/>
      <c r="V580" s="2422"/>
      <c r="W580" s="779"/>
      <c r="X580" s="195"/>
      <c r="Y580" s="779"/>
      <c r="Z580" s="779"/>
      <c r="AA580" s="779"/>
      <c r="AB580" s="195"/>
      <c r="AC580" s="195"/>
      <c r="AD580" s="195"/>
      <c r="AE580" s="195"/>
      <c r="AF580" s="253">
        <v>15.140400000000001</v>
      </c>
      <c r="AG580" s="253">
        <f t="shared" si="105"/>
        <v>15.376340476190499</v>
      </c>
      <c r="DG580" s="543"/>
      <c r="DH580" s="172"/>
      <c r="DI580" s="1020"/>
      <c r="DJ580" s="2045"/>
    </row>
    <row r="581" spans="1:114" outlineLevel="1" x14ac:dyDescent="0.25">
      <c r="A581" s="2145"/>
      <c r="C581" s="541"/>
      <c r="D581" s="2415" t="s">
        <v>1064</v>
      </c>
      <c r="E581" s="2415" t="s">
        <v>1106</v>
      </c>
      <c r="F581" s="2404" t="str">
        <f>$E$513</f>
        <v>GSHP-EER23-Replace_CAC_ElectricHeat_ROF_SF</v>
      </c>
      <c r="G581" s="2404"/>
      <c r="H581" s="2404"/>
      <c r="I581" s="1268"/>
      <c r="J581" s="1515">
        <v>47917.808219178085</v>
      </c>
      <c r="K581" s="53">
        <f>J581/12000</f>
        <v>3.993150684931507</v>
      </c>
      <c r="L581" s="1518" t="s">
        <v>930</v>
      </c>
      <c r="T581" s="50"/>
      <c r="U581" s="50"/>
      <c r="V581" s="2415" t="s">
        <v>1064</v>
      </c>
      <c r="W581" s="1268">
        <v>52800.000000000007</v>
      </c>
      <c r="X581" s="779">
        <f>3.99*12000</f>
        <v>47880</v>
      </c>
      <c r="Y581" s="779">
        <f t="shared" ref="Y581:AA582" si="108">Y550</f>
        <v>46320</v>
      </c>
      <c r="Z581" s="1268">
        <f t="shared" si="108"/>
        <v>46320</v>
      </c>
      <c r="AA581" s="1268">
        <f t="shared" si="108"/>
        <v>46320</v>
      </c>
      <c r="AB581" s="690">
        <v>49745.454545454544</v>
      </c>
      <c r="AC581" s="690">
        <v>46600</v>
      </c>
      <c r="AD581" s="690">
        <v>47729.729729729726</v>
      </c>
      <c r="AE581" s="1035">
        <v>50350.515463917523</v>
      </c>
      <c r="AF581" s="253">
        <v>47917.808219178085</v>
      </c>
      <c r="AG581" s="253">
        <f>IF(J581&lt;&gt;"",J581,"")</f>
        <v>47917.808219178085</v>
      </c>
      <c r="DG581" s="543"/>
      <c r="DH581" s="172"/>
      <c r="DI581" s="1020"/>
      <c r="DJ581" s="2045"/>
    </row>
    <row r="582" spans="1:114" outlineLevel="1" x14ac:dyDescent="0.25">
      <c r="A582" s="2145"/>
      <c r="C582" s="541"/>
      <c r="D582" s="2415"/>
      <c r="E582" s="2415"/>
      <c r="F582" s="2404" t="str">
        <f>$E$515</f>
        <v>GSHP-EER23-Replace_CAC_ElectricHeat_ER1_SF</v>
      </c>
      <c r="G582" s="2404"/>
      <c r="H582" s="2404"/>
      <c r="I582" s="1268"/>
      <c r="J582" s="1515">
        <v>46438.356164383564</v>
      </c>
      <c r="K582" s="53">
        <f>J583/12000</f>
        <v>3.8698630136986303</v>
      </c>
      <c r="L582" s="731" t="s">
        <v>1099</v>
      </c>
      <c r="T582" s="50"/>
      <c r="U582" s="50"/>
      <c r="V582" s="2415"/>
      <c r="W582" s="1268">
        <v>49199.999999999993</v>
      </c>
      <c r="X582" s="779">
        <f>3.99*12000</f>
        <v>47880</v>
      </c>
      <c r="Y582" s="779">
        <f t="shared" si="108"/>
        <v>46320</v>
      </c>
      <c r="Z582" s="1268">
        <f t="shared" si="108"/>
        <v>46320</v>
      </c>
      <c r="AA582" s="1268">
        <f t="shared" si="108"/>
        <v>46320</v>
      </c>
      <c r="AB582" s="690">
        <v>45750</v>
      </c>
      <c r="AC582" s="690">
        <v>48705.882352941175</v>
      </c>
      <c r="AD582" s="690">
        <v>46438.356164383564</v>
      </c>
      <c r="AE582" s="978">
        <v>46438.356164383564</v>
      </c>
      <c r="AF582" s="253">
        <v>46438.356164383564</v>
      </c>
      <c r="AG582" s="253">
        <f t="shared" si="105"/>
        <v>46438.356164383564</v>
      </c>
      <c r="DG582" s="543"/>
      <c r="DH582" s="172"/>
      <c r="DI582" s="1020"/>
      <c r="DJ582" s="2045"/>
    </row>
    <row r="583" spans="1:114" outlineLevel="1" x14ac:dyDescent="0.25">
      <c r="A583" s="2145"/>
      <c r="C583" s="541"/>
      <c r="D583" s="2415"/>
      <c r="E583" s="2415"/>
      <c r="F583" s="2404" t="str">
        <f>$E$517</f>
        <v>GSHP-EER23-Replace_CAC_ElectricHeat_ER2_SF</v>
      </c>
      <c r="G583" s="2404"/>
      <c r="H583" s="2404"/>
      <c r="I583" s="1268"/>
      <c r="J583" s="1515">
        <f>J582</f>
        <v>46438.356164383564</v>
      </c>
      <c r="K583" s="53">
        <f>J581/12000</f>
        <v>3.993150684931507</v>
      </c>
      <c r="L583" s="731" t="s">
        <v>1099</v>
      </c>
      <c r="T583" s="50"/>
      <c r="U583" s="50"/>
      <c r="V583" s="2415"/>
      <c r="W583" s="1268">
        <v>49199.999999999993</v>
      </c>
      <c r="X583" s="779">
        <f>3.99*12000</f>
        <v>47880</v>
      </c>
      <c r="Y583" s="779">
        <f>Y549</f>
        <v>47760</v>
      </c>
      <c r="Z583" s="1268">
        <f>Z549</f>
        <v>47760</v>
      </c>
      <c r="AA583" s="1268">
        <f>AA549</f>
        <v>47760</v>
      </c>
      <c r="AB583" s="690">
        <v>45750</v>
      </c>
      <c r="AC583" s="690">
        <v>48705.882352941175</v>
      </c>
      <c r="AD583" s="690">
        <v>46438.356164383564</v>
      </c>
      <c r="AE583" s="753">
        <v>46438.356164383564</v>
      </c>
      <c r="AF583" s="253">
        <v>46438.356164383564</v>
      </c>
      <c r="AG583" s="253">
        <f t="shared" si="105"/>
        <v>46438.356164383564</v>
      </c>
      <c r="DG583" s="543"/>
      <c r="DH583" s="172"/>
      <c r="DI583" s="1020"/>
      <c r="DJ583" s="2045"/>
    </row>
    <row r="584" spans="1:114" outlineLevel="1" x14ac:dyDescent="0.25">
      <c r="A584" s="2145"/>
      <c r="C584" s="541"/>
      <c r="D584" s="2415"/>
      <c r="E584" s="2415"/>
      <c r="F584" s="2404" t="str">
        <f>$E$519</f>
        <v>GSHP-EER23-Replace_ASHP_ER1_SF</v>
      </c>
      <c r="G584" s="2404"/>
      <c r="H584" s="2404"/>
      <c r="I584" s="1268"/>
      <c r="J584" s="1515">
        <f>J582</f>
        <v>46438.356164383564</v>
      </c>
      <c r="K584" s="53">
        <f>J584/12000</f>
        <v>3.8698630136986303</v>
      </c>
      <c r="L584" s="731" t="s">
        <v>1099</v>
      </c>
      <c r="T584" s="50"/>
      <c r="U584" s="50"/>
      <c r="V584" s="2415"/>
      <c r="W584" s="1268">
        <v>49199.999999999993</v>
      </c>
      <c r="X584" s="779">
        <f>3.99*12000</f>
        <v>47880</v>
      </c>
      <c r="Y584" s="779">
        <f>Y553</f>
        <v>50400</v>
      </c>
      <c r="Z584" s="1268">
        <f>Z553</f>
        <v>50400</v>
      </c>
      <c r="AA584" s="1268">
        <f>AA553</f>
        <v>50400</v>
      </c>
      <c r="AB584" s="690">
        <v>51319.148936170212</v>
      </c>
      <c r="AC584" s="690">
        <v>48885.24590163934</v>
      </c>
      <c r="AD584" s="690">
        <v>46438.356164383564</v>
      </c>
      <c r="AE584" s="753">
        <v>46438.356164383564</v>
      </c>
      <c r="AF584" s="253">
        <v>46438.356164383564</v>
      </c>
      <c r="AG584" s="253">
        <f t="shared" si="105"/>
        <v>46438.356164383564</v>
      </c>
      <c r="DG584" s="543"/>
      <c r="DH584" s="172"/>
      <c r="DI584" s="1020"/>
      <c r="DJ584" s="2045"/>
    </row>
    <row r="585" spans="1:114" outlineLevel="1" x14ac:dyDescent="0.25">
      <c r="A585" s="2145"/>
      <c r="C585" s="541"/>
      <c r="D585" s="2415"/>
      <c r="E585" s="2415"/>
      <c r="F585" s="2407" t="str">
        <f>$E$521</f>
        <v>GSHP-EER23-Replace_ASHP_ER2_SF</v>
      </c>
      <c r="G585" s="2407"/>
      <c r="H585" s="2407"/>
      <c r="I585" s="1268"/>
      <c r="J585" s="1515">
        <f>J582</f>
        <v>46438.356164383564</v>
      </c>
      <c r="K585" s="53">
        <f>J585/12000</f>
        <v>3.8698630136986303</v>
      </c>
      <c r="L585" s="731" t="s">
        <v>1099</v>
      </c>
      <c r="T585" s="50"/>
      <c r="U585" s="50"/>
      <c r="V585" s="2415"/>
      <c r="W585" s="1268"/>
      <c r="X585" s="779"/>
      <c r="Y585" s="779"/>
      <c r="Z585" s="1268"/>
      <c r="AA585" s="1268"/>
      <c r="AB585" s="690">
        <v>51319.148936170212</v>
      </c>
      <c r="AC585" s="690">
        <v>48885.24590163934</v>
      </c>
      <c r="AD585" s="690">
        <v>46438.356164383564</v>
      </c>
      <c r="AE585" s="753">
        <v>46438.356164383564</v>
      </c>
      <c r="AF585" s="253">
        <v>46438.356164383564</v>
      </c>
      <c r="AG585" s="253">
        <f t="shared" si="105"/>
        <v>46438.356164383564</v>
      </c>
      <c r="DG585" s="543"/>
      <c r="DH585" s="172"/>
      <c r="DI585" s="1020"/>
      <c r="DJ585" s="2045"/>
    </row>
    <row r="586" spans="1:114" outlineLevel="1" x14ac:dyDescent="0.25">
      <c r="A586" s="2145"/>
      <c r="C586" s="541"/>
      <c r="D586" s="2415"/>
      <c r="E586" s="2415"/>
      <c r="F586" s="2404" t="str">
        <f>$E$523</f>
        <v>GSHP-EER23_ROF_SF</v>
      </c>
      <c r="G586" s="2404"/>
      <c r="H586" s="2404"/>
      <c r="I586" s="1268"/>
      <c r="J586" s="1515">
        <v>47917.808219178085</v>
      </c>
      <c r="K586" s="239">
        <f>J586/12000</f>
        <v>3.993150684931507</v>
      </c>
      <c r="L586" s="1518" t="s">
        <v>930</v>
      </c>
      <c r="T586" s="50"/>
      <c r="U586" s="50"/>
      <c r="V586" s="2415"/>
      <c r="W586" s="1268">
        <v>52800.000000000007</v>
      </c>
      <c r="X586" s="779">
        <f>3.99*12000</f>
        <v>47880</v>
      </c>
      <c r="Y586" s="779">
        <f>Y554</f>
        <v>47160</v>
      </c>
      <c r="Z586" s="1268">
        <f>Z554</f>
        <v>47160</v>
      </c>
      <c r="AA586" s="1268">
        <f>AA554</f>
        <v>47160</v>
      </c>
      <c r="AB586" s="690">
        <v>51652.173913043473</v>
      </c>
      <c r="AC586" s="690">
        <v>49977.272727272728</v>
      </c>
      <c r="AD586" s="690">
        <v>47729.729729729726</v>
      </c>
      <c r="AE586" s="690">
        <v>50350.515463917523</v>
      </c>
      <c r="AF586" s="253">
        <v>47917.808219178085</v>
      </c>
      <c r="AG586" s="253">
        <f t="shared" si="105"/>
        <v>47917.808219178085</v>
      </c>
      <c r="DG586" s="543"/>
      <c r="DH586" s="172"/>
      <c r="DI586" s="1020"/>
      <c r="DJ586" s="2045"/>
    </row>
    <row r="587" spans="1:114" s="39" customFormat="1" outlineLevel="1" x14ac:dyDescent="0.25">
      <c r="A587" s="2145"/>
      <c r="C587" s="541"/>
      <c r="D587" s="2415"/>
      <c r="E587" s="2415"/>
      <c r="F587" s="2407" t="str">
        <f>$E$525</f>
        <v>GSHP-EER23-Replace_GSHP_ER1_SF</v>
      </c>
      <c r="G587" s="2407"/>
      <c r="H587" s="2407"/>
      <c r="I587" s="1268"/>
      <c r="J587" s="1515">
        <f>J585</f>
        <v>46438.356164383564</v>
      </c>
      <c r="K587" s="239">
        <f t="shared" ref="K587:K588" si="109">J587/12000</f>
        <v>3.8698630136986303</v>
      </c>
      <c r="L587" s="1518" t="s">
        <v>1018</v>
      </c>
      <c r="M587" s="50"/>
      <c r="N587" s="50"/>
      <c r="O587" s="50"/>
      <c r="P587" s="50"/>
      <c r="Q587" s="50"/>
      <c r="R587" s="50"/>
      <c r="S587" s="50"/>
      <c r="V587" s="2415"/>
      <c r="W587" s="779"/>
      <c r="X587" s="779"/>
      <c r="Y587" s="779"/>
      <c r="Z587" s="779"/>
      <c r="AA587" s="779"/>
      <c r="AB587" s="690"/>
      <c r="AC587" s="690"/>
      <c r="AD587" s="690"/>
      <c r="AE587" s="690"/>
      <c r="AF587" s="253">
        <v>46438.356164383564</v>
      </c>
      <c r="AG587" s="253">
        <f t="shared" si="105"/>
        <v>46438.356164383564</v>
      </c>
      <c r="DG587" s="543"/>
      <c r="DH587" s="172"/>
      <c r="DI587" s="1020"/>
      <c r="DJ587" s="2045"/>
    </row>
    <row r="588" spans="1:114" s="39" customFormat="1" outlineLevel="1" x14ac:dyDescent="0.25">
      <c r="A588" s="2145"/>
      <c r="C588" s="541"/>
      <c r="D588" s="2415"/>
      <c r="E588" s="2415"/>
      <c r="F588" s="2407" t="str">
        <f>$E$527</f>
        <v>GSHP-EER23-Replace_GSHP_ER2_SF</v>
      </c>
      <c r="G588" s="2407"/>
      <c r="H588" s="2407"/>
      <c r="I588" s="1268"/>
      <c r="J588" s="1515">
        <f>J585</f>
        <v>46438.356164383564</v>
      </c>
      <c r="K588" s="239">
        <f t="shared" si="109"/>
        <v>3.8698630136986303</v>
      </c>
      <c r="L588" s="1518" t="s">
        <v>1018</v>
      </c>
      <c r="M588" s="50"/>
      <c r="N588" s="50"/>
      <c r="O588" s="50"/>
      <c r="P588" s="50"/>
      <c r="Q588" s="50"/>
      <c r="R588" s="50"/>
      <c r="S588" s="50"/>
      <c r="V588" s="2415"/>
      <c r="W588" s="779"/>
      <c r="X588" s="779"/>
      <c r="Y588" s="779"/>
      <c r="Z588" s="779"/>
      <c r="AA588" s="779"/>
      <c r="AB588" s="690"/>
      <c r="AC588" s="690"/>
      <c r="AD588" s="690"/>
      <c r="AE588" s="690"/>
      <c r="AF588" s="253">
        <v>46438.356164383564</v>
      </c>
      <c r="AG588" s="253">
        <f t="shared" si="105"/>
        <v>46438.356164383564</v>
      </c>
      <c r="DG588" s="543"/>
      <c r="DH588" s="172"/>
      <c r="DI588" s="1020"/>
      <c r="DJ588" s="2045"/>
    </row>
    <row r="589" spans="1:114" outlineLevel="1" x14ac:dyDescent="0.25">
      <c r="A589" s="2145"/>
      <c r="C589" s="541"/>
      <c r="D589" s="2415" t="s">
        <v>1107</v>
      </c>
      <c r="E589" s="2415" t="s">
        <v>1067</v>
      </c>
      <c r="F589" s="2404" t="str">
        <f>$E$513</f>
        <v>GSHP-EER23-Replace_CAC_ElectricHeat_ROF_SF</v>
      </c>
      <c r="G589" s="2404"/>
      <c r="H589" s="2404"/>
      <c r="I589" s="1268"/>
      <c r="J589" s="1534">
        <v>869</v>
      </c>
      <c r="K589" s="1307"/>
      <c r="L589" s="2419" t="s">
        <v>1108</v>
      </c>
      <c r="T589" s="50"/>
      <c r="U589" s="50"/>
      <c r="V589" s="2415" t="s">
        <v>1107</v>
      </c>
      <c r="W589" s="1268">
        <v>869</v>
      </c>
      <c r="X589" s="1268">
        <v>869</v>
      </c>
      <c r="Y589" s="1268">
        <v>869</v>
      </c>
      <c r="Z589" s="1268">
        <v>869</v>
      </c>
      <c r="AA589" s="1268">
        <v>869</v>
      </c>
      <c r="AB589" s="1268">
        <v>869</v>
      </c>
      <c r="AC589" s="1268">
        <v>869</v>
      </c>
      <c r="AD589" s="1268">
        <v>869</v>
      </c>
      <c r="AE589" s="1268">
        <v>869</v>
      </c>
      <c r="AF589" s="253">
        <v>869</v>
      </c>
      <c r="AG589" s="253">
        <f t="shared" si="105"/>
        <v>869</v>
      </c>
      <c r="DG589" s="543"/>
      <c r="DH589" s="172"/>
      <c r="DI589" s="1020"/>
      <c r="DJ589" s="2045"/>
    </row>
    <row r="590" spans="1:114" outlineLevel="1" x14ac:dyDescent="0.25">
      <c r="A590" s="2145"/>
      <c r="C590" s="541"/>
      <c r="D590" s="2415"/>
      <c r="E590" s="2415"/>
      <c r="F590" s="2404" t="str">
        <f>$E$515</f>
        <v>GSHP-EER23-Replace_CAC_ElectricHeat_ER1_SF</v>
      </c>
      <c r="G590" s="2404"/>
      <c r="H590" s="2404"/>
      <c r="I590" s="1268"/>
      <c r="J590" s="1534">
        <v>869</v>
      </c>
      <c r="K590" s="1307"/>
      <c r="L590" s="2419"/>
      <c r="T590" s="50"/>
      <c r="U590" s="50"/>
      <c r="V590" s="2415"/>
      <c r="W590" s="1268">
        <v>869</v>
      </c>
      <c r="X590" s="1268">
        <v>869</v>
      </c>
      <c r="Y590" s="1268">
        <v>869</v>
      </c>
      <c r="Z590" s="1268">
        <v>869</v>
      </c>
      <c r="AA590" s="1268">
        <v>869</v>
      </c>
      <c r="AB590" s="1268">
        <v>869</v>
      </c>
      <c r="AC590" s="1268">
        <v>869</v>
      </c>
      <c r="AD590" s="1268">
        <v>869</v>
      </c>
      <c r="AE590" s="1268">
        <v>869</v>
      </c>
      <c r="AF590" s="253">
        <v>869</v>
      </c>
      <c r="AG590" s="253">
        <f t="shared" si="105"/>
        <v>869</v>
      </c>
      <c r="DG590" s="543"/>
      <c r="DH590" s="172"/>
      <c r="DI590" s="1020"/>
      <c r="DJ590" s="2045"/>
    </row>
    <row r="591" spans="1:114" outlineLevel="1" x14ac:dyDescent="0.25">
      <c r="A591" s="2145"/>
      <c r="C591" s="541"/>
      <c r="D591" s="2415"/>
      <c r="E591" s="2415"/>
      <c r="F591" s="2404" t="str">
        <f>$E$517</f>
        <v>GSHP-EER23-Replace_CAC_ElectricHeat_ER2_SF</v>
      </c>
      <c r="G591" s="2404"/>
      <c r="H591" s="2404"/>
      <c r="I591" s="1268"/>
      <c r="J591" s="1534">
        <v>869</v>
      </c>
      <c r="K591" s="1307"/>
      <c r="L591" s="2419"/>
      <c r="T591" s="50"/>
      <c r="U591" s="50"/>
      <c r="V591" s="2415"/>
      <c r="W591" s="1268">
        <v>869</v>
      </c>
      <c r="X591" s="1268">
        <v>869</v>
      </c>
      <c r="Y591" s="1268">
        <v>869</v>
      </c>
      <c r="Z591" s="1268">
        <v>869</v>
      </c>
      <c r="AA591" s="1268">
        <v>869</v>
      </c>
      <c r="AB591" s="1268">
        <v>869</v>
      </c>
      <c r="AC591" s="1268">
        <v>869</v>
      </c>
      <c r="AD591" s="1268">
        <v>869</v>
      </c>
      <c r="AE591" s="1268">
        <v>869</v>
      </c>
      <c r="AF591" s="253">
        <v>869</v>
      </c>
      <c r="AG591" s="253">
        <f t="shared" si="105"/>
        <v>869</v>
      </c>
      <c r="DG591" s="543"/>
      <c r="DH591" s="172"/>
      <c r="DI591" s="1020"/>
      <c r="DJ591" s="2045"/>
    </row>
    <row r="592" spans="1:114" outlineLevel="1" x14ac:dyDescent="0.25">
      <c r="A592" s="2145"/>
      <c r="C592" s="541"/>
      <c r="D592" s="2415"/>
      <c r="E592" s="2415"/>
      <c r="F592" s="2404" t="str">
        <f>$E$519</f>
        <v>GSHP-EER23-Replace_ASHP_ER1_SF</v>
      </c>
      <c r="G592" s="2404"/>
      <c r="H592" s="2404"/>
      <c r="I592" s="1268"/>
      <c r="J592" s="1534">
        <v>869</v>
      </c>
      <c r="K592" s="1307"/>
      <c r="L592" s="2419"/>
      <c r="T592" s="50"/>
      <c r="U592" s="50"/>
      <c r="V592" s="2415"/>
      <c r="W592" s="1268">
        <v>869</v>
      </c>
      <c r="X592" s="1268">
        <v>869</v>
      </c>
      <c r="Y592" s="1268">
        <v>869</v>
      </c>
      <c r="Z592" s="1268">
        <v>869</v>
      </c>
      <c r="AA592" s="1268">
        <v>869</v>
      </c>
      <c r="AB592" s="1268">
        <v>869</v>
      </c>
      <c r="AC592" s="1268">
        <v>869</v>
      </c>
      <c r="AD592" s="1268">
        <v>869</v>
      </c>
      <c r="AE592" s="1268">
        <v>869</v>
      </c>
      <c r="AF592" s="253">
        <v>869</v>
      </c>
      <c r="AG592" s="253">
        <f t="shared" si="105"/>
        <v>869</v>
      </c>
      <c r="DG592" s="543"/>
      <c r="DH592" s="172"/>
      <c r="DI592" s="1020"/>
      <c r="DJ592" s="2045"/>
    </row>
    <row r="593" spans="1:114" outlineLevel="1" x14ac:dyDescent="0.25">
      <c r="A593" s="2145"/>
      <c r="C593" s="541"/>
      <c r="D593" s="2415"/>
      <c r="E593" s="2415"/>
      <c r="F593" s="2407" t="str">
        <f>$E$521</f>
        <v>GSHP-EER23-Replace_ASHP_ER2_SF</v>
      </c>
      <c r="G593" s="2407"/>
      <c r="H593" s="2407"/>
      <c r="I593" s="1276"/>
      <c r="J593" s="1534">
        <v>869</v>
      </c>
      <c r="K593" s="1307"/>
      <c r="L593" s="2419"/>
      <c r="T593" s="50"/>
      <c r="U593" s="50"/>
      <c r="V593" s="2415"/>
      <c r="W593" s="1268"/>
      <c r="X593" s="1268"/>
      <c r="Y593" s="1268"/>
      <c r="Z593" s="1268"/>
      <c r="AA593" s="1268"/>
      <c r="AB593" s="906">
        <v>869</v>
      </c>
      <c r="AC593" s="1276">
        <v>869</v>
      </c>
      <c r="AD593" s="1276">
        <v>869</v>
      </c>
      <c r="AE593" s="1276">
        <v>869</v>
      </c>
      <c r="AF593" s="253">
        <v>869</v>
      </c>
      <c r="AG593" s="253">
        <f t="shared" si="105"/>
        <v>869</v>
      </c>
      <c r="DG593" s="543"/>
      <c r="DH593" s="172"/>
      <c r="DI593" s="1020"/>
      <c r="DJ593" s="2045"/>
    </row>
    <row r="594" spans="1:114" outlineLevel="1" x14ac:dyDescent="0.25">
      <c r="A594" s="2145"/>
      <c r="C594" s="541"/>
      <c r="D594" s="2415"/>
      <c r="E594" s="2415"/>
      <c r="F594" s="2404" t="str">
        <f>$E$523</f>
        <v>GSHP-EER23_ROF_SF</v>
      </c>
      <c r="G594" s="2404"/>
      <c r="H594" s="2404"/>
      <c r="I594" s="1268"/>
      <c r="J594" s="1534">
        <v>869</v>
      </c>
      <c r="K594" s="1307"/>
      <c r="L594" s="2419"/>
      <c r="T594" s="50"/>
      <c r="U594" s="50"/>
      <c r="V594" s="2415"/>
      <c r="W594" s="1268">
        <v>869</v>
      </c>
      <c r="X594" s="1268">
        <v>869</v>
      </c>
      <c r="Y594" s="1268">
        <v>869</v>
      </c>
      <c r="Z594" s="1268">
        <v>869</v>
      </c>
      <c r="AA594" s="1268">
        <v>869</v>
      </c>
      <c r="AB594" s="1268">
        <v>869</v>
      </c>
      <c r="AC594" s="1268">
        <v>869</v>
      </c>
      <c r="AD594" s="1268">
        <v>869</v>
      </c>
      <c r="AE594" s="1268">
        <v>869</v>
      </c>
      <c r="AF594" s="253">
        <v>869</v>
      </c>
      <c r="AG594" s="253">
        <f t="shared" si="105"/>
        <v>869</v>
      </c>
      <c r="DG594" s="543"/>
      <c r="DH594" s="172"/>
      <c r="DI594" s="1020"/>
      <c r="DJ594" s="2045"/>
    </row>
    <row r="595" spans="1:114" s="39" customFormat="1" outlineLevel="1" x14ac:dyDescent="0.25">
      <c r="A595" s="2145"/>
      <c r="C595" s="541"/>
      <c r="D595" s="2415"/>
      <c r="E595" s="2415"/>
      <c r="F595" s="2407" t="str">
        <f>$E$525</f>
        <v>GSHP-EER23-Replace_GSHP_ER1_SF</v>
      </c>
      <c r="G595" s="2407"/>
      <c r="H595" s="2407"/>
      <c r="I595" s="1268"/>
      <c r="J595" s="1534">
        <v>869</v>
      </c>
      <c r="K595" s="1307"/>
      <c r="L595" s="2419"/>
      <c r="M595" s="50"/>
      <c r="N595" s="50"/>
      <c r="O595" s="50"/>
      <c r="P595" s="50"/>
      <c r="Q595" s="50"/>
      <c r="R595" s="50"/>
      <c r="S595" s="50"/>
      <c r="V595" s="2415"/>
      <c r="W595" s="779"/>
      <c r="X595" s="779"/>
      <c r="Y595" s="779"/>
      <c r="Z595" s="779"/>
      <c r="AA595" s="779"/>
      <c r="AB595" s="779"/>
      <c r="AC595" s="779"/>
      <c r="AD595" s="779"/>
      <c r="AE595" s="779"/>
      <c r="AF595" s="253">
        <v>869</v>
      </c>
      <c r="AG595" s="253">
        <f t="shared" si="105"/>
        <v>869</v>
      </c>
      <c r="DG595" s="543"/>
      <c r="DH595" s="172"/>
      <c r="DI595" s="1020"/>
      <c r="DJ595" s="2045"/>
    </row>
    <row r="596" spans="1:114" s="39" customFormat="1" outlineLevel="1" x14ac:dyDescent="0.25">
      <c r="A596" s="2145"/>
      <c r="C596" s="541"/>
      <c r="D596" s="2415"/>
      <c r="E596" s="2415"/>
      <c r="F596" s="2407" t="str">
        <f>$E$527</f>
        <v>GSHP-EER23-Replace_GSHP_ER2_SF</v>
      </c>
      <c r="G596" s="2407"/>
      <c r="H596" s="2407"/>
      <c r="I596" s="1268"/>
      <c r="J596" s="1534">
        <v>869</v>
      </c>
      <c r="K596" s="1307"/>
      <c r="L596" s="2419"/>
      <c r="M596" s="50"/>
      <c r="N596" s="50"/>
      <c r="O596" s="50"/>
      <c r="P596" s="50"/>
      <c r="Q596" s="50"/>
      <c r="R596" s="50"/>
      <c r="S596" s="50"/>
      <c r="V596" s="2415"/>
      <c r="W596" s="779"/>
      <c r="X596" s="779"/>
      <c r="Y596" s="779"/>
      <c r="Z596" s="779"/>
      <c r="AA596" s="779"/>
      <c r="AB596" s="779"/>
      <c r="AC596" s="779"/>
      <c r="AD596" s="779"/>
      <c r="AE596" s="779"/>
      <c r="AF596" s="253">
        <v>869</v>
      </c>
      <c r="AG596" s="253">
        <f t="shared" si="105"/>
        <v>869</v>
      </c>
      <c r="DG596" s="543"/>
      <c r="DH596" s="172"/>
      <c r="DI596" s="1020"/>
      <c r="DJ596" s="2045"/>
    </row>
    <row r="597" spans="1:114" ht="15" customHeight="1" outlineLevel="1" x14ac:dyDescent="0.25">
      <c r="A597" s="2145"/>
      <c r="C597" s="541"/>
      <c r="D597" s="2415" t="s">
        <v>1109</v>
      </c>
      <c r="E597" s="2415" t="s">
        <v>1069</v>
      </c>
      <c r="F597" s="2404" t="str">
        <f>$E$513</f>
        <v>GSHP-EER23-Replace_CAC_ElectricHeat_ROF_SF</v>
      </c>
      <c r="G597" s="2404"/>
      <c r="H597" s="2404"/>
      <c r="I597" s="1268"/>
      <c r="J597" s="1815">
        <v>13.4</v>
      </c>
      <c r="K597" s="1307"/>
      <c r="L597" s="628" t="s">
        <v>1110</v>
      </c>
      <c r="T597" s="50"/>
      <c r="U597" s="50"/>
      <c r="V597" s="2422" t="s">
        <v>1109</v>
      </c>
      <c r="W597" s="1268">
        <v>13</v>
      </c>
      <c r="X597" s="232">
        <v>14.1</v>
      </c>
      <c r="Y597" s="688">
        <v>14.1</v>
      </c>
      <c r="Z597" s="688">
        <v>14.1</v>
      </c>
      <c r="AA597" s="688">
        <v>14.1</v>
      </c>
      <c r="AB597" s="688">
        <v>14.1</v>
      </c>
      <c r="AC597" s="688">
        <v>14.1</v>
      </c>
      <c r="AD597" s="1426">
        <v>14.1</v>
      </c>
      <c r="AE597" s="1426">
        <v>14.1</v>
      </c>
      <c r="AF597" s="253">
        <v>13.4</v>
      </c>
      <c r="AG597" s="253">
        <f t="shared" si="105"/>
        <v>13.4</v>
      </c>
      <c r="DG597" s="543"/>
      <c r="DH597" s="172"/>
      <c r="DI597" s="1020"/>
      <c r="DJ597" s="2045"/>
    </row>
    <row r="598" spans="1:114" outlineLevel="1" x14ac:dyDescent="0.25">
      <c r="A598" s="2145"/>
      <c r="C598" s="541"/>
      <c r="D598" s="2415"/>
      <c r="E598" s="2415"/>
      <c r="F598" s="2404" t="str">
        <f>$E$515</f>
        <v>GSHP-EER23-Replace_CAC_ElectricHeat_ER1_SF</v>
      </c>
      <c r="G598" s="2404"/>
      <c r="H598" s="2404"/>
      <c r="I598" s="1268"/>
      <c r="J598" s="1517">
        <v>6.53</v>
      </c>
      <c r="K598" s="1307"/>
      <c r="L598" s="731"/>
      <c r="T598" s="50"/>
      <c r="U598" s="50"/>
      <c r="V598" s="2422"/>
      <c r="W598" s="1268">
        <v>6.8</v>
      </c>
      <c r="X598" s="779">
        <v>6.54</v>
      </c>
      <c r="Y598" s="1268">
        <v>6.54</v>
      </c>
      <c r="Z598" s="1268">
        <v>6.54</v>
      </c>
      <c r="AA598" s="1268">
        <v>6.54</v>
      </c>
      <c r="AB598" s="1268">
        <v>6.54</v>
      </c>
      <c r="AC598" s="195">
        <v>6.3407685330503476</v>
      </c>
      <c r="AD598" s="696">
        <v>6.3407685330503476</v>
      </c>
      <c r="AE598" s="696">
        <v>6.3407685330503476</v>
      </c>
      <c r="AF598" s="253">
        <v>6.53</v>
      </c>
      <c r="AG598" s="253">
        <f t="shared" si="105"/>
        <v>6.53</v>
      </c>
      <c r="DG598" s="543"/>
      <c r="DH598" s="172"/>
      <c r="DI598" s="1020"/>
      <c r="DJ598" s="2045"/>
    </row>
    <row r="599" spans="1:114" outlineLevel="1" x14ac:dyDescent="0.25">
      <c r="A599" s="2145"/>
      <c r="C599" s="541"/>
      <c r="D599" s="2415"/>
      <c r="E599" s="2415"/>
      <c r="F599" s="2404" t="str">
        <f>$E$517</f>
        <v>GSHP-EER23-Replace_CAC_ElectricHeat_ER2_SF</v>
      </c>
      <c r="G599" s="2404"/>
      <c r="H599" s="2404"/>
      <c r="I599" s="1268"/>
      <c r="J599" s="1534">
        <v>13.4</v>
      </c>
      <c r="K599" s="1307"/>
      <c r="L599" s="628" t="s">
        <v>1110</v>
      </c>
      <c r="T599" s="50"/>
      <c r="U599" s="50"/>
      <c r="V599" s="2422"/>
      <c r="W599" s="1268">
        <v>13</v>
      </c>
      <c r="X599" s="779">
        <v>14.1</v>
      </c>
      <c r="Y599" s="1268">
        <v>14.1</v>
      </c>
      <c r="Z599" s="1268">
        <v>14.1</v>
      </c>
      <c r="AA599" s="1268">
        <v>14.1</v>
      </c>
      <c r="AB599" s="1268">
        <v>14.1</v>
      </c>
      <c r="AC599" s="1268">
        <v>14.1</v>
      </c>
      <c r="AD599" s="1276">
        <v>14.1</v>
      </c>
      <c r="AE599" s="1276">
        <v>14.1</v>
      </c>
      <c r="AF599" s="253">
        <v>13.4</v>
      </c>
      <c r="AG599" s="253">
        <f t="shared" si="105"/>
        <v>13.4</v>
      </c>
      <c r="DG599" s="543"/>
      <c r="DH599" s="172"/>
      <c r="DI599" s="1020"/>
      <c r="DJ599" s="2045"/>
    </row>
    <row r="600" spans="1:114" outlineLevel="1" x14ac:dyDescent="0.25">
      <c r="A600" s="2145"/>
      <c r="C600" s="541"/>
      <c r="D600" s="2415"/>
      <c r="E600" s="2415"/>
      <c r="F600" s="2404" t="str">
        <f>$E$519</f>
        <v>GSHP-EER23-Replace_ASHP_ER1_SF</v>
      </c>
      <c r="G600" s="2404"/>
      <c r="H600" s="2404"/>
      <c r="I600" s="1268"/>
      <c r="J600" s="1517">
        <v>6.91</v>
      </c>
      <c r="K600" s="1307"/>
      <c r="L600" s="731"/>
      <c r="T600" s="50"/>
      <c r="U600" s="50"/>
      <c r="V600" s="2422"/>
      <c r="W600" s="1268">
        <v>6.8</v>
      </c>
      <c r="X600" s="779">
        <v>12</v>
      </c>
      <c r="Y600" s="1268">
        <v>12</v>
      </c>
      <c r="Z600" s="1268">
        <v>12</v>
      </c>
      <c r="AA600" s="1268">
        <v>12</v>
      </c>
      <c r="AB600" s="1268">
        <v>12</v>
      </c>
      <c r="AC600" s="195">
        <v>9.0644192432638082</v>
      </c>
      <c r="AD600" s="691">
        <v>8.09</v>
      </c>
      <c r="AE600" s="696">
        <v>8.09</v>
      </c>
      <c r="AF600" s="253">
        <v>6.91</v>
      </c>
      <c r="AG600" s="253">
        <f t="shared" si="105"/>
        <v>6.91</v>
      </c>
      <c r="DG600" s="543"/>
      <c r="DH600" s="172"/>
      <c r="DI600" s="1020"/>
      <c r="DJ600" s="2045"/>
    </row>
    <row r="601" spans="1:114" outlineLevel="1" x14ac:dyDescent="0.25">
      <c r="A601" s="2145"/>
      <c r="C601" s="541"/>
      <c r="D601" s="2415"/>
      <c r="E601" s="2415"/>
      <c r="F601" s="2407" t="str">
        <f>$E$521</f>
        <v>GSHP-EER23-Replace_ASHP_ER2_SF</v>
      </c>
      <c r="G601" s="2407"/>
      <c r="H601" s="2407"/>
      <c r="I601" s="1276"/>
      <c r="J601" s="1534">
        <v>14.3</v>
      </c>
      <c r="K601" s="1249"/>
      <c r="L601" s="731"/>
      <c r="T601" s="50"/>
      <c r="U601" s="50"/>
      <c r="V601" s="2422"/>
      <c r="W601" s="1268"/>
      <c r="X601" s="779"/>
      <c r="Y601" s="1268"/>
      <c r="Z601" s="1268"/>
      <c r="AA601" s="1268"/>
      <c r="AB601" s="906">
        <v>12</v>
      </c>
      <c r="AC601" s="1276">
        <v>12</v>
      </c>
      <c r="AD601" s="1276">
        <v>12</v>
      </c>
      <c r="AE601" s="1276">
        <v>12</v>
      </c>
      <c r="AF601" s="253">
        <v>14.3</v>
      </c>
      <c r="AG601" s="253">
        <f t="shared" si="105"/>
        <v>14.3</v>
      </c>
      <c r="DG601" s="543"/>
      <c r="DH601" s="172"/>
      <c r="DI601" s="1020"/>
      <c r="DJ601" s="2045"/>
    </row>
    <row r="602" spans="1:114" outlineLevel="1" x14ac:dyDescent="0.25">
      <c r="A602" s="2145"/>
      <c r="C602" s="541"/>
      <c r="D602" s="2415"/>
      <c r="E602" s="2415"/>
      <c r="F602" s="2404" t="str">
        <f>$E$523</f>
        <v>GSHP-EER23_ROF_SF</v>
      </c>
      <c r="G602" s="2404"/>
      <c r="H602" s="2404"/>
      <c r="I602" s="1268"/>
      <c r="J602" s="1534">
        <v>14.3</v>
      </c>
      <c r="K602" s="1307"/>
      <c r="L602" s="731" t="s">
        <v>1111</v>
      </c>
      <c r="T602" s="50"/>
      <c r="U602" s="50"/>
      <c r="V602" s="2422"/>
      <c r="W602" s="1268">
        <v>14.1</v>
      </c>
      <c r="X602" s="779">
        <v>14.1</v>
      </c>
      <c r="Y602" s="1268">
        <v>14.1</v>
      </c>
      <c r="Z602" s="1268">
        <v>14.1</v>
      </c>
      <c r="AA602" s="1268">
        <v>14.1</v>
      </c>
      <c r="AB602" s="1268">
        <v>14.1</v>
      </c>
      <c r="AC602" s="1268">
        <v>14.1</v>
      </c>
      <c r="AD602" s="1276">
        <v>14.1</v>
      </c>
      <c r="AE602" s="1276">
        <v>14.1</v>
      </c>
      <c r="AF602" s="253">
        <v>14.3</v>
      </c>
      <c r="AG602" s="253">
        <f t="shared" si="105"/>
        <v>14.3</v>
      </c>
      <c r="DG602" s="543"/>
      <c r="DH602" s="172"/>
      <c r="DI602" s="1020"/>
      <c r="DJ602" s="2045"/>
    </row>
    <row r="603" spans="1:114" s="39" customFormat="1" outlineLevel="1" x14ac:dyDescent="0.25">
      <c r="A603" s="2145"/>
      <c r="C603" s="541"/>
      <c r="D603" s="2415"/>
      <c r="E603" s="2415"/>
      <c r="F603" s="2407" t="str">
        <f>$E$525</f>
        <v>GSHP-EER23-Replace_GSHP_ER1_SF</v>
      </c>
      <c r="G603" s="2407"/>
      <c r="H603" s="2407"/>
      <c r="I603" s="1268"/>
      <c r="J603" s="1534">
        <v>13.4</v>
      </c>
      <c r="K603" s="1307"/>
      <c r="L603" s="628" t="s">
        <v>1110</v>
      </c>
      <c r="M603" s="50"/>
      <c r="N603" s="50"/>
      <c r="O603" s="50"/>
      <c r="P603" s="50"/>
      <c r="Q603" s="50"/>
      <c r="R603" s="50"/>
      <c r="S603" s="50"/>
      <c r="V603" s="2422"/>
      <c r="W603" s="779"/>
      <c r="X603" s="779"/>
      <c r="Y603" s="779"/>
      <c r="Z603" s="779"/>
      <c r="AA603" s="779"/>
      <c r="AB603" s="779"/>
      <c r="AC603" s="779"/>
      <c r="AD603" s="906"/>
      <c r="AE603" s="906"/>
      <c r="AF603" s="253">
        <v>13.4</v>
      </c>
      <c r="AG603" s="253">
        <f t="shared" si="105"/>
        <v>13.4</v>
      </c>
      <c r="DG603" s="543"/>
      <c r="DH603" s="172"/>
      <c r="DI603" s="1020"/>
      <c r="DJ603" s="2045"/>
    </row>
    <row r="604" spans="1:114" s="39" customFormat="1" outlineLevel="1" x14ac:dyDescent="0.25">
      <c r="A604" s="2145"/>
      <c r="C604" s="541"/>
      <c r="D604" s="2415"/>
      <c r="E604" s="2415"/>
      <c r="F604" s="2407" t="str">
        <f>$E$527</f>
        <v>GSHP-EER23-Replace_GSHP_ER2_SF</v>
      </c>
      <c r="G604" s="2407"/>
      <c r="H604" s="2407"/>
      <c r="I604" s="1268"/>
      <c r="J604" s="1534">
        <v>14.3</v>
      </c>
      <c r="K604" s="1307"/>
      <c r="L604" s="731" t="s">
        <v>1111</v>
      </c>
      <c r="M604" s="50"/>
      <c r="N604" s="50"/>
      <c r="O604" s="50"/>
      <c r="P604" s="50"/>
      <c r="Q604" s="50"/>
      <c r="R604" s="50"/>
      <c r="S604" s="50"/>
      <c r="V604" s="2422"/>
      <c r="W604" s="779"/>
      <c r="X604" s="779"/>
      <c r="Y604" s="779"/>
      <c r="Z604" s="779"/>
      <c r="AA604" s="779"/>
      <c r="AB604" s="779"/>
      <c r="AC604" s="779"/>
      <c r="AD604" s="906"/>
      <c r="AE604" s="906"/>
      <c r="AF604" s="253">
        <v>14.3</v>
      </c>
      <c r="AG604" s="253">
        <f t="shared" si="105"/>
        <v>14.3</v>
      </c>
      <c r="DG604" s="543"/>
      <c r="DH604" s="172"/>
      <c r="DI604" s="1020"/>
      <c r="DJ604" s="2045"/>
    </row>
    <row r="605" spans="1:114" outlineLevel="1" x14ac:dyDescent="0.25">
      <c r="A605" s="2145"/>
      <c r="C605" s="541"/>
      <c r="D605" s="2415" t="s">
        <v>937</v>
      </c>
      <c r="E605" s="2415" t="s">
        <v>1112</v>
      </c>
      <c r="F605" s="2404" t="str">
        <f>$E$513</f>
        <v>GSHP-EER23-Replace_CAC_ElectricHeat_ROF_SF</v>
      </c>
      <c r="G605" s="2404"/>
      <c r="H605" s="2404"/>
      <c r="I605" s="1268"/>
      <c r="J605" s="1958">
        <v>28.406547619047601</v>
      </c>
      <c r="K605" s="1249"/>
      <c r="L605" s="1962" t="s">
        <v>1104</v>
      </c>
      <c r="T605" s="50"/>
      <c r="U605" s="50"/>
      <c r="V605" s="2422" t="s">
        <v>937</v>
      </c>
      <c r="W605" s="1268">
        <v>26.7</v>
      </c>
      <c r="X605" s="779">
        <v>27.07</v>
      </c>
      <c r="Y605" s="232">
        <v>28</v>
      </c>
      <c r="Z605" s="688">
        <v>28</v>
      </c>
      <c r="AA605" s="688">
        <v>28</v>
      </c>
      <c r="AB605" s="695">
        <v>27.751818181818177</v>
      </c>
      <c r="AC605" s="695">
        <v>27.573333333333338</v>
      </c>
      <c r="AD605" s="882">
        <v>28.98</v>
      </c>
      <c r="AE605" s="882">
        <v>29.167010309278364</v>
      </c>
      <c r="AF605" s="253">
        <v>27.75</v>
      </c>
      <c r="AG605" s="253">
        <f t="shared" si="105"/>
        <v>28.406547619047601</v>
      </c>
      <c r="DG605" s="543"/>
      <c r="DH605" s="172"/>
      <c r="DI605" s="1020"/>
      <c r="DJ605" s="2045"/>
    </row>
    <row r="606" spans="1:114" outlineLevel="1" x14ac:dyDescent="0.25">
      <c r="A606" s="2145"/>
      <c r="C606" s="541"/>
      <c r="D606" s="2415"/>
      <c r="E606" s="2415"/>
      <c r="F606" s="2404" t="str">
        <f>$E$515</f>
        <v>GSHP-EER23-Replace_CAC_ElectricHeat_ER1_SF</v>
      </c>
      <c r="G606" s="2404"/>
      <c r="H606" s="2404"/>
      <c r="I606" s="1268"/>
      <c r="J606" s="1958">
        <v>28.406547619047601</v>
      </c>
      <c r="K606" s="1249"/>
      <c r="L606" s="1962" t="s">
        <v>1104</v>
      </c>
      <c r="T606" s="50"/>
      <c r="U606" s="50"/>
      <c r="V606" s="2422"/>
      <c r="W606" s="1268">
        <v>27.2</v>
      </c>
      <c r="X606" s="779">
        <v>27.07</v>
      </c>
      <c r="Y606" s="232">
        <v>28.1</v>
      </c>
      <c r="Z606" s="688">
        <v>28.1</v>
      </c>
      <c r="AA606" s="688">
        <v>28.1</v>
      </c>
      <c r="AB606" s="695">
        <v>29.562499999999996</v>
      </c>
      <c r="AC606" s="695">
        <v>33.647058823529413</v>
      </c>
      <c r="AD606" s="882">
        <v>28.21</v>
      </c>
      <c r="AE606" s="975">
        <v>28.21</v>
      </c>
      <c r="AF606" s="253">
        <v>27.75</v>
      </c>
      <c r="AG606" s="253">
        <f t="shared" si="105"/>
        <v>28.406547619047601</v>
      </c>
      <c r="DG606" s="543"/>
      <c r="DH606" s="172"/>
      <c r="DI606" s="1020"/>
      <c r="DJ606" s="2045"/>
    </row>
    <row r="607" spans="1:114" outlineLevel="1" x14ac:dyDescent="0.25">
      <c r="A607" s="2145"/>
      <c r="C607" s="541"/>
      <c r="D607" s="2415"/>
      <c r="E607" s="2415"/>
      <c r="F607" s="2404" t="str">
        <f>$E$517</f>
        <v>GSHP-EER23-Replace_CAC_ElectricHeat_ER2_SF</v>
      </c>
      <c r="G607" s="2404"/>
      <c r="H607" s="2404"/>
      <c r="I607" s="1268"/>
      <c r="J607" s="1958">
        <v>28.406547619047601</v>
      </c>
      <c r="K607" s="239"/>
      <c r="L607" s="1962" t="s">
        <v>1104</v>
      </c>
      <c r="T607" s="50"/>
      <c r="U607" s="50"/>
      <c r="V607" s="2422"/>
      <c r="W607" s="1268">
        <v>27.2</v>
      </c>
      <c r="X607" s="779">
        <v>27.07</v>
      </c>
      <c r="Y607" s="232">
        <v>28.1</v>
      </c>
      <c r="Z607" s="688">
        <v>28.1</v>
      </c>
      <c r="AA607" s="688">
        <v>28.1</v>
      </c>
      <c r="AB607" s="695">
        <v>29.562499999999996</v>
      </c>
      <c r="AC607" s="695">
        <v>33.647058823529413</v>
      </c>
      <c r="AD607" s="882">
        <v>28.213698630136992</v>
      </c>
      <c r="AE607" s="975">
        <v>28.21</v>
      </c>
      <c r="AF607" s="253">
        <v>27.75</v>
      </c>
      <c r="AG607" s="253">
        <f t="shared" si="105"/>
        <v>28.406547619047601</v>
      </c>
      <c r="DG607" s="543"/>
      <c r="DH607" s="172"/>
      <c r="DI607" s="1020"/>
      <c r="DJ607" s="2045"/>
    </row>
    <row r="608" spans="1:114" outlineLevel="1" x14ac:dyDescent="0.25">
      <c r="A608" s="2145"/>
      <c r="C608" s="541"/>
      <c r="D608" s="2415"/>
      <c r="E608" s="2415"/>
      <c r="F608" s="2404" t="str">
        <f>$E$519</f>
        <v>GSHP-EER23-Replace_ASHP_ER1_SF</v>
      </c>
      <c r="G608" s="2404"/>
      <c r="H608" s="2404"/>
      <c r="I608" s="1268"/>
      <c r="J608" s="1958">
        <v>28.406547619047601</v>
      </c>
      <c r="K608" s="239"/>
      <c r="L608" s="1962" t="s">
        <v>1104</v>
      </c>
      <c r="T608" s="50"/>
      <c r="U608" s="50"/>
      <c r="V608" s="2422"/>
      <c r="W608" s="1268">
        <v>27.2</v>
      </c>
      <c r="X608" s="779">
        <v>27.07</v>
      </c>
      <c r="Y608" s="232">
        <v>28</v>
      </c>
      <c r="Z608" s="688">
        <v>28</v>
      </c>
      <c r="AA608" s="688">
        <v>28</v>
      </c>
      <c r="AB608" s="695">
        <v>27.412765957446812</v>
      </c>
      <c r="AC608" s="695">
        <v>27.739508196721314</v>
      </c>
      <c r="AD608" s="882">
        <v>28.213698630136992</v>
      </c>
      <c r="AE608" s="975">
        <v>28.21</v>
      </c>
      <c r="AF608" s="253">
        <v>27.75</v>
      </c>
      <c r="AG608" s="253">
        <f t="shared" si="105"/>
        <v>28.406547619047601</v>
      </c>
      <c r="DG608" s="543"/>
      <c r="DH608" s="172"/>
      <c r="DI608" s="1020"/>
      <c r="DJ608" s="2045"/>
    </row>
    <row r="609" spans="1:114" outlineLevel="1" x14ac:dyDescent="0.25">
      <c r="A609" s="2145"/>
      <c r="C609" s="541"/>
      <c r="D609" s="2415"/>
      <c r="E609" s="2415"/>
      <c r="F609" s="2407" t="str">
        <f>$E$521</f>
        <v>GSHP-EER23-Replace_ASHP_ER2_SF</v>
      </c>
      <c r="G609" s="2407"/>
      <c r="H609" s="2407"/>
      <c r="I609" s="1268"/>
      <c r="J609" s="1958">
        <v>28.406547619047601</v>
      </c>
      <c r="K609" s="239"/>
      <c r="L609" s="1962" t="s">
        <v>1104</v>
      </c>
      <c r="T609" s="50"/>
      <c r="U609" s="50"/>
      <c r="V609" s="2422"/>
      <c r="W609" s="1268"/>
      <c r="X609" s="779"/>
      <c r="Y609" s="232"/>
      <c r="Z609" s="688"/>
      <c r="AA609" s="688"/>
      <c r="AB609" s="695">
        <v>27.412765957446812</v>
      </c>
      <c r="AC609" s="695">
        <v>27.739508196721314</v>
      </c>
      <c r="AD609" s="882">
        <v>28.213698630136992</v>
      </c>
      <c r="AE609" s="975">
        <v>28.21</v>
      </c>
      <c r="AF609" s="253">
        <v>27.75</v>
      </c>
      <c r="AG609" s="253">
        <f t="shared" si="105"/>
        <v>28.406547619047601</v>
      </c>
      <c r="DG609" s="543"/>
      <c r="DH609" s="172"/>
      <c r="DI609" s="1020"/>
      <c r="DJ609" s="2045"/>
    </row>
    <row r="610" spans="1:114" outlineLevel="1" x14ac:dyDescent="0.25">
      <c r="A610" s="2145"/>
      <c r="C610" s="541"/>
      <c r="D610" s="2415"/>
      <c r="E610" s="2415"/>
      <c r="F610" s="2404" t="str">
        <f>$E$523</f>
        <v>GSHP-EER23_ROF_SF</v>
      </c>
      <c r="G610" s="2404"/>
      <c r="H610" s="2404"/>
      <c r="I610" s="1268"/>
      <c r="J610" s="1958">
        <v>28.955555555555598</v>
      </c>
      <c r="K610" s="239"/>
      <c r="L610" s="1962" t="s">
        <v>1105</v>
      </c>
      <c r="T610" s="50"/>
      <c r="U610" s="50"/>
      <c r="V610" s="2422"/>
      <c r="W610" s="1268">
        <v>26.7</v>
      </c>
      <c r="X610" s="779">
        <v>27.07</v>
      </c>
      <c r="Y610" s="232">
        <v>28</v>
      </c>
      <c r="Z610" s="688">
        <v>28</v>
      </c>
      <c r="AA610" s="688">
        <v>28</v>
      </c>
      <c r="AB610" s="695">
        <v>27.543478260869559</v>
      </c>
      <c r="AC610" s="695">
        <v>27.846590909090903</v>
      </c>
      <c r="AD610" s="882">
        <v>28.98468468468467</v>
      </c>
      <c r="AE610" s="882">
        <v>29.167010309278364</v>
      </c>
      <c r="AF610" s="253">
        <v>27.75</v>
      </c>
      <c r="AG610" s="253">
        <f t="shared" si="105"/>
        <v>28.955555555555598</v>
      </c>
      <c r="DG610" s="543"/>
      <c r="DH610" s="172"/>
      <c r="DI610" s="1020"/>
      <c r="DJ610" s="2045"/>
    </row>
    <row r="611" spans="1:114" s="39" customFormat="1" outlineLevel="1" x14ac:dyDescent="0.25">
      <c r="A611" s="2145"/>
      <c r="C611" s="541"/>
      <c r="D611" s="2415"/>
      <c r="E611" s="2415"/>
      <c r="F611" s="2407" t="str">
        <f>$E$525</f>
        <v>GSHP-EER23-Replace_GSHP_ER1_SF</v>
      </c>
      <c r="G611" s="2407"/>
      <c r="H611" s="2407"/>
      <c r="I611" s="1268"/>
      <c r="J611" s="1958">
        <v>28.406547619047601</v>
      </c>
      <c r="K611" s="239"/>
      <c r="L611" s="1962" t="s">
        <v>1104</v>
      </c>
      <c r="M611" s="50"/>
      <c r="N611" s="50"/>
      <c r="O611" s="50"/>
      <c r="P611" s="50"/>
      <c r="Q611" s="50"/>
      <c r="R611" s="50"/>
      <c r="S611" s="50"/>
      <c r="V611" s="2422"/>
      <c r="W611" s="779"/>
      <c r="X611" s="779"/>
      <c r="Y611" s="232"/>
      <c r="Z611" s="232"/>
      <c r="AA611" s="232"/>
      <c r="AB611" s="695"/>
      <c r="AC611" s="695"/>
      <c r="AD611" s="882"/>
      <c r="AE611" s="882"/>
      <c r="AF611" s="253">
        <v>27.75</v>
      </c>
      <c r="AG611" s="253">
        <f t="shared" si="105"/>
        <v>28.406547619047601</v>
      </c>
      <c r="DG611" s="543"/>
      <c r="DH611" s="172"/>
      <c r="DI611" s="1020"/>
      <c r="DJ611" s="2045"/>
    </row>
    <row r="612" spans="1:114" s="39" customFormat="1" outlineLevel="1" x14ac:dyDescent="0.25">
      <c r="A612" s="2145"/>
      <c r="C612" s="541"/>
      <c r="D612" s="2415"/>
      <c r="E612" s="2415"/>
      <c r="F612" s="2407" t="str">
        <f>$E$527</f>
        <v>GSHP-EER23-Replace_GSHP_ER2_SF</v>
      </c>
      <c r="G612" s="2407"/>
      <c r="H612" s="2407"/>
      <c r="I612" s="1268"/>
      <c r="J612" s="1958">
        <v>28.406547619047601</v>
      </c>
      <c r="K612" s="239"/>
      <c r="L612" s="1962" t="s">
        <v>1104</v>
      </c>
      <c r="M612" s="50"/>
      <c r="N612" s="50"/>
      <c r="O612" s="50"/>
      <c r="P612" s="50"/>
      <c r="Q612" s="50"/>
      <c r="R612" s="50"/>
      <c r="S612" s="50"/>
      <c r="V612" s="2422"/>
      <c r="W612" s="779"/>
      <c r="X612" s="779"/>
      <c r="Y612" s="232"/>
      <c r="Z612" s="232"/>
      <c r="AA612" s="232"/>
      <c r="AB612" s="695"/>
      <c r="AC612" s="695"/>
      <c r="AD612" s="882"/>
      <c r="AE612" s="882"/>
      <c r="AF612" s="253">
        <v>27.75</v>
      </c>
      <c r="AG612" s="253">
        <f t="shared" si="105"/>
        <v>28.406547619047601</v>
      </c>
      <c r="DG612" s="543"/>
      <c r="DH612" s="172"/>
      <c r="DI612" s="1020"/>
      <c r="DJ612" s="2045"/>
    </row>
    <row r="613" spans="1:114" ht="26.25" customHeight="1" outlineLevel="1" x14ac:dyDescent="0.25">
      <c r="A613" s="2145"/>
      <c r="C613" s="541"/>
      <c r="D613" s="1248" t="s">
        <v>105</v>
      </c>
      <c r="E613" s="1248" t="s">
        <v>944</v>
      </c>
      <c r="F613" s="2430" t="s">
        <v>742</v>
      </c>
      <c r="G613" s="2430"/>
      <c r="H613" s="2430"/>
      <c r="I613" s="1276"/>
      <c r="J613" s="1490">
        <v>1</v>
      </c>
      <c r="K613" s="239"/>
      <c r="L613" s="731" t="s">
        <v>945</v>
      </c>
      <c r="T613" s="39"/>
      <c r="U613" s="39"/>
      <c r="V613" s="1248" t="s">
        <v>105</v>
      </c>
      <c r="W613" s="906"/>
      <c r="X613" s="906"/>
      <c r="Y613" s="695"/>
      <c r="Z613" s="906"/>
      <c r="AA613" s="1427"/>
      <c r="AB613" s="1428">
        <v>1</v>
      </c>
      <c r="AC613" s="1064">
        <v>1</v>
      </c>
      <c r="AD613" s="1064">
        <v>1</v>
      </c>
      <c r="AE613" s="1064">
        <v>1</v>
      </c>
      <c r="AF613" s="1323">
        <v>1</v>
      </c>
      <c r="AG613" s="1323">
        <f>IF(J613&lt;&gt;"",J613,"")</f>
        <v>1</v>
      </c>
      <c r="AH613" s="39"/>
      <c r="AI613" s="39"/>
      <c r="AJ613" s="39"/>
      <c r="AK613" s="39"/>
      <c r="AL613" s="39"/>
      <c r="AM613" s="39"/>
      <c r="AN613" s="39"/>
      <c r="AO613" s="39"/>
      <c r="AP613" s="39"/>
      <c r="AQ613" s="39"/>
      <c r="AR613" s="39"/>
      <c r="AS613" s="39"/>
      <c r="AT613" s="39"/>
      <c r="AU613" s="39"/>
      <c r="AV613" s="39"/>
      <c r="AW613" s="39"/>
      <c r="AX613" s="39"/>
      <c r="DG613" s="543"/>
      <c r="DH613" s="172"/>
      <c r="DI613" s="1020"/>
      <c r="DJ613" s="2045"/>
    </row>
    <row r="614" spans="1:114" outlineLevel="1" x14ac:dyDescent="0.25">
      <c r="A614" s="2145"/>
      <c r="B614" s="166"/>
      <c r="C614" s="541"/>
      <c r="D614" s="2415" t="s">
        <v>50</v>
      </c>
      <c r="E614" s="2415" t="s">
        <v>801</v>
      </c>
      <c r="F614" s="2404" t="str">
        <f t="shared" ref="F614:F625" si="110">E513</f>
        <v>GSHP-EER23-Replace_CAC_ElectricHeat_ROF_SF</v>
      </c>
      <c r="G614" s="2404"/>
      <c r="H614" s="2404"/>
      <c r="I614" s="1268"/>
      <c r="J614" s="1454">
        <v>25</v>
      </c>
      <c r="K614" s="1307"/>
      <c r="L614" s="2393" t="s">
        <v>1113</v>
      </c>
      <c r="T614" s="50"/>
      <c r="U614" s="50"/>
      <c r="V614" s="2415" t="s">
        <v>50</v>
      </c>
      <c r="W614" s="1268">
        <v>18</v>
      </c>
      <c r="X614" s="1268">
        <v>18</v>
      </c>
      <c r="Y614" s="1268">
        <v>18</v>
      </c>
      <c r="Z614" s="1268">
        <v>18</v>
      </c>
      <c r="AA614" s="1268">
        <v>18</v>
      </c>
      <c r="AB614" s="1268">
        <v>18</v>
      </c>
      <c r="AC614" s="1268">
        <v>18</v>
      </c>
      <c r="AD614" s="1268">
        <v>18</v>
      </c>
      <c r="AE614" s="1268">
        <v>18</v>
      </c>
      <c r="AF614" s="253">
        <v>25</v>
      </c>
      <c r="AG614" s="253">
        <f t="shared" si="105"/>
        <v>25</v>
      </c>
      <c r="DG614" s="543"/>
      <c r="DH614" s="172"/>
      <c r="DI614" s="1020"/>
      <c r="DJ614" s="2045"/>
    </row>
    <row r="615" spans="1:114" outlineLevel="1" x14ac:dyDescent="0.25">
      <c r="A615" s="2145"/>
      <c r="B615" s="166"/>
      <c r="C615" s="541"/>
      <c r="D615" s="2415"/>
      <c r="E615" s="2415"/>
      <c r="F615" s="2404" t="str">
        <f t="shared" si="110"/>
        <v>GSHP-EER23-Replace_CAC_ElectricHeat_ROF_SF</v>
      </c>
      <c r="G615" s="2404"/>
      <c r="H615" s="2404"/>
      <c r="I615" s="1268"/>
      <c r="J615" s="1454">
        <v>25</v>
      </c>
      <c r="K615" s="1307"/>
      <c r="L615" s="2420"/>
      <c r="T615" s="50"/>
      <c r="U615" s="50"/>
      <c r="V615" s="2415"/>
      <c r="W615" s="1268">
        <v>18</v>
      </c>
      <c r="X615" s="1268">
        <v>18</v>
      </c>
      <c r="Y615" s="1268">
        <v>18</v>
      </c>
      <c r="Z615" s="1268">
        <v>18</v>
      </c>
      <c r="AA615" s="1268">
        <v>18</v>
      </c>
      <c r="AB615" s="1268">
        <v>18</v>
      </c>
      <c r="AC615" s="1268">
        <v>18</v>
      </c>
      <c r="AD615" s="1268">
        <v>18</v>
      </c>
      <c r="AE615" s="1268">
        <v>18</v>
      </c>
      <c r="AF615" s="253">
        <v>25</v>
      </c>
      <c r="AG615" s="253">
        <f t="shared" ref="AG615:AG640" si="111">IF(J615&lt;&gt;"",J615,"")</f>
        <v>25</v>
      </c>
      <c r="DG615" s="543"/>
      <c r="DH615" s="172"/>
      <c r="DI615" s="1020"/>
      <c r="DJ615" s="2045"/>
    </row>
    <row r="616" spans="1:114" outlineLevel="1" x14ac:dyDescent="0.25">
      <c r="A616" s="2145"/>
      <c r="B616" s="166"/>
      <c r="C616" s="541"/>
      <c r="D616" s="2415"/>
      <c r="E616" s="2415"/>
      <c r="F616" s="2404" t="str">
        <f t="shared" si="110"/>
        <v>GSHP-EER23-Replace_CAC_ElectricHeat_ER1_SF</v>
      </c>
      <c r="G616" s="2404"/>
      <c r="H616" s="2404"/>
      <c r="I616" s="1268"/>
      <c r="J616" s="1454">
        <v>6</v>
      </c>
      <c r="K616" s="1423"/>
      <c r="L616" s="2420"/>
      <c r="T616" s="50"/>
      <c r="U616" s="50"/>
      <c r="V616" s="2415"/>
      <c r="W616" s="1268">
        <v>6</v>
      </c>
      <c r="X616" s="1268">
        <v>6</v>
      </c>
      <c r="Y616" s="1268">
        <v>6</v>
      </c>
      <c r="Z616" s="1268">
        <v>6</v>
      </c>
      <c r="AA616" s="1268">
        <v>6</v>
      </c>
      <c r="AB616" s="1268">
        <v>6</v>
      </c>
      <c r="AC616" s="1268">
        <v>6</v>
      </c>
      <c r="AD616" s="1268">
        <v>6</v>
      </c>
      <c r="AE616" s="1268">
        <v>6</v>
      </c>
      <c r="AF616" s="253">
        <v>6</v>
      </c>
      <c r="AG616" s="253">
        <f t="shared" si="111"/>
        <v>6</v>
      </c>
      <c r="DG616" s="543"/>
      <c r="DH616" s="172"/>
      <c r="DI616" s="1020"/>
      <c r="DJ616" s="2045"/>
    </row>
    <row r="617" spans="1:114" outlineLevel="1" x14ac:dyDescent="0.25">
      <c r="A617" s="2145"/>
      <c r="B617" s="166"/>
      <c r="C617" s="541"/>
      <c r="D617" s="2415"/>
      <c r="E617" s="2415"/>
      <c r="F617" s="2404" t="str">
        <f t="shared" si="110"/>
        <v>GSHP-EER23-Replace_CAC_ElectricHeat_ER1_SF</v>
      </c>
      <c r="G617" s="2404"/>
      <c r="H617" s="2404"/>
      <c r="I617" s="1268"/>
      <c r="J617" s="1454">
        <v>6</v>
      </c>
      <c r="K617" s="1423"/>
      <c r="L617" s="2420"/>
      <c r="T617" s="50"/>
      <c r="U617" s="50"/>
      <c r="V617" s="2415"/>
      <c r="W617" s="1268">
        <v>6</v>
      </c>
      <c r="X617" s="1268">
        <v>6</v>
      </c>
      <c r="Y617" s="1268">
        <v>6</v>
      </c>
      <c r="Z617" s="1268">
        <v>6</v>
      </c>
      <c r="AA617" s="1268">
        <v>6</v>
      </c>
      <c r="AB617" s="1268">
        <v>6</v>
      </c>
      <c r="AC617" s="1268">
        <v>6</v>
      </c>
      <c r="AD617" s="1268">
        <v>6</v>
      </c>
      <c r="AE617" s="1268">
        <v>6</v>
      </c>
      <c r="AF617" s="253">
        <v>6</v>
      </c>
      <c r="AG617" s="253">
        <f t="shared" si="111"/>
        <v>6</v>
      </c>
      <c r="DG617" s="543"/>
      <c r="DH617" s="172"/>
      <c r="DI617" s="1020"/>
      <c r="DJ617" s="2045"/>
    </row>
    <row r="618" spans="1:114" outlineLevel="1" x14ac:dyDescent="0.25">
      <c r="A618" s="2145"/>
      <c r="B618" s="166"/>
      <c r="C618" s="541"/>
      <c r="D618" s="2415"/>
      <c r="E618" s="2415"/>
      <c r="F618" s="2404" t="str">
        <f t="shared" si="110"/>
        <v>GSHP-EER23-Replace_CAC_ElectricHeat_ER2_SF</v>
      </c>
      <c r="G618" s="2404"/>
      <c r="H618" s="2404"/>
      <c r="I618" s="1268"/>
      <c r="J618" s="1454">
        <f>25-6</f>
        <v>19</v>
      </c>
      <c r="K618" s="1307"/>
      <c r="L618" s="2420"/>
      <c r="T618" s="50"/>
      <c r="U618" s="50"/>
      <c r="V618" s="2415"/>
      <c r="W618" s="1268">
        <v>12</v>
      </c>
      <c r="X618" s="1268">
        <v>12</v>
      </c>
      <c r="Y618" s="1268">
        <v>12</v>
      </c>
      <c r="Z618" s="1268">
        <v>12</v>
      </c>
      <c r="AA618" s="1268">
        <v>12</v>
      </c>
      <c r="AB618" s="1268">
        <v>12</v>
      </c>
      <c r="AC618" s="1268">
        <v>12</v>
      </c>
      <c r="AD618" s="1268">
        <v>12</v>
      </c>
      <c r="AE618" s="1268">
        <v>12</v>
      </c>
      <c r="AF618" s="253">
        <v>19</v>
      </c>
      <c r="AG618" s="253">
        <f t="shared" si="111"/>
        <v>19</v>
      </c>
      <c r="DG618" s="543"/>
      <c r="DH618" s="172"/>
      <c r="DI618" s="1020"/>
      <c r="DJ618" s="2045"/>
    </row>
    <row r="619" spans="1:114" outlineLevel="1" x14ac:dyDescent="0.25">
      <c r="A619" s="2145"/>
      <c r="B619" s="166"/>
      <c r="C619" s="541"/>
      <c r="D619" s="2415"/>
      <c r="E619" s="2415"/>
      <c r="F619" s="2404" t="str">
        <f t="shared" si="110"/>
        <v>GSHP-EER23-Replace_CAC_ElectricHeat_ER2_SF</v>
      </c>
      <c r="G619" s="2404"/>
      <c r="H619" s="2404"/>
      <c r="I619" s="1268"/>
      <c r="J619" s="1454">
        <f>25-6</f>
        <v>19</v>
      </c>
      <c r="K619" s="1307"/>
      <c r="L619" s="2420"/>
      <c r="T619" s="50"/>
      <c r="U619" s="50"/>
      <c r="V619" s="2415"/>
      <c r="W619" s="1268">
        <v>12</v>
      </c>
      <c r="X619" s="1268">
        <v>12</v>
      </c>
      <c r="Y619" s="1268">
        <v>12</v>
      </c>
      <c r="Z619" s="1268">
        <v>12</v>
      </c>
      <c r="AA619" s="1268">
        <v>12</v>
      </c>
      <c r="AB619" s="1268">
        <v>12</v>
      </c>
      <c r="AC619" s="1268">
        <v>12</v>
      </c>
      <c r="AD619" s="1268">
        <v>12</v>
      </c>
      <c r="AE619" s="1268">
        <v>12</v>
      </c>
      <c r="AF619" s="253">
        <v>19</v>
      </c>
      <c r="AG619" s="253">
        <f t="shared" si="111"/>
        <v>19</v>
      </c>
      <c r="DG619" s="543"/>
      <c r="DH619" s="172"/>
      <c r="DI619" s="1020"/>
      <c r="DJ619" s="2045"/>
    </row>
    <row r="620" spans="1:114" outlineLevel="1" x14ac:dyDescent="0.25">
      <c r="A620" s="2145"/>
      <c r="B620" s="166"/>
      <c r="C620" s="541"/>
      <c r="D620" s="2415"/>
      <c r="E620" s="2415"/>
      <c r="F620" s="2404" t="str">
        <f t="shared" si="110"/>
        <v>GSHP-EER23-Replace_ASHP_ER1_SF</v>
      </c>
      <c r="G620" s="2404"/>
      <c r="H620" s="2404"/>
      <c r="I620" s="1268"/>
      <c r="J620" s="1454">
        <v>6</v>
      </c>
      <c r="K620" s="1423"/>
      <c r="L620" s="2420"/>
      <c r="T620" s="50"/>
      <c r="U620" s="50"/>
      <c r="V620" s="2415"/>
      <c r="W620" s="1268">
        <v>6</v>
      </c>
      <c r="X620" s="1268">
        <v>6</v>
      </c>
      <c r="Y620" s="1268">
        <v>6</v>
      </c>
      <c r="Z620" s="1268">
        <v>6</v>
      </c>
      <c r="AA620" s="1268">
        <v>6</v>
      </c>
      <c r="AB620" s="1268">
        <v>6</v>
      </c>
      <c r="AC620" s="1268">
        <v>6</v>
      </c>
      <c r="AD620" s="1268">
        <v>6</v>
      </c>
      <c r="AE620" s="1268">
        <v>6</v>
      </c>
      <c r="AF620" s="253">
        <v>6</v>
      </c>
      <c r="AG620" s="253">
        <f t="shared" si="111"/>
        <v>6</v>
      </c>
      <c r="DG620" s="543"/>
      <c r="DH620" s="172"/>
      <c r="DI620" s="1020"/>
      <c r="DJ620" s="2045"/>
    </row>
    <row r="621" spans="1:114" outlineLevel="1" x14ac:dyDescent="0.25">
      <c r="A621" s="2145"/>
      <c r="B621" s="166"/>
      <c r="C621" s="541"/>
      <c r="D621" s="2415"/>
      <c r="E621" s="2415"/>
      <c r="F621" s="2404" t="str">
        <f t="shared" si="110"/>
        <v>GSHP-EER23-Replace_ASHP_ER1_SF</v>
      </c>
      <c r="G621" s="2404"/>
      <c r="H621" s="2404"/>
      <c r="I621" s="1268"/>
      <c r="J621" s="1454">
        <v>6</v>
      </c>
      <c r="K621" s="1423"/>
      <c r="L621" s="2420"/>
      <c r="T621" s="50"/>
      <c r="U621" s="50"/>
      <c r="V621" s="2415"/>
      <c r="W621" s="1268">
        <v>6</v>
      </c>
      <c r="X621" s="1268">
        <v>6</v>
      </c>
      <c r="Y621" s="1268">
        <v>6</v>
      </c>
      <c r="Z621" s="1268">
        <v>6</v>
      </c>
      <c r="AA621" s="1268">
        <v>6</v>
      </c>
      <c r="AB621" s="1268">
        <v>6</v>
      </c>
      <c r="AC621" s="1268">
        <v>6</v>
      </c>
      <c r="AD621" s="1268">
        <v>6</v>
      </c>
      <c r="AE621" s="1268">
        <v>6</v>
      </c>
      <c r="AF621" s="253">
        <v>6</v>
      </c>
      <c r="AG621" s="253">
        <f t="shared" si="111"/>
        <v>6</v>
      </c>
      <c r="DG621" s="543"/>
      <c r="DH621" s="172"/>
      <c r="DI621" s="1020"/>
      <c r="DJ621" s="2045"/>
    </row>
    <row r="622" spans="1:114" outlineLevel="1" x14ac:dyDescent="0.25">
      <c r="A622" s="2145"/>
      <c r="B622" s="166"/>
      <c r="C622" s="541"/>
      <c r="D622" s="2415"/>
      <c r="E622" s="2415"/>
      <c r="F622" s="2404" t="str">
        <f t="shared" si="110"/>
        <v>GSHP-EER23-Replace_ASHP_ER2_SF</v>
      </c>
      <c r="G622" s="2404"/>
      <c r="H622" s="2404"/>
      <c r="I622" s="1268"/>
      <c r="J622" s="1454">
        <f>25-6</f>
        <v>19</v>
      </c>
      <c r="K622" s="1307"/>
      <c r="L622" s="2420"/>
      <c r="T622" s="50"/>
      <c r="U622" s="50"/>
      <c r="V622" s="2415"/>
      <c r="W622" s="1268">
        <v>12</v>
      </c>
      <c r="X622" s="1268">
        <v>12</v>
      </c>
      <c r="Y622" s="1268">
        <v>12</v>
      </c>
      <c r="Z622" s="1268">
        <v>12</v>
      </c>
      <c r="AA622" s="1268">
        <v>12</v>
      </c>
      <c r="AB622" s="1268">
        <v>12</v>
      </c>
      <c r="AC622" s="1268">
        <v>12</v>
      </c>
      <c r="AD622" s="1268">
        <v>12</v>
      </c>
      <c r="AE622" s="1268">
        <v>12</v>
      </c>
      <c r="AF622" s="253">
        <v>19</v>
      </c>
      <c r="AG622" s="253">
        <f t="shared" si="111"/>
        <v>19</v>
      </c>
      <c r="DG622" s="543"/>
      <c r="DH622" s="172"/>
      <c r="DI622" s="1020"/>
      <c r="DJ622" s="2045"/>
    </row>
    <row r="623" spans="1:114" outlineLevel="1" x14ac:dyDescent="0.25">
      <c r="A623" s="2145"/>
      <c r="B623" s="166"/>
      <c r="C623" s="541"/>
      <c r="D623" s="2415"/>
      <c r="E623" s="2415"/>
      <c r="F623" s="2404" t="str">
        <f t="shared" si="110"/>
        <v>GSHP-EER23-Replace_ASHP_ER2_SF</v>
      </c>
      <c r="G623" s="2404"/>
      <c r="H623" s="2404"/>
      <c r="I623" s="1268"/>
      <c r="J623" s="1454">
        <f>25-6</f>
        <v>19</v>
      </c>
      <c r="K623" s="1423"/>
      <c r="L623" s="2420"/>
      <c r="T623" s="50"/>
      <c r="U623" s="50"/>
      <c r="V623" s="2415"/>
      <c r="W623" s="1268">
        <v>12</v>
      </c>
      <c r="X623" s="1268">
        <v>12</v>
      </c>
      <c r="Y623" s="1268">
        <v>12</v>
      </c>
      <c r="Z623" s="1268">
        <v>12</v>
      </c>
      <c r="AA623" s="1268">
        <v>12</v>
      </c>
      <c r="AB623" s="1268">
        <v>12</v>
      </c>
      <c r="AC623" s="1268">
        <v>12</v>
      </c>
      <c r="AD623" s="1268">
        <v>12</v>
      </c>
      <c r="AE623" s="1268">
        <v>12</v>
      </c>
      <c r="AF623" s="253">
        <v>19</v>
      </c>
      <c r="AG623" s="253">
        <f t="shared" si="111"/>
        <v>19</v>
      </c>
      <c r="DG623" s="543"/>
      <c r="DH623" s="172"/>
      <c r="DI623" s="1020"/>
      <c r="DJ623" s="2045"/>
    </row>
    <row r="624" spans="1:114" outlineLevel="1" x14ac:dyDescent="0.25">
      <c r="A624" s="2145"/>
      <c r="B624" s="166"/>
      <c r="C624" s="541"/>
      <c r="D624" s="2415"/>
      <c r="E624" s="2415"/>
      <c r="F624" s="2404" t="str">
        <f t="shared" si="110"/>
        <v>GSHP-EER23_ROF_SF</v>
      </c>
      <c r="G624" s="2404"/>
      <c r="H624" s="2404"/>
      <c r="I624" s="1268"/>
      <c r="J624" s="1454">
        <v>25</v>
      </c>
      <c r="K624" s="1423"/>
      <c r="L624" s="2420"/>
      <c r="T624" s="50"/>
      <c r="U624" s="50"/>
      <c r="V624" s="2415"/>
      <c r="W624" s="1268">
        <v>18</v>
      </c>
      <c r="X624" s="1268">
        <v>18</v>
      </c>
      <c r="Y624" s="1268">
        <v>18</v>
      </c>
      <c r="Z624" s="1268">
        <v>18</v>
      </c>
      <c r="AA624" s="1268">
        <v>18</v>
      </c>
      <c r="AB624" s="1268">
        <v>18</v>
      </c>
      <c r="AC624" s="1268">
        <v>18</v>
      </c>
      <c r="AD624" s="1268">
        <v>18</v>
      </c>
      <c r="AE624" s="1268">
        <v>18</v>
      </c>
      <c r="AF624" s="253">
        <v>25</v>
      </c>
      <c r="AG624" s="253">
        <f t="shared" si="111"/>
        <v>25</v>
      </c>
      <c r="DG624" s="543"/>
      <c r="DH624" s="172"/>
      <c r="DI624" s="1020"/>
      <c r="DJ624" s="2045"/>
    </row>
    <row r="625" spans="1:114" outlineLevel="1" x14ac:dyDescent="0.25">
      <c r="A625" s="2145"/>
      <c r="B625" s="166"/>
      <c r="C625" s="541"/>
      <c r="D625" s="2415"/>
      <c r="E625" s="2415"/>
      <c r="F625" s="2404" t="str">
        <f t="shared" si="110"/>
        <v>GSHP-EER23_ROF_SF</v>
      </c>
      <c r="G625" s="2404"/>
      <c r="H625" s="2404"/>
      <c r="I625" s="1268"/>
      <c r="J625" s="1454">
        <v>25</v>
      </c>
      <c r="K625" s="1423"/>
      <c r="L625" s="2420"/>
      <c r="T625" s="50"/>
      <c r="U625" s="50"/>
      <c r="V625" s="2415"/>
      <c r="W625" s="1268">
        <v>18</v>
      </c>
      <c r="X625" s="1268">
        <v>18</v>
      </c>
      <c r="Y625" s="1268">
        <v>18</v>
      </c>
      <c r="Z625" s="1268">
        <v>18</v>
      </c>
      <c r="AA625" s="1268">
        <v>18</v>
      </c>
      <c r="AB625" s="1268">
        <v>18</v>
      </c>
      <c r="AC625" s="1268">
        <v>18</v>
      </c>
      <c r="AD625" s="1268">
        <v>18</v>
      </c>
      <c r="AE625" s="1268">
        <v>18</v>
      </c>
      <c r="AF625" s="253">
        <v>25</v>
      </c>
      <c r="AG625" s="253">
        <f t="shared" si="111"/>
        <v>25</v>
      </c>
      <c r="DG625" s="543"/>
      <c r="DH625" s="172"/>
      <c r="DI625" s="1020"/>
      <c r="DJ625" s="2045"/>
    </row>
    <row r="626" spans="1:114" s="39" customFormat="1" outlineLevel="1" x14ac:dyDescent="0.25">
      <c r="A626" s="2145"/>
      <c r="B626" s="143"/>
      <c r="C626" s="541"/>
      <c r="D626" s="2415"/>
      <c r="E626" s="2415"/>
      <c r="F626" s="2407" t="str">
        <f>$E$525</f>
        <v>GSHP-EER23-Replace_GSHP_ER1_SF</v>
      </c>
      <c r="G626" s="2407"/>
      <c r="H626" s="2407"/>
      <c r="I626" s="1268"/>
      <c r="J626" s="1454">
        <v>6</v>
      </c>
      <c r="K626" s="1423"/>
      <c r="L626" s="2420"/>
      <c r="M626" s="50"/>
      <c r="N626" s="50"/>
      <c r="O626" s="50"/>
      <c r="P626" s="50"/>
      <c r="Q626" s="50"/>
      <c r="R626" s="50"/>
      <c r="S626" s="50"/>
      <c r="V626" s="2415"/>
      <c r="W626" s="779"/>
      <c r="X626" s="779"/>
      <c r="Y626" s="779"/>
      <c r="Z626" s="779"/>
      <c r="AA626" s="779"/>
      <c r="AB626" s="779"/>
      <c r="AC626" s="779"/>
      <c r="AD626" s="779"/>
      <c r="AE626" s="779"/>
      <c r="AF626" s="253">
        <v>6</v>
      </c>
      <c r="AG626" s="253">
        <f t="shared" si="111"/>
        <v>6</v>
      </c>
      <c r="DG626" s="543"/>
      <c r="DH626" s="172"/>
      <c r="DI626" s="1020"/>
      <c r="DJ626" s="2045"/>
    </row>
    <row r="627" spans="1:114" s="39" customFormat="1" outlineLevel="1" x14ac:dyDescent="0.25">
      <c r="A627" s="2145"/>
      <c r="B627" s="143"/>
      <c r="C627" s="541"/>
      <c r="D627" s="2415"/>
      <c r="E627" s="2415"/>
      <c r="F627" s="2407" t="str">
        <f>$E$527</f>
        <v>GSHP-EER23-Replace_GSHP_ER2_SF</v>
      </c>
      <c r="G627" s="2407"/>
      <c r="H627" s="2407"/>
      <c r="I627" s="1268"/>
      <c r="J627" s="1454">
        <f>25-6</f>
        <v>19</v>
      </c>
      <c r="K627" s="1423"/>
      <c r="L627" s="2421"/>
      <c r="M627" s="50"/>
      <c r="N627" s="50"/>
      <c r="O627" s="50"/>
      <c r="P627" s="50"/>
      <c r="Q627" s="50"/>
      <c r="R627" s="50"/>
      <c r="S627" s="50"/>
      <c r="V627" s="2415"/>
      <c r="W627" s="779"/>
      <c r="X627" s="779"/>
      <c r="Y627" s="779"/>
      <c r="Z627" s="779"/>
      <c r="AA627" s="779"/>
      <c r="AB627" s="779"/>
      <c r="AC627" s="779"/>
      <c r="AD627" s="779"/>
      <c r="AE627" s="779"/>
      <c r="AF627" s="253">
        <v>19</v>
      </c>
      <c r="AG627" s="253">
        <f t="shared" si="111"/>
        <v>19</v>
      </c>
      <c r="DG627" s="543"/>
      <c r="DH627" s="172"/>
      <c r="DI627" s="1020"/>
      <c r="DJ627" s="2045"/>
    </row>
    <row r="628" spans="1:114" outlineLevel="1" x14ac:dyDescent="0.25">
      <c r="A628" s="2145"/>
      <c r="B628" s="166"/>
      <c r="C628" s="541"/>
      <c r="D628" s="2415" t="s">
        <v>51</v>
      </c>
      <c r="E628" s="2415" t="s">
        <v>835</v>
      </c>
      <c r="F628" s="2404" t="str">
        <f t="shared" ref="F628:F639" si="112">E513</f>
        <v>GSHP-EER23-Replace_CAC_ElectricHeat_ROF_SF</v>
      </c>
      <c r="G628" s="2404"/>
      <c r="H628" s="2404"/>
      <c r="I628" s="1268"/>
      <c r="J628" s="1531">
        <f>K628*S$550-(S$559+T$559*K628)</f>
        <v>10389.878378378377</v>
      </c>
      <c r="K628" s="1121">
        <f>VLOOKUP(F628,F$549:K$556,6,FALSE)</f>
        <v>3.977477477477477</v>
      </c>
      <c r="L628" s="871"/>
      <c r="T628" s="50"/>
      <c r="U628" s="50"/>
      <c r="V628" s="2415" t="s">
        <v>51</v>
      </c>
      <c r="W628" s="226">
        <v>4717</v>
      </c>
      <c r="X628" s="226">
        <v>4717</v>
      </c>
      <c r="Y628" s="226">
        <v>4717</v>
      </c>
      <c r="Z628" s="226">
        <v>4717</v>
      </c>
      <c r="AA628" s="226">
        <v>4717</v>
      </c>
      <c r="AB628" s="226">
        <v>4717</v>
      </c>
      <c r="AC628" s="226">
        <v>4717</v>
      </c>
      <c r="AD628" s="226">
        <v>4717</v>
      </c>
      <c r="AE628" s="226">
        <v>4717</v>
      </c>
      <c r="AF628" s="743">
        <v>10389.878378378377</v>
      </c>
      <c r="AG628" s="743">
        <f t="shared" si="111"/>
        <v>10389.878378378377</v>
      </c>
      <c r="DG628" s="543"/>
      <c r="DH628" s="172"/>
      <c r="DI628" s="1020"/>
      <c r="DJ628" s="2045"/>
    </row>
    <row r="629" spans="1:114" outlineLevel="1" x14ac:dyDescent="0.25">
      <c r="A629" s="2145"/>
      <c r="B629" s="166"/>
      <c r="C629" s="541"/>
      <c r="D629" s="2415"/>
      <c r="E629" s="2415"/>
      <c r="F629" s="2404" t="str">
        <f t="shared" si="112"/>
        <v>GSHP-EER23-Replace_CAC_ElectricHeat_ROF_SF</v>
      </c>
      <c r="G629" s="2404"/>
      <c r="H629" s="2404"/>
      <c r="I629" s="1268"/>
      <c r="J629" s="1532"/>
      <c r="K629" s="1307"/>
      <c r="L629" s="871"/>
      <c r="T629" s="50"/>
      <c r="U629" s="50"/>
      <c r="V629" s="2415"/>
      <c r="W629" s="226"/>
      <c r="X629" s="226"/>
      <c r="Y629" s="226"/>
      <c r="Z629" s="226"/>
      <c r="AA629" s="226"/>
      <c r="AB629" s="226"/>
      <c r="AC629" s="226"/>
      <c r="AD629" s="226"/>
      <c r="AE629" s="226"/>
      <c r="AF629" s="743" t="s">
        <v>935</v>
      </c>
      <c r="AG629" s="743" t="str">
        <f t="shared" si="111"/>
        <v/>
      </c>
      <c r="DG629" s="543"/>
      <c r="DH629" s="172"/>
      <c r="DI629" s="1020"/>
      <c r="DJ629" s="2045"/>
    </row>
    <row r="630" spans="1:114" outlineLevel="1" x14ac:dyDescent="0.25">
      <c r="A630" s="2145"/>
      <c r="B630" s="166"/>
      <c r="C630" s="541"/>
      <c r="D630" s="2415"/>
      <c r="E630" s="2415"/>
      <c r="F630" s="2404" t="str">
        <f t="shared" si="112"/>
        <v>GSHP-EER23-Replace_CAC_ElectricHeat_ER1_SF</v>
      </c>
      <c r="G630" s="2404"/>
      <c r="H630" s="2404"/>
      <c r="I630" s="1268"/>
      <c r="J630" s="1531">
        <f>K630*S$550-(S$561+T$561*K630)*S$566</f>
        <v>10005.779576760684</v>
      </c>
      <c r="K630" s="1121">
        <f>VLOOKUP(F630,F$549:K$556,6,FALSE)</f>
        <v>3.8698630136986303</v>
      </c>
      <c r="L630" s="871"/>
      <c r="T630" s="50"/>
      <c r="U630" s="50"/>
      <c r="V630" s="2415"/>
      <c r="W630" s="226">
        <v>5250</v>
      </c>
      <c r="X630" s="226">
        <v>5250</v>
      </c>
      <c r="Y630" s="226">
        <v>5250</v>
      </c>
      <c r="Z630" s="226">
        <v>5250</v>
      </c>
      <c r="AA630" s="226">
        <v>5250</v>
      </c>
      <c r="AB630" s="226">
        <v>5250</v>
      </c>
      <c r="AC630" s="226">
        <v>5250</v>
      </c>
      <c r="AD630" s="226">
        <v>5250</v>
      </c>
      <c r="AE630" s="226">
        <v>5250</v>
      </c>
      <c r="AF630" s="743">
        <v>10005.779576760684</v>
      </c>
      <c r="AG630" s="743">
        <f t="shared" si="111"/>
        <v>10005.779576760684</v>
      </c>
      <c r="DG630" s="543"/>
      <c r="DH630" s="172"/>
      <c r="DI630" s="1020"/>
      <c r="DJ630" s="2045"/>
    </row>
    <row r="631" spans="1:114" outlineLevel="1" x14ac:dyDescent="0.25">
      <c r="A631" s="2145"/>
      <c r="B631" s="166"/>
      <c r="C631" s="541"/>
      <c r="D631" s="2415"/>
      <c r="E631" s="2415"/>
      <c r="F631" s="2404" t="str">
        <f t="shared" si="112"/>
        <v>GSHP-EER23-Replace_CAC_ElectricHeat_ER1_SF</v>
      </c>
      <c r="G631" s="2404"/>
      <c r="H631" s="2404"/>
      <c r="I631" s="1268"/>
      <c r="J631" s="1532"/>
      <c r="K631" s="1423"/>
      <c r="L631" s="871"/>
      <c r="T631" s="50"/>
      <c r="U631" s="50"/>
      <c r="V631" s="2415"/>
      <c r="W631" s="226"/>
      <c r="X631" s="226"/>
      <c r="Y631" s="226"/>
      <c r="Z631" s="226"/>
      <c r="AA631" s="226"/>
      <c r="AB631" s="226"/>
      <c r="AC631" s="226"/>
      <c r="AD631" s="226"/>
      <c r="AE631" s="226"/>
      <c r="AF631" s="743" t="s">
        <v>935</v>
      </c>
      <c r="AG631" s="743" t="str">
        <f t="shared" si="111"/>
        <v/>
      </c>
      <c r="DG631" s="543"/>
      <c r="DH631" s="172"/>
      <c r="DI631" s="1020"/>
      <c r="DJ631" s="2045"/>
    </row>
    <row r="632" spans="1:114" outlineLevel="1" x14ac:dyDescent="0.25">
      <c r="A632" s="2145"/>
      <c r="B632" s="166"/>
      <c r="C632" s="541"/>
      <c r="D632" s="2415"/>
      <c r="E632" s="2415"/>
      <c r="F632" s="2404" t="str">
        <f t="shared" si="112"/>
        <v>GSHP-EER23-Replace_CAC_ElectricHeat_ER2_SF</v>
      </c>
      <c r="G632" s="2404"/>
      <c r="H632" s="2404"/>
      <c r="I632" s="1268"/>
      <c r="J632" s="1532"/>
      <c r="K632" s="1307"/>
      <c r="L632" s="871"/>
      <c r="T632" s="50"/>
      <c r="U632" s="50"/>
      <c r="V632" s="2415"/>
      <c r="W632" s="226"/>
      <c r="X632" s="226"/>
      <c r="Y632" s="226"/>
      <c r="Z632" s="226"/>
      <c r="AA632" s="226"/>
      <c r="AB632" s="226"/>
      <c r="AC632" s="226"/>
      <c r="AD632" s="226"/>
      <c r="AE632" s="226"/>
      <c r="AF632" s="743" t="s">
        <v>935</v>
      </c>
      <c r="AG632" s="743" t="str">
        <f t="shared" si="111"/>
        <v/>
      </c>
      <c r="DG632" s="543"/>
      <c r="DH632" s="172"/>
      <c r="DI632" s="1020"/>
      <c r="DJ632" s="2045"/>
    </row>
    <row r="633" spans="1:114" outlineLevel="1" x14ac:dyDescent="0.25">
      <c r="A633" s="2145"/>
      <c r="B633" s="166"/>
      <c r="C633" s="541"/>
      <c r="D633" s="2415"/>
      <c r="E633" s="2415"/>
      <c r="F633" s="2404" t="str">
        <f t="shared" si="112"/>
        <v>GSHP-EER23-Replace_CAC_ElectricHeat_ER2_SF</v>
      </c>
      <c r="G633" s="2404"/>
      <c r="H633" s="2404"/>
      <c r="I633" s="1268"/>
      <c r="J633" s="1532"/>
      <c r="K633" s="1307"/>
      <c r="L633" s="871"/>
      <c r="T633" s="50"/>
      <c r="U633" s="50"/>
      <c r="V633" s="2415"/>
      <c r="W633" s="226"/>
      <c r="X633" s="226"/>
      <c r="Y633" s="226"/>
      <c r="Z633" s="226"/>
      <c r="AA633" s="226"/>
      <c r="AB633" s="226"/>
      <c r="AC633" s="226"/>
      <c r="AD633" s="226"/>
      <c r="AE633" s="226"/>
      <c r="AF633" s="743" t="s">
        <v>935</v>
      </c>
      <c r="AG633" s="743" t="str">
        <f t="shared" si="111"/>
        <v/>
      </c>
      <c r="DG633" s="543"/>
      <c r="DH633" s="172"/>
      <c r="DI633" s="1020"/>
      <c r="DJ633" s="2045"/>
    </row>
    <row r="634" spans="1:114" outlineLevel="1" x14ac:dyDescent="0.25">
      <c r="A634" s="2145"/>
      <c r="B634" s="166"/>
      <c r="C634" s="541"/>
      <c r="D634" s="2415"/>
      <c r="E634" s="2415"/>
      <c r="F634" s="2404" t="str">
        <f t="shared" si="112"/>
        <v>GSHP-EER23-Replace_ASHP_ER1_SF</v>
      </c>
      <c r="G634" s="2404"/>
      <c r="H634" s="2404"/>
      <c r="I634" s="1268"/>
      <c r="J634" s="1531">
        <f>K634*S$550-(S$560+T$560*K634)*S$566</f>
        <v>6248.64477985144</v>
      </c>
      <c r="K634" s="1121">
        <f>VLOOKUP(F634,F$549:K$556,6,FALSE)</f>
        <v>3.8698630136986303</v>
      </c>
      <c r="L634" s="871"/>
      <c r="T634" s="50"/>
      <c r="U634" s="50"/>
      <c r="V634" s="2415"/>
      <c r="W634" s="226">
        <v>4859</v>
      </c>
      <c r="X634" s="226">
        <v>4859</v>
      </c>
      <c r="Y634" s="226">
        <v>4859</v>
      </c>
      <c r="Z634" s="226">
        <v>4859</v>
      </c>
      <c r="AA634" s="226">
        <v>4859</v>
      </c>
      <c r="AB634" s="226">
        <v>4859</v>
      </c>
      <c r="AC634" s="226">
        <v>4859</v>
      </c>
      <c r="AD634" s="226">
        <v>4859</v>
      </c>
      <c r="AE634" s="226">
        <v>4859</v>
      </c>
      <c r="AF634" s="743">
        <v>6248.64477985144</v>
      </c>
      <c r="AG634" s="743">
        <f t="shared" si="111"/>
        <v>6248.64477985144</v>
      </c>
      <c r="DG634" s="543"/>
      <c r="DH634" s="172"/>
      <c r="DI634" s="1020"/>
      <c r="DJ634" s="2045"/>
    </row>
    <row r="635" spans="1:114" outlineLevel="1" x14ac:dyDescent="0.25">
      <c r="A635" s="2145"/>
      <c r="B635" s="166"/>
      <c r="C635" s="541"/>
      <c r="D635" s="2415"/>
      <c r="E635" s="2415"/>
      <c r="F635" s="2404" t="str">
        <f t="shared" si="112"/>
        <v>GSHP-EER23-Replace_ASHP_ER1_SF</v>
      </c>
      <c r="G635" s="2404"/>
      <c r="H635" s="2404"/>
      <c r="I635" s="1268"/>
      <c r="J635" s="1532"/>
      <c r="K635" s="1423"/>
      <c r="L635" s="871"/>
      <c r="T635" s="50"/>
      <c r="U635" s="50"/>
      <c r="V635" s="2415"/>
      <c r="W635" s="226"/>
      <c r="X635" s="226"/>
      <c r="Y635" s="226"/>
      <c r="Z635" s="226"/>
      <c r="AA635" s="226"/>
      <c r="AB635" s="226"/>
      <c r="AC635" s="226"/>
      <c r="AD635" s="226"/>
      <c r="AE635" s="226"/>
      <c r="AF635" s="743" t="s">
        <v>935</v>
      </c>
      <c r="AG635" s="743" t="str">
        <f t="shared" si="111"/>
        <v/>
      </c>
      <c r="DG635" s="543"/>
      <c r="DH635" s="172"/>
      <c r="DI635" s="1020"/>
      <c r="DJ635" s="2045"/>
    </row>
    <row r="636" spans="1:114" outlineLevel="1" x14ac:dyDescent="0.25">
      <c r="A636" s="2145"/>
      <c r="B636" s="166"/>
      <c r="C636" s="541"/>
      <c r="D636" s="2415"/>
      <c r="E636" s="2415"/>
      <c r="F636" s="2404" t="str">
        <f t="shared" si="112"/>
        <v>GSHP-EER23-Replace_ASHP_ER2_SF</v>
      </c>
      <c r="G636" s="2404"/>
      <c r="H636" s="2404"/>
      <c r="I636" s="1268"/>
      <c r="J636" s="1532"/>
      <c r="K636" s="1307"/>
      <c r="L636" s="871"/>
      <c r="T636" s="50"/>
      <c r="U636" s="50"/>
      <c r="V636" s="2415"/>
      <c r="W636" s="226"/>
      <c r="X636" s="226"/>
      <c r="Y636" s="226"/>
      <c r="Z636" s="226"/>
      <c r="AA636" s="226"/>
      <c r="AB636" s="226"/>
      <c r="AC636" s="226"/>
      <c r="AD636" s="226"/>
      <c r="AE636" s="226"/>
      <c r="AF636" s="743" t="s">
        <v>935</v>
      </c>
      <c r="AG636" s="743" t="str">
        <f t="shared" si="111"/>
        <v/>
      </c>
      <c r="DG636" s="543"/>
      <c r="DH636" s="172"/>
      <c r="DI636" s="1020"/>
      <c r="DJ636" s="2045"/>
    </row>
    <row r="637" spans="1:114" outlineLevel="1" x14ac:dyDescent="0.25">
      <c r="A637" s="2145"/>
      <c r="B637" s="166"/>
      <c r="C637" s="541"/>
      <c r="D637" s="2415"/>
      <c r="E637" s="2415"/>
      <c r="F637" s="2404" t="str">
        <f t="shared" si="112"/>
        <v>GSHP-EER23-Replace_ASHP_ER2_SF</v>
      </c>
      <c r="G637" s="2404"/>
      <c r="H637" s="2404"/>
      <c r="I637" s="1268"/>
      <c r="J637" s="1532"/>
      <c r="K637" s="1423"/>
      <c r="L637" s="871"/>
      <c r="T637" s="50"/>
      <c r="U637" s="50"/>
      <c r="V637" s="2415"/>
      <c r="W637" s="226"/>
      <c r="X637" s="226"/>
      <c r="Y637" s="226"/>
      <c r="Z637" s="226"/>
      <c r="AA637" s="226"/>
      <c r="AB637" s="226"/>
      <c r="AC637" s="226"/>
      <c r="AD637" s="226"/>
      <c r="AE637" s="226"/>
      <c r="AF637" s="743" t="s">
        <v>935</v>
      </c>
      <c r="AG637" s="743" t="str">
        <f t="shared" si="111"/>
        <v/>
      </c>
      <c r="DG637" s="543"/>
      <c r="DH637" s="172"/>
      <c r="DI637" s="1020"/>
      <c r="DJ637" s="2045"/>
    </row>
    <row r="638" spans="1:114" outlineLevel="1" x14ac:dyDescent="0.25">
      <c r="A638" s="2145"/>
      <c r="B638" s="166"/>
      <c r="C638" s="541"/>
      <c r="D638" s="2415"/>
      <c r="E638" s="2415"/>
      <c r="F638" s="2404" t="str">
        <f t="shared" si="112"/>
        <v>GSHP-EER23_ROF_SF</v>
      </c>
      <c r="G638" s="2404"/>
      <c r="H638" s="2404"/>
      <c r="I638" s="1268"/>
      <c r="J638" s="1531">
        <f>K638*S$550-(S$558+T$558*K638)*S$566</f>
        <v>7508.8881687196081</v>
      </c>
      <c r="K638" s="1121">
        <f>VLOOKUP(F638,F$549:K$556,6,FALSE)</f>
        <v>3.977477477477477</v>
      </c>
      <c r="L638" s="871"/>
      <c r="T638" s="50"/>
      <c r="U638" s="50"/>
      <c r="V638" s="2415"/>
      <c r="W638" s="226">
        <v>3200</v>
      </c>
      <c r="X638" s="226">
        <v>3200</v>
      </c>
      <c r="Y638" s="226">
        <v>3200</v>
      </c>
      <c r="Z638" s="226">
        <v>3200</v>
      </c>
      <c r="AA638" s="226">
        <v>3200</v>
      </c>
      <c r="AB638" s="226">
        <v>3200</v>
      </c>
      <c r="AC638" s="226">
        <v>3200</v>
      </c>
      <c r="AD638" s="226">
        <v>3200</v>
      </c>
      <c r="AE638" s="226">
        <v>3200</v>
      </c>
      <c r="AF638" s="743">
        <v>7508.8881687196081</v>
      </c>
      <c r="AG638" s="743">
        <f t="shared" si="111"/>
        <v>7508.8881687196081</v>
      </c>
      <c r="DG638" s="543"/>
      <c r="DH638" s="172"/>
      <c r="DI638" s="1020"/>
      <c r="DJ638" s="2045"/>
    </row>
    <row r="639" spans="1:114" outlineLevel="1" x14ac:dyDescent="0.25">
      <c r="A639" s="2145"/>
      <c r="B639" s="166"/>
      <c r="C639" s="541"/>
      <c r="D639" s="2415"/>
      <c r="E639" s="2415"/>
      <c r="F639" s="2404" t="str">
        <f t="shared" si="112"/>
        <v>GSHP-EER23_ROF_SF</v>
      </c>
      <c r="G639" s="2404"/>
      <c r="H639" s="2404"/>
      <c r="I639" s="1268"/>
      <c r="J639" s="1532"/>
      <c r="K639" s="1423"/>
      <c r="L639" s="871"/>
      <c r="T639" s="50"/>
      <c r="U639" s="50"/>
      <c r="V639" s="2415"/>
      <c r="W639" s="226"/>
      <c r="X639" s="226"/>
      <c r="Y639" s="226"/>
      <c r="Z639" s="226"/>
      <c r="AA639" s="226"/>
      <c r="AB639" s="226"/>
      <c r="AC639" s="226"/>
      <c r="AD639" s="226"/>
      <c r="AE639" s="226"/>
      <c r="AF639" s="743" t="s">
        <v>935</v>
      </c>
      <c r="AG639" s="743" t="str">
        <f t="shared" si="111"/>
        <v/>
      </c>
      <c r="DG639" s="543"/>
      <c r="DH639" s="172"/>
      <c r="DI639" s="1020"/>
      <c r="DJ639" s="2045"/>
    </row>
    <row r="640" spans="1:114" s="39" customFormat="1" outlineLevel="1" x14ac:dyDescent="0.25">
      <c r="A640" s="2145"/>
      <c r="B640" s="143"/>
      <c r="C640" s="541"/>
      <c r="D640" s="2415"/>
      <c r="E640" s="2415"/>
      <c r="F640" s="2407" t="str">
        <f>$E$525</f>
        <v>GSHP-EER23-Replace_GSHP_ER1_SF</v>
      </c>
      <c r="G640" s="2407"/>
      <c r="H640" s="2407"/>
      <c r="I640" s="1268"/>
      <c r="J640" s="1531">
        <f>K640*S$550-(S$560+T$560*K640)*S$566</f>
        <v>6248.64477985144</v>
      </c>
      <c r="K640" s="1121">
        <f>VLOOKUP(F640,F$549:K$556,6,FALSE)</f>
        <v>3.8698630136986303</v>
      </c>
      <c r="L640" s="871"/>
      <c r="M640" s="50"/>
      <c r="N640" s="50"/>
      <c r="O640" s="50"/>
      <c r="P640" s="50"/>
      <c r="Q640" s="50"/>
      <c r="R640" s="50"/>
      <c r="S640" s="50"/>
      <c r="V640" s="2415"/>
      <c r="W640" s="225"/>
      <c r="X640" s="225"/>
      <c r="Y640" s="225"/>
      <c r="Z640" s="225"/>
      <c r="AA640" s="225"/>
      <c r="AB640" s="225"/>
      <c r="AC640" s="225"/>
      <c r="AD640" s="225"/>
      <c r="AE640" s="225"/>
      <c r="AF640" s="743">
        <v>6248.64477985144</v>
      </c>
      <c r="AG640" s="743">
        <f t="shared" si="111"/>
        <v>6248.64477985144</v>
      </c>
      <c r="DG640" s="543"/>
      <c r="DH640" s="172"/>
      <c r="DI640" s="1020"/>
      <c r="DJ640" s="2045"/>
    </row>
    <row r="641" spans="1:117" s="39" customFormat="1" outlineLevel="1" x14ac:dyDescent="0.25">
      <c r="A641" s="2145"/>
      <c r="B641" s="143"/>
      <c r="C641" s="541"/>
      <c r="D641" s="2415"/>
      <c r="E641" s="2415"/>
      <c r="F641" s="2407" t="str">
        <f>$E$527</f>
        <v>GSHP-EER23-Replace_GSHP_ER2_SF</v>
      </c>
      <c r="G641" s="2407"/>
      <c r="H641" s="2407"/>
      <c r="I641" s="1268"/>
      <c r="J641" s="1532"/>
      <c r="K641" s="1423"/>
      <c r="L641" s="871"/>
      <c r="M641" s="50"/>
      <c r="N641" s="50"/>
      <c r="O641" s="50"/>
      <c r="P641" s="50"/>
      <c r="Q641" s="50"/>
      <c r="R641" s="50"/>
      <c r="S641" s="50"/>
      <c r="V641" s="2415"/>
      <c r="W641" s="225"/>
      <c r="X641" s="225"/>
      <c r="Y641" s="225"/>
      <c r="Z641" s="225"/>
      <c r="AA641" s="225"/>
      <c r="AB641" s="225"/>
      <c r="AC641" s="225"/>
      <c r="AD641" s="225"/>
      <c r="AE641" s="225"/>
      <c r="AF641" s="743" t="str">
        <f t="shared" ref="AF641" si="113">IF(J641&lt;&gt;"",J641,"")</f>
        <v/>
      </c>
      <c r="AG641" s="2014"/>
      <c r="DG641" s="543"/>
      <c r="DH641" s="172"/>
      <c r="DI641" s="1020"/>
      <c r="DJ641" s="2045"/>
    </row>
    <row r="642" spans="1:117" x14ac:dyDescent="0.25">
      <c r="A642" s="2145"/>
      <c r="C642" s="541"/>
      <c r="D642" s="141"/>
      <c r="E642" s="141"/>
      <c r="F642" s="520"/>
      <c r="G642" s="141"/>
      <c r="H642" s="520"/>
      <c r="I642" s="166"/>
      <c r="J642" s="520"/>
      <c r="K642" s="520"/>
      <c r="L642" s="520"/>
      <c r="Q642" s="100"/>
      <c r="T642" s="50"/>
      <c r="U642" s="50"/>
      <c r="V642" s="50"/>
      <c r="DG642" s="543"/>
      <c r="DH642" s="172"/>
      <c r="DI642" s="1020"/>
    </row>
    <row r="643" spans="1:117" x14ac:dyDescent="0.25">
      <c r="A643" s="2145"/>
      <c r="C643" s="49"/>
      <c r="D643" s="100"/>
      <c r="E643" s="141"/>
      <c r="F643" s="520"/>
      <c r="G643" s="141"/>
      <c r="H643" s="520"/>
      <c r="I643" s="520"/>
      <c r="J643" s="520"/>
      <c r="K643" s="520"/>
      <c r="L643" s="520"/>
      <c r="M643" s="520"/>
      <c r="N643" s="520"/>
      <c r="O643" s="227"/>
      <c r="P643" s="227"/>
      <c r="Q643" s="100"/>
      <c r="T643" s="50"/>
      <c r="U643" s="50"/>
      <c r="V643" s="50"/>
      <c r="DG643" s="543"/>
      <c r="DH643" s="149"/>
      <c r="DI643" s="1020"/>
    </row>
    <row r="644" spans="1:117" x14ac:dyDescent="0.25">
      <c r="A644" s="2145"/>
      <c r="B644" s="1234" t="s">
        <v>1114</v>
      </c>
      <c r="C644" s="203"/>
      <c r="D644" s="1235"/>
      <c r="E644" s="1235"/>
      <c r="F644" s="1235"/>
      <c r="G644" s="1235"/>
      <c r="H644" s="1235"/>
      <c r="I644" s="1235"/>
      <c r="J644" s="1235"/>
      <c r="K644" s="1235"/>
      <c r="L644" s="1235"/>
      <c r="M644" s="1235"/>
      <c r="N644" s="1235"/>
      <c r="O644" s="1235"/>
      <c r="P644" s="1235"/>
      <c r="Q644" s="1269"/>
      <c r="T644" s="50"/>
      <c r="U644" s="50"/>
      <c r="V644" s="2339" t="str">
        <f>B644</f>
        <v>Air Source Heat Pumps</v>
      </c>
      <c r="W644" s="2340"/>
      <c r="X644" s="2340"/>
      <c r="Y644" s="2340"/>
      <c r="Z644" s="2340"/>
      <c r="AA644" s="2340"/>
      <c r="AB644" s="2340"/>
      <c r="AC644" s="2341"/>
      <c r="AD644" s="2341"/>
      <c r="AE644" s="2341"/>
      <c r="AF644" s="2341"/>
      <c r="AG644" s="2341"/>
      <c r="AH644" s="2342"/>
      <c r="DG644" s="543"/>
      <c r="DH644" s="149"/>
      <c r="DI644" s="1020"/>
    </row>
    <row r="645" spans="1:117" x14ac:dyDescent="0.25">
      <c r="A645" s="2145"/>
      <c r="C645" s="49"/>
      <c r="D645" s="100"/>
      <c r="E645" s="100"/>
      <c r="G645" s="100"/>
      <c r="H645" s="49"/>
      <c r="I645" s="49"/>
      <c r="J645" s="49"/>
      <c r="K645" s="49"/>
      <c r="L645" s="49"/>
      <c r="M645" s="49"/>
      <c r="Q645" s="100"/>
      <c r="T645" s="50"/>
      <c r="U645" s="50"/>
      <c r="V645" s="50"/>
      <c r="DG645" s="543"/>
      <c r="DH645" s="149"/>
      <c r="DI645" s="1020"/>
    </row>
    <row r="646" spans="1:117" ht="30" x14ac:dyDescent="0.25">
      <c r="A646" s="2145"/>
      <c r="C646" s="1242" t="s">
        <v>43</v>
      </c>
      <c r="D646" s="1242" t="s">
        <v>597</v>
      </c>
      <c r="E646" s="1242" t="s">
        <v>45</v>
      </c>
      <c r="F646" s="1242" t="s">
        <v>46</v>
      </c>
      <c r="G646" s="106" t="s">
        <v>47</v>
      </c>
      <c r="H646" s="1242" t="s">
        <v>48</v>
      </c>
      <c r="I646" s="1242" t="s">
        <v>49</v>
      </c>
      <c r="J646" s="1254" t="s">
        <v>50</v>
      </c>
      <c r="K646" s="1242" t="s">
        <v>51</v>
      </c>
      <c r="L646" s="1242" t="s">
        <v>860</v>
      </c>
      <c r="M646" s="49"/>
      <c r="N646" s="542"/>
      <c r="T646" s="543"/>
      <c r="U646" s="50"/>
      <c r="V646" s="162" t="str">
        <f>V512</f>
        <v>REVISION DATE</v>
      </c>
      <c r="W646" s="637">
        <f>W$7</f>
        <v>43252</v>
      </c>
      <c r="X646" s="637">
        <f t="shared" ref="X646:AG646" si="114">X$7</f>
        <v>43800</v>
      </c>
      <c r="Y646" s="637">
        <f t="shared" si="114"/>
        <v>43800</v>
      </c>
      <c r="Z646" s="637">
        <f t="shared" si="114"/>
        <v>43862</v>
      </c>
      <c r="AA646" s="637">
        <f t="shared" si="114"/>
        <v>44013</v>
      </c>
      <c r="AB646" s="637">
        <f t="shared" si="114"/>
        <v>44166</v>
      </c>
      <c r="AC646" s="637">
        <f t="shared" si="114"/>
        <v>44531</v>
      </c>
      <c r="AD646" s="637">
        <f t="shared" si="114"/>
        <v>44774</v>
      </c>
      <c r="AE646" s="637">
        <f t="shared" si="114"/>
        <v>45139</v>
      </c>
      <c r="AF646" s="637">
        <f t="shared" si="114"/>
        <v>45672</v>
      </c>
      <c r="AG646" s="110">
        <f t="shared" si="114"/>
        <v>45931</v>
      </c>
      <c r="DG646" s="1007" t="str">
        <f>'Efficient Products Deemed Table'!$DG$6</f>
        <v>TRC (2025)</v>
      </c>
      <c r="DH646" s="1007" t="str">
        <f>'Efficient Products Deemed Table'!$DH$6</f>
        <v>Benefit Lookup</v>
      </c>
      <c r="DI646" s="1007" t="str">
        <f>'Efficient Products Deemed Table'!$DI$6</f>
        <v>Benefits (2025 $)</v>
      </c>
      <c r="DJ646" s="1007" t="str">
        <f>'Efficient Products Deemed Table'!$DJ$6</f>
        <v>Incremental Cost (2025 $)</v>
      </c>
      <c r="DM646" s="1275"/>
    </row>
    <row r="647" spans="1:117" x14ac:dyDescent="0.25">
      <c r="A647" s="2146" t="s">
        <v>861</v>
      </c>
      <c r="B647" s="1318">
        <f t="shared" ref="B647:B692" si="115">VALUE(LEFT(C647,6))</f>
        <v>352300</v>
      </c>
      <c r="C647" s="18" t="s">
        <v>1115</v>
      </c>
      <c r="D647" s="1974" t="s">
        <v>863</v>
      </c>
      <c r="E647" s="1240" t="s">
        <v>1116</v>
      </c>
      <c r="F647" s="208">
        <f>ROUND(((K1285*K1388*(1/K1491-1/K1594)*K1697)/1000)*$K$1800,2)</f>
        <v>2004.34</v>
      </c>
      <c r="G647" s="540" t="s">
        <v>1030</v>
      </c>
      <c r="H647" s="66">
        <f>VLOOKUP(G647,'CP FACTORS'!$A$3:$B$38, 2, FALSE)</f>
        <v>9.4741810000000004E-4</v>
      </c>
      <c r="I647" s="961">
        <f t="shared" ref="I647:I698" si="116">ROUND(F647*H647,6)</f>
        <v>1.8989480000000001</v>
      </c>
      <c r="J647" s="57">
        <f t="shared" ref="J647:J662" si="117">K1801</f>
        <v>6</v>
      </c>
      <c r="K647" s="152">
        <f t="shared" ref="K647:K662" si="118">IF(C647&lt;&gt;C646,VLOOKUP(C647,$J$2007:$K$2218,2,FALSE),0)</f>
        <v>3236.3220917485878</v>
      </c>
      <c r="L647" s="167">
        <f>L873</f>
        <v>2.5726507669889709</v>
      </c>
      <c r="M647" s="531"/>
      <c r="N647" s="542"/>
      <c r="O647" s="398"/>
      <c r="R647" s="510"/>
      <c r="T647" s="50"/>
      <c r="U647" s="544"/>
      <c r="V647" s="1307" t="s">
        <v>46</v>
      </c>
      <c r="W647" s="903">
        <v>2360.2134787689906</v>
      </c>
      <c r="X647" s="233">
        <v>1720.2653061224485</v>
      </c>
      <c r="Y647" s="210">
        <v>1628.99</v>
      </c>
      <c r="Z647" s="208">
        <v>1628.99</v>
      </c>
      <c r="AA647" s="208">
        <v>1628.99</v>
      </c>
      <c r="AB647" s="959">
        <v>2165.13</v>
      </c>
      <c r="AC647" s="210">
        <v>1696.71</v>
      </c>
      <c r="AD647" s="210">
        <v>2105.67</v>
      </c>
      <c r="AE647" s="210">
        <v>2004.34</v>
      </c>
      <c r="AF647" s="253">
        <v>2004.34</v>
      </c>
      <c r="AG647" s="253">
        <f>IF(F647&lt;&gt;"",F647,"")</f>
        <v>2004.34</v>
      </c>
      <c r="AH647" s="114"/>
      <c r="AK647" s="904"/>
      <c r="DF647" s="1434" t="str">
        <f>E647</f>
        <v>ASHP-SEER15-Replace_CAC_ElectricHeat_ER1_SF</v>
      </c>
      <c r="DG647" s="930">
        <f>(DI647+DI648+DI649+DI650)/(DJ647+DJ648+DJ649+DJ650)</f>
        <v>2.1784788019264281</v>
      </c>
      <c r="DH647" s="1240" t="str">
        <f t="shared" ref="DH647:DH698" si="119">CONCATENATE(G647," ",J647," Year EUL")</f>
        <v>Cooling Res 6 Year EUL</v>
      </c>
      <c r="DI647" s="1016">
        <f>(INDEX('Avoided Cost Benefits'!$B$4:$B$866,MATCH(DH647,'Avoided Cost Benefits'!$A$4:$A$866,0)))*F647</f>
        <v>1996.0181753905683</v>
      </c>
      <c r="DJ647" s="2052">
        <f t="shared" ref="DJ647:DJ692" si="120">IFERROR(K647/((1+DiscountRate)^(CurrentYear-DiscountYear)),0)</f>
        <v>3236.3220917485878</v>
      </c>
      <c r="DM647" s="234"/>
    </row>
    <row r="648" spans="1:117" x14ac:dyDescent="0.25">
      <c r="A648" s="2146" t="s">
        <v>861</v>
      </c>
      <c r="B648" s="1318">
        <f t="shared" si="115"/>
        <v>352300</v>
      </c>
      <c r="C648" s="18" t="s">
        <v>1115</v>
      </c>
      <c r="D648" s="1974" t="s">
        <v>863</v>
      </c>
      <c r="E648" s="1265" t="s">
        <v>1116</v>
      </c>
      <c r="F648" s="167">
        <f>ROUND(((K873*K976*(1/K1079-1/K1182)*K1697)/1000)*$K$1800,2)</f>
        <v>7770.73</v>
      </c>
      <c r="G648" s="540" t="s">
        <v>1031</v>
      </c>
      <c r="H648" s="66">
        <f>VLOOKUP(G648,'CP FACTORS'!$A$3:$B$38, 2, FALSE)</f>
        <v>0</v>
      </c>
      <c r="I648" s="961">
        <f t="shared" si="116"/>
        <v>0</v>
      </c>
      <c r="J648" s="57">
        <f t="shared" si="117"/>
        <v>6</v>
      </c>
      <c r="K648" s="152">
        <f t="shared" si="118"/>
        <v>0</v>
      </c>
      <c r="L648" s="167"/>
      <c r="M648" s="531"/>
      <c r="N648" s="542"/>
      <c r="O648" s="398"/>
      <c r="R648" s="510"/>
      <c r="T648" s="50"/>
      <c r="U648" s="544"/>
      <c r="V648" s="1307" t="s">
        <v>46</v>
      </c>
      <c r="W648" s="903">
        <v>12036.528668217206</v>
      </c>
      <c r="X648" s="233">
        <v>9788.00163331972</v>
      </c>
      <c r="Y648" s="210">
        <v>9262.39</v>
      </c>
      <c r="Z648" s="208">
        <v>9262.39</v>
      </c>
      <c r="AA648" s="208">
        <v>9262.39</v>
      </c>
      <c r="AB648" s="959">
        <v>9075</v>
      </c>
      <c r="AC648" s="210">
        <v>9228.66</v>
      </c>
      <c r="AD648" s="210">
        <v>8749.4599999999991</v>
      </c>
      <c r="AE648" s="210">
        <v>8299.2199999999993</v>
      </c>
      <c r="AF648" s="253">
        <v>8299.2199999999993</v>
      </c>
      <c r="AG648" s="253">
        <f t="shared" ref="AG648:AG733" si="121">IF(F648&lt;&gt;"",F648,"")</f>
        <v>7770.73</v>
      </c>
      <c r="AH648" s="114"/>
      <c r="AK648" s="904"/>
      <c r="DF648" s="1434" t="str">
        <f t="shared" ref="DF648:DF692" si="122">E648</f>
        <v>ASHP-SEER15-Replace_CAC_ElectricHeat_ER1_SF</v>
      </c>
      <c r="DG648" s="1023"/>
      <c r="DH648" s="1265" t="str">
        <f t="shared" si="119"/>
        <v>Heating Res 6 Year EUL</v>
      </c>
      <c r="DI648" s="1020">
        <f>(INDEX('Avoided Cost Benefits'!$B$4:$B$866,MATCH(DH648,'Avoided Cost Benefits'!$A$4:$A$866,0)))*F648</f>
        <v>2083.9451291898763</v>
      </c>
      <c r="DJ648" s="2051">
        <f t="shared" si="120"/>
        <v>0</v>
      </c>
      <c r="DM648" s="234"/>
    </row>
    <row r="649" spans="1:117" x14ac:dyDescent="0.25">
      <c r="A649" s="2146" t="s">
        <v>861</v>
      </c>
      <c r="B649" s="1318">
        <f t="shared" si="115"/>
        <v>352300</v>
      </c>
      <c r="C649" s="18" t="s">
        <v>1115</v>
      </c>
      <c r="D649" s="1974" t="s">
        <v>863</v>
      </c>
      <c r="E649" s="1265" t="s">
        <v>1117</v>
      </c>
      <c r="F649" s="208">
        <f>ROUND(((K1286*K1389*(1/K1492-1/K1595)*K1698)/1000)*$K$1800,2)</f>
        <v>266.32</v>
      </c>
      <c r="G649" s="540" t="s">
        <v>1083</v>
      </c>
      <c r="H649" s="66">
        <f>VLOOKUP(G649,'CP FACTORS'!$A$3:$B$38, 2, FALSE)</f>
        <v>9.4741810000000004E-4</v>
      </c>
      <c r="I649" s="961">
        <f t="shared" si="116"/>
        <v>0.25231599999999998</v>
      </c>
      <c r="J649" s="57">
        <f t="shared" si="117"/>
        <v>12</v>
      </c>
      <c r="K649" s="152">
        <f t="shared" si="118"/>
        <v>0</v>
      </c>
      <c r="L649" s="167"/>
      <c r="M649" s="531"/>
      <c r="N649" s="542"/>
      <c r="O649" s="398"/>
      <c r="R649" s="510"/>
      <c r="T649" s="50"/>
      <c r="U649" s="544"/>
      <c r="V649" s="1307" t="s">
        <v>46</v>
      </c>
      <c r="W649" s="903">
        <v>312.36189505858374</v>
      </c>
      <c r="X649" s="233">
        <v>344.16219780219757</v>
      </c>
      <c r="Y649" s="210">
        <v>324.83999999999997</v>
      </c>
      <c r="Z649" s="208">
        <v>324.83999999999997</v>
      </c>
      <c r="AA649" s="208">
        <v>324.83999999999997</v>
      </c>
      <c r="AB649" s="959">
        <v>324.12</v>
      </c>
      <c r="AC649" s="210">
        <v>324.06</v>
      </c>
      <c r="AD649" s="210">
        <v>334.51</v>
      </c>
      <c r="AE649" s="210">
        <v>166.32</v>
      </c>
      <c r="AF649" s="253">
        <v>266.32</v>
      </c>
      <c r="AG649" s="253">
        <f t="shared" si="121"/>
        <v>266.32</v>
      </c>
      <c r="AH649" s="114"/>
      <c r="AK649" s="904"/>
      <c r="DF649" s="1434" t="str">
        <f t="shared" si="122"/>
        <v>ASHP-SEER15-Replace_CAC_ElectricHeat_ER2_SF</v>
      </c>
      <c r="DG649" s="1023"/>
      <c r="DH649" s="1265" t="str">
        <f t="shared" si="119"/>
        <v>Cooling Res ER2 12 Year EUL</v>
      </c>
      <c r="DI649" s="1020">
        <f>(INDEX('Avoided Cost Benefits'!$B$4:$B$866,MATCH(DH649,'Avoided Cost Benefits'!$A$4:$A$866,0)))*F649</f>
        <v>344.59698807298355</v>
      </c>
      <c r="DJ649" s="2051">
        <f t="shared" si="120"/>
        <v>0</v>
      </c>
      <c r="DM649" s="234"/>
    </row>
    <row r="650" spans="1:117" x14ac:dyDescent="0.25">
      <c r="A650" s="2146" t="s">
        <v>861</v>
      </c>
      <c r="B650" s="1318">
        <f t="shared" si="115"/>
        <v>352300</v>
      </c>
      <c r="C650" s="18" t="s">
        <v>1115</v>
      </c>
      <c r="D650" s="1974" t="s">
        <v>863</v>
      </c>
      <c r="E650" s="1241" t="s">
        <v>1117</v>
      </c>
      <c r="F650" s="167">
        <f>ROUND(((K874*K977*(1/K1080-1/K1183)*K1698)/1000)*$K$1800,2)</f>
        <v>7770.73</v>
      </c>
      <c r="G650" s="540" t="s">
        <v>1118</v>
      </c>
      <c r="H650" s="66">
        <f>VLOOKUP(G650,'CP FACTORS'!$A$3:$B$38, 2, FALSE)</f>
        <v>0</v>
      </c>
      <c r="I650" s="961">
        <f t="shared" si="116"/>
        <v>0</v>
      </c>
      <c r="J650" s="57">
        <f t="shared" si="117"/>
        <v>12</v>
      </c>
      <c r="K650" s="152">
        <f t="shared" si="118"/>
        <v>0</v>
      </c>
      <c r="L650" s="167"/>
      <c r="M650" s="531"/>
      <c r="N650" s="542"/>
      <c r="O650" s="398"/>
      <c r="R650" s="510"/>
      <c r="T650" s="50"/>
      <c r="U650" s="544"/>
      <c r="V650" s="1307" t="s">
        <v>46</v>
      </c>
      <c r="W650" s="903">
        <v>12036.528668217206</v>
      </c>
      <c r="X650" s="233">
        <v>9788.00163331972</v>
      </c>
      <c r="Y650" s="210">
        <v>9262.39</v>
      </c>
      <c r="Z650" s="208">
        <v>9262.39</v>
      </c>
      <c r="AA650" s="208">
        <v>9262.39</v>
      </c>
      <c r="AB650" s="959">
        <v>9075</v>
      </c>
      <c r="AC650" s="210">
        <v>9228.66</v>
      </c>
      <c r="AD650" s="210">
        <v>8749.4599999999991</v>
      </c>
      <c r="AE650" s="210">
        <v>8299.2199999999993</v>
      </c>
      <c r="AF650" s="253">
        <v>8299.2199999999993</v>
      </c>
      <c r="AG650" s="253">
        <f t="shared" si="121"/>
        <v>7770.73</v>
      </c>
      <c r="AH650" s="114"/>
      <c r="AK650" s="904"/>
      <c r="DF650" s="1434" t="str">
        <f t="shared" si="122"/>
        <v>ASHP-SEER15-Replace_CAC_ElectricHeat_ER2_SF</v>
      </c>
      <c r="DG650" s="1023"/>
      <c r="DH650" s="1241" t="str">
        <f t="shared" si="119"/>
        <v>Heating Res ER2 12 Year EUL</v>
      </c>
      <c r="DI650" s="1020">
        <f>(INDEX('Avoided Cost Benefits'!$B$4:$B$866,MATCH(DH650,'Avoided Cost Benefits'!$A$4:$A$866,0)))*F650</f>
        <v>2625.6987804270661</v>
      </c>
      <c r="DJ650" s="2051">
        <f t="shared" si="120"/>
        <v>0</v>
      </c>
      <c r="DM650" s="234"/>
    </row>
    <row r="651" spans="1:117" x14ac:dyDescent="0.25">
      <c r="A651" s="2146" t="s">
        <v>861</v>
      </c>
      <c r="B651" s="1318">
        <f t="shared" si="115"/>
        <v>352310</v>
      </c>
      <c r="C651" s="18" t="s">
        <v>1119</v>
      </c>
      <c r="D651" s="1974" t="s">
        <v>863</v>
      </c>
      <c r="E651" s="1265" t="s">
        <v>1120</v>
      </c>
      <c r="F651" s="208">
        <f>ROUND(((K1287*K1390*(1/K1493-1/K1596)*K1699)/1000)*$K$1800,2)</f>
        <v>2004.34</v>
      </c>
      <c r="G651" s="540" t="s">
        <v>1030</v>
      </c>
      <c r="H651" s="66">
        <f>VLOOKUP(G651,'CP FACTORS'!$A$3:$B$38, 2, FALSE)</f>
        <v>9.4741810000000004E-4</v>
      </c>
      <c r="I651" s="961">
        <f t="shared" si="116"/>
        <v>1.8989480000000001</v>
      </c>
      <c r="J651" s="57">
        <f t="shared" si="117"/>
        <v>6</v>
      </c>
      <c r="K651" s="152">
        <f t="shared" si="118"/>
        <v>412.56106071876053</v>
      </c>
      <c r="L651" s="167">
        <f>L875</f>
        <v>2.5726507669889709</v>
      </c>
      <c r="M651" s="531"/>
      <c r="N651" s="542"/>
      <c r="O651" s="398"/>
      <c r="R651" s="510"/>
      <c r="T651" s="50"/>
      <c r="U651" s="544"/>
      <c r="V651" s="1307" t="s">
        <v>46</v>
      </c>
      <c r="W651" s="903"/>
      <c r="X651" s="233"/>
      <c r="Y651" s="210"/>
      <c r="Z651" s="208"/>
      <c r="AA651" s="208"/>
      <c r="AB651" s="959"/>
      <c r="AC651" s="210">
        <v>1696.71</v>
      </c>
      <c r="AD651" s="210">
        <v>2105.67</v>
      </c>
      <c r="AE651" s="210">
        <v>2004.34</v>
      </c>
      <c r="AF651" s="253">
        <v>2004.34</v>
      </c>
      <c r="AG651" s="253">
        <f t="shared" si="121"/>
        <v>2004.34</v>
      </c>
      <c r="AH651" s="114"/>
      <c r="AK651" s="904"/>
      <c r="DF651" s="1434" t="str">
        <f t="shared" si="122"/>
        <v>ASHP-SEER15-Replace_CAC_NonElectricHeat_ER1_SF</v>
      </c>
      <c r="DG651" s="930">
        <f>(DI651+DI652+DI653+DI654)/(DJ651+DJ652+DJ653+DJ654)</f>
        <v>5.6733787706133754</v>
      </c>
      <c r="DH651" s="1265" t="str">
        <f t="shared" si="119"/>
        <v>Cooling Res 6 Year EUL</v>
      </c>
      <c r="DI651" s="1020">
        <f>(INDEX('Avoided Cost Benefits'!$B$4:$B$866,MATCH(DH651,'Avoided Cost Benefits'!$A$4:$A$866,0)))*F651</f>
        <v>1996.0181753905683</v>
      </c>
      <c r="DJ651" s="2051">
        <f t="shared" si="120"/>
        <v>412.56106071876053</v>
      </c>
      <c r="DM651" s="234"/>
    </row>
    <row r="652" spans="1:117" x14ac:dyDescent="0.25">
      <c r="A652" s="2146" t="s">
        <v>861</v>
      </c>
      <c r="B652" s="1318">
        <f t="shared" si="115"/>
        <v>352310</v>
      </c>
      <c r="C652" s="18" t="s">
        <v>1119</v>
      </c>
      <c r="D652" s="1974" t="s">
        <v>863</v>
      </c>
      <c r="E652" s="1265" t="s">
        <v>1120</v>
      </c>
      <c r="F652" s="208">
        <f>0</f>
        <v>0</v>
      </c>
      <c r="G652" s="540" t="s">
        <v>1031</v>
      </c>
      <c r="H652" s="66">
        <f>VLOOKUP(G652,'CP FACTORS'!$A$3:$B$38, 2, FALSE)</f>
        <v>0</v>
      </c>
      <c r="I652" s="961">
        <f t="shared" si="116"/>
        <v>0</v>
      </c>
      <c r="J652" s="57">
        <f t="shared" si="117"/>
        <v>6</v>
      </c>
      <c r="K652" s="152">
        <f t="shared" si="118"/>
        <v>0</v>
      </c>
      <c r="L652" s="167"/>
      <c r="M652" s="531"/>
      <c r="N652" s="542"/>
      <c r="O652" s="398"/>
      <c r="R652" s="510"/>
      <c r="T652" s="50"/>
      <c r="U652" s="544"/>
      <c r="V652" s="1307" t="s">
        <v>46</v>
      </c>
      <c r="W652" s="903"/>
      <c r="X652" s="233"/>
      <c r="Y652" s="210"/>
      <c r="Z652" s="208"/>
      <c r="AA652" s="208"/>
      <c r="AB652" s="959"/>
      <c r="AC652" s="210">
        <v>0</v>
      </c>
      <c r="AD652" s="208">
        <v>0</v>
      </c>
      <c r="AE652" s="208">
        <v>0</v>
      </c>
      <c r="AF652" s="253">
        <v>0</v>
      </c>
      <c r="AG652" s="253">
        <f t="shared" si="121"/>
        <v>0</v>
      </c>
      <c r="AH652" s="114"/>
      <c r="AK652" s="904"/>
      <c r="DF652" s="1434" t="str">
        <f t="shared" si="122"/>
        <v>ASHP-SEER15-Replace_CAC_NonElectricHeat_ER1_SF</v>
      </c>
      <c r="DG652" s="1023"/>
      <c r="DH652" s="1265" t="str">
        <f t="shared" si="119"/>
        <v>Heating Res 6 Year EUL</v>
      </c>
      <c r="DI652" s="1020">
        <f>(INDEX('Avoided Cost Benefits'!$B$4:$B$866,MATCH(DH652,'Avoided Cost Benefits'!$A$4:$A$866,0)))*F652</f>
        <v>0</v>
      </c>
      <c r="DJ652" s="2051">
        <f t="shared" si="120"/>
        <v>0</v>
      </c>
      <c r="DM652" s="234"/>
    </row>
    <row r="653" spans="1:117" x14ac:dyDescent="0.25">
      <c r="A653" s="2146" t="s">
        <v>861</v>
      </c>
      <c r="B653" s="1318">
        <f t="shared" si="115"/>
        <v>352310</v>
      </c>
      <c r="C653" s="18" t="s">
        <v>1119</v>
      </c>
      <c r="D653" s="1974" t="s">
        <v>863</v>
      </c>
      <c r="E653" s="1265" t="s">
        <v>1121</v>
      </c>
      <c r="F653" s="208">
        <f>ROUND(((K1288*K1391*(1/K1494-1/K1597)*K1700)/1000)*$K$1800,2)</f>
        <v>266.32</v>
      </c>
      <c r="G653" s="540" t="s">
        <v>1083</v>
      </c>
      <c r="H653" s="66">
        <f>VLOOKUP(G653,'CP FACTORS'!$A$3:$B$38, 2, FALSE)</f>
        <v>9.4741810000000004E-4</v>
      </c>
      <c r="I653" s="961">
        <f t="shared" si="116"/>
        <v>0.25231599999999998</v>
      </c>
      <c r="J653" s="57">
        <f t="shared" si="117"/>
        <v>12</v>
      </c>
      <c r="K653" s="152">
        <f t="shared" si="118"/>
        <v>0</v>
      </c>
      <c r="L653" s="167"/>
      <c r="M653" s="531"/>
      <c r="N653" s="542"/>
      <c r="O653" s="398"/>
      <c r="R653" s="510"/>
      <c r="T653" s="50"/>
      <c r="U653" s="544"/>
      <c r="V653" s="1307" t="s">
        <v>46</v>
      </c>
      <c r="W653" s="903"/>
      <c r="X653" s="233"/>
      <c r="Y653" s="210"/>
      <c r="Z653" s="208"/>
      <c r="AA653" s="208"/>
      <c r="AB653" s="959"/>
      <c r="AC653" s="210">
        <v>324.06</v>
      </c>
      <c r="AD653" s="210">
        <v>334.51</v>
      </c>
      <c r="AE653" s="210">
        <v>166.32</v>
      </c>
      <c r="AF653" s="253">
        <v>266.32</v>
      </c>
      <c r="AG653" s="253">
        <f t="shared" si="121"/>
        <v>266.32</v>
      </c>
      <c r="AH653" s="114"/>
      <c r="AK653" s="904"/>
      <c r="DF653" s="1434" t="str">
        <f t="shared" si="122"/>
        <v>ASHP-SEER15-Replace_CAC_NonElectricHeat_ER2_SF</v>
      </c>
      <c r="DG653" s="1023"/>
      <c r="DH653" s="1265" t="str">
        <f t="shared" si="119"/>
        <v>Cooling Res ER2 12 Year EUL</v>
      </c>
      <c r="DI653" s="1020">
        <f>(INDEX('Avoided Cost Benefits'!$B$4:$B$866,MATCH(DH653,'Avoided Cost Benefits'!$A$4:$A$866,0)))*F653</f>
        <v>344.59698807298355</v>
      </c>
      <c r="DJ653" s="2051">
        <f t="shared" si="120"/>
        <v>0</v>
      </c>
      <c r="DM653" s="234"/>
    </row>
    <row r="654" spans="1:117" x14ac:dyDescent="0.25">
      <c r="A654" s="2146" t="s">
        <v>861</v>
      </c>
      <c r="B654" s="1318">
        <f t="shared" si="115"/>
        <v>352310</v>
      </c>
      <c r="C654" s="18" t="s">
        <v>1119</v>
      </c>
      <c r="D654" s="1974" t="s">
        <v>863</v>
      </c>
      <c r="E654" s="1265" t="s">
        <v>1121</v>
      </c>
      <c r="F654" s="208">
        <f>0</f>
        <v>0</v>
      </c>
      <c r="G654" s="540" t="s">
        <v>1118</v>
      </c>
      <c r="H654" s="66">
        <f>VLOOKUP(G654,'CP FACTORS'!$A$3:$B$38, 2, FALSE)</f>
        <v>0</v>
      </c>
      <c r="I654" s="961">
        <f t="shared" si="116"/>
        <v>0</v>
      </c>
      <c r="J654" s="57">
        <f t="shared" si="117"/>
        <v>12</v>
      </c>
      <c r="K654" s="152">
        <f t="shared" si="118"/>
        <v>0</v>
      </c>
      <c r="L654" s="167"/>
      <c r="M654" s="531"/>
      <c r="N654" s="542"/>
      <c r="O654" s="398"/>
      <c r="R654" s="510"/>
      <c r="T654" s="50"/>
      <c r="U654" s="544"/>
      <c r="V654" s="1307" t="s">
        <v>46</v>
      </c>
      <c r="W654" s="903"/>
      <c r="X654" s="233"/>
      <c r="Y654" s="210"/>
      <c r="Z654" s="208"/>
      <c r="AA654" s="208"/>
      <c r="AB654" s="959"/>
      <c r="AC654" s="210">
        <v>0</v>
      </c>
      <c r="AD654" s="208">
        <v>0</v>
      </c>
      <c r="AE654" s="208">
        <v>0</v>
      </c>
      <c r="AF654" s="253">
        <v>0</v>
      </c>
      <c r="AG654" s="253">
        <f t="shared" si="121"/>
        <v>0</v>
      </c>
      <c r="AH654" s="114"/>
      <c r="AK654" s="904"/>
      <c r="DF654" s="1434" t="str">
        <f t="shared" si="122"/>
        <v>ASHP-SEER15-Replace_CAC_NonElectricHeat_ER2_SF</v>
      </c>
      <c r="DG654" s="1023"/>
      <c r="DH654" s="1265" t="str">
        <f t="shared" si="119"/>
        <v>Heating Res ER2 12 Year EUL</v>
      </c>
      <c r="DI654" s="1020">
        <f>(INDEX('Avoided Cost Benefits'!$B$4:$B$866,MATCH(DH654,'Avoided Cost Benefits'!$A$4:$A$866,0)))*F654</f>
        <v>0</v>
      </c>
      <c r="DJ654" s="2051">
        <f t="shared" si="120"/>
        <v>0</v>
      </c>
      <c r="DM654" s="234"/>
    </row>
    <row r="655" spans="1:117" x14ac:dyDescent="0.25">
      <c r="A655" s="2146" t="s">
        <v>861</v>
      </c>
      <c r="B655" s="1318">
        <f t="shared" si="115"/>
        <v>352350</v>
      </c>
      <c r="C655" s="18" t="s">
        <v>1122</v>
      </c>
      <c r="D655" s="1974" t="s">
        <v>863</v>
      </c>
      <c r="E655" s="1240" t="s">
        <v>1123</v>
      </c>
      <c r="F655" s="208">
        <f>ROUND(((K1289*K1392*(1/K1495-1/K1598)*K1701)/1000)*$K$1800,2)</f>
        <v>2004.34</v>
      </c>
      <c r="G655" s="540" t="s">
        <v>1030</v>
      </c>
      <c r="H655" s="66">
        <f>VLOOKUP(G655,'CP FACTORS'!$A$3:$B$38, 2, FALSE)</f>
        <v>9.4741810000000004E-4</v>
      </c>
      <c r="I655" s="961">
        <f t="shared" si="116"/>
        <v>1.8989480000000001</v>
      </c>
      <c r="J655" s="57">
        <f t="shared" si="117"/>
        <v>6</v>
      </c>
      <c r="K655" s="152">
        <f t="shared" si="118"/>
        <v>131.69764772075905</v>
      </c>
      <c r="L655" s="167">
        <f>L877</f>
        <v>2.5726507669889709</v>
      </c>
      <c r="M655" s="531"/>
      <c r="N655" s="542"/>
      <c r="O655" s="398"/>
      <c r="R655" s="510"/>
      <c r="T655" s="50"/>
      <c r="U655" s="544"/>
      <c r="V655" s="1307" t="s">
        <v>46</v>
      </c>
      <c r="W655" s="903">
        <v>2348.9856512141278</v>
      </c>
      <c r="X655" s="233">
        <v>1720.2653061224485</v>
      </c>
      <c r="Y655" s="210">
        <v>1647.18</v>
      </c>
      <c r="Z655" s="208">
        <v>1647.18</v>
      </c>
      <c r="AA655" s="208">
        <v>1647.18</v>
      </c>
      <c r="AB655" s="959">
        <v>2190.89</v>
      </c>
      <c r="AC655" s="210">
        <v>1735.46</v>
      </c>
      <c r="AD655" s="210">
        <v>2105.67</v>
      </c>
      <c r="AE655" s="210">
        <v>2004.34</v>
      </c>
      <c r="AF655" s="253">
        <v>2004.34</v>
      </c>
      <c r="AG655" s="253">
        <f t="shared" si="121"/>
        <v>2004.34</v>
      </c>
      <c r="AH655" s="114"/>
      <c r="AK655" s="904"/>
      <c r="DF655" s="1434" t="str">
        <f t="shared" si="122"/>
        <v>ASHP-SEER15_ER1_SF</v>
      </c>
      <c r="DG655" s="1019">
        <f>(DI655+DI656+DI657+DI658)/(DJ655+DJ656+DJ657+DJ658)</f>
        <v>19.854163033022541</v>
      </c>
      <c r="DH655" s="1240" t="str">
        <f t="shared" si="119"/>
        <v>Cooling Res 6 Year EUL</v>
      </c>
      <c r="DI655" s="1020">
        <f>(INDEX('Avoided Cost Benefits'!$B$4:$B$866,MATCH(DH655,'Avoided Cost Benefits'!$A$4:$A$866,0)))*F655</f>
        <v>1996.0181753905683</v>
      </c>
      <c r="DJ655" s="2051">
        <f t="shared" si="120"/>
        <v>131.69764772075905</v>
      </c>
      <c r="DM655" s="234"/>
    </row>
    <row r="656" spans="1:117" x14ac:dyDescent="0.25">
      <c r="A656" s="2146" t="s">
        <v>861</v>
      </c>
      <c r="B656" s="1318">
        <f t="shared" si="115"/>
        <v>352350</v>
      </c>
      <c r="C656" s="18" t="s">
        <v>1122</v>
      </c>
      <c r="D656" s="1974" t="s">
        <v>863</v>
      </c>
      <c r="E656" s="1265" t="s">
        <v>1123</v>
      </c>
      <c r="F656" s="208">
        <f>ROUND(((K877*K980*(1/K1083-1/K1186)*K1701)/1000)*$K$1800,2)</f>
        <v>1245.8499999999999</v>
      </c>
      <c r="G656" s="540" t="s">
        <v>1031</v>
      </c>
      <c r="H656" s="66">
        <f>VLOOKUP(G656,'CP FACTORS'!$A$3:$B$38, 2, FALSE)</f>
        <v>0</v>
      </c>
      <c r="I656" s="961">
        <f t="shared" si="116"/>
        <v>0</v>
      </c>
      <c r="J656" s="57">
        <f t="shared" si="117"/>
        <v>6</v>
      </c>
      <c r="K656" s="152">
        <f t="shared" si="118"/>
        <v>0</v>
      </c>
      <c r="L656" s="167"/>
      <c r="M656" s="531"/>
      <c r="N656" s="542"/>
      <c r="O656" s="398"/>
      <c r="R656" s="510"/>
      <c r="T656" s="50"/>
      <c r="U656" s="544"/>
      <c r="V656" s="1307" t="s">
        <v>46</v>
      </c>
      <c r="W656" s="903">
        <v>5147.8078093306267</v>
      </c>
      <c r="X656" s="233">
        <v>2027.0807587241729</v>
      </c>
      <c r="Y656" s="210">
        <v>1982.47</v>
      </c>
      <c r="Z656" s="208">
        <v>1982.47</v>
      </c>
      <c r="AA656" s="208">
        <v>1982.47</v>
      </c>
      <c r="AB656" s="959">
        <v>1893.17</v>
      </c>
      <c r="AC656" s="210">
        <v>2167.42</v>
      </c>
      <c r="AD656" s="210">
        <v>1855.9</v>
      </c>
      <c r="AE656" s="210">
        <v>1774.34</v>
      </c>
      <c r="AF656" s="253">
        <v>1774.34</v>
      </c>
      <c r="AG656" s="253">
        <f t="shared" si="121"/>
        <v>1245.8499999999999</v>
      </c>
      <c r="AH656" s="114"/>
      <c r="AK656" s="904"/>
      <c r="DF656" s="1434" t="str">
        <f t="shared" si="122"/>
        <v>ASHP-SEER15_ER1_SF</v>
      </c>
      <c r="DG656" s="1023"/>
      <c r="DH656" s="1265" t="str">
        <f t="shared" si="119"/>
        <v>Heating Res 6 Year EUL</v>
      </c>
      <c r="DI656" s="1020">
        <f>(INDEX('Avoided Cost Benefits'!$B$4:$B$866,MATCH(DH656,'Avoided Cost Benefits'!$A$4:$A$866,0)))*F656</f>
        <v>334.1105712334886</v>
      </c>
      <c r="DJ656" s="2051">
        <f t="shared" si="120"/>
        <v>0</v>
      </c>
      <c r="DM656" s="234"/>
    </row>
    <row r="657" spans="1:117" x14ac:dyDescent="0.25">
      <c r="A657" s="2146" t="s">
        <v>861</v>
      </c>
      <c r="B657" s="1318">
        <f t="shared" si="115"/>
        <v>352350</v>
      </c>
      <c r="C657" s="18" t="s">
        <v>1122</v>
      </c>
      <c r="D657" s="1974" t="s">
        <v>863</v>
      </c>
      <c r="E657" s="1265" t="s">
        <v>1124</v>
      </c>
      <c r="F657" s="208">
        <f>ROUND(((K1290*K1393*(1/K1496-1/K1599)*K1702)/1000)*$K$1800,2)</f>
        <v>119.46</v>
      </c>
      <c r="G657" s="540" t="s">
        <v>1083</v>
      </c>
      <c r="H657" s="66">
        <f>VLOOKUP(G657,'CP FACTORS'!$A$3:$B$38, 2, FALSE)</f>
        <v>9.4741810000000004E-4</v>
      </c>
      <c r="I657" s="961">
        <f t="shared" si="116"/>
        <v>0.113179</v>
      </c>
      <c r="J657" s="57">
        <f t="shared" si="117"/>
        <v>12</v>
      </c>
      <c r="K657" s="152">
        <f t="shared" si="118"/>
        <v>0</v>
      </c>
      <c r="L657" s="167"/>
      <c r="M657" s="531"/>
      <c r="N657" s="542"/>
      <c r="O657" s="398"/>
      <c r="R657" s="510"/>
      <c r="T657" s="50"/>
      <c r="U657" s="544"/>
      <c r="V657" s="1307" t="s">
        <v>46</v>
      </c>
      <c r="W657" s="903">
        <v>168.20946073793726</v>
      </c>
      <c r="X657" s="233">
        <v>168.83428571428527</v>
      </c>
      <c r="Y657" s="210">
        <v>161.66</v>
      </c>
      <c r="Z657" s="208">
        <v>161.66</v>
      </c>
      <c r="AA657" s="208">
        <v>161.66</v>
      </c>
      <c r="AB657" s="959">
        <v>171.72</v>
      </c>
      <c r="AC657" s="210">
        <v>175.54</v>
      </c>
      <c r="AD657" s="210">
        <v>164.86</v>
      </c>
      <c r="AE657" s="210">
        <v>17.43</v>
      </c>
      <c r="AF657" s="253">
        <v>119.46</v>
      </c>
      <c r="AG657" s="253">
        <f t="shared" si="121"/>
        <v>119.46</v>
      </c>
      <c r="AH657" s="114"/>
      <c r="AK657" s="904"/>
      <c r="DF657" s="1434" t="str">
        <f t="shared" si="122"/>
        <v>ASHP-SEER15_ER2_SF</v>
      </c>
      <c r="DG657" s="1023"/>
      <c r="DH657" s="1265" t="str">
        <f t="shared" si="119"/>
        <v>Cooling Res ER2 12 Year EUL</v>
      </c>
      <c r="DI657" s="1020">
        <f>(INDEX('Avoided Cost Benefits'!$B$4:$B$866,MATCH(DH657,'Avoided Cost Benefits'!$A$4:$A$866,0)))*F657</f>
        <v>154.57177904475299</v>
      </c>
      <c r="DJ657" s="2051">
        <f t="shared" si="120"/>
        <v>0</v>
      </c>
      <c r="DM657" s="234"/>
    </row>
    <row r="658" spans="1:117" x14ac:dyDescent="0.25">
      <c r="A658" s="2146" t="s">
        <v>861</v>
      </c>
      <c r="B658" s="1318">
        <f t="shared" si="115"/>
        <v>352350</v>
      </c>
      <c r="C658" s="18" t="s">
        <v>1122</v>
      </c>
      <c r="D658" s="1974" t="s">
        <v>863</v>
      </c>
      <c r="E658" s="1241" t="s">
        <v>1124</v>
      </c>
      <c r="F658" s="208">
        <f>ROUND(((K878*K981*(1/K1084-1/K1187)*K1702)/1000)*$K$1800,2)</f>
        <v>384.87</v>
      </c>
      <c r="G658" s="540" t="s">
        <v>1118</v>
      </c>
      <c r="H658" s="66">
        <f>VLOOKUP(G658,'CP FACTORS'!$A$3:$B$38, 2, FALSE)</f>
        <v>0</v>
      </c>
      <c r="I658" s="961">
        <f t="shared" si="116"/>
        <v>0</v>
      </c>
      <c r="J658" s="57">
        <f t="shared" si="117"/>
        <v>12</v>
      </c>
      <c r="K658" s="152">
        <f t="shared" si="118"/>
        <v>0</v>
      </c>
      <c r="L658" s="167"/>
      <c r="M658" s="531"/>
      <c r="N658" s="542"/>
      <c r="O658" s="398"/>
      <c r="R658" s="510"/>
      <c r="T658" s="50"/>
      <c r="U658" s="544"/>
      <c r="V658" s="1307" t="s">
        <v>46</v>
      </c>
      <c r="W658" s="903">
        <v>523.79310344827582</v>
      </c>
      <c r="X658" s="233">
        <v>377.74325409076874</v>
      </c>
      <c r="Y658" s="210">
        <v>403.2</v>
      </c>
      <c r="Z658" s="208">
        <v>403.2</v>
      </c>
      <c r="AA658" s="208">
        <v>403.2</v>
      </c>
      <c r="AB658" s="959">
        <v>221.27</v>
      </c>
      <c r="AC658" s="210">
        <v>483.92</v>
      </c>
      <c r="AD658" s="210">
        <v>390.89</v>
      </c>
      <c r="AE658" s="210">
        <v>125.72</v>
      </c>
      <c r="AF658" s="253">
        <v>913.36</v>
      </c>
      <c r="AG658" s="253">
        <f t="shared" si="121"/>
        <v>384.87</v>
      </c>
      <c r="AH658" s="114"/>
      <c r="AK658" s="904"/>
      <c r="DF658" s="1434" t="str">
        <f t="shared" si="122"/>
        <v>ASHP-SEER15_ER2_SF</v>
      </c>
      <c r="DG658" s="1023"/>
      <c r="DH658" s="1241" t="str">
        <f t="shared" si="119"/>
        <v>Heating Res ER2 12 Year EUL</v>
      </c>
      <c r="DI658" s="1020">
        <f>(INDEX('Avoided Cost Benefits'!$B$4:$B$866,MATCH(DH658,'Avoided Cost Benefits'!$A$4:$A$866,0)))*F658</f>
        <v>130.04604324470995</v>
      </c>
      <c r="DJ658" s="2051">
        <f t="shared" si="120"/>
        <v>0</v>
      </c>
      <c r="DM658" s="234"/>
    </row>
    <row r="659" spans="1:117" x14ac:dyDescent="0.25">
      <c r="A659" s="2146" t="s">
        <v>861</v>
      </c>
      <c r="B659" s="1318">
        <f t="shared" si="115"/>
        <v>352400</v>
      </c>
      <c r="C659" s="18" t="s">
        <v>1125</v>
      </c>
      <c r="D659" s="1974" t="s">
        <v>863</v>
      </c>
      <c r="E659" s="198" t="s">
        <v>1126</v>
      </c>
      <c r="F659" s="208">
        <f>ROUND(((K1291*K1394*(1/K1497-1/K1600)*K1703)/1000)*$K$1800,2)</f>
        <v>273.67</v>
      </c>
      <c r="G659" s="540" t="s">
        <v>1030</v>
      </c>
      <c r="H659" s="66">
        <f>VLOOKUP(G659,'CP FACTORS'!$A$3:$B$38, 2, FALSE)</f>
        <v>9.4741810000000004E-4</v>
      </c>
      <c r="I659" s="961">
        <f t="shared" si="116"/>
        <v>0.25928000000000001</v>
      </c>
      <c r="J659" s="57">
        <f t="shared" si="117"/>
        <v>18</v>
      </c>
      <c r="K659" s="152">
        <f t="shared" si="118"/>
        <v>3334.5954220882886</v>
      </c>
      <c r="L659" s="167">
        <f>L879</f>
        <v>2.8059923701471465</v>
      </c>
      <c r="M659" s="531"/>
      <c r="N659" s="542"/>
      <c r="O659" s="398"/>
      <c r="R659" s="510"/>
      <c r="T659" s="50"/>
      <c r="U659" s="544"/>
      <c r="V659" s="1307" t="s">
        <v>46</v>
      </c>
      <c r="W659" s="903">
        <v>301.86315789473701</v>
      </c>
      <c r="X659" s="233">
        <v>344.16219780219757</v>
      </c>
      <c r="Y659" s="210">
        <v>320.36</v>
      </c>
      <c r="Z659" s="208">
        <v>320.36</v>
      </c>
      <c r="AA659" s="208">
        <v>320.36</v>
      </c>
      <c r="AB659" s="959">
        <v>345.06</v>
      </c>
      <c r="AC659" s="210">
        <v>349.89</v>
      </c>
      <c r="AD659" s="210">
        <v>351.14</v>
      </c>
      <c r="AE659" s="210">
        <v>171.42</v>
      </c>
      <c r="AF659" s="253">
        <v>273.67</v>
      </c>
      <c r="AG659" s="253">
        <f t="shared" si="121"/>
        <v>273.67</v>
      </c>
      <c r="AH659" s="114"/>
      <c r="DF659" s="1434" t="str">
        <f t="shared" si="122"/>
        <v>ASHP-SEER15-Replace_CAC_ElectricHeat_ROF_SF</v>
      </c>
      <c r="DG659" s="1019">
        <f>(DI659+DI660)/(DJ659+DJ660)</f>
        <v>1.7283831771757425</v>
      </c>
      <c r="DH659" s="198" t="str">
        <f t="shared" si="119"/>
        <v>Cooling Res 18 Year EUL</v>
      </c>
      <c r="DI659" s="1020">
        <f>(INDEX('Avoided Cost Benefits'!$B$4:$B$866,MATCH(DH659,'Avoided Cost Benefits'!$A$4:$A$866,0)))*F659</f>
        <v>626.64105476469535</v>
      </c>
      <c r="DJ659" s="2051">
        <f t="shared" si="120"/>
        <v>3334.5954220882886</v>
      </c>
      <c r="DM659" s="234"/>
    </row>
    <row r="660" spans="1:117" x14ac:dyDescent="0.25">
      <c r="A660" s="2146" t="s">
        <v>861</v>
      </c>
      <c r="B660" s="1318">
        <f t="shared" si="115"/>
        <v>352400</v>
      </c>
      <c r="C660" s="18" t="s">
        <v>1125</v>
      </c>
      <c r="D660" s="1974" t="s">
        <v>863</v>
      </c>
      <c r="E660" s="235" t="s">
        <v>1126</v>
      </c>
      <c r="F660" s="208">
        <f>ROUND(((K879*K982*(1/K1085-1/K1188)*K1703)/1000)*$K$1800,2)</f>
        <v>8475.5499999999993</v>
      </c>
      <c r="G660" s="540" t="s">
        <v>1031</v>
      </c>
      <c r="H660" s="66">
        <f>VLOOKUP(G660,'CP FACTORS'!$A$3:$B$38, 2, FALSE)</f>
        <v>0</v>
      </c>
      <c r="I660" s="961">
        <f t="shared" si="116"/>
        <v>0</v>
      </c>
      <c r="J660" s="57">
        <f t="shared" si="117"/>
        <v>18</v>
      </c>
      <c r="K660" s="152">
        <f t="shared" si="118"/>
        <v>0</v>
      </c>
      <c r="L660" s="167"/>
      <c r="M660" s="531"/>
      <c r="N660" s="542"/>
      <c r="O660" s="398"/>
      <c r="R660" s="510"/>
      <c r="T660" s="50"/>
      <c r="U660" s="544"/>
      <c r="V660" s="1307" t="s">
        <v>46</v>
      </c>
      <c r="W660" s="903">
        <v>11093.001159380752</v>
      </c>
      <c r="X660" s="233">
        <v>9788.00163331972</v>
      </c>
      <c r="Y660" s="210">
        <v>9127.7999999999993</v>
      </c>
      <c r="Z660" s="208">
        <v>9127.7999999999993</v>
      </c>
      <c r="AA660" s="208">
        <v>9127.7999999999993</v>
      </c>
      <c r="AB660" s="959">
        <v>9372.23</v>
      </c>
      <c r="AC660" s="210">
        <v>9964.14</v>
      </c>
      <c r="AD660" s="210">
        <v>9046.66</v>
      </c>
      <c r="AE660" s="210">
        <v>8958.99</v>
      </c>
      <c r="AF660" s="253">
        <v>8958.99</v>
      </c>
      <c r="AG660" s="253">
        <f t="shared" si="121"/>
        <v>8475.5499999999993</v>
      </c>
      <c r="AH660" s="114"/>
      <c r="AK660" s="904"/>
      <c r="DF660" s="1434" t="str">
        <f t="shared" si="122"/>
        <v>ASHP-SEER15-Replace_CAC_ElectricHeat_ROF_SF</v>
      </c>
      <c r="DG660" s="1021"/>
      <c r="DH660" s="235" t="str">
        <f t="shared" si="119"/>
        <v>Heating Res 18 Year EUL</v>
      </c>
      <c r="DI660" s="1020">
        <f>(INDEX('Avoided Cost Benefits'!$B$4:$B$866,MATCH(DH660,'Avoided Cost Benefits'!$A$4:$A$866,0)))*F660</f>
        <v>5136.817575459947</v>
      </c>
      <c r="DJ660" s="2051">
        <f t="shared" si="120"/>
        <v>0</v>
      </c>
      <c r="DM660" s="234"/>
    </row>
    <row r="661" spans="1:117" x14ac:dyDescent="0.25">
      <c r="A661" s="2146" t="s">
        <v>861</v>
      </c>
      <c r="B661" s="1318">
        <f t="shared" si="115"/>
        <v>352410</v>
      </c>
      <c r="C661" s="18" t="s">
        <v>1127</v>
      </c>
      <c r="D661" s="1974" t="s">
        <v>863</v>
      </c>
      <c r="E661" s="777" t="s">
        <v>1128</v>
      </c>
      <c r="F661" s="208">
        <f>ROUND(((K1292*K1395*(1/K1498-1/K1601)*K1704)/1000)*$K$1800,2)</f>
        <v>273.67</v>
      </c>
      <c r="G661" s="540" t="s">
        <v>1030</v>
      </c>
      <c r="H661" s="66">
        <f>VLOOKUP(G661,'CP FACTORS'!$A$3:$B$38, 2, FALSE)</f>
        <v>9.4741810000000004E-4</v>
      </c>
      <c r="I661" s="961">
        <f t="shared" si="116"/>
        <v>0.25928000000000001</v>
      </c>
      <c r="J661" s="57">
        <f t="shared" si="117"/>
        <v>18</v>
      </c>
      <c r="K661" s="152">
        <f t="shared" si="118"/>
        <v>104.30400986178219</v>
      </c>
      <c r="L661" s="167">
        <f>L880</f>
        <v>2.8059923701471465</v>
      </c>
      <c r="M661" s="531"/>
      <c r="N661" s="542"/>
      <c r="O661" s="398"/>
      <c r="R661" s="510"/>
      <c r="T661" s="50"/>
      <c r="U661" s="544"/>
      <c r="V661" s="1307" t="s">
        <v>46</v>
      </c>
      <c r="W661" s="903"/>
      <c r="X661" s="233"/>
      <c r="Y661" s="210"/>
      <c r="Z661" s="208"/>
      <c r="AA661" s="208"/>
      <c r="AB661" s="959"/>
      <c r="AC661" s="210">
        <v>349.89</v>
      </c>
      <c r="AD661" s="210">
        <v>351.14</v>
      </c>
      <c r="AE661" s="210">
        <v>171.42</v>
      </c>
      <c r="AF661" s="253">
        <v>273.67</v>
      </c>
      <c r="AG661" s="253">
        <f t="shared" si="121"/>
        <v>273.67</v>
      </c>
      <c r="AH661" s="114"/>
      <c r="AK661" s="904"/>
      <c r="DF661" s="1434" t="str">
        <f t="shared" si="122"/>
        <v>ASHP-SEER15-Replace_CAC_NonElectricHeat_ROF_SF</v>
      </c>
      <c r="DG661" s="1019">
        <f>(DI661+DI662)/(DJ661+DJ662)</f>
        <v>6.0078328301575832</v>
      </c>
      <c r="DH661" s="777" t="str">
        <f t="shared" si="119"/>
        <v>Cooling Res 18 Year EUL</v>
      </c>
      <c r="DI661" s="1020">
        <f>(INDEX('Avoided Cost Benefits'!$B$4:$B$866,MATCH(DH661,'Avoided Cost Benefits'!$A$4:$A$866,0)))*F661</f>
        <v>626.64105476469535</v>
      </c>
      <c r="DJ661" s="2051">
        <f t="shared" si="120"/>
        <v>104.30400986178219</v>
      </c>
      <c r="DM661" s="234"/>
    </row>
    <row r="662" spans="1:117" x14ac:dyDescent="0.25">
      <c r="A662" s="2146" t="s">
        <v>861</v>
      </c>
      <c r="B662" s="1318">
        <f t="shared" si="115"/>
        <v>352410</v>
      </c>
      <c r="C662" s="18" t="s">
        <v>1127</v>
      </c>
      <c r="D662" s="1974" t="s">
        <v>863</v>
      </c>
      <c r="E662" s="777" t="s">
        <v>1128</v>
      </c>
      <c r="F662" s="208">
        <f>0</f>
        <v>0</v>
      </c>
      <c r="G662" s="540" t="s">
        <v>1031</v>
      </c>
      <c r="H662" s="66">
        <f>VLOOKUP(G662,'CP FACTORS'!$A$3:$B$38, 2, FALSE)</f>
        <v>0</v>
      </c>
      <c r="I662" s="961">
        <f t="shared" si="116"/>
        <v>0</v>
      </c>
      <c r="J662" s="57">
        <f t="shared" si="117"/>
        <v>18</v>
      </c>
      <c r="K662" s="152">
        <f t="shared" si="118"/>
        <v>0</v>
      </c>
      <c r="L662" s="167"/>
      <c r="M662" s="531"/>
      <c r="N662" s="542"/>
      <c r="O662" s="398"/>
      <c r="R662" s="510"/>
      <c r="T662" s="50"/>
      <c r="U662" s="544"/>
      <c r="V662" s="1307" t="s">
        <v>46</v>
      </c>
      <c r="W662" s="903"/>
      <c r="X662" s="233"/>
      <c r="Y662" s="210"/>
      <c r="Z662" s="208"/>
      <c r="AA662" s="208"/>
      <c r="AB662" s="959"/>
      <c r="AC662" s="210">
        <v>0</v>
      </c>
      <c r="AD662" s="208">
        <v>0</v>
      </c>
      <c r="AE662" s="208">
        <v>0</v>
      </c>
      <c r="AF662" s="253">
        <v>0</v>
      </c>
      <c r="AG662" s="253">
        <f t="shared" si="121"/>
        <v>0</v>
      </c>
      <c r="AH662" s="114"/>
      <c r="AK662" s="904"/>
      <c r="DF662" s="1434" t="str">
        <f t="shared" si="122"/>
        <v>ASHP-SEER15-Replace_CAC_NonElectricHeat_ROF_SF</v>
      </c>
      <c r="DG662" s="1021"/>
      <c r="DH662" s="777" t="str">
        <f t="shared" si="119"/>
        <v>Heating Res 18 Year EUL</v>
      </c>
      <c r="DI662" s="1020">
        <f>(INDEX('Avoided Cost Benefits'!$B$4:$B$866,MATCH(DH662,'Avoided Cost Benefits'!$A$4:$A$866,0)))*F662</f>
        <v>0</v>
      </c>
      <c r="DJ662" s="2051">
        <f t="shared" si="120"/>
        <v>0</v>
      </c>
      <c r="DM662" s="234"/>
    </row>
    <row r="663" spans="1:117" x14ac:dyDescent="0.25">
      <c r="A663" s="2143" t="s">
        <v>602</v>
      </c>
      <c r="B663" s="1318">
        <f t="shared" ref="B663:B668" si="123">VALUE(LEFT(C663,6))</f>
        <v>352420</v>
      </c>
      <c r="C663" s="650" t="s">
        <v>1129</v>
      </c>
      <c r="D663" s="1994" t="s">
        <v>810</v>
      </c>
      <c r="E663" s="2101" t="s">
        <v>1130</v>
      </c>
      <c r="F663" s="885">
        <f>ROUND(((K1293*K1396*(1/K1499-1/K1602)*K1705)/1000)*$K$1800,2)</f>
        <v>1923.9</v>
      </c>
      <c r="G663" s="2097" t="s">
        <v>1030</v>
      </c>
      <c r="H663" s="2098">
        <f>VLOOKUP(G663,'CP FACTORS'!$A$3:$B$38, 2, FALSE)</f>
        <v>9.4741810000000004E-4</v>
      </c>
      <c r="I663" s="2102">
        <f t="shared" ref="I663:I668" si="124">ROUND(F663*H663,6)</f>
        <v>1.822738</v>
      </c>
      <c r="J663" s="48">
        <f t="shared" ref="J663:J680" si="125">K1817</f>
        <v>6</v>
      </c>
      <c r="K663" s="2100">
        <f>IF(C663&lt;&gt;C852,VLOOKUP(C663,$J$2007:$K$2218,2,FALSE),0)</f>
        <v>2913.5649648885365</v>
      </c>
      <c r="L663" s="168">
        <f>L881</f>
        <v>2.0347222222222219</v>
      </c>
      <c r="M663" s="531"/>
      <c r="N663" s="542"/>
      <c r="O663" s="398"/>
      <c r="R663" s="510"/>
      <c r="T663" s="50"/>
      <c r="U663" s="544"/>
      <c r="V663" s="645" t="s">
        <v>46</v>
      </c>
      <c r="W663" s="903"/>
      <c r="X663" s="233"/>
      <c r="Y663" s="208"/>
      <c r="Z663" s="208"/>
      <c r="AA663" s="208"/>
      <c r="AB663" s="960"/>
      <c r="AC663" s="901"/>
      <c r="AD663" s="208"/>
      <c r="AE663" s="208"/>
      <c r="AF663" s="253"/>
      <c r="AG663" s="253">
        <f t="shared" ref="AG663:AG668" si="126">IF(F663&lt;&gt;"",F663,"")</f>
        <v>1923.9</v>
      </c>
      <c r="AH663" s="114"/>
      <c r="AK663" s="904"/>
      <c r="DF663" s="1434" t="str">
        <f t="shared" ref="DF663:DF668" si="127">E663</f>
        <v>ASHP-SEER15-Replace_CAC_ElectricHeat_ER1_MF</v>
      </c>
      <c r="DG663" s="1019">
        <f>(DI663+DI664+DI665+DI666)/(DJ663+DJ664+DJ665+DJ666)</f>
        <v>2.0243771694958634</v>
      </c>
      <c r="DH663" s="1240" t="str">
        <f t="shared" ref="DH663:DH668" si="128">CONCATENATE(G663," ",J663," Year EUL")</f>
        <v>Cooling Res 6 Year EUL</v>
      </c>
      <c r="DI663" s="1020">
        <f>(INDEX('Avoided Cost Benefits'!$B$4:$B$866,MATCH(DH663,'Avoided Cost Benefits'!$A$4:$A$866,0)))*F663</f>
        <v>1915.9121544418188</v>
      </c>
      <c r="DJ663" s="2051">
        <f t="shared" ref="DJ663:DJ668" si="129">IFERROR(K663/((1+DiscountRate)^(CurrentYear-DiscountYear)),0)</f>
        <v>2913.5649648885365</v>
      </c>
      <c r="DM663" s="234"/>
    </row>
    <row r="664" spans="1:117" x14ac:dyDescent="0.25">
      <c r="A664" s="2143" t="s">
        <v>602</v>
      </c>
      <c r="B664" s="1318">
        <f t="shared" si="123"/>
        <v>352420</v>
      </c>
      <c r="C664" s="650" t="s">
        <v>1129</v>
      </c>
      <c r="D664" s="1994" t="s">
        <v>810</v>
      </c>
      <c r="E664" s="2103" t="s">
        <v>1130</v>
      </c>
      <c r="F664" s="885">
        <f>ROUND(((K881*K1078*(1/K1087-1/K1190)*K1705)/1000)*$K$1800,2)</f>
        <v>6145.91</v>
      </c>
      <c r="G664" s="2097" t="s">
        <v>1031</v>
      </c>
      <c r="H664" s="2098">
        <f>VLOOKUP(G664,'CP FACTORS'!$A$3:$B$38, 2, FALSE)</f>
        <v>0</v>
      </c>
      <c r="I664" s="2102">
        <f t="shared" si="124"/>
        <v>0</v>
      </c>
      <c r="J664" s="48">
        <f t="shared" si="125"/>
        <v>6</v>
      </c>
      <c r="K664" s="2100">
        <f>IF(C664&lt;&gt;C663,VLOOKUP(C664,$J$2007:$K$2218,2,FALSE),0)</f>
        <v>0</v>
      </c>
      <c r="L664" s="168"/>
      <c r="M664" s="531"/>
      <c r="N664" s="542"/>
      <c r="O664" s="398"/>
      <c r="R664" s="510"/>
      <c r="T664" s="50"/>
      <c r="U664" s="544"/>
      <c r="V664" s="645" t="s">
        <v>46</v>
      </c>
      <c r="W664" s="903"/>
      <c r="X664" s="233"/>
      <c r="Y664" s="208"/>
      <c r="Z664" s="208"/>
      <c r="AA664" s="208"/>
      <c r="AB664" s="960"/>
      <c r="AC664" s="901"/>
      <c r="AD664" s="208"/>
      <c r="AE664" s="208"/>
      <c r="AF664" s="253"/>
      <c r="AG664" s="253">
        <f t="shared" si="126"/>
        <v>6145.91</v>
      </c>
      <c r="AH664" s="114"/>
      <c r="AK664" s="904"/>
      <c r="DF664" s="1434" t="str">
        <f t="shared" si="127"/>
        <v>ASHP-SEER15-Replace_CAC_ElectricHeat_ER1_MF</v>
      </c>
      <c r="DG664" s="1023"/>
      <c r="DH664" s="1265" t="str">
        <f t="shared" si="128"/>
        <v>Heating Res 6 Year EUL</v>
      </c>
      <c r="DI664" s="1020">
        <f>(INDEX('Avoided Cost Benefits'!$B$4:$B$866,MATCH(DH664,'Avoided Cost Benefits'!$A$4:$A$866,0)))*F664</f>
        <v>1648.2028340888633</v>
      </c>
      <c r="DJ664" s="2051">
        <f t="shared" si="129"/>
        <v>0</v>
      </c>
      <c r="DM664" s="234"/>
    </row>
    <row r="665" spans="1:117" x14ac:dyDescent="0.25">
      <c r="A665" s="2143" t="s">
        <v>602</v>
      </c>
      <c r="B665" s="1318">
        <f t="shared" si="123"/>
        <v>352420</v>
      </c>
      <c r="C665" s="650" t="s">
        <v>1129</v>
      </c>
      <c r="D665" s="1994" t="s">
        <v>810</v>
      </c>
      <c r="E665" s="2103" t="s">
        <v>1131</v>
      </c>
      <c r="F665" s="885">
        <f>ROUND(((K1294*K1397*(1/K1500-1/K1603)*K1706)/1000)*$K$1800,2)</f>
        <v>198.9</v>
      </c>
      <c r="G665" s="2097" t="s">
        <v>1083</v>
      </c>
      <c r="H665" s="2098">
        <f>VLOOKUP(G665,'CP FACTORS'!$A$3:$B$38, 2, FALSE)</f>
        <v>9.4741810000000004E-4</v>
      </c>
      <c r="I665" s="2102">
        <f t="shared" si="124"/>
        <v>0.188441</v>
      </c>
      <c r="J665" s="48">
        <f t="shared" si="125"/>
        <v>12</v>
      </c>
      <c r="K665" s="2100">
        <f>IF(C665&lt;&gt;C664,VLOOKUP(C665,$J$2007:$K$2218,2,FALSE),0)</f>
        <v>0</v>
      </c>
      <c r="L665" s="168"/>
      <c r="M665" s="531"/>
      <c r="N665" s="542"/>
      <c r="O665" s="398"/>
      <c r="R665" s="510"/>
      <c r="T665" s="50"/>
      <c r="U665" s="544"/>
      <c r="V665" s="645" t="s">
        <v>46</v>
      </c>
      <c r="W665" s="903"/>
      <c r="X665" s="236"/>
      <c r="Y665" s="208"/>
      <c r="Z665" s="208"/>
      <c r="AA665" s="208"/>
      <c r="AB665" s="960"/>
      <c r="AC665" s="901"/>
      <c r="AD665" s="208"/>
      <c r="AE665" s="210"/>
      <c r="AF665" s="253"/>
      <c r="AG665" s="253">
        <f t="shared" si="126"/>
        <v>198.9</v>
      </c>
      <c r="AH665" s="114"/>
      <c r="AK665" s="904"/>
      <c r="DF665" s="1434" t="str">
        <f t="shared" si="127"/>
        <v>ASHP-SEER15-Replace_CAC_ElectricHeat_ER2_MF</v>
      </c>
      <c r="DG665" s="1023"/>
      <c r="DH665" s="1265" t="str">
        <f t="shared" si="128"/>
        <v>Cooling Res ER2 12 Year EUL</v>
      </c>
      <c r="DI665" s="1020">
        <f>(INDEX('Avoided Cost Benefits'!$B$4:$B$866,MATCH(DH665,'Avoided Cost Benefits'!$A$4:$A$866,0)))*F665</f>
        <v>257.36084758079164</v>
      </c>
      <c r="DJ665" s="2051">
        <f t="shared" si="129"/>
        <v>0</v>
      </c>
      <c r="DM665" s="234"/>
    </row>
    <row r="666" spans="1:117" x14ac:dyDescent="0.25">
      <c r="A666" s="2143" t="s">
        <v>602</v>
      </c>
      <c r="B666" s="1318">
        <f t="shared" si="123"/>
        <v>352420</v>
      </c>
      <c r="C666" s="650" t="s">
        <v>1129</v>
      </c>
      <c r="D666" s="1994" t="s">
        <v>810</v>
      </c>
      <c r="E666" s="2104" t="s">
        <v>1131</v>
      </c>
      <c r="F666" s="885">
        <f>ROUND(((K882*K985*(1/K1088-1/K1191)*K1706)/1000)*$K$1800,2)</f>
        <v>6145.91</v>
      </c>
      <c r="G666" s="2097" t="s">
        <v>1118</v>
      </c>
      <c r="H666" s="2098">
        <f>VLOOKUP(G666,'CP FACTORS'!$A$3:$B$38, 2, FALSE)</f>
        <v>0</v>
      </c>
      <c r="I666" s="2102">
        <f t="shared" si="124"/>
        <v>0</v>
      </c>
      <c r="J666" s="48">
        <f t="shared" si="125"/>
        <v>12</v>
      </c>
      <c r="K666" s="2100">
        <f>IF(C666&lt;&gt;C665,VLOOKUP(C666,$J$2007:$K$2218,2,FALSE),0)</f>
        <v>0</v>
      </c>
      <c r="L666" s="168"/>
      <c r="M666" s="531"/>
      <c r="N666" s="542"/>
      <c r="O666" s="398"/>
      <c r="R666" s="510"/>
      <c r="T666" s="50"/>
      <c r="U666" s="544"/>
      <c r="V666" s="645" t="s">
        <v>46</v>
      </c>
      <c r="W666" s="903"/>
      <c r="X666" s="233"/>
      <c r="Y666" s="208"/>
      <c r="Z666" s="208"/>
      <c r="AA666" s="208"/>
      <c r="AB666" s="960"/>
      <c r="AC666" s="901"/>
      <c r="AD666" s="208"/>
      <c r="AE666" s="208"/>
      <c r="AF666" s="253"/>
      <c r="AG666" s="253">
        <f t="shared" si="126"/>
        <v>6145.91</v>
      </c>
      <c r="AH666" s="114"/>
      <c r="AK666" s="904"/>
      <c r="DF666" s="1434" t="str">
        <f t="shared" si="127"/>
        <v>ASHP-SEER15-Replace_CAC_ElectricHeat_ER2_MF</v>
      </c>
      <c r="DG666" s="1023"/>
      <c r="DH666" s="1241" t="str">
        <f t="shared" si="128"/>
        <v>Heating Res ER2 12 Year EUL</v>
      </c>
      <c r="DI666" s="1020">
        <f>(INDEX('Avoided Cost Benefits'!$B$4:$B$866,MATCH(DH666,'Avoided Cost Benefits'!$A$4:$A$866,0)))*F666</f>
        <v>2076.6785606518961</v>
      </c>
      <c r="DJ666" s="2051">
        <f t="shared" si="129"/>
        <v>0</v>
      </c>
      <c r="DM666" s="234"/>
    </row>
    <row r="667" spans="1:117" s="39" customFormat="1" x14ac:dyDescent="0.25">
      <c r="A667" s="2143" t="s">
        <v>602</v>
      </c>
      <c r="B667" s="37">
        <f t="shared" si="123"/>
        <v>352425</v>
      </c>
      <c r="C667" s="650" t="s">
        <v>1132</v>
      </c>
      <c r="D667" s="1994" t="s">
        <v>810</v>
      </c>
      <c r="E667" s="2107" t="s">
        <v>1133</v>
      </c>
      <c r="F667" s="885">
        <f>ROUND(((K1295*K1398*(1/K1501-1/K1604)*K1707)/1000)*$K$1800,2)</f>
        <v>262.64999999999998</v>
      </c>
      <c r="G667" s="2097" t="s">
        <v>1030</v>
      </c>
      <c r="H667" s="2098">
        <f>VLOOKUP(G667,'CP FACTORS'!$A$3:$B$38, 2, FALSE)</f>
        <v>9.4741810000000004E-4</v>
      </c>
      <c r="I667" s="2099">
        <f t="shared" si="124"/>
        <v>0.248839</v>
      </c>
      <c r="J667" s="48">
        <f t="shared" si="125"/>
        <v>18</v>
      </c>
      <c r="K667" s="2100">
        <f>IF(C667&lt;&gt;C666,VLOOKUP(C667,$J$2007:$K$2218,2,FALSE),0)</f>
        <v>3371</v>
      </c>
      <c r="L667" s="168">
        <f>L896</f>
        <v>2.7222222222222223</v>
      </c>
      <c r="M667" s="531"/>
      <c r="N667" s="1983"/>
      <c r="O667" s="683"/>
      <c r="R667" s="1984"/>
      <c r="U667" s="1985"/>
      <c r="V667" s="645" t="s">
        <v>46</v>
      </c>
      <c r="W667" s="230"/>
      <c r="X667" s="233"/>
      <c r="Y667" s="210"/>
      <c r="Z667" s="210"/>
      <c r="AA667" s="210"/>
      <c r="AB667" s="959"/>
      <c r="AC667" s="210"/>
      <c r="AD667" s="210"/>
      <c r="AE667" s="210"/>
      <c r="AF667" s="253"/>
      <c r="AG667" s="253">
        <f t="shared" si="126"/>
        <v>262.64999999999998</v>
      </c>
      <c r="AH667" s="683"/>
      <c r="DF667" s="1986" t="str">
        <f t="shared" si="127"/>
        <v>ASHP-SEER15-Replace_CAC_ElectricHeat_ROF_MF</v>
      </c>
      <c r="DG667" s="1019">
        <f>(DI667+DI668)/(DJ667+DJ668)</f>
        <v>1.7351808517883911</v>
      </c>
      <c r="DH667" s="198" t="str">
        <f t="shared" si="128"/>
        <v>Cooling Res 18 Year EUL</v>
      </c>
      <c r="DI667" s="1020">
        <f>(INDEX('Avoided Cost Benefits'!$B$4:$B$866,MATCH(DH667,'Avoided Cost Benefits'!$A$4:$A$866,0)))*F667</f>
        <v>601.40780149065381</v>
      </c>
      <c r="DJ667" s="2051">
        <f t="shared" si="129"/>
        <v>3371</v>
      </c>
      <c r="DM667" s="1987"/>
    </row>
    <row r="668" spans="1:117" s="39" customFormat="1" x14ac:dyDescent="0.25">
      <c r="A668" s="2143" t="s">
        <v>602</v>
      </c>
      <c r="B668" s="37">
        <f t="shared" si="123"/>
        <v>352425</v>
      </c>
      <c r="C668" s="650" t="s">
        <v>1132</v>
      </c>
      <c r="D668" s="1994" t="s">
        <v>810</v>
      </c>
      <c r="E668" s="2108" t="s">
        <v>1133</v>
      </c>
      <c r="F668" s="885">
        <f>ROUND(((K883*K986*(1/K1089-1/K1192)*K1707)/1000)*$K$1800,2)</f>
        <v>8658.81</v>
      </c>
      <c r="G668" s="2097" t="s">
        <v>1031</v>
      </c>
      <c r="H668" s="2098">
        <f>VLOOKUP(G668,'CP FACTORS'!$A$3:$B$38, 2, FALSE)</f>
        <v>0</v>
      </c>
      <c r="I668" s="2099">
        <f t="shared" si="124"/>
        <v>0</v>
      </c>
      <c r="J668" s="48">
        <f t="shared" si="125"/>
        <v>18</v>
      </c>
      <c r="K668" s="2100">
        <f>IF(C668&lt;&gt;C667,VLOOKUP(C668,$J$2007:$K$2218,2,FALSE),0)</f>
        <v>0</v>
      </c>
      <c r="L668" s="168"/>
      <c r="M668" s="531"/>
      <c r="N668" s="1983"/>
      <c r="O668" s="683"/>
      <c r="R668" s="1984"/>
      <c r="U668" s="1985"/>
      <c r="V668" s="645" t="s">
        <v>46</v>
      </c>
      <c r="W668" s="230"/>
      <c r="X668" s="233"/>
      <c r="Y668" s="210"/>
      <c r="Z668" s="210"/>
      <c r="AA668" s="210"/>
      <c r="AB668" s="959"/>
      <c r="AC668" s="210"/>
      <c r="AD668" s="210"/>
      <c r="AE668" s="210"/>
      <c r="AF668" s="253"/>
      <c r="AG668" s="253">
        <f t="shared" si="126"/>
        <v>8658.81</v>
      </c>
      <c r="AH668" s="683"/>
      <c r="AK668" s="1988"/>
      <c r="DF668" s="1986" t="str">
        <f t="shared" si="127"/>
        <v>ASHP-SEER15-Replace_CAC_ElectricHeat_ROF_MF</v>
      </c>
      <c r="DG668" s="1021"/>
      <c r="DH668" s="235" t="str">
        <f t="shared" si="128"/>
        <v>Heating Res 18 Year EUL</v>
      </c>
      <c r="DI668" s="1020">
        <f>(INDEX('Avoided Cost Benefits'!$B$4:$B$866,MATCH(DH668,'Avoided Cost Benefits'!$A$4:$A$866,0)))*F668</f>
        <v>5247.8868498880129</v>
      </c>
      <c r="DJ668" s="2051">
        <f t="shared" si="129"/>
        <v>0</v>
      </c>
      <c r="DM668" s="1987"/>
    </row>
    <row r="669" spans="1:117" x14ac:dyDescent="0.25">
      <c r="A669" s="2146" t="s">
        <v>607</v>
      </c>
      <c r="B669" s="1318">
        <f t="shared" si="115"/>
        <v>352500</v>
      </c>
      <c r="C669" s="18" t="s">
        <v>1134</v>
      </c>
      <c r="D669" s="1994" t="s">
        <v>863</v>
      </c>
      <c r="E669" s="1251" t="s">
        <v>1135</v>
      </c>
      <c r="F669" s="977">
        <f>ROUND(((K1296*K1399*(1/K1502-1/K1605)*K1708)/1000)*$K$1800,2)</f>
        <v>2150.16</v>
      </c>
      <c r="G669" s="36" t="s">
        <v>1030</v>
      </c>
      <c r="H669" s="130">
        <f>VLOOKUP(G669,'CP FACTORS'!$A$3:$B$38, 2, FALSE)</f>
        <v>9.4741810000000004E-4</v>
      </c>
      <c r="I669" s="43">
        <f t="shared" si="116"/>
        <v>2.0371009999999998</v>
      </c>
      <c r="J669" s="44">
        <f t="shared" si="125"/>
        <v>6</v>
      </c>
      <c r="K669" s="360">
        <f>IF(C669&lt;&gt;C662,VLOOKUP(C669,$J$2007:$K$2218,2,FALSE),0)</f>
        <v>3497.3493799102171</v>
      </c>
      <c r="L669" s="404">
        <f>L884</f>
        <v>2.5310295805916874</v>
      </c>
      <c r="M669" s="531"/>
      <c r="N669" s="542"/>
      <c r="O669" s="398"/>
      <c r="R669" s="510"/>
      <c r="T669" s="50"/>
      <c r="U669" s="544"/>
      <c r="V669" s="1307" t="s">
        <v>46</v>
      </c>
      <c r="W669" s="903">
        <v>2733.5161764705886</v>
      </c>
      <c r="X669" s="233">
        <v>1836.3388775510205</v>
      </c>
      <c r="Y669" s="210">
        <v>1908.35</v>
      </c>
      <c r="Z669" s="208">
        <v>1908.35</v>
      </c>
      <c r="AA669" s="208">
        <v>1908.35</v>
      </c>
      <c r="AB669" s="959">
        <v>2277.63</v>
      </c>
      <c r="AC669" s="210">
        <v>1835.16</v>
      </c>
      <c r="AD669" s="210">
        <v>2194.71</v>
      </c>
      <c r="AE669" s="210">
        <v>2031.51</v>
      </c>
      <c r="AF669" s="253">
        <v>2150.16</v>
      </c>
      <c r="AG669" s="253">
        <f t="shared" si="121"/>
        <v>2150.16</v>
      </c>
      <c r="AH669" s="114"/>
      <c r="AK669" s="904"/>
      <c r="DF669" s="1434" t="str">
        <f t="shared" si="122"/>
        <v>ASHP-SEER16-Replace_CAC_ElectricHeat_ER1_SF</v>
      </c>
      <c r="DG669" s="1019">
        <f>(DI669+DI670+DI671+DI672)/(DJ669+DJ670+DJ671+DJ672)</f>
        <v>2.0804263440096844</v>
      </c>
      <c r="DH669" s="1240" t="str">
        <f t="shared" si="119"/>
        <v>Cooling Res 6 Year EUL</v>
      </c>
      <c r="DI669" s="1020">
        <f>(INDEX('Avoided Cost Benefits'!$B$4:$B$866,MATCH(DH669,'Avoided Cost Benefits'!$A$4:$A$866,0)))*F669</f>
        <v>2141.2327449423674</v>
      </c>
      <c r="DJ669" s="2051">
        <f t="shared" si="120"/>
        <v>3497.3493799102171</v>
      </c>
      <c r="DM669" s="234"/>
    </row>
    <row r="670" spans="1:117" x14ac:dyDescent="0.25">
      <c r="A670" s="2146" t="s">
        <v>607</v>
      </c>
      <c r="B670" s="1318">
        <f t="shared" si="115"/>
        <v>352500</v>
      </c>
      <c r="C670" s="18" t="s">
        <v>1134</v>
      </c>
      <c r="D670" s="1994" t="s">
        <v>863</v>
      </c>
      <c r="E670" s="1260" t="s">
        <v>1135</v>
      </c>
      <c r="F670" s="977">
        <f>ROUND(((K884*K987*(1/K1090-1/K1193)*K1708)/1000)*$K$1800,2)</f>
        <v>7645.02</v>
      </c>
      <c r="G670" s="36" t="s">
        <v>1031</v>
      </c>
      <c r="H670" s="130">
        <f>VLOOKUP(G670,'CP FACTORS'!$A$3:$B$38, 2, FALSE)</f>
        <v>0</v>
      </c>
      <c r="I670" s="43">
        <f t="shared" si="116"/>
        <v>0</v>
      </c>
      <c r="J670" s="44">
        <f t="shared" si="125"/>
        <v>6</v>
      </c>
      <c r="K670" s="360">
        <f t="shared" ref="K670:K676" si="130">IF(C670&lt;&gt;C669,VLOOKUP(C670,$J$2007:$K$2218,2,FALSE),0)</f>
        <v>0</v>
      </c>
      <c r="L670" s="404"/>
      <c r="M670" s="531"/>
      <c r="N670" s="542"/>
      <c r="O670" s="398"/>
      <c r="R670" s="510"/>
      <c r="T670" s="50"/>
      <c r="U670" s="544"/>
      <c r="V670" s="1307" t="s">
        <v>46</v>
      </c>
      <c r="W670" s="903">
        <v>13965.852998065762</v>
      </c>
      <c r="X670" s="233">
        <v>9788.00163331972</v>
      </c>
      <c r="Y670" s="210">
        <v>10635.56</v>
      </c>
      <c r="Z670" s="208">
        <v>10635.56</v>
      </c>
      <c r="AA670" s="208">
        <v>10635.56</v>
      </c>
      <c r="AB670" s="959">
        <v>9240.1</v>
      </c>
      <c r="AC670" s="210">
        <v>9585.06</v>
      </c>
      <c r="AD670" s="210">
        <v>9041.35</v>
      </c>
      <c r="AE670" s="210">
        <v>8346.27</v>
      </c>
      <c r="AF670" s="253">
        <v>8346.27</v>
      </c>
      <c r="AG670" s="253">
        <f t="shared" si="121"/>
        <v>7645.02</v>
      </c>
      <c r="AH670" s="114"/>
      <c r="AK670" s="904"/>
      <c r="DF670" s="1434" t="str">
        <f t="shared" si="122"/>
        <v>ASHP-SEER16-Replace_CAC_ElectricHeat_ER1_SF</v>
      </c>
      <c r="DG670" s="1023"/>
      <c r="DH670" s="1265" t="str">
        <f t="shared" si="119"/>
        <v>Heating Res 6 Year EUL</v>
      </c>
      <c r="DI670" s="1020">
        <f>(INDEX('Avoided Cost Benefits'!$B$4:$B$866,MATCH(DH670,'Avoided Cost Benefits'!$A$4:$A$866,0)))*F670</f>
        <v>2050.2323709045595</v>
      </c>
      <c r="DJ670" s="2051">
        <f t="shared" si="120"/>
        <v>0</v>
      </c>
      <c r="DM670" s="234"/>
    </row>
    <row r="671" spans="1:117" x14ac:dyDescent="0.25">
      <c r="A671" s="2146" t="s">
        <v>607</v>
      </c>
      <c r="B671" s="1318">
        <f t="shared" si="115"/>
        <v>352500</v>
      </c>
      <c r="C671" s="18" t="s">
        <v>1134</v>
      </c>
      <c r="D671" s="1994" t="s">
        <v>863</v>
      </c>
      <c r="E671" s="1260" t="s">
        <v>1136</v>
      </c>
      <c r="F671" s="977">
        <f>ROUND(((K1297*K1400*(1/K1503-1/K1606)*K1709)/1000)*$K$1800,2)</f>
        <v>387.42</v>
      </c>
      <c r="G671" s="36" t="s">
        <v>1083</v>
      </c>
      <c r="H671" s="130">
        <f>VLOOKUP(G671,'CP FACTORS'!$A$3:$B$38, 2, FALSE)</f>
        <v>9.4741810000000004E-4</v>
      </c>
      <c r="I671" s="43">
        <f t="shared" si="116"/>
        <v>0.36704900000000001</v>
      </c>
      <c r="J671" s="44">
        <f t="shared" si="125"/>
        <v>12</v>
      </c>
      <c r="K671" s="360">
        <f t="shared" si="130"/>
        <v>0</v>
      </c>
      <c r="L671" s="404"/>
      <c r="M671" s="531"/>
      <c r="N671" s="542"/>
      <c r="O671" s="398"/>
      <c r="R671" s="510"/>
      <c r="T671" s="50"/>
      <c r="U671" s="544"/>
      <c r="V671" s="1307" t="s">
        <v>46</v>
      </c>
      <c r="W671" s="903">
        <v>466.25192307692322</v>
      </c>
      <c r="X671" s="233">
        <v>460.23576923076939</v>
      </c>
      <c r="Y671" s="210">
        <v>478.28</v>
      </c>
      <c r="Z671" s="208">
        <v>478.28</v>
      </c>
      <c r="AA671" s="208">
        <v>478.28</v>
      </c>
      <c r="AB671" s="959">
        <v>473.24</v>
      </c>
      <c r="AC671" s="210">
        <v>447.63</v>
      </c>
      <c r="AD671" s="210">
        <v>452.14</v>
      </c>
      <c r="AE671" s="210">
        <v>280.11</v>
      </c>
      <c r="AF671" s="253">
        <v>387.42</v>
      </c>
      <c r="AG671" s="253">
        <f t="shared" si="121"/>
        <v>387.42</v>
      </c>
      <c r="AH671" s="114"/>
      <c r="AK671" s="904"/>
      <c r="DF671" s="1434" t="str">
        <f t="shared" si="122"/>
        <v>ASHP-SEER16-Replace_CAC_ElectricHeat_ER2_SF</v>
      </c>
      <c r="DG671" s="1023"/>
      <c r="DH671" s="1265" t="str">
        <f t="shared" si="119"/>
        <v>Cooling Res ER2 12 Year EUL</v>
      </c>
      <c r="DI671" s="1020">
        <f>(INDEX('Avoided Cost Benefits'!$B$4:$B$866,MATCH(DH671,'Avoided Cost Benefits'!$A$4:$A$866,0)))*F671</f>
        <v>501.29079723353601</v>
      </c>
      <c r="DJ671" s="2051">
        <f t="shared" si="120"/>
        <v>0</v>
      </c>
      <c r="DM671" s="234"/>
    </row>
    <row r="672" spans="1:117" x14ac:dyDescent="0.25">
      <c r="A672" s="2146" t="s">
        <v>607</v>
      </c>
      <c r="B672" s="1318">
        <f t="shared" si="115"/>
        <v>352500</v>
      </c>
      <c r="C672" s="18" t="s">
        <v>1134</v>
      </c>
      <c r="D672" s="1994" t="s">
        <v>863</v>
      </c>
      <c r="E672" s="2015" t="s">
        <v>1136</v>
      </c>
      <c r="F672" s="977">
        <f>ROUND(((K885*K988*(1/K1091-1/K1194)*K1709)/1000)*$K$1800,2)</f>
        <v>7645.02</v>
      </c>
      <c r="G672" s="36" t="s">
        <v>1118</v>
      </c>
      <c r="H672" s="130">
        <f>VLOOKUP(G672,'CP FACTORS'!$A$3:$B$38, 2, FALSE)</f>
        <v>0</v>
      </c>
      <c r="I672" s="43">
        <f t="shared" si="116"/>
        <v>0</v>
      </c>
      <c r="J672" s="44">
        <f t="shared" si="125"/>
        <v>12</v>
      </c>
      <c r="K672" s="360">
        <f t="shared" si="130"/>
        <v>0</v>
      </c>
      <c r="L672" s="404"/>
      <c r="M672" s="531"/>
      <c r="N672" s="542"/>
      <c r="O672" s="398"/>
      <c r="R672" s="510"/>
      <c r="T672" s="50"/>
      <c r="U672" s="544"/>
      <c r="V672" s="1307" t="s">
        <v>46</v>
      </c>
      <c r="W672" s="903">
        <v>13965.852998065762</v>
      </c>
      <c r="X672" s="233">
        <v>9788.00163331972</v>
      </c>
      <c r="Y672" s="210">
        <v>10635.56</v>
      </c>
      <c r="Z672" s="208">
        <v>10635.56</v>
      </c>
      <c r="AA672" s="208">
        <v>10635.56</v>
      </c>
      <c r="AB672" s="959">
        <v>9240.1</v>
      </c>
      <c r="AC672" s="210">
        <v>9585.06</v>
      </c>
      <c r="AD672" s="210">
        <v>9041.35</v>
      </c>
      <c r="AE672" s="210">
        <v>8346.27</v>
      </c>
      <c r="AF672" s="253">
        <v>8346.27</v>
      </c>
      <c r="AG672" s="253">
        <f t="shared" si="121"/>
        <v>7645.02</v>
      </c>
      <c r="AH672" s="114"/>
      <c r="AK672" s="904"/>
      <c r="DF672" s="1434" t="str">
        <f t="shared" si="122"/>
        <v>ASHP-SEER16-Replace_CAC_ElectricHeat_ER2_SF</v>
      </c>
      <c r="DG672" s="1023"/>
      <c r="DH672" s="1241" t="str">
        <f t="shared" si="119"/>
        <v>Heating Res ER2 12 Year EUL</v>
      </c>
      <c r="DI672" s="1020">
        <f>(INDEX('Avoided Cost Benefits'!$B$4:$B$866,MATCH(DH672,'Avoided Cost Benefits'!$A$4:$A$866,0)))*F672</f>
        <v>2583.2218710906864</v>
      </c>
      <c r="DJ672" s="2051">
        <f t="shared" si="120"/>
        <v>0</v>
      </c>
      <c r="DM672" s="234"/>
    </row>
    <row r="673" spans="1:117" x14ac:dyDescent="0.25">
      <c r="A673" s="2146" t="s">
        <v>861</v>
      </c>
      <c r="B673" s="1318">
        <f t="shared" si="115"/>
        <v>352510</v>
      </c>
      <c r="C673" s="18" t="s">
        <v>1137</v>
      </c>
      <c r="D673" s="1994" t="s">
        <v>863</v>
      </c>
      <c r="E673" s="1260" t="s">
        <v>1138</v>
      </c>
      <c r="F673" s="977">
        <f>ROUND(((K1298*K1401*(1/K1504-1/K1607)*K1710)/1000)*$K$1800,2)</f>
        <v>2150.16</v>
      </c>
      <c r="G673" s="36" t="s">
        <v>1030</v>
      </c>
      <c r="H673" s="130">
        <f>VLOOKUP(G673,'CP FACTORS'!$A$3:$B$38, 2, FALSE)</f>
        <v>9.4741810000000004E-4</v>
      </c>
      <c r="I673" s="43">
        <f t="shared" si="116"/>
        <v>2.0371009999999998</v>
      </c>
      <c r="J673" s="44">
        <f t="shared" si="125"/>
        <v>6</v>
      </c>
      <c r="K673" s="360">
        <f t="shared" si="130"/>
        <v>497.81203769614604</v>
      </c>
      <c r="L673" s="404">
        <f>L886</f>
        <v>2.5310295805916874</v>
      </c>
      <c r="M673" s="531"/>
      <c r="N673" s="542"/>
      <c r="O673" s="398"/>
      <c r="R673" s="510"/>
      <c r="T673" s="50"/>
      <c r="U673" s="544"/>
      <c r="V673" s="1307" t="s">
        <v>46</v>
      </c>
      <c r="W673" s="903"/>
      <c r="X673" s="233"/>
      <c r="Y673" s="210"/>
      <c r="Z673" s="208"/>
      <c r="AA673" s="208"/>
      <c r="AB673" s="959"/>
      <c r="AC673" s="210">
        <v>1835.16</v>
      </c>
      <c r="AD673" s="210">
        <v>2194.71</v>
      </c>
      <c r="AE673" s="210">
        <v>2031.51</v>
      </c>
      <c r="AF673" s="253">
        <v>2150.16</v>
      </c>
      <c r="AG673" s="253">
        <f t="shared" si="121"/>
        <v>2150.16</v>
      </c>
      <c r="AH673" s="114"/>
      <c r="AK673" s="904"/>
      <c r="DF673" s="1434" t="str">
        <f t="shared" si="122"/>
        <v>ASHP-SEER16-Replace_CAC_NonElectricHeat_ER1_SF</v>
      </c>
      <c r="DG673" s="1019">
        <f>(DI673+DI674+DI675+DI676)/(DJ673+DJ674+DJ675+DJ676)</f>
        <v>5.3082756986058346</v>
      </c>
      <c r="DH673" s="1265" t="str">
        <f t="shared" si="119"/>
        <v>Cooling Res 6 Year EUL</v>
      </c>
      <c r="DI673" s="1020">
        <f>(INDEX('Avoided Cost Benefits'!$B$4:$B$866,MATCH(DH673,'Avoided Cost Benefits'!$A$4:$A$866,0)))*F673</f>
        <v>2141.2327449423674</v>
      </c>
      <c r="DJ673" s="2051">
        <f t="shared" si="120"/>
        <v>497.81203769614604</v>
      </c>
      <c r="DM673" s="234"/>
    </row>
    <row r="674" spans="1:117" x14ac:dyDescent="0.25">
      <c r="A674" s="2146" t="s">
        <v>861</v>
      </c>
      <c r="B674" s="1318">
        <f t="shared" si="115"/>
        <v>352510</v>
      </c>
      <c r="C674" s="18" t="s">
        <v>1137</v>
      </c>
      <c r="D674" s="1994" t="s">
        <v>863</v>
      </c>
      <c r="E674" s="1260" t="s">
        <v>1138</v>
      </c>
      <c r="F674" s="977">
        <v>0</v>
      </c>
      <c r="G674" s="36" t="s">
        <v>1031</v>
      </c>
      <c r="H674" s="130">
        <f>VLOOKUP(G674,'CP FACTORS'!$A$3:$B$38, 2, FALSE)</f>
        <v>0</v>
      </c>
      <c r="I674" s="43">
        <f t="shared" si="116"/>
        <v>0</v>
      </c>
      <c r="J674" s="44">
        <f t="shared" si="125"/>
        <v>6</v>
      </c>
      <c r="K674" s="360">
        <f t="shared" si="130"/>
        <v>0</v>
      </c>
      <c r="L674" s="404"/>
      <c r="M674" s="531"/>
      <c r="N674" s="542"/>
      <c r="O674" s="398"/>
      <c r="R674" s="510"/>
      <c r="T674" s="50"/>
      <c r="U674" s="544"/>
      <c r="V674" s="1307" t="s">
        <v>46</v>
      </c>
      <c r="W674" s="903"/>
      <c r="X674" s="233"/>
      <c r="Y674" s="210"/>
      <c r="Z674" s="208"/>
      <c r="AA674" s="208"/>
      <c r="AB674" s="959"/>
      <c r="AC674" s="210">
        <v>0</v>
      </c>
      <c r="AD674" s="208">
        <v>0</v>
      </c>
      <c r="AE674" s="208">
        <v>0</v>
      </c>
      <c r="AF674" s="253">
        <v>0</v>
      </c>
      <c r="AG674" s="253">
        <f t="shared" si="121"/>
        <v>0</v>
      </c>
      <c r="AH674" s="114"/>
      <c r="AK674" s="904"/>
      <c r="DF674" s="1434" t="str">
        <f t="shared" si="122"/>
        <v>ASHP-SEER16-Replace_CAC_NonElectricHeat_ER1_SF</v>
      </c>
      <c r="DG674" s="1023"/>
      <c r="DH674" s="1265" t="str">
        <f t="shared" si="119"/>
        <v>Heating Res 6 Year EUL</v>
      </c>
      <c r="DI674" s="1020">
        <f>(INDEX('Avoided Cost Benefits'!$B$4:$B$866,MATCH(DH674,'Avoided Cost Benefits'!$A$4:$A$866,0)))*F674</f>
        <v>0</v>
      </c>
      <c r="DJ674" s="2051">
        <f t="shared" si="120"/>
        <v>0</v>
      </c>
      <c r="DM674" s="234"/>
    </row>
    <row r="675" spans="1:117" x14ac:dyDescent="0.25">
      <c r="A675" s="2146" t="s">
        <v>861</v>
      </c>
      <c r="B675" s="1318">
        <f t="shared" si="115"/>
        <v>352510</v>
      </c>
      <c r="C675" s="18" t="s">
        <v>1137</v>
      </c>
      <c r="D675" s="1994" t="s">
        <v>863</v>
      </c>
      <c r="E675" s="1260" t="s">
        <v>1139</v>
      </c>
      <c r="F675" s="977">
        <f>ROUND(((K1299*K1402*(1/K1505-1/K1608)*K1711)/1000)*$K$1800,2)</f>
        <v>387.42</v>
      </c>
      <c r="G675" s="36" t="s">
        <v>1083</v>
      </c>
      <c r="H675" s="130">
        <f>VLOOKUP(G675,'CP FACTORS'!$A$3:$B$38, 2, FALSE)</f>
        <v>9.4741810000000004E-4</v>
      </c>
      <c r="I675" s="43">
        <f t="shared" si="116"/>
        <v>0.36704900000000001</v>
      </c>
      <c r="J675" s="44">
        <f t="shared" si="125"/>
        <v>12</v>
      </c>
      <c r="K675" s="360">
        <f t="shared" si="130"/>
        <v>0</v>
      </c>
      <c r="L675" s="404"/>
      <c r="M675" s="531"/>
      <c r="N675" s="542"/>
      <c r="O675" s="398"/>
      <c r="R675" s="510"/>
      <c r="T675" s="50"/>
      <c r="U675" s="544"/>
      <c r="V675" s="1307" t="s">
        <v>46</v>
      </c>
      <c r="W675" s="903"/>
      <c r="X675" s="233"/>
      <c r="Y675" s="210"/>
      <c r="Z675" s="208"/>
      <c r="AA675" s="208"/>
      <c r="AB675" s="959"/>
      <c r="AC675" s="210">
        <v>447.63</v>
      </c>
      <c r="AD675" s="210">
        <v>452.14</v>
      </c>
      <c r="AE675" s="210">
        <v>280.11</v>
      </c>
      <c r="AF675" s="253">
        <v>387.42</v>
      </c>
      <c r="AG675" s="253">
        <f t="shared" si="121"/>
        <v>387.42</v>
      </c>
      <c r="AH675" s="114"/>
      <c r="AK675" s="904"/>
      <c r="DF675" s="1434" t="str">
        <f t="shared" si="122"/>
        <v>ASHP-SEER16-Replace_CAC_NonElectricHeat_ER2_SF</v>
      </c>
      <c r="DG675" s="1023"/>
      <c r="DH675" s="1265" t="str">
        <f t="shared" si="119"/>
        <v>Cooling Res ER2 12 Year EUL</v>
      </c>
      <c r="DI675" s="1020">
        <f>(INDEX('Avoided Cost Benefits'!$B$4:$B$866,MATCH(DH675,'Avoided Cost Benefits'!$A$4:$A$866,0)))*F675</f>
        <v>501.29079723353601</v>
      </c>
      <c r="DJ675" s="2051">
        <f t="shared" si="120"/>
        <v>0</v>
      </c>
      <c r="DM675" s="234"/>
    </row>
    <row r="676" spans="1:117" x14ac:dyDescent="0.25">
      <c r="A676" s="2146" t="s">
        <v>861</v>
      </c>
      <c r="B676" s="1318">
        <f t="shared" si="115"/>
        <v>352510</v>
      </c>
      <c r="C676" s="18" t="s">
        <v>1137</v>
      </c>
      <c r="D676" s="1994" t="s">
        <v>863</v>
      </c>
      <c r="E676" s="1260" t="s">
        <v>1139</v>
      </c>
      <c r="F676" s="977">
        <f>0</f>
        <v>0</v>
      </c>
      <c r="G676" s="36" t="s">
        <v>1118</v>
      </c>
      <c r="H676" s="130">
        <f>VLOOKUP(G676,'CP FACTORS'!$A$3:$B$38, 2, FALSE)</f>
        <v>0</v>
      </c>
      <c r="I676" s="43">
        <f t="shared" si="116"/>
        <v>0</v>
      </c>
      <c r="J676" s="44">
        <f t="shared" si="125"/>
        <v>12</v>
      </c>
      <c r="K676" s="360">
        <f t="shared" si="130"/>
        <v>0</v>
      </c>
      <c r="L676" s="404"/>
      <c r="M676" s="531"/>
      <c r="N676" s="542"/>
      <c r="O676" s="398"/>
      <c r="R676" s="510"/>
      <c r="T676" s="50"/>
      <c r="U676" s="544"/>
      <c r="V676" s="1307" t="s">
        <v>46</v>
      </c>
      <c r="W676" s="903"/>
      <c r="X676" s="233"/>
      <c r="Y676" s="210"/>
      <c r="Z676" s="208"/>
      <c r="AA676" s="208"/>
      <c r="AB676" s="959"/>
      <c r="AC676" s="210">
        <v>0</v>
      </c>
      <c r="AD676" s="208">
        <v>0</v>
      </c>
      <c r="AE676" s="208">
        <v>0</v>
      </c>
      <c r="AF676" s="253">
        <v>0</v>
      </c>
      <c r="AG676" s="253">
        <f t="shared" si="121"/>
        <v>0</v>
      </c>
      <c r="AH676" s="114"/>
      <c r="AK676" s="904"/>
      <c r="DF676" s="1434" t="str">
        <f t="shared" si="122"/>
        <v>ASHP-SEER16-Replace_CAC_NonElectricHeat_ER2_SF</v>
      </c>
      <c r="DG676" s="1023"/>
      <c r="DH676" s="1265" t="str">
        <f t="shared" si="119"/>
        <v>Heating Res ER2 12 Year EUL</v>
      </c>
      <c r="DI676" s="1020">
        <f>(INDEX('Avoided Cost Benefits'!$B$4:$B$866,MATCH(DH676,'Avoided Cost Benefits'!$A$4:$A$866,0)))*F676</f>
        <v>0</v>
      </c>
      <c r="DJ676" s="2051">
        <f t="shared" si="120"/>
        <v>0</v>
      </c>
      <c r="DM676" s="234"/>
    </row>
    <row r="677" spans="1:117" x14ac:dyDescent="0.25">
      <c r="A677" s="2143" t="s">
        <v>602</v>
      </c>
      <c r="B677" s="1318">
        <f>VALUE(LEFT(C677,6))</f>
        <v>352520</v>
      </c>
      <c r="C677" s="650" t="s">
        <v>1140</v>
      </c>
      <c r="D677" s="1994" t="s">
        <v>810</v>
      </c>
      <c r="E677" s="2101" t="s">
        <v>1141</v>
      </c>
      <c r="F677" s="168">
        <f>ROUND(((K1300*K1403*(1/K1506-1/K1609)*K1712)/1000)*$K$1800,2)</f>
        <v>1811.61</v>
      </c>
      <c r="G677" s="2097" t="s">
        <v>1030</v>
      </c>
      <c r="H677" s="2098">
        <f>VLOOKUP(G677,'CP FACTORS'!$A$3:$B$38, 2, FALSE)</f>
        <v>9.4741810000000004E-4</v>
      </c>
      <c r="I677" s="2102">
        <f>ROUND(F677*H677,6)</f>
        <v>1.7163520000000001</v>
      </c>
      <c r="J677" s="48">
        <f t="shared" si="125"/>
        <v>6</v>
      </c>
      <c r="K677" s="2100">
        <f>IF(C677&lt;&gt;C688,VLOOKUP(C677,$J$2007:$K$2218,2,FALSE),0)</f>
        <v>317.09399619931401</v>
      </c>
      <c r="L677" s="168">
        <f>L975</f>
        <v>1.95</v>
      </c>
      <c r="M677" s="531"/>
      <c r="N677" s="542"/>
      <c r="O677" s="398"/>
      <c r="R677" s="510"/>
      <c r="T677" s="50"/>
      <c r="U677" s="544"/>
      <c r="V677" s="645" t="s">
        <v>46</v>
      </c>
      <c r="W677" s="903"/>
      <c r="X677" s="233"/>
      <c r="Y677" s="208"/>
      <c r="Z677" s="208"/>
      <c r="AA677" s="208"/>
      <c r="AB677" s="960"/>
      <c r="AC677" s="901"/>
      <c r="AD677" s="208"/>
      <c r="AE677" s="208"/>
      <c r="AF677" s="253"/>
      <c r="AG677" s="253">
        <f>IF(F677&lt;&gt;"",F677,"")</f>
        <v>1811.61</v>
      </c>
      <c r="AH677" s="114"/>
      <c r="AK677" s="904"/>
      <c r="DF677" s="1434" t="str">
        <f>E677</f>
        <v>ASHP-SEER16-Replace_CAC_NonElectricHeat_ER1_MF</v>
      </c>
      <c r="DG677" s="1019">
        <f>(DI677+DI678+DI679+DI680)/(DJ677+DJ678+DJ679+DJ680)</f>
        <v>6.295406518774211</v>
      </c>
      <c r="DH677" s="1240" t="str">
        <f>CONCATENATE(G677," ",J677," Year EUL")</f>
        <v>Cooling Res 6 Year EUL</v>
      </c>
      <c r="DI677" s="1020">
        <f>(INDEX('Avoided Cost Benefits'!$B$4:$B$866,MATCH(DH677,'Avoided Cost Benefits'!$A$4:$A$866,0)))*F677</f>
        <v>1804.0883715932964</v>
      </c>
      <c r="DJ677" s="2051">
        <f>IFERROR(K677/((1+DiscountRate)^(CurrentYear-DiscountYear)),0)</f>
        <v>317.09399619931401</v>
      </c>
      <c r="DM677" s="234"/>
    </row>
    <row r="678" spans="1:117" x14ac:dyDescent="0.25">
      <c r="A678" s="2143" t="s">
        <v>602</v>
      </c>
      <c r="B678" s="1318">
        <f>VALUE(LEFT(C678,6))</f>
        <v>352520</v>
      </c>
      <c r="C678" s="650" t="s">
        <v>1140</v>
      </c>
      <c r="D678" s="1994" t="s">
        <v>810</v>
      </c>
      <c r="E678" s="2103" t="s">
        <v>1141</v>
      </c>
      <c r="F678" s="2109">
        <v>0</v>
      </c>
      <c r="G678" s="2097" t="s">
        <v>1031</v>
      </c>
      <c r="H678" s="2098">
        <f>VLOOKUP(G678,'CP FACTORS'!$A$3:$B$38, 2, FALSE)</f>
        <v>0</v>
      </c>
      <c r="I678" s="2102">
        <f>ROUND(F678*H678,6)</f>
        <v>0</v>
      </c>
      <c r="J678" s="48">
        <f t="shared" si="125"/>
        <v>6</v>
      </c>
      <c r="K678" s="2100">
        <f>IF(C678&lt;&gt;C677,VLOOKUP(C678,$J$2007:$K$2218,2,FALSE),0)</f>
        <v>0</v>
      </c>
      <c r="L678" s="168"/>
      <c r="M678" s="531"/>
      <c r="N678" s="542"/>
      <c r="O678" s="398"/>
      <c r="R678" s="510"/>
      <c r="T678" s="50"/>
      <c r="U678" s="544"/>
      <c r="V678" s="645" t="s">
        <v>46</v>
      </c>
      <c r="W678" s="903"/>
      <c r="X678" s="233"/>
      <c r="Y678" s="208"/>
      <c r="Z678" s="208"/>
      <c r="AA678" s="208"/>
      <c r="AB678" s="960"/>
      <c r="AC678" s="901"/>
      <c r="AD678" s="208"/>
      <c r="AE678" s="208"/>
      <c r="AF678" s="253"/>
      <c r="AG678" s="253">
        <f>IF(F678&lt;&gt;"",F678,"")</f>
        <v>0</v>
      </c>
      <c r="AH678" s="114"/>
      <c r="AK678" s="904"/>
      <c r="DF678" s="1434" t="str">
        <f>E678</f>
        <v>ASHP-SEER16-Replace_CAC_NonElectricHeat_ER1_MF</v>
      </c>
      <c r="DG678" s="1023"/>
      <c r="DH678" s="1265" t="str">
        <f>CONCATENATE(G678," ",J678," Year EUL")</f>
        <v>Heating Res 6 Year EUL</v>
      </c>
      <c r="DI678" s="1020">
        <f>(INDEX('Avoided Cost Benefits'!$B$4:$B$866,MATCH(DH678,'Avoided Cost Benefits'!$A$4:$A$866,0)))*F678</f>
        <v>0</v>
      </c>
      <c r="DJ678" s="2051">
        <f>IFERROR(K678/((1+DiscountRate)^(CurrentYear-DiscountYear)),0)</f>
        <v>0</v>
      </c>
      <c r="DM678" s="234"/>
    </row>
    <row r="679" spans="1:117" x14ac:dyDescent="0.25">
      <c r="A679" s="2143" t="s">
        <v>602</v>
      </c>
      <c r="B679" s="1318">
        <f>VALUE(LEFT(C679,6))</f>
        <v>352520</v>
      </c>
      <c r="C679" s="650" t="s">
        <v>1140</v>
      </c>
      <c r="D679" s="1994" t="s">
        <v>810</v>
      </c>
      <c r="E679" s="2103" t="s">
        <v>1142</v>
      </c>
      <c r="F679" s="885">
        <f>ROUND(((K1301*K1404*(1/K1507-1/K1610)*K1713)/1000)*$K$1800,2)</f>
        <v>148.5</v>
      </c>
      <c r="G679" s="2097" t="s">
        <v>1083</v>
      </c>
      <c r="H679" s="2098">
        <f>VLOOKUP(G679,'CP FACTORS'!$A$3:$B$38, 2, FALSE)</f>
        <v>9.4741810000000004E-4</v>
      </c>
      <c r="I679" s="2102">
        <f>ROUND(F679*H679,6)</f>
        <v>0.14069200000000001</v>
      </c>
      <c r="J679" s="48">
        <f t="shared" si="125"/>
        <v>12</v>
      </c>
      <c r="K679" s="2100">
        <f>IF(C679&lt;&gt;C678,VLOOKUP(C679,$J$2007:$K$2218,2,FALSE),0)</f>
        <v>0</v>
      </c>
      <c r="L679" s="168"/>
      <c r="M679" s="531"/>
      <c r="N679" s="542"/>
      <c r="O679" s="398"/>
      <c r="R679" s="510"/>
      <c r="T679" s="50"/>
      <c r="U679" s="544"/>
      <c r="V679" s="645" t="s">
        <v>46</v>
      </c>
      <c r="W679" s="903"/>
      <c r="X679" s="236"/>
      <c r="Y679" s="208"/>
      <c r="Z679" s="208"/>
      <c r="AA679" s="208"/>
      <c r="AB679" s="960"/>
      <c r="AC679" s="901"/>
      <c r="AD679" s="208"/>
      <c r="AE679" s="210"/>
      <c r="AF679" s="253"/>
      <c r="AG679" s="253">
        <f>IF(F679&lt;&gt;"",F679,"")</f>
        <v>148.5</v>
      </c>
      <c r="AH679" s="114"/>
      <c r="AK679" s="904"/>
      <c r="DF679" s="1434" t="str">
        <f>E679</f>
        <v>ASHP-SEER16-Replace_CAC_NonElectricHeat_ER2_MF</v>
      </c>
      <c r="DG679" s="1023"/>
      <c r="DH679" s="1265" t="str">
        <f>CONCATENATE(G679," ",J679," Year EUL")</f>
        <v>Cooling Res ER2 12 Year EUL</v>
      </c>
      <c r="DI679" s="1020">
        <f>(INDEX('Avoided Cost Benefits'!$B$4:$B$866,MATCH(DH679,'Avoided Cost Benefits'!$A$4:$A$866,0)))*F679</f>
        <v>192.14723914402998</v>
      </c>
      <c r="DJ679" s="2051">
        <f>IFERROR(K679/((1+DiscountRate)^(CurrentYear-DiscountYear)),0)</f>
        <v>0</v>
      </c>
      <c r="DM679" s="234"/>
    </row>
    <row r="680" spans="1:117" x14ac:dyDescent="0.25">
      <c r="A680" s="2143" t="s">
        <v>602</v>
      </c>
      <c r="B680" s="1318">
        <f>VALUE(LEFT(C680,6))</f>
        <v>352520</v>
      </c>
      <c r="C680" s="650" t="s">
        <v>1140</v>
      </c>
      <c r="D680" s="1994" t="s">
        <v>810</v>
      </c>
      <c r="E680" s="2104" t="s">
        <v>1142</v>
      </c>
      <c r="F680" s="2109">
        <v>0</v>
      </c>
      <c r="G680" s="2097" t="s">
        <v>1118</v>
      </c>
      <c r="H680" s="2098">
        <f>VLOOKUP(G680,'CP FACTORS'!$A$3:$B$38, 2, FALSE)</f>
        <v>0</v>
      </c>
      <c r="I680" s="2102">
        <f>ROUND(F680*H680,6)</f>
        <v>0</v>
      </c>
      <c r="J680" s="48">
        <f t="shared" si="125"/>
        <v>12</v>
      </c>
      <c r="K680" s="2100">
        <f>IF(C680&lt;&gt;C679,VLOOKUP(C680,$J$2007:$K$2218,2,FALSE),0)</f>
        <v>0</v>
      </c>
      <c r="L680" s="168"/>
      <c r="M680" s="531"/>
      <c r="N680" s="542"/>
      <c r="O680" s="398"/>
      <c r="R680" s="510"/>
      <c r="T680" s="50"/>
      <c r="U680" s="544"/>
      <c r="V680" s="645" t="s">
        <v>46</v>
      </c>
      <c r="W680" s="903"/>
      <c r="X680" s="233"/>
      <c r="Y680" s="208"/>
      <c r="Z680" s="208"/>
      <c r="AA680" s="208"/>
      <c r="AB680" s="960"/>
      <c r="AC680" s="901"/>
      <c r="AD680" s="208"/>
      <c r="AE680" s="208"/>
      <c r="AF680" s="253"/>
      <c r="AG680" s="253">
        <f>IF(F680&lt;&gt;"",F680,"")</f>
        <v>0</v>
      </c>
      <c r="AH680" s="114"/>
      <c r="AK680" s="904"/>
      <c r="DF680" s="1434" t="str">
        <f>E680</f>
        <v>ASHP-SEER16-Replace_CAC_NonElectricHeat_ER2_MF</v>
      </c>
      <c r="DG680" s="1023"/>
      <c r="DH680" s="1241" t="str">
        <f>CONCATENATE(G680," ",J680," Year EUL")</f>
        <v>Heating Res ER2 12 Year EUL</v>
      </c>
      <c r="DI680" s="1020">
        <f>(INDEX('Avoided Cost Benefits'!$B$4:$B$866,MATCH(DH680,'Avoided Cost Benefits'!$A$4:$A$866,0)))*F680</f>
        <v>0</v>
      </c>
      <c r="DJ680" s="2051">
        <f>IFERROR(K680/((1+DiscountRate)^(CurrentYear-DiscountYear)),0)</f>
        <v>0</v>
      </c>
      <c r="DM680" s="234"/>
    </row>
    <row r="681" spans="1:117" x14ac:dyDescent="0.25">
      <c r="A681" s="2146" t="s">
        <v>607</v>
      </c>
      <c r="B681" s="1318">
        <f t="shared" si="115"/>
        <v>352550</v>
      </c>
      <c r="C681" s="18" t="s">
        <v>1143</v>
      </c>
      <c r="D681" s="1994" t="s">
        <v>863</v>
      </c>
      <c r="E681" s="1251" t="s">
        <v>1144</v>
      </c>
      <c r="F681" s="977">
        <f>ROUND(((K1302*K1405*(1/K1508-1/K1611)*K1714)/1000)*$K$1800,2)</f>
        <v>2150.16</v>
      </c>
      <c r="G681" s="36" t="s">
        <v>1030</v>
      </c>
      <c r="H681" s="130">
        <f>VLOOKUP(G681,'CP FACTORS'!$A$3:$B$38, 2, FALSE)</f>
        <v>9.4741810000000004E-4</v>
      </c>
      <c r="I681" s="43">
        <f t="shared" si="116"/>
        <v>2.0371009999999998</v>
      </c>
      <c r="J681" s="44">
        <f t="shared" ref="J681:J686" si="131">K1835</f>
        <v>6</v>
      </c>
      <c r="K681" s="360">
        <f>IF(C681&lt;&gt;C676,VLOOKUP(C681,$J$2007:$K$2218,2,FALSE),0)</f>
        <v>417.68019891621225</v>
      </c>
      <c r="L681" s="404">
        <f>L890</f>
        <v>2.5310295805916874</v>
      </c>
      <c r="M681" s="531"/>
      <c r="N681" s="542"/>
      <c r="O681" s="398"/>
      <c r="R681" s="510"/>
      <c r="T681" s="50"/>
      <c r="U681" s="544"/>
      <c r="V681" s="1307" t="s">
        <v>46</v>
      </c>
      <c r="W681" s="903">
        <v>2628.7249999999999</v>
      </c>
      <c r="X681" s="233">
        <v>1836.3388775510205</v>
      </c>
      <c r="Y681" s="210">
        <v>1890.35</v>
      </c>
      <c r="Z681" s="208">
        <v>1890.35</v>
      </c>
      <c r="AA681" s="208">
        <v>1890.35</v>
      </c>
      <c r="AB681" s="959">
        <v>2180.1</v>
      </c>
      <c r="AC681" s="210">
        <v>1797.54</v>
      </c>
      <c r="AD681" s="210">
        <v>2194.71</v>
      </c>
      <c r="AE681" s="210">
        <v>2031.51</v>
      </c>
      <c r="AF681" s="253">
        <v>2150.16</v>
      </c>
      <c r="AG681" s="253">
        <f t="shared" si="121"/>
        <v>2150.16</v>
      </c>
      <c r="AH681" s="114"/>
      <c r="AK681" s="904"/>
      <c r="DF681" s="1434" t="str">
        <f t="shared" si="122"/>
        <v>ASHP-SEER16_ER1_SF</v>
      </c>
      <c r="DG681" s="1019">
        <f>(DI681+DI682+DI683+DI684)/(DJ681+DJ682+DJ683+DJ684)</f>
        <v>6.9624680433547841</v>
      </c>
      <c r="DH681" s="1240" t="str">
        <f t="shared" si="119"/>
        <v>Cooling Res 6 Year EUL</v>
      </c>
      <c r="DI681" s="1020">
        <f>(INDEX('Avoided Cost Benefits'!$B$4:$B$866,MATCH(DH681,'Avoided Cost Benefits'!$A$4:$A$866,0)))*F681</f>
        <v>2141.2327449423674</v>
      </c>
      <c r="DJ681" s="2051">
        <f t="shared" si="120"/>
        <v>417.68019891621225</v>
      </c>
      <c r="DM681" s="234"/>
    </row>
    <row r="682" spans="1:117" x14ac:dyDescent="0.25">
      <c r="A682" s="2146" t="s">
        <v>607</v>
      </c>
      <c r="B682" s="1318">
        <f t="shared" si="115"/>
        <v>352550</v>
      </c>
      <c r="C682" s="18" t="s">
        <v>1143</v>
      </c>
      <c r="D682" s="1994" t="s">
        <v>863</v>
      </c>
      <c r="E682" s="1260" t="s">
        <v>1144</v>
      </c>
      <c r="F682" s="977">
        <f>ROUND(((K890*K993*(1/K1096-1/K1199)*K1714)/1000)*$K$1800,2)</f>
        <v>1225.7</v>
      </c>
      <c r="G682" s="36" t="s">
        <v>1031</v>
      </c>
      <c r="H682" s="130">
        <f>VLOOKUP(G682,'CP FACTORS'!$A$3:$B$38, 2, FALSE)</f>
        <v>0</v>
      </c>
      <c r="I682" s="43">
        <f t="shared" si="116"/>
        <v>0</v>
      </c>
      <c r="J682" s="44">
        <f t="shared" si="131"/>
        <v>6</v>
      </c>
      <c r="K682" s="360">
        <f>IF(C682&lt;&gt;C681,VLOOKUP(C682,$J$2007:$K$2218,2,FALSE),0)</f>
        <v>0</v>
      </c>
      <c r="L682" s="404"/>
      <c r="M682" s="531"/>
      <c r="N682" s="542"/>
      <c r="O682" s="398"/>
      <c r="R682" s="510"/>
      <c r="T682" s="50"/>
      <c r="U682" s="544"/>
      <c r="V682" s="1307" t="s">
        <v>46</v>
      </c>
      <c r="W682" s="903">
        <v>6249.9803405572748</v>
      </c>
      <c r="X682" s="233">
        <v>2027.0807587241729</v>
      </c>
      <c r="Y682" s="210">
        <v>2533.08</v>
      </c>
      <c r="Z682" s="208">
        <v>2533.08</v>
      </c>
      <c r="AA682" s="208">
        <v>2533.08</v>
      </c>
      <c r="AB682" s="959">
        <v>2201.9299999999998</v>
      </c>
      <c r="AC682" s="210">
        <v>2313.4299999999998</v>
      </c>
      <c r="AD682" s="210">
        <v>2055.86</v>
      </c>
      <c r="AE682" s="210">
        <v>1926.94</v>
      </c>
      <c r="AF682" s="253">
        <v>1926.94</v>
      </c>
      <c r="AG682" s="253">
        <f t="shared" si="121"/>
        <v>1225.7</v>
      </c>
      <c r="AH682" s="114"/>
      <c r="AK682" s="904"/>
      <c r="DF682" s="1434" t="str">
        <f t="shared" si="122"/>
        <v>ASHP-SEER16_ER1_SF</v>
      </c>
      <c r="DG682" s="1023"/>
      <c r="DH682" s="1265" t="str">
        <f t="shared" si="119"/>
        <v>Heating Res 6 Year EUL</v>
      </c>
      <c r="DI682" s="1020">
        <f>(INDEX('Avoided Cost Benefits'!$B$4:$B$866,MATCH(DH682,'Avoided Cost Benefits'!$A$4:$A$866,0)))*F682</f>
        <v>328.70676819913075</v>
      </c>
      <c r="DJ682" s="2051">
        <f t="shared" si="120"/>
        <v>0</v>
      </c>
      <c r="DM682" s="234"/>
    </row>
    <row r="683" spans="1:117" x14ac:dyDescent="0.25">
      <c r="A683" s="2146" t="s">
        <v>607</v>
      </c>
      <c r="B683" s="1318">
        <f t="shared" si="115"/>
        <v>352550</v>
      </c>
      <c r="C683" s="18" t="s">
        <v>1143</v>
      </c>
      <c r="D683" s="1994" t="s">
        <v>863</v>
      </c>
      <c r="E683" s="1260" t="s">
        <v>1145</v>
      </c>
      <c r="F683" s="977">
        <f>ROUND(((K1303*K1406*(1/K1509-1/K1612)*K1715)/1000)*$K$1800,2)</f>
        <v>239.74</v>
      </c>
      <c r="G683" s="36" t="s">
        <v>1083</v>
      </c>
      <c r="H683" s="130">
        <f>VLOOKUP(G683,'CP FACTORS'!$A$3:$B$38, 2, FALSE)</f>
        <v>9.4741810000000004E-4</v>
      </c>
      <c r="I683" s="43">
        <f t="shared" si="116"/>
        <v>0.227134</v>
      </c>
      <c r="J683" s="44">
        <f t="shared" si="131"/>
        <v>12</v>
      </c>
      <c r="K683" s="360">
        <f>IF(C683&lt;&gt;C682,VLOOKUP(C683,$J$2007:$K$2218,2,FALSE),0)</f>
        <v>0</v>
      </c>
      <c r="L683" s="404"/>
      <c r="M683" s="531"/>
      <c r="N683" s="542"/>
      <c r="O683" s="398"/>
      <c r="R683" s="510"/>
      <c r="T683" s="50"/>
      <c r="U683" s="544"/>
      <c r="V683" s="1307" t="s">
        <v>46</v>
      </c>
      <c r="W683" s="903">
        <v>307.25357142857132</v>
      </c>
      <c r="X683" s="233">
        <v>284.90785714285704</v>
      </c>
      <c r="Y683" s="210">
        <v>293.29000000000002</v>
      </c>
      <c r="Z683" s="208">
        <v>293.29000000000002</v>
      </c>
      <c r="AA683" s="208">
        <v>293.29000000000002</v>
      </c>
      <c r="AB683" s="959">
        <v>333.47</v>
      </c>
      <c r="AC683" s="210">
        <v>297.11</v>
      </c>
      <c r="AD683" s="210">
        <v>282.74</v>
      </c>
      <c r="AE683" s="210">
        <v>133.91</v>
      </c>
      <c r="AF683" s="253">
        <v>239.74</v>
      </c>
      <c r="AG683" s="253">
        <f t="shared" si="121"/>
        <v>239.74</v>
      </c>
      <c r="AH683" s="114"/>
      <c r="AK683" s="904"/>
      <c r="DF683" s="1434" t="str">
        <f t="shared" si="122"/>
        <v>ASHP-SEER16_ER2_SF</v>
      </c>
      <c r="DG683" s="1023"/>
      <c r="DH683" s="1265" t="str">
        <f t="shared" si="119"/>
        <v>Cooling Res ER2 12 Year EUL</v>
      </c>
      <c r="DI683" s="1020">
        <f>(INDEX('Avoided Cost Benefits'!$B$4:$B$866,MATCH(DH683,'Avoided Cost Benefits'!$A$4:$A$866,0)))*F683</f>
        <v>310.20457314740571</v>
      </c>
      <c r="DJ683" s="2051">
        <f t="shared" si="120"/>
        <v>0</v>
      </c>
      <c r="DM683" s="234"/>
    </row>
    <row r="684" spans="1:117" x14ac:dyDescent="0.25">
      <c r="A684" s="2146" t="s">
        <v>607</v>
      </c>
      <c r="B684" s="1318">
        <f t="shared" si="115"/>
        <v>352550</v>
      </c>
      <c r="C684" s="18" t="s">
        <v>1143</v>
      </c>
      <c r="D684" s="1994" t="s">
        <v>863</v>
      </c>
      <c r="E684" s="2015" t="s">
        <v>1145</v>
      </c>
      <c r="F684" s="977">
        <f>ROUND(((K891*K994*(1/K1097-1/K1200)*K1715)/1000)*$K$1800,2)</f>
        <v>378.64</v>
      </c>
      <c r="G684" s="36" t="s">
        <v>1118</v>
      </c>
      <c r="H684" s="130">
        <f>VLOOKUP(G684,'CP FACTORS'!$A$3:$B$38, 2, FALSE)</f>
        <v>0</v>
      </c>
      <c r="I684" s="43">
        <f t="shared" si="116"/>
        <v>0</v>
      </c>
      <c r="J684" s="44">
        <f t="shared" si="131"/>
        <v>12</v>
      </c>
      <c r="K684" s="360">
        <f>IF(C684&lt;&gt;C683,VLOOKUP(C684,$J$2007:$K$2218,2,FALSE),0)</f>
        <v>0</v>
      </c>
      <c r="L684" s="404"/>
      <c r="M684" s="531"/>
      <c r="N684" s="542"/>
      <c r="O684" s="398"/>
      <c r="R684" s="510"/>
      <c r="T684" s="50"/>
      <c r="U684" s="544"/>
      <c r="V684" s="1307" t="s">
        <v>46</v>
      </c>
      <c r="W684" s="903">
        <v>1327.6421052631592</v>
      </c>
      <c r="X684" s="233">
        <v>377.74325409076874</v>
      </c>
      <c r="Y684" s="210">
        <v>835.23</v>
      </c>
      <c r="Z684" s="208">
        <v>835.23</v>
      </c>
      <c r="AA684" s="208">
        <v>835.23</v>
      </c>
      <c r="AB684" s="959">
        <v>525.75</v>
      </c>
      <c r="AC684" s="210">
        <v>672.35</v>
      </c>
      <c r="AD684" s="210">
        <v>571.32000000000005</v>
      </c>
      <c r="AE684" s="210">
        <v>305</v>
      </c>
      <c r="AF684" s="253">
        <v>1079.8900000000001</v>
      </c>
      <c r="AG684" s="253">
        <f t="shared" si="121"/>
        <v>378.64</v>
      </c>
      <c r="AH684" s="114"/>
      <c r="AK684" s="904"/>
      <c r="DF684" s="1434" t="str">
        <f t="shared" si="122"/>
        <v>ASHP-SEER16_ER2_SF</v>
      </c>
      <c r="DG684" s="1023"/>
      <c r="DH684" s="1241" t="str">
        <f t="shared" si="119"/>
        <v>Heating Res ER2 12 Year EUL</v>
      </c>
      <c r="DI684" s="1020">
        <f>(INDEX('Avoided Cost Benefits'!$B$4:$B$866,MATCH(DH684,'Avoided Cost Benefits'!$A$4:$A$866,0)))*F684</f>
        <v>127.94095100729331</v>
      </c>
      <c r="DJ684" s="2051">
        <f t="shared" si="120"/>
        <v>0</v>
      </c>
      <c r="DM684" s="234"/>
    </row>
    <row r="685" spans="1:117" x14ac:dyDescent="0.25">
      <c r="A685" s="2146" t="s">
        <v>607</v>
      </c>
      <c r="B685" s="1318">
        <f t="shared" si="115"/>
        <v>352600</v>
      </c>
      <c r="C685" s="18" t="s">
        <v>1146</v>
      </c>
      <c r="D685" s="1994" t="s">
        <v>863</v>
      </c>
      <c r="E685" s="2105" t="s">
        <v>1147</v>
      </c>
      <c r="F685" s="977">
        <f>ROUND(((K1304*K1407*(1/K1510-1/K1613)*K1716)/1000)*$K$1800,2)</f>
        <v>394.62</v>
      </c>
      <c r="G685" s="36" t="s">
        <v>1030</v>
      </c>
      <c r="H685" s="130">
        <f>VLOOKUP(G685,'CP FACTORS'!$A$3:$B$38, 2, FALSE)</f>
        <v>9.4741810000000004E-4</v>
      </c>
      <c r="I685" s="43">
        <f t="shared" si="116"/>
        <v>0.37386999999999998</v>
      </c>
      <c r="J685" s="44">
        <f t="shared" si="131"/>
        <v>18</v>
      </c>
      <c r="K685" s="360">
        <f>IF(C685&lt;&gt;C684,VLOOKUP(C685,$J$2007:$K$2218,2,FALSE),0)</f>
        <v>3623.261297181818</v>
      </c>
      <c r="L685" s="404">
        <f>L892</f>
        <v>2.8104354953030306</v>
      </c>
      <c r="M685" s="531"/>
      <c r="N685" s="542"/>
      <c r="O685" s="398"/>
      <c r="R685" s="510"/>
      <c r="T685" s="50"/>
      <c r="U685" s="544"/>
      <c r="V685" s="1307" t="s">
        <v>46</v>
      </c>
      <c r="W685" s="903">
        <v>481.29230769230787</v>
      </c>
      <c r="X685" s="233">
        <v>460.23576923076939</v>
      </c>
      <c r="Y685" s="210">
        <v>467.76</v>
      </c>
      <c r="Z685" s="208">
        <v>467.76</v>
      </c>
      <c r="AA685" s="208">
        <v>467.76</v>
      </c>
      <c r="AB685" s="959">
        <v>463.89</v>
      </c>
      <c r="AC685" s="210">
        <v>506.78</v>
      </c>
      <c r="AD685" s="210">
        <v>480.91</v>
      </c>
      <c r="AE685" s="210">
        <v>292.10000000000002</v>
      </c>
      <c r="AF685" s="253">
        <v>394.62</v>
      </c>
      <c r="AG685" s="253">
        <f t="shared" si="121"/>
        <v>394.62</v>
      </c>
      <c r="AH685" s="114"/>
      <c r="AK685" s="904"/>
      <c r="DF685" s="1434" t="str">
        <f t="shared" si="122"/>
        <v>ASHP-SEER16-Replace_CAC_ElectricHeat_ROF_SF</v>
      </c>
      <c r="DG685" s="1019">
        <f>(DI685+DI686)/(DJ685+DJ686)</f>
        <v>1.6693633737204159</v>
      </c>
      <c r="DH685" s="198" t="str">
        <f t="shared" si="119"/>
        <v>Cooling Res 18 Year EUL</v>
      </c>
      <c r="DI685" s="1020">
        <f>(INDEX('Avoided Cost Benefits'!$B$4:$B$866,MATCH(DH685,'Avoided Cost Benefits'!$A$4:$A$866,0)))*F685</f>
        <v>903.58860317624908</v>
      </c>
      <c r="DJ685" s="2051">
        <f t="shared" si="120"/>
        <v>3623.261297181818</v>
      </c>
      <c r="DM685" s="234"/>
    </row>
    <row r="686" spans="1:117" x14ac:dyDescent="0.25">
      <c r="A686" s="2146" t="s">
        <v>607</v>
      </c>
      <c r="B686" s="1318">
        <f t="shared" si="115"/>
        <v>352600</v>
      </c>
      <c r="C686" s="18" t="s">
        <v>1146</v>
      </c>
      <c r="D686" s="1994" t="s">
        <v>863</v>
      </c>
      <c r="E686" s="2106" t="s">
        <v>1147</v>
      </c>
      <c r="F686" s="977">
        <f>ROUND(((K892*K995*(1/K1098-1/K1201)*K1716)/1000)*$K$1800,2)</f>
        <v>8488.9699999999993</v>
      </c>
      <c r="G686" s="36" t="s">
        <v>1031</v>
      </c>
      <c r="H686" s="130">
        <f>VLOOKUP(G686,'CP FACTORS'!$A$3:$B$38, 2, FALSE)</f>
        <v>0</v>
      </c>
      <c r="I686" s="43">
        <f t="shared" si="116"/>
        <v>0</v>
      </c>
      <c r="J686" s="44">
        <f t="shared" si="131"/>
        <v>18</v>
      </c>
      <c r="K686" s="360">
        <f>IF(C686&lt;&gt;C685,VLOOKUP(C686,$J$2007:$K$2218,2,FALSE),0)</f>
        <v>0</v>
      </c>
      <c r="L686" s="404"/>
      <c r="M686" s="531"/>
      <c r="N686" s="542"/>
      <c r="O686" s="398"/>
      <c r="R686" s="510"/>
      <c r="T686" s="50"/>
      <c r="U686" s="544"/>
      <c r="V686" s="1307" t="s">
        <v>46</v>
      </c>
      <c r="W686" s="903">
        <v>14670.188469329136</v>
      </c>
      <c r="X686" s="233">
        <v>9788.00163331972</v>
      </c>
      <c r="Y686" s="210">
        <v>10452.1</v>
      </c>
      <c r="Z686" s="208">
        <v>10452.1</v>
      </c>
      <c r="AA686" s="208">
        <v>10452.1</v>
      </c>
      <c r="AB686" s="959">
        <v>9504.2099999999991</v>
      </c>
      <c r="AC686" s="210">
        <v>9883.59</v>
      </c>
      <c r="AD686" s="210">
        <v>9811.7099999999991</v>
      </c>
      <c r="AE686" s="210">
        <v>9173.07</v>
      </c>
      <c r="AF686" s="253">
        <v>9173.07</v>
      </c>
      <c r="AG686" s="253">
        <f t="shared" si="121"/>
        <v>8488.9699999999993</v>
      </c>
      <c r="AH686" s="114"/>
      <c r="AK686" s="904"/>
      <c r="DF686" s="1434" t="str">
        <f t="shared" si="122"/>
        <v>ASHP-SEER16-Replace_CAC_ElectricHeat_ROF_SF</v>
      </c>
      <c r="DG686" s="1021"/>
      <c r="DH686" s="235" t="str">
        <f t="shared" si="119"/>
        <v>Heating Res 18 Year EUL</v>
      </c>
      <c r="DI686" s="1020">
        <f>(INDEX('Avoided Cost Benefits'!$B$4:$B$866,MATCH(DH686,'Avoided Cost Benefits'!$A$4:$A$866,0)))*F686</f>
        <v>5144.9510997578009</v>
      </c>
      <c r="DJ686" s="2051">
        <f t="shared" si="120"/>
        <v>0</v>
      </c>
      <c r="DM686" s="234"/>
    </row>
    <row r="687" spans="1:117" s="39" customFormat="1" x14ac:dyDescent="0.25">
      <c r="A687" s="2143" t="s">
        <v>602</v>
      </c>
      <c r="B687" s="37">
        <f>VALUE(LEFT(C687,6))</f>
        <v>352605</v>
      </c>
      <c r="C687" s="650" t="s">
        <v>1148</v>
      </c>
      <c r="D687" s="1994" t="s">
        <v>810</v>
      </c>
      <c r="E687" s="2107" t="s">
        <v>1149</v>
      </c>
      <c r="F687" s="885">
        <f>ROUND(((K1305*K1408*(1/K1511-1/K1614)*K1717)/1000)*$K$1800,2)</f>
        <v>387.67</v>
      </c>
      <c r="G687" s="2097" t="s">
        <v>1030</v>
      </c>
      <c r="H687" s="2098">
        <f>VLOOKUP(G687,'CP FACTORS'!$A$3:$B$38, 2, FALSE)</f>
        <v>9.4741810000000004E-4</v>
      </c>
      <c r="I687" s="2099">
        <f>ROUND(F687*H687,6)</f>
        <v>0.367286</v>
      </c>
      <c r="J687" s="48">
        <f>K1841</f>
        <v>18</v>
      </c>
      <c r="K687" s="2100">
        <f>IF(C687&lt;&gt;C694,VLOOKUP(C687,$J$2007:$K$2218,2,FALSE),0)</f>
        <v>3667</v>
      </c>
      <c r="L687" s="168">
        <f>L900</f>
        <v>2.4</v>
      </c>
      <c r="M687" s="531"/>
      <c r="N687" s="1983"/>
      <c r="O687" s="683"/>
      <c r="R687" s="1984"/>
      <c r="U687" s="1985"/>
      <c r="V687" s="645" t="s">
        <v>46</v>
      </c>
      <c r="W687" s="230"/>
      <c r="X687" s="233"/>
      <c r="Y687" s="210"/>
      <c r="Z687" s="210"/>
      <c r="AA687" s="210"/>
      <c r="AB687" s="959"/>
      <c r="AC687" s="210"/>
      <c r="AD687" s="210"/>
      <c r="AE687" s="210"/>
      <c r="AF687" s="253"/>
      <c r="AG687" s="253">
        <f>IF(F687&lt;&gt;"",F687,"")</f>
        <v>387.67</v>
      </c>
      <c r="AH687" s="683"/>
      <c r="DF687" s="1986" t="str">
        <f>E687</f>
        <v>ASHP-SEER16-Replace_CAC_ElectricHeat_ROF_MF</v>
      </c>
      <c r="DG687" s="1019">
        <f>(DI687+DI688)/(DJ687+DJ688)</f>
        <v>1.6815029633082215</v>
      </c>
      <c r="DH687" s="198" t="str">
        <f>CONCATENATE(G687," ",J687," Year EUL")</f>
        <v>Cooling Res 18 Year EUL</v>
      </c>
      <c r="DI687" s="1020">
        <f>(INDEX('Avoided Cost Benefits'!$B$4:$B$866,MATCH(DH687,'Avoided Cost Benefits'!$A$4:$A$866,0)))*F687</f>
        <v>887.67470932374556</v>
      </c>
      <c r="DJ687" s="2051">
        <f>IFERROR(K687/((1+DiscountRate)^(CurrentYear-DiscountYear)),0)</f>
        <v>3667</v>
      </c>
      <c r="DM687" s="1987"/>
    </row>
    <row r="688" spans="1:117" s="39" customFormat="1" x14ac:dyDescent="0.25">
      <c r="A688" s="2143" t="s">
        <v>602</v>
      </c>
      <c r="B688" s="37">
        <f>VALUE(LEFT(C688,6))</f>
        <v>352605</v>
      </c>
      <c r="C688" s="650" t="s">
        <v>1148</v>
      </c>
      <c r="D688" s="1994" t="s">
        <v>810</v>
      </c>
      <c r="E688" s="2108" t="s">
        <v>1149</v>
      </c>
      <c r="F688" s="885">
        <f>ROUND(((K893*K996*(1/K1099-1/K1202)*K1717)/1000)*$K$1800,2)</f>
        <v>8709.15</v>
      </c>
      <c r="G688" s="2097" t="s">
        <v>1031</v>
      </c>
      <c r="H688" s="2098">
        <f>VLOOKUP(G688,'CP FACTORS'!$A$3:$B$38, 2, FALSE)</f>
        <v>0</v>
      </c>
      <c r="I688" s="2099">
        <f>ROUND(F688*H688,6)</f>
        <v>0</v>
      </c>
      <c r="J688" s="48">
        <f>K1842</f>
        <v>18</v>
      </c>
      <c r="K688" s="2100">
        <f>IF(C688&lt;&gt;C687,VLOOKUP(C688,$J$2007:$K$2218,2,FALSE),0)</f>
        <v>0</v>
      </c>
      <c r="L688" s="168"/>
      <c r="M688" s="531"/>
      <c r="N688" s="1983"/>
      <c r="O688" s="683"/>
      <c r="R688" s="1984"/>
      <c r="U688" s="1985"/>
      <c r="V688" s="645" t="s">
        <v>46</v>
      </c>
      <c r="W688" s="230"/>
      <c r="X688" s="233"/>
      <c r="Y688" s="210"/>
      <c r="Z688" s="210"/>
      <c r="AA688" s="210"/>
      <c r="AB688" s="959"/>
      <c r="AC688" s="210"/>
      <c r="AD688" s="210"/>
      <c r="AE688" s="210"/>
      <c r="AF688" s="253"/>
      <c r="AG688" s="253">
        <f>IF(F688&lt;&gt;"",F688,"")</f>
        <v>8709.15</v>
      </c>
      <c r="AH688" s="683"/>
      <c r="AK688" s="1988"/>
      <c r="DF688" s="1986" t="str">
        <f>E688</f>
        <v>ASHP-SEER16-Replace_CAC_ElectricHeat_ROF_MF</v>
      </c>
      <c r="DG688" s="1021"/>
      <c r="DH688" s="235" t="str">
        <f>CONCATENATE(G688," ",J688," Year EUL")</f>
        <v>Heating Res 18 Year EUL</v>
      </c>
      <c r="DI688" s="1020">
        <f>(INDEX('Avoided Cost Benefits'!$B$4:$B$866,MATCH(DH688,'Avoided Cost Benefits'!$A$4:$A$866,0)))*F688</f>
        <v>5278.3966571275023</v>
      </c>
      <c r="DJ688" s="2051">
        <f>IFERROR(K688/((1+DiscountRate)^(CurrentYear-DiscountYear)),0)</f>
        <v>0</v>
      </c>
      <c r="DM688" s="1987"/>
    </row>
    <row r="689" spans="1:117" x14ac:dyDescent="0.25">
      <c r="A689" s="2146" t="s">
        <v>861</v>
      </c>
      <c r="B689" s="1318">
        <f t="shared" si="115"/>
        <v>352610</v>
      </c>
      <c r="C689" s="18" t="s">
        <v>1150</v>
      </c>
      <c r="D689" s="1994" t="s">
        <v>863</v>
      </c>
      <c r="E689" s="2105" t="s">
        <v>1151</v>
      </c>
      <c r="F689" s="977">
        <f>ROUND(((K1306*K1409*(1/K1512-1/K1615)*K1718)/1000)*$K$1800,2)</f>
        <v>394.62</v>
      </c>
      <c r="G689" s="36" t="s">
        <v>1030</v>
      </c>
      <c r="H689" s="130">
        <f>VLOOKUP(G689,'CP FACTORS'!$A$3:$B$38, 2, FALSE)</f>
        <v>9.4741810000000004E-4</v>
      </c>
      <c r="I689" s="43">
        <f>ROUND(F689*H689,6)</f>
        <v>0.37386999999999998</v>
      </c>
      <c r="J689" s="44">
        <f>K1845</f>
        <v>18</v>
      </c>
      <c r="K689" s="360">
        <f>IF(C689&lt;&gt;C686,VLOOKUP(C689,$J$2007:$K$2218,2,FALSE),0)</f>
        <v>160.94972562825265</v>
      </c>
      <c r="L689" s="404">
        <f>L894</f>
        <v>2.8104354953030306</v>
      </c>
      <c r="M689" s="531"/>
      <c r="N689" s="542"/>
      <c r="O689" s="398"/>
      <c r="R689" s="510"/>
      <c r="T689" s="50"/>
      <c r="U689" s="544"/>
      <c r="V689" s="1307" t="s">
        <v>46</v>
      </c>
      <c r="W689" s="903"/>
      <c r="X689" s="233"/>
      <c r="Y689" s="210"/>
      <c r="Z689" s="208"/>
      <c r="AA689" s="208"/>
      <c r="AB689" s="959"/>
      <c r="AC689" s="210"/>
      <c r="AD689" s="210">
        <v>480.91</v>
      </c>
      <c r="AE689" s="210">
        <v>292.10000000000002</v>
      </c>
      <c r="AF689" s="253">
        <v>394.62</v>
      </c>
      <c r="AG689" s="253">
        <f t="shared" si="121"/>
        <v>394.62</v>
      </c>
      <c r="AH689" s="114"/>
      <c r="AK689" s="904"/>
      <c r="DF689" s="1434" t="str">
        <f t="shared" si="122"/>
        <v>ASHP-SEER16-Replace_CAC_NonElectricHeat_ROF_SF</v>
      </c>
      <c r="DG689" s="1019">
        <f>(DI689+DI690)/(DJ689+DJ690)</f>
        <v>5.61410465068625</v>
      </c>
      <c r="DH689" s="198" t="str">
        <f>CONCATENATE(G689," ",J689," Year EUL")</f>
        <v>Cooling Res 18 Year EUL</v>
      </c>
      <c r="DI689" s="1020">
        <f>(INDEX('Avoided Cost Benefits'!$B$4:$B$866,MATCH(DH689,'Avoided Cost Benefits'!$A$4:$A$866,0)))*F689</f>
        <v>903.58860317624908</v>
      </c>
      <c r="DJ689" s="2051">
        <f t="shared" si="120"/>
        <v>160.94972562825265</v>
      </c>
      <c r="DM689" s="234"/>
    </row>
    <row r="690" spans="1:117" x14ac:dyDescent="0.25">
      <c r="A690" s="2146" t="s">
        <v>861</v>
      </c>
      <c r="B690" s="1318">
        <f t="shared" si="115"/>
        <v>352610</v>
      </c>
      <c r="C690" s="18" t="s">
        <v>1150</v>
      </c>
      <c r="D690" s="1994" t="s">
        <v>863</v>
      </c>
      <c r="E690" s="2106" t="s">
        <v>1151</v>
      </c>
      <c r="F690" s="977">
        <f>0</f>
        <v>0</v>
      </c>
      <c r="G690" s="36" t="s">
        <v>1031</v>
      </c>
      <c r="H690" s="130">
        <f>VLOOKUP(G690,'CP FACTORS'!$A$3:$B$38, 2, FALSE)</f>
        <v>0</v>
      </c>
      <c r="I690" s="43">
        <f>ROUND(F690*H690,6)</f>
        <v>0</v>
      </c>
      <c r="J690" s="44">
        <f>K1846</f>
        <v>18</v>
      </c>
      <c r="K690" s="360">
        <f>IF(C690&lt;&gt;C689,VLOOKUP(C690,$J$2007:$K$2218,2,FALSE),0)</f>
        <v>0</v>
      </c>
      <c r="L690" s="404"/>
      <c r="M690" s="531"/>
      <c r="N690" s="542"/>
      <c r="O690" s="398"/>
      <c r="R690" s="510"/>
      <c r="T690" s="50"/>
      <c r="U690" s="544"/>
      <c r="V690" s="1307" t="s">
        <v>46</v>
      </c>
      <c r="W690" s="903"/>
      <c r="X690" s="233"/>
      <c r="Y690" s="210"/>
      <c r="Z690" s="208"/>
      <c r="AA690" s="208"/>
      <c r="AB690" s="959"/>
      <c r="AC690" s="210"/>
      <c r="AD690" s="210">
        <v>0</v>
      </c>
      <c r="AE690" s="208">
        <v>0</v>
      </c>
      <c r="AF690" s="253">
        <v>0</v>
      </c>
      <c r="AG690" s="253">
        <f t="shared" si="121"/>
        <v>0</v>
      </c>
      <c r="AH690" s="114"/>
      <c r="AK690" s="904"/>
      <c r="DF690" s="1434" t="str">
        <f t="shared" si="122"/>
        <v>ASHP-SEER16-Replace_CAC_NonElectricHeat_ROF_SF</v>
      </c>
      <c r="DG690" s="1021"/>
      <c r="DH690" s="235" t="str">
        <f>CONCATENATE(G690," ",J690," Year EUL")</f>
        <v>Heating Res 18 Year EUL</v>
      </c>
      <c r="DI690" s="1020">
        <f>(INDEX('Avoided Cost Benefits'!$B$4:$B$866,MATCH(DH690,'Avoided Cost Benefits'!$A$4:$A$866,0)))*F690</f>
        <v>0</v>
      </c>
      <c r="DJ690" s="2051">
        <f t="shared" si="120"/>
        <v>0</v>
      </c>
      <c r="DM690" s="234"/>
    </row>
    <row r="691" spans="1:117" x14ac:dyDescent="0.25">
      <c r="A691" s="2146" t="s">
        <v>607</v>
      </c>
      <c r="B691" s="1318">
        <f t="shared" si="115"/>
        <v>352650</v>
      </c>
      <c r="C691" s="18" t="s">
        <v>1152</v>
      </c>
      <c r="D691" s="1994" t="s">
        <v>863</v>
      </c>
      <c r="E691" s="2105" t="s">
        <v>1153</v>
      </c>
      <c r="F691" s="977">
        <f>ROUND(((K1307*K1410*(1/K1513-1/K1616)*K1719)/1000)*$K$1800,2)</f>
        <v>244.06</v>
      </c>
      <c r="G691" s="36" t="s">
        <v>1030</v>
      </c>
      <c r="H691" s="130">
        <f>VLOOKUP(G691,'CP FACTORS'!$A$3:$B$38, 2, FALSE)</f>
        <v>9.4741810000000004E-4</v>
      </c>
      <c r="I691" s="43">
        <f t="shared" si="116"/>
        <v>0.23122699999999999</v>
      </c>
      <c r="J691" s="44">
        <f t="shared" ref="J691:J692" si="132">K1845</f>
        <v>18</v>
      </c>
      <c r="K691" s="360">
        <f>IF(C691&lt;&gt;C690,VLOOKUP(C691,$J$2007:$K$2218,2,FALSE),0)</f>
        <v>421</v>
      </c>
      <c r="L691" s="404">
        <f>L895</f>
        <v>2.8104354953030306</v>
      </c>
      <c r="M691" s="531"/>
      <c r="N691" s="542"/>
      <c r="O691" s="398"/>
      <c r="R691" s="510"/>
      <c r="T691" s="50"/>
      <c r="U691" s="544"/>
      <c r="V691" s="1307" t="s">
        <v>46</v>
      </c>
      <c r="W691" s="903">
        <v>307.25357142857132</v>
      </c>
      <c r="X691" s="233">
        <v>284.90785714285704</v>
      </c>
      <c r="Y691" s="210">
        <v>302.60000000000002</v>
      </c>
      <c r="Z691" s="208">
        <v>302.60000000000002</v>
      </c>
      <c r="AA691" s="208">
        <v>302.60000000000002</v>
      </c>
      <c r="AB691" s="960">
        <v>302.60000000000002</v>
      </c>
      <c r="AC691" s="210">
        <v>292.86</v>
      </c>
      <c r="AD691" s="210">
        <v>300.64</v>
      </c>
      <c r="AE691" s="210">
        <v>139.44999999999999</v>
      </c>
      <c r="AF691" s="253">
        <v>244.06</v>
      </c>
      <c r="AG691" s="253">
        <f t="shared" si="121"/>
        <v>244.06</v>
      </c>
      <c r="AH691" s="114"/>
      <c r="AK691" s="904"/>
      <c r="DF691" s="1434" t="str">
        <f t="shared" si="122"/>
        <v>ASHP-SEER16_ROF_SF</v>
      </c>
      <c r="DG691" s="1019">
        <f>(DI691+DI692)/(DJ691+DJ692)</f>
        <v>1.932681951673382</v>
      </c>
      <c r="DH691" s="198" t="str">
        <f t="shared" si="119"/>
        <v>Cooling Res 18 Year EUL</v>
      </c>
      <c r="DI691" s="1020">
        <f>(INDEX('Avoided Cost Benefits'!$B$4:$B$866,MATCH(DH691,'Avoided Cost Benefits'!$A$4:$A$866,0)))*F691</f>
        <v>558.84099764633152</v>
      </c>
      <c r="DJ691" s="2051">
        <f t="shared" si="120"/>
        <v>421</v>
      </c>
      <c r="DM691" s="234"/>
    </row>
    <row r="692" spans="1:117" x14ac:dyDescent="0.25">
      <c r="A692" s="2146" t="s">
        <v>607</v>
      </c>
      <c r="B692" s="1318">
        <f t="shared" si="115"/>
        <v>352650</v>
      </c>
      <c r="C692" s="18" t="s">
        <v>1152</v>
      </c>
      <c r="D692" s="1994" t="s">
        <v>863</v>
      </c>
      <c r="E692" s="2106" t="s">
        <v>1153</v>
      </c>
      <c r="F692" s="977">
        <f>ROUND(((K895*K998*(1/K1101-1/K1204)*K1719)/1000)*$K$1800,2)</f>
        <v>420.44</v>
      </c>
      <c r="G692" s="36" t="s">
        <v>1031</v>
      </c>
      <c r="H692" s="130">
        <f>VLOOKUP(G692,'CP FACTORS'!$A$3:$B$38, 2, FALSE)</f>
        <v>0</v>
      </c>
      <c r="I692" s="43">
        <f t="shared" si="116"/>
        <v>0</v>
      </c>
      <c r="J692" s="44">
        <f t="shared" si="132"/>
        <v>18</v>
      </c>
      <c r="K692" s="360">
        <f>IF(C692&lt;&gt;C691,VLOOKUP(C692,$J$2007:$K$2218,2,FALSE),0)</f>
        <v>0</v>
      </c>
      <c r="L692" s="404"/>
      <c r="M692" s="531"/>
      <c r="N692" s="542"/>
      <c r="O692" s="398"/>
      <c r="R692" s="510"/>
      <c r="T692" s="50"/>
      <c r="U692" s="544"/>
      <c r="V692" s="1307" t="s">
        <v>46</v>
      </c>
      <c r="W692" s="903">
        <v>1584.0000000000018</v>
      </c>
      <c r="X692" s="233">
        <v>377.74325409076874</v>
      </c>
      <c r="Y692" s="210">
        <v>928.06</v>
      </c>
      <c r="Z692" s="208">
        <v>928.06</v>
      </c>
      <c r="AA692" s="208">
        <v>928.06</v>
      </c>
      <c r="AB692" s="960">
        <v>928.06</v>
      </c>
      <c r="AC692" s="210">
        <v>637.16</v>
      </c>
      <c r="AD692" s="210">
        <v>677.46</v>
      </c>
      <c r="AE692" s="210">
        <v>244.11</v>
      </c>
      <c r="AF692" s="253">
        <v>1104.55</v>
      </c>
      <c r="AG692" s="253">
        <f t="shared" si="121"/>
        <v>420.44</v>
      </c>
      <c r="AH692" s="114"/>
      <c r="AK692" s="904"/>
      <c r="DF692" s="1434" t="str">
        <f t="shared" si="122"/>
        <v>ASHP-SEER16_ROF_SF</v>
      </c>
      <c r="DG692" s="1021"/>
      <c r="DH692" s="235" t="str">
        <f t="shared" si="119"/>
        <v>Heating Res 18 Year EUL</v>
      </c>
      <c r="DI692" s="1020">
        <f>(INDEX('Avoided Cost Benefits'!$B$4:$B$866,MATCH(DH692,'Avoided Cost Benefits'!$A$4:$A$866,0)))*F692</f>
        <v>254.81810400816235</v>
      </c>
      <c r="DJ692" s="2051">
        <f t="shared" si="120"/>
        <v>0</v>
      </c>
      <c r="DM692" s="234"/>
    </row>
    <row r="693" spans="1:117" x14ac:dyDescent="0.25">
      <c r="A693" s="2143" t="s">
        <v>602</v>
      </c>
      <c r="B693" s="1318">
        <f t="shared" ref="B693:B694" si="133">VALUE(LEFT(C693,6))</f>
        <v>352660</v>
      </c>
      <c r="C693" s="650" t="s">
        <v>1154</v>
      </c>
      <c r="D693" s="1994" t="s">
        <v>810</v>
      </c>
      <c r="E693" s="2107" t="s">
        <v>1155</v>
      </c>
      <c r="F693" s="885">
        <f>ROUND(((K1308*K1411*(1/K1514-1/K1617)*K1720)/1000)*$K$1800,2)</f>
        <v>259.60000000000002</v>
      </c>
      <c r="G693" s="2097" t="s">
        <v>1030</v>
      </c>
      <c r="H693" s="2098">
        <f>VLOOKUP(G693,'CP FACTORS'!$A$3:$B$38, 2, FALSE)</f>
        <v>9.4741810000000004E-4</v>
      </c>
      <c r="I693" s="2099">
        <f>ROUND(F693*H693,6)</f>
        <v>0.24595</v>
      </c>
      <c r="J693" s="48">
        <f t="shared" ref="J693:J719" si="134">K1847</f>
        <v>18</v>
      </c>
      <c r="K693" s="2100">
        <f>IF(C693&lt;&gt;C668,VLOOKUP(C693,$J$2007:$K$2218,2,FALSE),0)</f>
        <v>421</v>
      </c>
      <c r="L693" s="168">
        <f>L893</f>
        <v>2.8833333333333333</v>
      </c>
      <c r="M693" s="531"/>
      <c r="N693" s="542"/>
      <c r="O693" s="398"/>
      <c r="R693" s="510"/>
      <c r="T693" s="50"/>
      <c r="U693" s="544"/>
      <c r="V693" s="645" t="s">
        <v>46</v>
      </c>
      <c r="W693" s="903"/>
      <c r="X693" s="233"/>
      <c r="Y693" s="210"/>
      <c r="Z693" s="208"/>
      <c r="AA693" s="208"/>
      <c r="AB693" s="960"/>
      <c r="AC693" s="210"/>
      <c r="AD693" s="210"/>
      <c r="AE693" s="210"/>
      <c r="AF693" s="253"/>
      <c r="AG693" s="253">
        <f>IF(F693&lt;&gt;"",F693,"")</f>
        <v>259.60000000000002</v>
      </c>
      <c r="AH693" s="114"/>
      <c r="AK693" s="904"/>
      <c r="DF693" s="1434" t="str">
        <f t="shared" ref="DF693:DF694" si="135">E693</f>
        <v>ASHP-SEER16_ROF_MF</v>
      </c>
      <c r="DG693" s="1019">
        <f>(DI693+DI694)/(DJ693+DJ694)</f>
        <v>2.017202162363211</v>
      </c>
      <c r="DH693" s="198" t="str">
        <f>CONCATENATE(G693," ",J693," Year EUL")</f>
        <v>Cooling Res 18 Year EUL</v>
      </c>
      <c r="DI693" s="1020">
        <f>(INDEX('Avoided Cost Benefits'!$B$4:$B$866,MATCH(DH693,'Avoided Cost Benefits'!$A$4:$A$866,0)))*F693</f>
        <v>594.42400634674948</v>
      </c>
      <c r="DJ693" s="2051">
        <f t="shared" ref="DJ693:DJ694" si="136">IFERROR(K693/((1+DiscountRate)^(CurrentYear-DiscountYear)),0)</f>
        <v>421</v>
      </c>
      <c r="DM693" s="234"/>
    </row>
    <row r="694" spans="1:117" x14ac:dyDescent="0.25">
      <c r="A694" s="2143" t="s">
        <v>602</v>
      </c>
      <c r="B694" s="1318">
        <f t="shared" si="133"/>
        <v>352660</v>
      </c>
      <c r="C694" s="650" t="s">
        <v>1154</v>
      </c>
      <c r="D694" s="1994" t="s">
        <v>810</v>
      </c>
      <c r="E694" s="2108" t="s">
        <v>1155</v>
      </c>
      <c r="F694" s="885">
        <f>ROUND(((K895*K999*(1/K1102-1/K1205)*K1720)/1000)*$K$1800,2)</f>
        <v>420.44</v>
      </c>
      <c r="G694" s="2097" t="s">
        <v>1031</v>
      </c>
      <c r="H694" s="2098">
        <f>VLOOKUP(G694,'CP FACTORS'!$A$3:$B$38, 2, FALSE)</f>
        <v>0</v>
      </c>
      <c r="I694" s="2099">
        <f>ROUND(F694*H694,6)</f>
        <v>0</v>
      </c>
      <c r="J694" s="48">
        <f t="shared" si="134"/>
        <v>18</v>
      </c>
      <c r="K694" s="2100">
        <f>IF(C694&lt;&gt;C693,VLOOKUP(C694,$J$2007:$K$2218,2,FALSE),0)</f>
        <v>0</v>
      </c>
      <c r="L694" s="168"/>
      <c r="M694" s="531"/>
      <c r="N694" s="542"/>
      <c r="O694" s="398"/>
      <c r="R694" s="510"/>
      <c r="T694" s="50"/>
      <c r="U694" s="544"/>
      <c r="V694" s="645" t="s">
        <v>46</v>
      </c>
      <c r="W694" s="903"/>
      <c r="X694" s="233"/>
      <c r="Y694" s="210"/>
      <c r="Z694" s="208"/>
      <c r="AA694" s="208"/>
      <c r="AB694" s="960"/>
      <c r="AC694" s="210"/>
      <c r="AD694" s="210"/>
      <c r="AE694" s="210"/>
      <c r="AF694" s="253"/>
      <c r="AG694" s="253">
        <f>IF(F694&lt;&gt;"",F694,"")</f>
        <v>420.44</v>
      </c>
      <c r="AH694" s="114"/>
      <c r="AK694" s="904"/>
      <c r="DF694" s="1434" t="str">
        <f t="shared" si="135"/>
        <v>ASHP-SEER16_ROF_MF</v>
      </c>
      <c r="DG694" s="1021"/>
      <c r="DH694" s="235" t="str">
        <f>CONCATENATE(G694," ",J694," Year EUL")</f>
        <v>Heating Res 18 Year EUL</v>
      </c>
      <c r="DI694" s="1020">
        <f>(INDEX('Avoided Cost Benefits'!$B$4:$B$866,MATCH(DH694,'Avoided Cost Benefits'!$A$4:$A$866,0)))*F694</f>
        <v>254.81810400816235</v>
      </c>
      <c r="DJ694" s="2051">
        <f t="shared" si="136"/>
        <v>0</v>
      </c>
      <c r="DM694" s="234"/>
    </row>
    <row r="695" spans="1:117" x14ac:dyDescent="0.25">
      <c r="A695" s="2146" t="s">
        <v>602</v>
      </c>
      <c r="B695" s="1318">
        <f t="shared" ref="B695:B708" si="137">VALUE(LEFT(C695,6))</f>
        <v>353000</v>
      </c>
      <c r="C695" s="18" t="s">
        <v>1156</v>
      </c>
      <c r="D695" s="1994" t="s">
        <v>810</v>
      </c>
      <c r="E695" s="1251" t="s">
        <v>1157</v>
      </c>
      <c r="F695" s="2110">
        <f>ROUND(((K1309*K1412*(1/K1515-1/K1618)*K1721)/1000)*$K$1800,2)</f>
        <v>2088.29</v>
      </c>
      <c r="G695" s="36" t="s">
        <v>1030</v>
      </c>
      <c r="H695" s="130">
        <f>VLOOKUP(G695,'CP FACTORS'!$A$3:$B$38, 2, FALSE)</f>
        <v>9.4741810000000004E-4</v>
      </c>
      <c r="I695" s="43">
        <f t="shared" si="116"/>
        <v>1.9784839999999999</v>
      </c>
      <c r="J695" s="44">
        <f t="shared" si="134"/>
        <v>6</v>
      </c>
      <c r="K695" s="360">
        <f>IF(C695&lt;&gt;C692,VLOOKUP(C695,$J$2007:$K$2218,2,FALSE),0)</f>
        <v>3682.0649648885365</v>
      </c>
      <c r="L695" s="404">
        <f>L897</f>
        <v>2.8388888888888886</v>
      </c>
      <c r="M695" s="531"/>
      <c r="N695" s="542"/>
      <c r="O695" s="398"/>
      <c r="R695" s="510"/>
      <c r="T695" s="50"/>
      <c r="U695" s="544"/>
      <c r="V695" s="1307" t="s">
        <v>46</v>
      </c>
      <c r="W695" s="903">
        <v>1776.7855147058826</v>
      </c>
      <c r="X695" s="233">
        <v>1209.2231497599041</v>
      </c>
      <c r="Y695" s="208">
        <v>1209.22</v>
      </c>
      <c r="Z695" s="208">
        <v>1209.22</v>
      </c>
      <c r="AA695" s="208">
        <v>1209.22</v>
      </c>
      <c r="AB695" s="959">
        <v>1329.6</v>
      </c>
      <c r="AC695" s="210">
        <v>1169.45</v>
      </c>
      <c r="AD695" s="210">
        <v>2088.29</v>
      </c>
      <c r="AE695" s="903">
        <v>2088.29</v>
      </c>
      <c r="AF695" s="253">
        <v>2088.29</v>
      </c>
      <c r="AG695" s="253">
        <f t="shared" si="121"/>
        <v>2088.29</v>
      </c>
      <c r="AH695" s="114"/>
      <c r="AK695" s="904"/>
      <c r="DF695" s="1434" t="str">
        <f t="shared" ref="DF695:DF708" si="138">E695</f>
        <v>ASHP-SEER16-Replace_CAC_ElectricHeat_ER1_MF</v>
      </c>
      <c r="DG695" s="1019">
        <f>(DI695+DI696+DI697+DI698)/(DJ695+DJ696+DJ697+DJ698)</f>
        <v>2.1169662822177129</v>
      </c>
      <c r="DH695" s="1240" t="str">
        <f t="shared" si="119"/>
        <v>Cooling Res 6 Year EUL</v>
      </c>
      <c r="DI695" s="1020">
        <f>(INDEX('Avoided Cost Benefits'!$B$4:$B$866,MATCH(DH695,'Avoided Cost Benefits'!$A$4:$A$866,0)))*F695</f>
        <v>2079.619623160926</v>
      </c>
      <c r="DJ695" s="2051">
        <f t="shared" ref="DJ695:DJ708" si="139">IFERROR(K695/((1+DiscountRate)^(CurrentYear-DiscountYear)),0)</f>
        <v>3682.0649648885365</v>
      </c>
      <c r="DM695" s="234"/>
    </row>
    <row r="696" spans="1:117" x14ac:dyDescent="0.25">
      <c r="A696" s="2146" t="s">
        <v>602</v>
      </c>
      <c r="B696" s="1318">
        <f t="shared" si="137"/>
        <v>353000</v>
      </c>
      <c r="C696" s="18" t="s">
        <v>1156</v>
      </c>
      <c r="D696" s="1994" t="s">
        <v>810</v>
      </c>
      <c r="E696" s="1260" t="s">
        <v>1157</v>
      </c>
      <c r="F696" s="2110">
        <f>ROUND(((K897*K1000*(1/K1103-1/K1206)*K1721)/1000)*$K$1800,2)</f>
        <v>8574.91</v>
      </c>
      <c r="G696" s="36" t="s">
        <v>1031</v>
      </c>
      <c r="H696" s="130">
        <f>VLOOKUP(G696,'CP FACTORS'!$A$3:$B$38, 2, FALSE)</f>
        <v>0</v>
      </c>
      <c r="I696" s="43">
        <f t="shared" si="116"/>
        <v>0</v>
      </c>
      <c r="J696" s="44">
        <f t="shared" si="134"/>
        <v>6</v>
      </c>
      <c r="K696" s="360">
        <f>IF(C696&lt;&gt;C695,VLOOKUP(C696,$J$2007:$K$2218,2,FALSE),0)</f>
        <v>0</v>
      </c>
      <c r="L696" s="404"/>
      <c r="M696" s="531"/>
      <c r="N696" s="542"/>
      <c r="O696" s="398"/>
      <c r="R696" s="510"/>
      <c r="T696" s="50"/>
      <c r="U696" s="544"/>
      <c r="V696" s="1307" t="s">
        <v>46</v>
      </c>
      <c r="W696" s="903">
        <v>9077.8044487427451</v>
      </c>
      <c r="X696" s="233">
        <v>6759.7787234042544</v>
      </c>
      <c r="Y696" s="208">
        <v>6759.78</v>
      </c>
      <c r="Z696" s="208">
        <v>6759.78</v>
      </c>
      <c r="AA696" s="208">
        <v>6759.78</v>
      </c>
      <c r="AB696" s="959">
        <v>6102.76</v>
      </c>
      <c r="AC696" s="210">
        <v>4250.8</v>
      </c>
      <c r="AD696" s="210">
        <v>9445.69</v>
      </c>
      <c r="AE696" s="903">
        <v>9445.69</v>
      </c>
      <c r="AF696" s="253">
        <v>9445.69</v>
      </c>
      <c r="AG696" s="253">
        <f t="shared" si="121"/>
        <v>8574.91</v>
      </c>
      <c r="AH696" s="114"/>
      <c r="AK696" s="904"/>
      <c r="DF696" s="1434" t="str">
        <f t="shared" si="138"/>
        <v>ASHP-SEER16-Replace_CAC_ElectricHeat_ER1_MF</v>
      </c>
      <c r="DG696" s="1023"/>
      <c r="DH696" s="1265" t="str">
        <f t="shared" si="119"/>
        <v>Heating Res 6 Year EUL</v>
      </c>
      <c r="DI696" s="1020">
        <f>(INDEX('Avoided Cost Benefits'!$B$4:$B$866,MATCH(DH696,'Avoided Cost Benefits'!$A$4:$A$866,0)))*F696</f>
        <v>2299.6091651288311</v>
      </c>
      <c r="DJ696" s="2051">
        <f t="shared" si="139"/>
        <v>0</v>
      </c>
      <c r="DM696" s="234"/>
    </row>
    <row r="697" spans="1:117" x14ac:dyDescent="0.25">
      <c r="A697" s="2146" t="s">
        <v>602</v>
      </c>
      <c r="B697" s="1318">
        <f t="shared" si="137"/>
        <v>353000</v>
      </c>
      <c r="C697" s="18" t="s">
        <v>1156</v>
      </c>
      <c r="D697" s="1994" t="s">
        <v>810</v>
      </c>
      <c r="E697" s="1260" t="s">
        <v>1158</v>
      </c>
      <c r="F697" s="2110">
        <f>ROUND(((K1310*K1413*(1/K1516-1/K1619)*K1722)/1000)*$K$1800,2)</f>
        <v>400.45</v>
      </c>
      <c r="G697" s="36" t="s">
        <v>1083</v>
      </c>
      <c r="H697" s="130">
        <f>VLOOKUP(G697,'CP FACTORS'!$A$3:$B$38, 2, FALSE)</f>
        <v>9.4741810000000004E-4</v>
      </c>
      <c r="I697" s="43">
        <f t="shared" si="116"/>
        <v>0.37939400000000001</v>
      </c>
      <c r="J697" s="44">
        <f t="shared" si="134"/>
        <v>12</v>
      </c>
      <c r="K697" s="360">
        <f>IF(C697&lt;&gt;C696,VLOOKUP(C697,$J$2007:$K$2218,2,FALSE),0)</f>
        <v>0</v>
      </c>
      <c r="L697" s="404"/>
      <c r="M697" s="531"/>
      <c r="N697" s="542"/>
      <c r="O697" s="398"/>
      <c r="R697" s="510"/>
      <c r="T697" s="50"/>
      <c r="U697" s="544"/>
      <c r="V697" s="1307" t="s">
        <v>46</v>
      </c>
      <c r="W697" s="903">
        <v>303.06375000000014</v>
      </c>
      <c r="X697" s="236">
        <v>303.06375000000014</v>
      </c>
      <c r="Y697" s="208">
        <v>303.06</v>
      </c>
      <c r="Z697" s="208">
        <v>303.06</v>
      </c>
      <c r="AA697" s="208">
        <v>303.06</v>
      </c>
      <c r="AB697" s="959">
        <v>364.98</v>
      </c>
      <c r="AC697" s="210">
        <v>195.53</v>
      </c>
      <c r="AD697" s="210">
        <v>476.28</v>
      </c>
      <c r="AE697" s="230">
        <v>294.83999999999997</v>
      </c>
      <c r="AF697" s="253">
        <v>400.45</v>
      </c>
      <c r="AG697" s="253">
        <f t="shared" si="121"/>
        <v>400.45</v>
      </c>
      <c r="AH697" s="114"/>
      <c r="AK697" s="904"/>
      <c r="DF697" s="1434" t="str">
        <f t="shared" si="138"/>
        <v>ASHP-SEER16-Replace_CAC_ElectricHeat_ER2_MF</v>
      </c>
      <c r="DG697" s="1023"/>
      <c r="DH697" s="1265" t="str">
        <f t="shared" si="119"/>
        <v>Cooling Res ER2 12 Year EUL</v>
      </c>
      <c r="DI697" s="1020">
        <f>(INDEX('Avoided Cost Benefits'!$B$4:$B$866,MATCH(DH697,'Avoided Cost Benefits'!$A$4:$A$866,0)))*F697</f>
        <v>518.15058528772261</v>
      </c>
      <c r="DJ697" s="2051">
        <f t="shared" si="139"/>
        <v>0</v>
      </c>
      <c r="DM697" s="234"/>
    </row>
    <row r="698" spans="1:117" x14ac:dyDescent="0.25">
      <c r="A698" s="2146" t="s">
        <v>602</v>
      </c>
      <c r="B698" s="1318">
        <f t="shared" si="137"/>
        <v>353000</v>
      </c>
      <c r="C698" s="18" t="s">
        <v>1156</v>
      </c>
      <c r="D698" s="1994" t="s">
        <v>810</v>
      </c>
      <c r="E698" s="2015" t="s">
        <v>1158</v>
      </c>
      <c r="F698" s="2110">
        <f>ROUND(((K898*K1001*(1/K1104-1/K1207)*K1722)/1000)*$K$1800,2)</f>
        <v>8574.91</v>
      </c>
      <c r="G698" s="36" t="s">
        <v>1118</v>
      </c>
      <c r="H698" s="130">
        <f>VLOOKUP(G698,'CP FACTORS'!$A$3:$B$38, 2, FALSE)</f>
        <v>0</v>
      </c>
      <c r="I698" s="43">
        <f t="shared" si="116"/>
        <v>0</v>
      </c>
      <c r="J698" s="44">
        <f t="shared" si="134"/>
        <v>12</v>
      </c>
      <c r="K698" s="360">
        <f>IF(C698&lt;&gt;C697,VLOOKUP(C698,$J$2007:$K$2218,2,FALSE),0)</f>
        <v>0</v>
      </c>
      <c r="L698" s="404"/>
      <c r="M698" s="531"/>
      <c r="N698" s="542"/>
      <c r="O698" s="398"/>
      <c r="R698" s="510"/>
      <c r="T698" s="50"/>
      <c r="U698" s="544"/>
      <c r="V698" s="1307" t="s">
        <v>46</v>
      </c>
      <c r="W698" s="903">
        <v>9077.8044487427451</v>
      </c>
      <c r="X698" s="233">
        <v>6759.7787234042544</v>
      </c>
      <c r="Y698" s="208">
        <v>6759.78</v>
      </c>
      <c r="Z698" s="208">
        <v>6759.78</v>
      </c>
      <c r="AA698" s="208">
        <v>6759.78</v>
      </c>
      <c r="AB698" s="959">
        <v>6102.76</v>
      </c>
      <c r="AC698" s="210">
        <v>4250.8</v>
      </c>
      <c r="AD698" s="210">
        <v>9445.69</v>
      </c>
      <c r="AE698" s="903">
        <v>9445.69</v>
      </c>
      <c r="AF698" s="253">
        <v>9445.69</v>
      </c>
      <c r="AG698" s="253">
        <f t="shared" si="121"/>
        <v>8574.91</v>
      </c>
      <c r="AH698" s="114"/>
      <c r="AK698" s="904"/>
      <c r="DF698" s="1434" t="str">
        <f t="shared" si="138"/>
        <v>ASHP-SEER16-Replace_CAC_ElectricHeat_ER2_MF</v>
      </c>
      <c r="DG698" s="1023"/>
      <c r="DH698" s="1241" t="str">
        <f t="shared" si="119"/>
        <v>Heating Res ER2 12 Year EUL</v>
      </c>
      <c r="DI698" s="1020">
        <f>(INDEX('Avoided Cost Benefits'!$B$4:$B$866,MATCH(DH698,'Avoided Cost Benefits'!$A$4:$A$866,0)))*F698</f>
        <v>2897.4280060266992</v>
      </c>
      <c r="DJ698" s="2051">
        <f t="shared" si="139"/>
        <v>0</v>
      </c>
      <c r="DM698" s="234"/>
    </row>
    <row r="699" spans="1:117" x14ac:dyDescent="0.25">
      <c r="A699" s="2146" t="s">
        <v>607</v>
      </c>
      <c r="B699" s="1318">
        <f t="shared" si="137"/>
        <v>353100</v>
      </c>
      <c r="C699" s="18" t="s">
        <v>1159</v>
      </c>
      <c r="D699" s="1994" t="s">
        <v>863</v>
      </c>
      <c r="E699" s="2105" t="s">
        <v>1160</v>
      </c>
      <c r="F699" s="977">
        <f>ROUND(((K1311*K1414*(1/K1517-1/K1620)*K1723)/1000)*$K$1800,2)</f>
        <v>510.45</v>
      </c>
      <c r="G699" s="36" t="s">
        <v>1030</v>
      </c>
      <c r="H699" s="130">
        <f>VLOOKUP(G699,'CP FACTORS'!$A$3:$B$38, 2, FALSE)</f>
        <v>9.4741810000000004E-4</v>
      </c>
      <c r="I699" s="1146">
        <f t="shared" ref="I699:I730" si="140">ROUND(F699*H699,6)</f>
        <v>0.48360999999999998</v>
      </c>
      <c r="J699" s="44">
        <f t="shared" si="134"/>
        <v>18</v>
      </c>
      <c r="K699" s="360">
        <f>IF(C699&lt;&gt;C698,VLOOKUP(C699,$J$2007:$K$2218,2,FALSE),0)</f>
        <v>4073.1981423529414</v>
      </c>
      <c r="L699" s="404">
        <f>L899</f>
        <v>3.2119969039215692</v>
      </c>
      <c r="M699" s="531"/>
      <c r="N699" s="542"/>
      <c r="O699" s="398"/>
      <c r="R699" s="510"/>
      <c r="T699" s="50"/>
      <c r="U699" s="544"/>
      <c r="V699" s="1307" t="s">
        <v>46</v>
      </c>
      <c r="W699" s="903">
        <v>2576.329411764706</v>
      </c>
      <c r="X699" s="233">
        <v>1787.6571428571426</v>
      </c>
      <c r="Y699" s="210">
        <v>528.48</v>
      </c>
      <c r="Z699" s="208">
        <v>528.48</v>
      </c>
      <c r="AA699" s="208">
        <v>528.48</v>
      </c>
      <c r="AB699" s="960">
        <v>528.48</v>
      </c>
      <c r="AC699" s="210">
        <v>538.32000000000005</v>
      </c>
      <c r="AD699" s="210">
        <v>605.63</v>
      </c>
      <c r="AE699" s="210">
        <v>424.08</v>
      </c>
      <c r="AF699" s="253">
        <v>510.45</v>
      </c>
      <c r="AG699" s="253">
        <f t="shared" si="121"/>
        <v>510.45</v>
      </c>
      <c r="AH699" s="114"/>
      <c r="AK699" s="904"/>
      <c r="DF699" s="1434" t="str">
        <f t="shared" si="138"/>
        <v>ASHP-SEER17-Replace_CAC_ElectricHeat_ROF_SF</v>
      </c>
      <c r="DG699" s="1019">
        <f>(DI699+DI700)/(DJ699+DJ700)</f>
        <v>1.7876664564503213</v>
      </c>
      <c r="DH699" s="198" t="str">
        <f t="shared" ref="DH699:DH726" si="141">CONCATENATE(G699," ",J699," Year EUL")</f>
        <v>Cooling Res 18 Year EUL</v>
      </c>
      <c r="DI699" s="1020">
        <f>(INDEX('Avoided Cost Benefits'!$B$4:$B$866,MATCH(DH699,'Avoided Cost Benefits'!$A$4:$A$866,0)))*F699</f>
        <v>1168.8125348216417</v>
      </c>
      <c r="DJ699" s="2051">
        <f t="shared" si="139"/>
        <v>4073.1981423529414</v>
      </c>
      <c r="DM699" s="234"/>
    </row>
    <row r="700" spans="1:117" x14ac:dyDescent="0.25">
      <c r="A700" s="2146" t="s">
        <v>607</v>
      </c>
      <c r="B700" s="1318">
        <f t="shared" si="137"/>
        <v>353100</v>
      </c>
      <c r="C700" s="18" t="s">
        <v>1159</v>
      </c>
      <c r="D700" s="1994" t="s">
        <v>863</v>
      </c>
      <c r="E700" s="2106" t="s">
        <v>1160</v>
      </c>
      <c r="F700" s="977">
        <f>ROUND(((K899*K1002*(1/K1105-1/K1208)*K1723)/1000)*$K$1800,2)</f>
        <v>10085.73</v>
      </c>
      <c r="G700" s="36" t="s">
        <v>1031</v>
      </c>
      <c r="H700" s="130">
        <f>VLOOKUP(G700,'CP FACTORS'!$A$3:$B$38, 2, FALSE)</f>
        <v>0</v>
      </c>
      <c r="I700" s="1146">
        <f t="shared" si="140"/>
        <v>0</v>
      </c>
      <c r="J700" s="44">
        <f t="shared" si="134"/>
        <v>18</v>
      </c>
      <c r="K700" s="360">
        <f>IF(C700&lt;&gt;C699,VLOOKUP(C700,$J$2007:$K$2218,2,FALSE),0)</f>
        <v>0</v>
      </c>
      <c r="L700" s="404"/>
      <c r="M700" s="531"/>
      <c r="N700" s="542"/>
      <c r="O700" s="398"/>
      <c r="R700" s="510"/>
      <c r="T700" s="50"/>
      <c r="U700" s="544"/>
      <c r="V700" s="1307" t="s">
        <v>46</v>
      </c>
      <c r="W700" s="903">
        <v>12836.414910662994</v>
      </c>
      <c r="X700" s="233">
        <v>9558.6245427336198</v>
      </c>
      <c r="Y700" s="208">
        <v>9558.6200000000008</v>
      </c>
      <c r="Z700" s="208">
        <v>9558.6200000000008</v>
      </c>
      <c r="AA700" s="208">
        <v>9558.6200000000008</v>
      </c>
      <c r="AB700" s="960">
        <v>9558.6200000000008</v>
      </c>
      <c r="AC700" s="210">
        <v>9112.0499999999993</v>
      </c>
      <c r="AD700" s="210">
        <v>9907.98</v>
      </c>
      <c r="AE700" s="210">
        <v>10794.65</v>
      </c>
      <c r="AF700" s="253">
        <v>10794.65</v>
      </c>
      <c r="AG700" s="253">
        <f t="shared" si="121"/>
        <v>10085.73</v>
      </c>
      <c r="AH700" s="114"/>
      <c r="AK700" s="904"/>
      <c r="DF700" s="1434" t="str">
        <f t="shared" si="138"/>
        <v>ASHP-SEER17-Replace_CAC_ElectricHeat_ROF_SF</v>
      </c>
      <c r="DG700" s="1021"/>
      <c r="DH700" s="235" t="str">
        <f t="shared" si="141"/>
        <v>Heating Res 18 Year EUL</v>
      </c>
      <c r="DI700" s="1020">
        <f>(INDEX('Avoided Cost Benefits'!$B$4:$B$866,MATCH(DH700,'Avoided Cost Benefits'!$A$4:$A$866,0)))*F700</f>
        <v>6112.7071547384721</v>
      </c>
      <c r="DJ700" s="2051">
        <f t="shared" si="139"/>
        <v>0</v>
      </c>
      <c r="DM700" s="234"/>
    </row>
    <row r="701" spans="1:117" s="39" customFormat="1" x14ac:dyDescent="0.25">
      <c r="A701" s="2143" t="s">
        <v>602</v>
      </c>
      <c r="B701" s="37">
        <f t="shared" ref="B701:B702" si="142">VALUE(LEFT(C701,6))</f>
        <v>353105</v>
      </c>
      <c r="C701" s="650" t="s">
        <v>1161</v>
      </c>
      <c r="D701" s="1994" t="s">
        <v>810</v>
      </c>
      <c r="E701" s="2107" t="s">
        <v>1162</v>
      </c>
      <c r="F701" s="885">
        <f>ROUND(((K1312*K1415*(1/K1518-1/K1621)*K1724)/1000)*$K$1800,2)</f>
        <v>390.09</v>
      </c>
      <c r="G701" s="2097" t="s">
        <v>1030</v>
      </c>
      <c r="H701" s="2098">
        <f>VLOOKUP(G701,'CP FACTORS'!$A$3:$B$38, 2, FALSE)</f>
        <v>9.4741810000000004E-4</v>
      </c>
      <c r="I701" s="2099">
        <f t="shared" ref="I701:I702" si="143">ROUND(F701*H701,6)</f>
        <v>0.36957800000000002</v>
      </c>
      <c r="J701" s="48">
        <f t="shared" si="134"/>
        <v>18</v>
      </c>
      <c r="K701" s="2100">
        <f>IF(C701&lt;&gt;C680,VLOOKUP(C701,$J$2007:$K$2218,2,FALSE),0)</f>
        <v>4176.60601696091</v>
      </c>
      <c r="L701" s="168">
        <f>L900</f>
        <v>2.4</v>
      </c>
      <c r="M701" s="531"/>
      <c r="N701" s="1983"/>
      <c r="O701" s="683"/>
      <c r="R701" s="1984"/>
      <c r="U701" s="1985"/>
      <c r="V701" s="645" t="s">
        <v>46</v>
      </c>
      <c r="W701" s="230"/>
      <c r="X701" s="233"/>
      <c r="Y701" s="210"/>
      <c r="Z701" s="210"/>
      <c r="AA701" s="210"/>
      <c r="AB701" s="959"/>
      <c r="AC701" s="210"/>
      <c r="AD701" s="210"/>
      <c r="AE701" s="210"/>
      <c r="AF701" s="253"/>
      <c r="AG701" s="253">
        <f>IF(F701&lt;&gt;"",F701,"")</f>
        <v>390.09</v>
      </c>
      <c r="AH701" s="683"/>
      <c r="DF701" s="1986" t="str">
        <f t="shared" ref="DF701:DF702" si="144">E701</f>
        <v>ASHP-SEER17-Replace_CAC_ElectricHeat_ROF_MF</v>
      </c>
      <c r="DG701" s="1019">
        <f>(DI701+DI702)/(DJ701+DJ702)</f>
        <v>1.3074314874355537</v>
      </c>
      <c r="DH701" s="198" t="str">
        <f t="shared" ref="DH701:DH702" si="145">CONCATENATE(G701," ",J701," Year EUL")</f>
        <v>Cooling Res 18 Year EUL</v>
      </c>
      <c r="DI701" s="1020">
        <f>(INDEX('Avoided Cost Benefits'!$B$4:$B$866,MATCH(DH701,'Avoided Cost Benefits'!$A$4:$A$866,0)))*F701</f>
        <v>893.21595006087614</v>
      </c>
      <c r="DJ701" s="2051">
        <f t="shared" ref="DJ701:DJ702" si="146">IFERROR(K701/((1+DiscountRate)^(CurrentYear-DiscountYear)),0)</f>
        <v>4176.60601696091</v>
      </c>
      <c r="DM701" s="1987"/>
    </row>
    <row r="702" spans="1:117" s="39" customFormat="1" x14ac:dyDescent="0.25">
      <c r="A702" s="2143" t="s">
        <v>602</v>
      </c>
      <c r="B702" s="37">
        <f t="shared" si="142"/>
        <v>353105</v>
      </c>
      <c r="C702" s="650" t="s">
        <v>1161</v>
      </c>
      <c r="D702" s="1994" t="s">
        <v>810</v>
      </c>
      <c r="E702" s="2108" t="s">
        <v>1162</v>
      </c>
      <c r="F702" s="885">
        <f>ROUND(((K900*K1003*(1/K1106-1/K1209)*K1724)/1000)*$K$1800,2)</f>
        <v>7536.05</v>
      </c>
      <c r="G702" s="2097" t="s">
        <v>1031</v>
      </c>
      <c r="H702" s="2098">
        <f>VLOOKUP(G702,'CP FACTORS'!$A$3:$B$38, 2, FALSE)</f>
        <v>0</v>
      </c>
      <c r="I702" s="2099">
        <f t="shared" si="143"/>
        <v>0</v>
      </c>
      <c r="J702" s="48">
        <f t="shared" si="134"/>
        <v>18</v>
      </c>
      <c r="K702" s="2100">
        <f>IF(C702&lt;&gt;C701,VLOOKUP(C702,$J$2007:$K$2218,2,FALSE),0)</f>
        <v>0</v>
      </c>
      <c r="L702" s="168"/>
      <c r="M702" s="531"/>
      <c r="N702" s="1983"/>
      <c r="O702" s="683"/>
      <c r="R702" s="1984"/>
      <c r="U702" s="1985"/>
      <c r="V702" s="645" t="s">
        <v>46</v>
      </c>
      <c r="W702" s="230"/>
      <c r="X702" s="233"/>
      <c r="Y702" s="210"/>
      <c r="Z702" s="210"/>
      <c r="AA702" s="210"/>
      <c r="AB702" s="959"/>
      <c r="AC702" s="210"/>
      <c r="AD702" s="210"/>
      <c r="AE702" s="210"/>
      <c r="AF702" s="253"/>
      <c r="AG702" s="253">
        <f>IF(F702&lt;&gt;"",F702,"")</f>
        <v>7536.05</v>
      </c>
      <c r="AH702" s="683"/>
      <c r="AK702" s="1988"/>
      <c r="DF702" s="1986" t="str">
        <f t="shared" si="144"/>
        <v>ASHP-SEER17-Replace_CAC_ElectricHeat_ROF_MF</v>
      </c>
      <c r="DG702" s="1021"/>
      <c r="DH702" s="235" t="str">
        <f t="shared" si="145"/>
        <v>Heating Res 18 Year EUL</v>
      </c>
      <c r="DI702" s="1020">
        <f>(INDEX('Avoided Cost Benefits'!$B$4:$B$866,MATCH(DH702,'Avoided Cost Benefits'!$A$4:$A$866,0)))*F702</f>
        <v>4567.4102671266101</v>
      </c>
      <c r="DJ702" s="2051">
        <f t="shared" si="146"/>
        <v>0</v>
      </c>
      <c r="DM702" s="1987"/>
    </row>
    <row r="703" spans="1:117" x14ac:dyDescent="0.25">
      <c r="A703" s="2146" t="s">
        <v>861</v>
      </c>
      <c r="B703" s="1318">
        <f t="shared" si="137"/>
        <v>353110</v>
      </c>
      <c r="C703" s="18" t="s">
        <v>1163</v>
      </c>
      <c r="D703" s="1994" t="s">
        <v>863</v>
      </c>
      <c r="E703" s="2105" t="s">
        <v>1164</v>
      </c>
      <c r="F703" s="977">
        <f>ROUND(((K1313*K1416*(1/K1519-1/K1622)*K1725)/1000)*$K$1800,2)</f>
        <v>510.45</v>
      </c>
      <c r="G703" s="36" t="s">
        <v>1030</v>
      </c>
      <c r="H703" s="130">
        <f>VLOOKUP(G703,'CP FACTORS'!$A$3:$B$38, 2, FALSE)</f>
        <v>9.4741810000000004E-4</v>
      </c>
      <c r="I703" s="1146">
        <f t="shared" si="140"/>
        <v>0.48360999999999998</v>
      </c>
      <c r="J703" s="44">
        <f t="shared" si="134"/>
        <v>18</v>
      </c>
      <c r="K703" s="360">
        <f>IF(C703&lt;&gt;C700,VLOOKUP(C703,$J$2007:$K$2218,2,FALSE),0)</f>
        <v>196.21825901070565</v>
      </c>
      <c r="L703" s="404">
        <f>L901</f>
        <v>3.2119969039215692</v>
      </c>
      <c r="M703" s="531"/>
      <c r="N703" s="542"/>
      <c r="O703" s="398"/>
      <c r="R703" s="510"/>
      <c r="T703" s="50"/>
      <c r="U703" s="544"/>
      <c r="V703" s="1307" t="s">
        <v>46</v>
      </c>
      <c r="W703" s="903"/>
      <c r="X703" s="233"/>
      <c r="Y703" s="210"/>
      <c r="Z703" s="208"/>
      <c r="AA703" s="208"/>
      <c r="AB703" s="959"/>
      <c r="AC703" s="210"/>
      <c r="AD703" s="210">
        <v>605.63</v>
      </c>
      <c r="AE703" s="210">
        <v>424.08</v>
      </c>
      <c r="AF703" s="253">
        <v>510.45</v>
      </c>
      <c r="AG703" s="253">
        <f t="shared" si="121"/>
        <v>510.45</v>
      </c>
      <c r="AH703" s="114"/>
      <c r="AK703" s="904"/>
      <c r="DF703" s="1434" t="str">
        <f t="shared" si="138"/>
        <v>ASHP-SEER17-Replace_CAC_NonElectricHeat_ROF_SF</v>
      </c>
      <c r="DG703" s="1019">
        <f>(DI703+DI704)/(DJ703+DJ704)</f>
        <v>5.956696082793556</v>
      </c>
      <c r="DH703" s="198" t="str">
        <f>CONCATENATE(G703," ",J703," Year EUL")</f>
        <v>Cooling Res 18 Year EUL</v>
      </c>
      <c r="DI703" s="1020">
        <f>(INDEX('Avoided Cost Benefits'!$B$4:$B$866,MATCH(DH703,'Avoided Cost Benefits'!$A$4:$A$866,0)))*F703</f>
        <v>1168.8125348216417</v>
      </c>
      <c r="DJ703" s="2051">
        <f t="shared" si="139"/>
        <v>196.21825901070565</v>
      </c>
      <c r="DM703" s="234"/>
    </row>
    <row r="704" spans="1:117" x14ac:dyDescent="0.25">
      <c r="A704" s="2146" t="s">
        <v>861</v>
      </c>
      <c r="B704" s="1318">
        <f t="shared" si="137"/>
        <v>353110</v>
      </c>
      <c r="C704" s="18" t="s">
        <v>1163</v>
      </c>
      <c r="D704" s="1974" t="s">
        <v>863</v>
      </c>
      <c r="E704" s="235" t="s">
        <v>1164</v>
      </c>
      <c r="F704" s="208">
        <f>0</f>
        <v>0</v>
      </c>
      <c r="G704" s="540" t="s">
        <v>1031</v>
      </c>
      <c r="H704" s="66">
        <f>VLOOKUP(G704,'CP FACTORS'!$A$3:$B$38, 2, FALSE)</f>
        <v>0</v>
      </c>
      <c r="I704" s="1070">
        <f t="shared" si="140"/>
        <v>0</v>
      </c>
      <c r="J704" s="57">
        <f t="shared" si="134"/>
        <v>18</v>
      </c>
      <c r="K704" s="152">
        <f t="shared" ref="K704:K720" si="147">IF(C704&lt;&gt;C703,VLOOKUP(C704,$J$2007:$K$2218,2,FALSE),0)</f>
        <v>0</v>
      </c>
      <c r="L704" s="167"/>
      <c r="M704" s="531"/>
      <c r="N704" s="542"/>
      <c r="O704" s="398"/>
      <c r="R704" s="510"/>
      <c r="T704" s="50"/>
      <c r="U704" s="544"/>
      <c r="V704" s="1307" t="s">
        <v>46</v>
      </c>
      <c r="W704" s="903"/>
      <c r="X704" s="233"/>
      <c r="Y704" s="210"/>
      <c r="Z704" s="208"/>
      <c r="AA704" s="208"/>
      <c r="AB704" s="959"/>
      <c r="AC704" s="210"/>
      <c r="AD704" s="210">
        <v>0</v>
      </c>
      <c r="AE704" s="208">
        <v>0</v>
      </c>
      <c r="AF704" s="253">
        <v>0</v>
      </c>
      <c r="AG704" s="253">
        <f t="shared" si="121"/>
        <v>0</v>
      </c>
      <c r="AH704" s="114"/>
      <c r="AK704" s="904"/>
      <c r="DF704" s="1434" t="str">
        <f t="shared" si="138"/>
        <v>ASHP-SEER17-Replace_CAC_NonElectricHeat_ROF_SF</v>
      </c>
      <c r="DG704" s="1021"/>
      <c r="DH704" s="235" t="str">
        <f>CONCATENATE(G704," ",J704," Year EUL")</f>
        <v>Heating Res 18 Year EUL</v>
      </c>
      <c r="DI704" s="1020">
        <f>(INDEX('Avoided Cost Benefits'!$B$4:$B$866,MATCH(DH704,'Avoided Cost Benefits'!$A$4:$A$866,0)))*F704</f>
        <v>0</v>
      </c>
      <c r="DJ704" s="2051">
        <f t="shared" si="139"/>
        <v>0</v>
      </c>
      <c r="DM704" s="234"/>
    </row>
    <row r="705" spans="1:117" x14ac:dyDescent="0.25">
      <c r="A705" s="2146" t="s">
        <v>607</v>
      </c>
      <c r="B705" s="1318">
        <f t="shared" si="137"/>
        <v>353200</v>
      </c>
      <c r="C705" s="18" t="s">
        <v>1165</v>
      </c>
      <c r="D705" s="1974" t="s">
        <v>863</v>
      </c>
      <c r="E705" s="198" t="s">
        <v>1166</v>
      </c>
      <c r="F705" s="208">
        <f>ROUND(((K1314*K1417*(1/K1520-1/K1623)*K1726)/1000)*$K$1800,2)</f>
        <v>700.49</v>
      </c>
      <c r="G705" s="540" t="s">
        <v>1030</v>
      </c>
      <c r="H705" s="66">
        <f>VLOOKUP(G705,'CP FACTORS'!$A$3:$B$38, 2, FALSE)</f>
        <v>9.4741810000000004E-4</v>
      </c>
      <c r="I705" s="1070">
        <f t="shared" si="140"/>
        <v>0.66365700000000005</v>
      </c>
      <c r="J705" s="57">
        <f t="shared" si="134"/>
        <v>18</v>
      </c>
      <c r="K705" s="152">
        <f t="shared" si="147"/>
        <v>4172.2222220000003</v>
      </c>
      <c r="L705" s="167">
        <f>L902</f>
        <v>3.0020370366666667</v>
      </c>
      <c r="M705" s="531"/>
      <c r="N705" s="542"/>
      <c r="O705" s="398"/>
      <c r="R705" s="510"/>
      <c r="T705" s="50"/>
      <c r="U705" s="544"/>
      <c r="V705" s="1307" t="s">
        <v>46</v>
      </c>
      <c r="W705" s="903">
        <v>2671.7490196078434</v>
      </c>
      <c r="X705" s="233">
        <v>1883.0767507002802</v>
      </c>
      <c r="Y705" s="210">
        <v>623.9</v>
      </c>
      <c r="Z705" s="208">
        <v>623.9</v>
      </c>
      <c r="AA705" s="208">
        <v>623.9</v>
      </c>
      <c r="AB705" s="959">
        <v>759.94</v>
      </c>
      <c r="AC705" s="210">
        <v>651.29999999999995</v>
      </c>
      <c r="AD705" s="210">
        <v>707.23</v>
      </c>
      <c r="AE705" s="210">
        <v>496.2</v>
      </c>
      <c r="AF705" s="253">
        <v>700.49</v>
      </c>
      <c r="AG705" s="253">
        <f t="shared" si="121"/>
        <v>700.49</v>
      </c>
      <c r="AH705" s="114"/>
      <c r="AK705" s="904"/>
      <c r="DF705" s="1434" t="str">
        <f t="shared" si="138"/>
        <v>ASHP-SEER18-Replace_CAC_ElectricHeat_ROF_SF</v>
      </c>
      <c r="DG705" s="1019">
        <f>(DI705+DI706)/(DJ705+DJ706)</f>
        <v>1.7592146081223683</v>
      </c>
      <c r="DH705" s="198" t="str">
        <f t="shared" si="141"/>
        <v>Cooling Res 18 Year EUL</v>
      </c>
      <c r="DI705" s="1020">
        <f>(INDEX('Avoided Cost Benefits'!$B$4:$B$866,MATCH(DH705,'Avoided Cost Benefits'!$A$4:$A$866,0)))*F705</f>
        <v>1603.9602165093779</v>
      </c>
      <c r="DJ705" s="2051">
        <f t="shared" si="139"/>
        <v>4172.2222220000003</v>
      </c>
      <c r="DM705" s="234"/>
    </row>
    <row r="706" spans="1:117" x14ac:dyDescent="0.25">
      <c r="A706" s="2146" t="s">
        <v>607</v>
      </c>
      <c r="B706" s="1318">
        <f t="shared" si="137"/>
        <v>353200</v>
      </c>
      <c r="C706" s="18" t="s">
        <v>1165</v>
      </c>
      <c r="D706" s="1974" t="s">
        <v>863</v>
      </c>
      <c r="E706" s="235" t="s">
        <v>1166</v>
      </c>
      <c r="F706" s="208">
        <f>ROUND(((K902*K1005*(1/K1108-1/K1211)*K1726)/1000)*$K$1800,2)</f>
        <v>9463.9699999999993</v>
      </c>
      <c r="G706" s="540" t="s">
        <v>1031</v>
      </c>
      <c r="H706" s="66">
        <f>VLOOKUP(G706,'CP FACTORS'!$A$3:$B$38, 2, FALSE)</f>
        <v>0</v>
      </c>
      <c r="I706" s="1070">
        <f t="shared" si="140"/>
        <v>0</v>
      </c>
      <c r="J706" s="57">
        <f t="shared" si="134"/>
        <v>18</v>
      </c>
      <c r="K706" s="152">
        <f t="shared" si="147"/>
        <v>0</v>
      </c>
      <c r="L706" s="167"/>
      <c r="M706" s="531"/>
      <c r="N706" s="542"/>
      <c r="O706" s="398"/>
      <c r="R706" s="510"/>
      <c r="T706" s="50"/>
      <c r="U706" s="544"/>
      <c r="V706" s="1307" t="s">
        <v>46</v>
      </c>
      <c r="W706" s="903">
        <v>12836.414910662994</v>
      </c>
      <c r="X706" s="233">
        <v>9558.6245427336198</v>
      </c>
      <c r="Y706" s="208">
        <v>9558.6200000000008</v>
      </c>
      <c r="Z706" s="208">
        <v>9558.6200000000008</v>
      </c>
      <c r="AA706" s="208">
        <v>9558.6200000000008</v>
      </c>
      <c r="AB706" s="959">
        <v>10664.41</v>
      </c>
      <c r="AC706" s="210">
        <v>10428.83</v>
      </c>
      <c r="AD706" s="210">
        <v>10917.73</v>
      </c>
      <c r="AE706" s="210">
        <v>10358.219999999999</v>
      </c>
      <c r="AF706" s="253">
        <v>10358.219999999999</v>
      </c>
      <c r="AG706" s="253">
        <f t="shared" si="121"/>
        <v>9463.9699999999993</v>
      </c>
      <c r="AH706" s="114"/>
      <c r="AK706" s="904"/>
      <c r="DF706" s="1434" t="str">
        <f t="shared" si="138"/>
        <v>ASHP-SEER18-Replace_CAC_ElectricHeat_ROF_SF</v>
      </c>
      <c r="DG706" s="1021"/>
      <c r="DH706" s="235" t="str">
        <f t="shared" si="141"/>
        <v>Heating Res 18 Year EUL</v>
      </c>
      <c r="DI706" s="1020">
        <f>(INDEX('Avoided Cost Benefits'!$B$4:$B$866,MATCH(DH706,'Avoided Cost Benefits'!$A$4:$A$866,0)))*F706</f>
        <v>5735.8740647657887</v>
      </c>
      <c r="DJ706" s="2051">
        <f t="shared" si="139"/>
        <v>0</v>
      </c>
      <c r="DM706" s="234"/>
    </row>
    <row r="707" spans="1:117" x14ac:dyDescent="0.25">
      <c r="A707" s="2146" t="s">
        <v>861</v>
      </c>
      <c r="B707" s="1318">
        <f t="shared" si="137"/>
        <v>353210</v>
      </c>
      <c r="C707" s="18" t="s">
        <v>1167</v>
      </c>
      <c r="D707" s="1974" t="s">
        <v>863</v>
      </c>
      <c r="E707" s="198" t="s">
        <v>1168</v>
      </c>
      <c r="F707" s="208">
        <f>ROUND(((K1315*K1418*(1/K1521-1/K1624)*K1727)/1000)*$K$1800,2)</f>
        <v>700.49</v>
      </c>
      <c r="G707" s="540" t="s">
        <v>1030</v>
      </c>
      <c r="H707" s="66">
        <f>VLOOKUP(G707,'CP FACTORS'!$A$3:$B$38, 2, FALSE)</f>
        <v>9.4741810000000004E-4</v>
      </c>
      <c r="I707" s="1070">
        <f t="shared" si="140"/>
        <v>0.66365700000000005</v>
      </c>
      <c r="J707" s="57">
        <f t="shared" si="134"/>
        <v>18</v>
      </c>
      <c r="K707" s="152">
        <f t="shared" si="147"/>
        <v>287.53125540252807</v>
      </c>
      <c r="L707" s="167">
        <f>L903</f>
        <v>3.0020370366666667</v>
      </c>
      <c r="M707" s="531"/>
      <c r="N707" s="542"/>
      <c r="O707" s="398"/>
      <c r="R707" s="510"/>
      <c r="T707" s="50"/>
      <c r="U707" s="544"/>
      <c r="V707" s="1307" t="s">
        <v>46</v>
      </c>
      <c r="W707" s="903"/>
      <c r="X707" s="233"/>
      <c r="Y707" s="210"/>
      <c r="Z707" s="208"/>
      <c r="AA707" s="208"/>
      <c r="AB707" s="959"/>
      <c r="AC707" s="210"/>
      <c r="AD707" s="210">
        <v>707.23</v>
      </c>
      <c r="AE707" s="210">
        <v>496.2</v>
      </c>
      <c r="AF707" s="253">
        <v>700.49</v>
      </c>
      <c r="AG707" s="253">
        <f t="shared" si="121"/>
        <v>700.49</v>
      </c>
      <c r="AH707" s="114"/>
      <c r="AK707" s="904"/>
      <c r="DF707" s="1434" t="str">
        <f t="shared" si="138"/>
        <v>ASHP-SEER18-Replace_CAC_NonElectricHeat_ROF_SF</v>
      </c>
      <c r="DG707" s="1019">
        <f>(DI707+DI708)/(DJ707+DJ708)</f>
        <v>5.5783856063366786</v>
      </c>
      <c r="DH707" s="198" t="str">
        <f>CONCATENATE(G707," ",J707," Year EUL")</f>
        <v>Cooling Res 18 Year EUL</v>
      </c>
      <c r="DI707" s="1020">
        <f>(INDEX('Avoided Cost Benefits'!$B$4:$B$866,MATCH(DH707,'Avoided Cost Benefits'!$A$4:$A$866,0)))*F707</f>
        <v>1603.9602165093779</v>
      </c>
      <c r="DJ707" s="2051">
        <f t="shared" si="139"/>
        <v>287.53125540252807</v>
      </c>
      <c r="DM707" s="234"/>
    </row>
    <row r="708" spans="1:117" x14ac:dyDescent="0.25">
      <c r="A708" s="2146" t="s">
        <v>861</v>
      </c>
      <c r="B708" s="1318">
        <f t="shared" si="137"/>
        <v>353210</v>
      </c>
      <c r="C708" s="18" t="s">
        <v>1167</v>
      </c>
      <c r="D708" s="1974" t="s">
        <v>863</v>
      </c>
      <c r="E708" s="235" t="s">
        <v>1168</v>
      </c>
      <c r="F708" s="208">
        <f>0</f>
        <v>0</v>
      </c>
      <c r="G708" s="540" t="s">
        <v>1031</v>
      </c>
      <c r="H708" s="66">
        <f>VLOOKUP(G708,'CP FACTORS'!$A$3:$B$38, 2, FALSE)</f>
        <v>0</v>
      </c>
      <c r="I708" s="1070">
        <f t="shared" si="140"/>
        <v>0</v>
      </c>
      <c r="J708" s="57">
        <f t="shared" si="134"/>
        <v>18</v>
      </c>
      <c r="K708" s="152">
        <f t="shared" si="147"/>
        <v>0</v>
      </c>
      <c r="L708" s="167"/>
      <c r="M708" s="531"/>
      <c r="N708" s="542"/>
      <c r="O708" s="398"/>
      <c r="R708" s="510"/>
      <c r="T708" s="50"/>
      <c r="U708" s="544"/>
      <c r="V708" s="1307" t="s">
        <v>46</v>
      </c>
      <c r="W708" s="903"/>
      <c r="X708" s="233"/>
      <c r="Y708" s="210"/>
      <c r="Z708" s="208"/>
      <c r="AA708" s="208"/>
      <c r="AB708" s="959"/>
      <c r="AC708" s="210"/>
      <c r="AD708" s="210">
        <v>0</v>
      </c>
      <c r="AE708" s="210">
        <v>0</v>
      </c>
      <c r="AF708" s="253">
        <v>0</v>
      </c>
      <c r="AG708" s="253">
        <f t="shared" si="121"/>
        <v>0</v>
      </c>
      <c r="AH708" s="114"/>
      <c r="AK708" s="904"/>
      <c r="DF708" s="1434" t="str">
        <f t="shared" si="138"/>
        <v>ASHP-SEER18-Replace_CAC_NonElectricHeat_ROF_SF</v>
      </c>
      <c r="DG708" s="1021"/>
      <c r="DH708" s="235" t="str">
        <f>CONCATENATE(G708," ",J708," Year EUL")</f>
        <v>Heating Res 18 Year EUL</v>
      </c>
      <c r="DI708" s="1020">
        <f>(INDEX('Avoided Cost Benefits'!$B$4:$B$866,MATCH(DH708,'Avoided Cost Benefits'!$A$4:$A$866,0)))*F708</f>
        <v>0</v>
      </c>
      <c r="DJ708" s="2051">
        <f t="shared" si="139"/>
        <v>0</v>
      </c>
      <c r="DM708" s="234"/>
    </row>
    <row r="709" spans="1:117" x14ac:dyDescent="0.25">
      <c r="A709" s="2146" t="s">
        <v>607</v>
      </c>
      <c r="B709" s="1318">
        <f t="shared" ref="B709:B746" si="148">VALUE(LEFT(C709,6))</f>
        <v>353300</v>
      </c>
      <c r="C709" s="18" t="s">
        <v>1169</v>
      </c>
      <c r="D709" s="1974" t="s">
        <v>863</v>
      </c>
      <c r="E709" s="198" t="s">
        <v>1170</v>
      </c>
      <c r="F709" s="208">
        <f>ROUND(((K1316*K1419*(1/K1522-1/K1625)*K1728)/1000)*$K$1800,2)</f>
        <v>838.11</v>
      </c>
      <c r="G709" s="540" t="s">
        <v>1030</v>
      </c>
      <c r="H709" s="66">
        <f>VLOOKUP(G709,'CP FACTORS'!$A$3:$B$38, 2, FALSE)</f>
        <v>9.4741810000000004E-4</v>
      </c>
      <c r="I709" s="1070">
        <f t="shared" si="140"/>
        <v>0.794041</v>
      </c>
      <c r="J709" s="57">
        <f t="shared" si="134"/>
        <v>18</v>
      </c>
      <c r="K709" s="152">
        <f t="shared" si="147"/>
        <v>4392.2197803846157</v>
      </c>
      <c r="L709" s="167">
        <f>L904</f>
        <v>2.9920329673076922</v>
      </c>
      <c r="M709" s="531"/>
      <c r="N709" s="542"/>
      <c r="O709" s="398"/>
      <c r="R709" s="510"/>
      <c r="T709" s="50"/>
      <c r="U709" s="544"/>
      <c r="V709" s="1307" t="s">
        <v>46</v>
      </c>
      <c r="W709" s="903">
        <v>2757.1244582043346</v>
      </c>
      <c r="X709" s="233">
        <v>1968.4521892967714</v>
      </c>
      <c r="Y709" s="210">
        <v>709.27</v>
      </c>
      <c r="Z709" s="208">
        <v>709.27</v>
      </c>
      <c r="AA709" s="208">
        <v>709.27</v>
      </c>
      <c r="AB709" s="960">
        <v>709.27</v>
      </c>
      <c r="AC709" s="210">
        <v>1013.25</v>
      </c>
      <c r="AD709" s="210">
        <v>895.2</v>
      </c>
      <c r="AE709" s="210">
        <v>699.07</v>
      </c>
      <c r="AF709" s="253">
        <v>838.11</v>
      </c>
      <c r="AG709" s="253">
        <f t="shared" si="121"/>
        <v>838.11</v>
      </c>
      <c r="AH709" s="114"/>
      <c r="AK709" s="904"/>
      <c r="DF709" s="1434" t="str">
        <f t="shared" ref="DF709:DF746" si="149">E709</f>
        <v>ASHP-SEER19-Replace_CAC_ElectricHeat_ROF_SF</v>
      </c>
      <c r="DG709" s="1019">
        <f>(DI709+DI710)/(DJ709+DJ710)</f>
        <v>1.7516265863807532</v>
      </c>
      <c r="DH709" s="198" t="str">
        <f t="shared" si="141"/>
        <v>Cooling Res 18 Year EUL</v>
      </c>
      <c r="DI709" s="1020">
        <f>(INDEX('Avoided Cost Benefits'!$B$4:$B$866,MATCH(DH709,'Avoided Cost Benefits'!$A$4:$A$866,0)))*F709</f>
        <v>1919.0782124779435</v>
      </c>
      <c r="DJ709" s="2051">
        <f t="shared" ref="DJ709:DJ746" si="150">IFERROR(K709/((1+DiscountRate)^(CurrentYear-DiscountYear)),0)</f>
        <v>4392.2197803846157</v>
      </c>
      <c r="DM709" s="234"/>
    </row>
    <row r="710" spans="1:117" x14ac:dyDescent="0.25">
      <c r="A710" s="2146" t="s">
        <v>607</v>
      </c>
      <c r="B710" s="1318">
        <f t="shared" si="148"/>
        <v>353300</v>
      </c>
      <c r="C710" s="18" t="s">
        <v>1169</v>
      </c>
      <c r="D710" s="1974" t="s">
        <v>863</v>
      </c>
      <c r="E710" s="235" t="s">
        <v>1170</v>
      </c>
      <c r="F710" s="208">
        <f>ROUND(((K904*K1007*(1/K1110-1/K1213)*K1728)/1000)*$K$1800,2)</f>
        <v>9527.6200000000008</v>
      </c>
      <c r="G710" s="540" t="s">
        <v>1031</v>
      </c>
      <c r="H710" s="66">
        <f>VLOOKUP(G710,'CP FACTORS'!$A$3:$B$38, 2, FALSE)</f>
        <v>0</v>
      </c>
      <c r="I710" s="1070">
        <f t="shared" si="140"/>
        <v>0</v>
      </c>
      <c r="J710" s="57">
        <f t="shared" si="134"/>
        <v>18</v>
      </c>
      <c r="K710" s="152">
        <f t="shared" si="147"/>
        <v>0</v>
      </c>
      <c r="L710" s="167"/>
      <c r="M710" s="531"/>
      <c r="N710" s="542"/>
      <c r="O710" s="398"/>
      <c r="R710" s="510"/>
      <c r="T710" s="50"/>
      <c r="U710" s="544"/>
      <c r="V710" s="1307" t="s">
        <v>46</v>
      </c>
      <c r="W710" s="903">
        <v>12836.414910662994</v>
      </c>
      <c r="X710" s="233">
        <v>9558.6245427336198</v>
      </c>
      <c r="Y710" s="208">
        <v>9558.6200000000008</v>
      </c>
      <c r="Z710" s="208">
        <v>9558.6200000000008</v>
      </c>
      <c r="AA710" s="208">
        <v>9558.6200000000008</v>
      </c>
      <c r="AB710" s="960">
        <v>9558.6200000000008</v>
      </c>
      <c r="AC710" s="210">
        <v>14530.06</v>
      </c>
      <c r="AD710" s="210">
        <v>10441.58</v>
      </c>
      <c r="AE710" s="208">
        <v>10441.58</v>
      </c>
      <c r="AF710" s="253">
        <v>10441.58</v>
      </c>
      <c r="AG710" s="253">
        <f t="shared" si="121"/>
        <v>9527.6200000000008</v>
      </c>
      <c r="AH710" s="114"/>
      <c r="AK710" s="904"/>
      <c r="DF710" s="1434" t="str">
        <f t="shared" si="149"/>
        <v>ASHP-SEER19-Replace_CAC_ElectricHeat_ROF_SF</v>
      </c>
      <c r="DG710" s="1021"/>
      <c r="DH710" s="235" t="str">
        <f t="shared" si="141"/>
        <v>Heating Res 18 Year EUL</v>
      </c>
      <c r="DI710" s="1020">
        <f>(INDEX('Avoided Cost Benefits'!$B$4:$B$866,MATCH(DH710,'Avoided Cost Benefits'!$A$4:$A$866,0)))*F710</f>
        <v>5774.4507280711823</v>
      </c>
      <c r="DJ710" s="2051">
        <f t="shared" si="150"/>
        <v>0</v>
      </c>
      <c r="DM710" s="234"/>
    </row>
    <row r="711" spans="1:117" x14ac:dyDescent="0.25">
      <c r="A711" s="2146" t="s">
        <v>861</v>
      </c>
      <c r="B711" s="1318">
        <f t="shared" si="148"/>
        <v>353310</v>
      </c>
      <c r="C711" s="18" t="s">
        <v>1171</v>
      </c>
      <c r="D711" s="1974" t="s">
        <v>863</v>
      </c>
      <c r="E711" s="198" t="s">
        <v>1172</v>
      </c>
      <c r="F711" s="208">
        <f>ROUND(((K1317*K1420*(1/K1523-1/K1626)*K1729)/1000)*$K$1800,2)</f>
        <v>838.11</v>
      </c>
      <c r="G711" s="540" t="s">
        <v>1030</v>
      </c>
      <c r="H711" s="66">
        <f>VLOOKUP(G711,'CP FACTORS'!$A$3:$B$38, 2, FALSE)</f>
        <v>9.4741810000000004E-4</v>
      </c>
      <c r="I711" s="1070">
        <f t="shared" si="140"/>
        <v>0.794041</v>
      </c>
      <c r="J711" s="57">
        <f t="shared" si="134"/>
        <v>18</v>
      </c>
      <c r="K711" s="152">
        <f t="shared" si="147"/>
        <v>355.12822735476902</v>
      </c>
      <c r="L711" s="167">
        <f>L905</f>
        <v>2.9920329673076922</v>
      </c>
      <c r="M711" s="531"/>
      <c r="N711" s="542"/>
      <c r="O711" s="398"/>
      <c r="R711" s="510"/>
      <c r="T711" s="50"/>
      <c r="U711" s="544"/>
      <c r="V711" s="1307" t="s">
        <v>46</v>
      </c>
      <c r="W711" s="903"/>
      <c r="X711" s="233"/>
      <c r="Y711" s="210"/>
      <c r="Z711" s="208"/>
      <c r="AA711" s="208"/>
      <c r="AB711" s="959"/>
      <c r="AC711" s="210"/>
      <c r="AD711" s="210">
        <v>895.2</v>
      </c>
      <c r="AE711" s="210">
        <v>699.07</v>
      </c>
      <c r="AF711" s="253">
        <v>838.11</v>
      </c>
      <c r="AG711" s="253">
        <f t="shared" si="121"/>
        <v>838.11</v>
      </c>
      <c r="AH711" s="114"/>
      <c r="AK711" s="904"/>
      <c r="DF711" s="1434" t="str">
        <f t="shared" si="149"/>
        <v>ASHP-SEER19-Replace_CAC_NonElectricHeat_ROF_SF</v>
      </c>
      <c r="DG711" s="1019">
        <f>(DI711+DI712)/(DJ711+DJ712)</f>
        <v>5.403902209555441</v>
      </c>
      <c r="DH711" s="198" t="str">
        <f>CONCATENATE(G711," ",J711," Year EUL")</f>
        <v>Cooling Res 18 Year EUL</v>
      </c>
      <c r="DI711" s="1020">
        <f>(INDEX('Avoided Cost Benefits'!$B$4:$B$866,MATCH(DH711,'Avoided Cost Benefits'!$A$4:$A$866,0)))*F711</f>
        <v>1919.0782124779435</v>
      </c>
      <c r="DJ711" s="2051">
        <f t="shared" si="150"/>
        <v>355.12822735476902</v>
      </c>
      <c r="DM711" s="234"/>
    </row>
    <row r="712" spans="1:117" x14ac:dyDescent="0.25">
      <c r="A712" s="2146" t="s">
        <v>861</v>
      </c>
      <c r="B712" s="1318">
        <f t="shared" si="148"/>
        <v>353310</v>
      </c>
      <c r="C712" s="18" t="s">
        <v>1171</v>
      </c>
      <c r="D712" s="1974" t="s">
        <v>863</v>
      </c>
      <c r="E712" s="235" t="s">
        <v>1172</v>
      </c>
      <c r="F712" s="208">
        <f>0</f>
        <v>0</v>
      </c>
      <c r="G712" s="540" t="s">
        <v>1031</v>
      </c>
      <c r="H712" s="66">
        <f>VLOOKUP(G712,'CP FACTORS'!$A$3:$B$38, 2, FALSE)</f>
        <v>0</v>
      </c>
      <c r="I712" s="1070">
        <f t="shared" si="140"/>
        <v>0</v>
      </c>
      <c r="J712" s="57">
        <f t="shared" si="134"/>
        <v>18</v>
      </c>
      <c r="K712" s="152">
        <f t="shared" si="147"/>
        <v>0</v>
      </c>
      <c r="L712" s="167"/>
      <c r="M712" s="531"/>
      <c r="N712" s="542"/>
      <c r="O712" s="398"/>
      <c r="R712" s="510"/>
      <c r="T712" s="50"/>
      <c r="U712" s="544"/>
      <c r="V712" s="1307" t="s">
        <v>46</v>
      </c>
      <c r="W712" s="903"/>
      <c r="X712" s="233"/>
      <c r="Y712" s="210"/>
      <c r="Z712" s="208"/>
      <c r="AA712" s="208"/>
      <c r="AB712" s="959"/>
      <c r="AC712" s="210"/>
      <c r="AD712" s="210">
        <v>0</v>
      </c>
      <c r="AE712" s="208">
        <v>0</v>
      </c>
      <c r="AF712" s="253">
        <v>0</v>
      </c>
      <c r="AG712" s="253">
        <f t="shared" si="121"/>
        <v>0</v>
      </c>
      <c r="AH712" s="114"/>
      <c r="AK712" s="904"/>
      <c r="DF712" s="1434" t="str">
        <f t="shared" si="149"/>
        <v>ASHP-SEER19-Replace_CAC_NonElectricHeat_ROF_SF</v>
      </c>
      <c r="DG712" s="1021"/>
      <c r="DH712" s="235" t="str">
        <f>CONCATENATE(G712," ",J712," Year EUL")</f>
        <v>Heating Res 18 Year EUL</v>
      </c>
      <c r="DI712" s="1020">
        <f>(INDEX('Avoided Cost Benefits'!$B$4:$B$866,MATCH(DH712,'Avoided Cost Benefits'!$A$4:$A$866,0)))*F712</f>
        <v>0</v>
      </c>
      <c r="DJ712" s="2051">
        <f t="shared" si="150"/>
        <v>0</v>
      </c>
      <c r="DM712" s="234"/>
    </row>
    <row r="713" spans="1:117" x14ac:dyDescent="0.25">
      <c r="A713" s="2146" t="s">
        <v>607</v>
      </c>
      <c r="B713" s="1318">
        <f t="shared" si="148"/>
        <v>353400</v>
      </c>
      <c r="C713" s="18" t="s">
        <v>1173</v>
      </c>
      <c r="D713" s="1974" t="s">
        <v>863</v>
      </c>
      <c r="E713" s="1240" t="s">
        <v>1174</v>
      </c>
      <c r="F713" s="208">
        <f>ROUND(((K1318*K1421*(1/K1524-1/K1627)*K1730)/1000)*$K$1800,2)</f>
        <v>2257.71</v>
      </c>
      <c r="G713" s="540" t="s">
        <v>1030</v>
      </c>
      <c r="H713" s="66">
        <f>VLOOKUP(G713,'CP FACTORS'!$A$3:$B$38, 2, FALSE)</f>
        <v>9.4741810000000004E-4</v>
      </c>
      <c r="I713" s="1070">
        <f t="shared" si="140"/>
        <v>2.138995</v>
      </c>
      <c r="J713" s="57">
        <f t="shared" si="134"/>
        <v>6</v>
      </c>
      <c r="K713" s="152">
        <f t="shared" si="147"/>
        <v>4188.7510221369221</v>
      </c>
      <c r="L713" s="167">
        <f>L906</f>
        <v>2.5833656509695291</v>
      </c>
      <c r="M713" s="531"/>
      <c r="N713" s="542"/>
      <c r="O713" s="398"/>
      <c r="R713" s="510"/>
      <c r="T713" s="50"/>
      <c r="U713" s="544"/>
      <c r="V713" s="1307" t="s">
        <v>46</v>
      </c>
      <c r="W713" s="903">
        <v>3137.6011764705886</v>
      </c>
      <c r="X713" s="233">
        <v>2264.428307322929</v>
      </c>
      <c r="Y713" s="208">
        <v>2264.4299999999998</v>
      </c>
      <c r="Z713" s="208">
        <v>2264.4299999999998</v>
      </c>
      <c r="AA713" s="208">
        <v>2264.4299999999998</v>
      </c>
      <c r="AB713" s="960">
        <v>2264.4299999999998</v>
      </c>
      <c r="AC713" s="210">
        <v>2197.42</v>
      </c>
      <c r="AD713" s="210">
        <v>2594.98</v>
      </c>
      <c r="AE713" s="210">
        <v>2567.77</v>
      </c>
      <c r="AF713" s="253">
        <v>2257.71</v>
      </c>
      <c r="AG713" s="253">
        <f t="shared" si="121"/>
        <v>2257.71</v>
      </c>
      <c r="AH713" s="114"/>
      <c r="AK713" s="904"/>
      <c r="DF713" s="1434" t="str">
        <f t="shared" si="149"/>
        <v>ASHP-SEER20-Replace_CAC_ElectricHeat_ER1_SF</v>
      </c>
      <c r="DG713" s="1019">
        <f>(DI713+DI714+DI715+DI716)/(DJ713+DJ714+DJ715+DJ716)</f>
        <v>1.9824081080946245</v>
      </c>
      <c r="DH713" s="1240" t="str">
        <f t="shared" si="141"/>
        <v>Cooling Res 6 Year EUL</v>
      </c>
      <c r="DI713" s="1020">
        <f>(INDEX('Avoided Cost Benefits'!$B$4:$B$866,MATCH(DH713,'Avoided Cost Benefits'!$A$4:$A$866,0)))*F713</f>
        <v>2248.3362078095734</v>
      </c>
      <c r="DJ713" s="2051">
        <f t="shared" si="150"/>
        <v>4188.7510221369221</v>
      </c>
      <c r="DM713" s="234"/>
    </row>
    <row r="714" spans="1:117" x14ac:dyDescent="0.25">
      <c r="A714" s="2146" t="s">
        <v>607</v>
      </c>
      <c r="B714" s="1318">
        <f t="shared" si="148"/>
        <v>353400</v>
      </c>
      <c r="C714" s="18" t="s">
        <v>1173</v>
      </c>
      <c r="D714" s="1974" t="s">
        <v>863</v>
      </c>
      <c r="E714" s="1265" t="s">
        <v>1174</v>
      </c>
      <c r="F714" s="208">
        <f>ROUND(((K906*K1009*(1/K1112-1/K1215)*K1730)/1000)*$K$1800,2)</f>
        <v>8371.69</v>
      </c>
      <c r="G714" s="540" t="s">
        <v>1031</v>
      </c>
      <c r="H714" s="66">
        <f>VLOOKUP(G714,'CP FACTORS'!$A$3:$B$38, 2, FALSE)</f>
        <v>0</v>
      </c>
      <c r="I714" s="1070">
        <f t="shared" si="140"/>
        <v>0</v>
      </c>
      <c r="J714" s="57">
        <f t="shared" si="134"/>
        <v>6</v>
      </c>
      <c r="K714" s="152">
        <f t="shared" si="147"/>
        <v>0</v>
      </c>
      <c r="L714" s="167"/>
      <c r="M714" s="531"/>
      <c r="N714" s="542"/>
      <c r="O714" s="398"/>
      <c r="R714" s="510"/>
      <c r="T714" s="50"/>
      <c r="U714" s="544"/>
      <c r="V714" s="1307" t="s">
        <v>46</v>
      </c>
      <c r="W714" s="903">
        <v>13965.852998065762</v>
      </c>
      <c r="X714" s="233">
        <v>10399.659574468084</v>
      </c>
      <c r="Y714" s="208">
        <v>10399.66</v>
      </c>
      <c r="Z714" s="208">
        <v>10399.66</v>
      </c>
      <c r="AA714" s="208">
        <v>10399.66</v>
      </c>
      <c r="AB714" s="960">
        <v>10399.66</v>
      </c>
      <c r="AC714" s="210">
        <v>10941.66</v>
      </c>
      <c r="AD714" s="210">
        <v>9717.92</v>
      </c>
      <c r="AE714" s="210">
        <v>9124.58</v>
      </c>
      <c r="AF714" s="253">
        <v>9124.58</v>
      </c>
      <c r="AG714" s="253">
        <f t="shared" si="121"/>
        <v>8371.69</v>
      </c>
      <c r="AH714" s="114"/>
      <c r="AK714" s="904"/>
      <c r="DF714" s="1434" t="str">
        <f t="shared" si="149"/>
        <v>ASHP-SEER20-Replace_CAC_ElectricHeat_ER1_SF</v>
      </c>
      <c r="DG714" s="1023"/>
      <c r="DH714" s="1265" t="str">
        <f t="shared" si="141"/>
        <v>Heating Res 6 Year EUL</v>
      </c>
      <c r="DI714" s="1020">
        <f>(INDEX('Avoided Cost Benefits'!$B$4:$B$866,MATCH(DH714,'Avoided Cost Benefits'!$A$4:$A$866,0)))*F714</f>
        <v>2245.1098672309545</v>
      </c>
      <c r="DJ714" s="2051">
        <f t="shared" si="150"/>
        <v>0</v>
      </c>
      <c r="DM714" s="234"/>
    </row>
    <row r="715" spans="1:117" x14ac:dyDescent="0.25">
      <c r="A715" s="2146" t="s">
        <v>607</v>
      </c>
      <c r="B715" s="1318">
        <f t="shared" si="148"/>
        <v>353400</v>
      </c>
      <c r="C715" s="18" t="s">
        <v>1173</v>
      </c>
      <c r="D715" s="1974" t="s">
        <v>863</v>
      </c>
      <c r="E715" s="1265" t="s">
        <v>1175</v>
      </c>
      <c r="F715" s="208">
        <f>ROUND(((K1319*K1422*(1/K1525-1/K1628)*K1731)/1000)*$K$1800,2)</f>
        <v>758.63</v>
      </c>
      <c r="G715" s="540" t="s">
        <v>1083</v>
      </c>
      <c r="H715" s="66">
        <f>VLOOKUP(G715,'CP FACTORS'!$A$3:$B$38, 2, FALSE)</f>
        <v>9.4741810000000004E-4</v>
      </c>
      <c r="I715" s="1070">
        <f t="shared" si="140"/>
        <v>0.71874000000000005</v>
      </c>
      <c r="J715" s="57">
        <f t="shared" si="134"/>
        <v>12</v>
      </c>
      <c r="K715" s="152">
        <f t="shared" si="147"/>
        <v>0</v>
      </c>
      <c r="L715" s="167"/>
      <c r="M715" s="531"/>
      <c r="N715" s="542"/>
      <c r="O715" s="398"/>
      <c r="R715" s="510"/>
      <c r="T715" s="50"/>
      <c r="U715" s="544"/>
      <c r="V715" s="1307" t="s">
        <v>46</v>
      </c>
      <c r="W715" s="903">
        <v>870.33692307692309</v>
      </c>
      <c r="X715" s="236">
        <v>870.33692307692309</v>
      </c>
      <c r="Y715" s="208">
        <v>870.34</v>
      </c>
      <c r="Z715" s="208">
        <v>870.34</v>
      </c>
      <c r="AA715" s="208">
        <v>870.34</v>
      </c>
      <c r="AB715" s="960">
        <v>870.34</v>
      </c>
      <c r="AC715" s="210">
        <v>842.26</v>
      </c>
      <c r="AD715" s="210">
        <v>862.58</v>
      </c>
      <c r="AE715" s="210">
        <v>717.86</v>
      </c>
      <c r="AF715" s="253">
        <v>758.63</v>
      </c>
      <c r="AG715" s="253">
        <f t="shared" si="121"/>
        <v>758.63</v>
      </c>
      <c r="AH715" s="114"/>
      <c r="AK715" s="904"/>
      <c r="DF715" s="1434" t="str">
        <f t="shared" si="149"/>
        <v>ASHP-SEER20-Replace_CAC_ElectricHeat_ER2_SF</v>
      </c>
      <c r="DG715" s="1023"/>
      <c r="DH715" s="1265" t="str">
        <f t="shared" si="141"/>
        <v>Cooling Res ER2 12 Year EUL</v>
      </c>
      <c r="DI715" s="1020">
        <f>(INDEX('Avoided Cost Benefits'!$B$4:$B$866,MATCH(DH715,'Avoided Cost Benefits'!$A$4:$A$866,0)))*F715</f>
        <v>981.60713826151823</v>
      </c>
      <c r="DJ715" s="2051">
        <f t="shared" si="150"/>
        <v>0</v>
      </c>
      <c r="DM715" s="234"/>
    </row>
    <row r="716" spans="1:117" x14ac:dyDescent="0.25">
      <c r="A716" s="2146" t="s">
        <v>607</v>
      </c>
      <c r="B716" s="1318">
        <f t="shared" si="148"/>
        <v>353400</v>
      </c>
      <c r="C716" s="18" t="s">
        <v>1173</v>
      </c>
      <c r="D716" s="1974" t="s">
        <v>863</v>
      </c>
      <c r="E716" s="1241" t="s">
        <v>1175</v>
      </c>
      <c r="F716" s="208">
        <f>ROUND(((K907*K1010*(1/K1113-1/K1216)*K1731)/1000)*$K$1800,2)</f>
        <v>8371.69</v>
      </c>
      <c r="G716" s="540" t="s">
        <v>1118</v>
      </c>
      <c r="H716" s="66">
        <f>VLOOKUP(G716,'CP FACTORS'!$A$3:$B$38, 2, FALSE)</f>
        <v>0</v>
      </c>
      <c r="I716" s="1070">
        <f t="shared" si="140"/>
        <v>0</v>
      </c>
      <c r="J716" s="57">
        <f t="shared" si="134"/>
        <v>12</v>
      </c>
      <c r="K716" s="152">
        <f t="shared" si="147"/>
        <v>0</v>
      </c>
      <c r="L716" s="167"/>
      <c r="M716" s="531"/>
      <c r="N716" s="542"/>
      <c r="O716" s="398"/>
      <c r="R716" s="510"/>
      <c r="T716" s="50"/>
      <c r="U716" s="544"/>
      <c r="V716" s="1307" t="s">
        <v>46</v>
      </c>
      <c r="W716" s="903">
        <v>13965.852998065762</v>
      </c>
      <c r="X716" s="233">
        <v>10399.659574468084</v>
      </c>
      <c r="Y716" s="208">
        <v>10399.66</v>
      </c>
      <c r="Z716" s="208">
        <v>10399.66</v>
      </c>
      <c r="AA716" s="208">
        <v>10399.66</v>
      </c>
      <c r="AB716" s="960">
        <v>10399.66</v>
      </c>
      <c r="AC716" s="210">
        <v>10941.66</v>
      </c>
      <c r="AD716" s="210">
        <v>9717.92</v>
      </c>
      <c r="AE716" s="210">
        <v>9124.58</v>
      </c>
      <c r="AF716" s="253">
        <v>9124.58</v>
      </c>
      <c r="AG716" s="253">
        <f t="shared" si="121"/>
        <v>8371.69</v>
      </c>
      <c r="AH716" s="114"/>
      <c r="AK716" s="904"/>
      <c r="DF716" s="1434" t="str">
        <f t="shared" si="149"/>
        <v>ASHP-SEER20-Replace_CAC_ElectricHeat_ER2_SF</v>
      </c>
      <c r="DG716" s="1023"/>
      <c r="DH716" s="1241" t="str">
        <f t="shared" si="141"/>
        <v>Heating Res ER2 12 Year EUL</v>
      </c>
      <c r="DI716" s="1020">
        <f>(INDEX('Avoided Cost Benefits'!$B$4:$B$866,MATCH(DH716,'Avoided Cost Benefits'!$A$4:$A$866,0)))*F716</f>
        <v>2828.7607757718342</v>
      </c>
      <c r="DJ716" s="2051">
        <f t="shared" si="150"/>
        <v>0</v>
      </c>
      <c r="DM716" s="234"/>
    </row>
    <row r="717" spans="1:117" x14ac:dyDescent="0.25">
      <c r="A717" s="2146" t="s">
        <v>861</v>
      </c>
      <c r="B717" s="1318">
        <f t="shared" si="148"/>
        <v>353410</v>
      </c>
      <c r="C717" s="18" t="s">
        <v>1176</v>
      </c>
      <c r="D717" s="1974" t="s">
        <v>863</v>
      </c>
      <c r="E717" s="1265" t="s">
        <v>1177</v>
      </c>
      <c r="F717" s="208">
        <f>ROUND(((K1320*K1423*(1/K1526-1/K1629)*K1732)/1000)*$K$1800,2)</f>
        <v>2257.71</v>
      </c>
      <c r="G717" s="540" t="s">
        <v>1030</v>
      </c>
      <c r="H717" s="66">
        <f>VLOOKUP(G717,'CP FACTORS'!$A$3:$B$38, 2, FALSE)</f>
        <v>9.4741810000000004E-4</v>
      </c>
      <c r="I717" s="1070">
        <f t="shared" si="140"/>
        <v>2.138995</v>
      </c>
      <c r="J717" s="57">
        <f t="shared" si="134"/>
        <v>6</v>
      </c>
      <c r="K717" s="152">
        <f t="shared" si="147"/>
        <v>639.41681653953015</v>
      </c>
      <c r="L717" s="167">
        <f>L908</f>
        <v>2.5833656509695291</v>
      </c>
      <c r="M717" s="531"/>
      <c r="N717" s="542"/>
      <c r="O717" s="398"/>
      <c r="R717" s="510"/>
      <c r="T717" s="50"/>
      <c r="U717" s="544"/>
      <c r="V717" s="1307" t="s">
        <v>46</v>
      </c>
      <c r="W717" s="903"/>
      <c r="X717" s="233"/>
      <c r="Y717" s="208"/>
      <c r="Z717" s="208"/>
      <c r="AA717" s="208"/>
      <c r="AB717" s="960"/>
      <c r="AC717" s="210">
        <v>2197.42</v>
      </c>
      <c r="AD717" s="210">
        <v>2594.98</v>
      </c>
      <c r="AE717" s="210">
        <v>2567.77</v>
      </c>
      <c r="AF717" s="253">
        <v>2257.71</v>
      </c>
      <c r="AG717" s="253">
        <f t="shared" si="121"/>
        <v>2257.71</v>
      </c>
      <c r="AH717" s="114"/>
      <c r="AK717" s="904"/>
      <c r="DF717" s="1434" t="str">
        <f t="shared" si="149"/>
        <v>ASHP-SEER20-Replace_CAC_NonElectricHeat_ER1_SF</v>
      </c>
      <c r="DG717" s="1019">
        <f>(DI717+DI718+DI719+DI720)/(DJ717+DJ718+DJ719+DJ720)</f>
        <v>5.0513894263076669</v>
      </c>
      <c r="DH717" s="1265" t="str">
        <f t="shared" si="141"/>
        <v>Cooling Res 6 Year EUL</v>
      </c>
      <c r="DI717" s="1020">
        <f>(INDEX('Avoided Cost Benefits'!$B$4:$B$866,MATCH(DH717,'Avoided Cost Benefits'!$A$4:$A$866,0)))*F717</f>
        <v>2248.3362078095734</v>
      </c>
      <c r="DJ717" s="2051">
        <f t="shared" si="150"/>
        <v>639.41681653953015</v>
      </c>
      <c r="DM717" s="234"/>
    </row>
    <row r="718" spans="1:117" x14ac:dyDescent="0.25">
      <c r="A718" s="2146" t="s">
        <v>861</v>
      </c>
      <c r="B718" s="1318">
        <f t="shared" si="148"/>
        <v>353410</v>
      </c>
      <c r="C718" s="18" t="s">
        <v>1176</v>
      </c>
      <c r="D718" s="1974" t="s">
        <v>863</v>
      </c>
      <c r="E718" s="1265" t="s">
        <v>1177</v>
      </c>
      <c r="F718" s="208">
        <v>0</v>
      </c>
      <c r="G718" s="540" t="s">
        <v>1031</v>
      </c>
      <c r="H718" s="66">
        <f>VLOOKUP(G718,'CP FACTORS'!$A$3:$B$38, 2, FALSE)</f>
        <v>0</v>
      </c>
      <c r="I718" s="1070">
        <f t="shared" si="140"/>
        <v>0</v>
      </c>
      <c r="J718" s="57">
        <f t="shared" si="134"/>
        <v>6</v>
      </c>
      <c r="K718" s="152">
        <f t="shared" si="147"/>
        <v>0</v>
      </c>
      <c r="L718" s="167"/>
      <c r="M718" s="531"/>
      <c r="N718" s="542"/>
      <c r="O718" s="398"/>
      <c r="R718" s="510"/>
      <c r="T718" s="50"/>
      <c r="U718" s="544"/>
      <c r="V718" s="1307" t="s">
        <v>46</v>
      </c>
      <c r="W718" s="903"/>
      <c r="X718" s="233"/>
      <c r="Y718" s="208"/>
      <c r="Z718" s="208"/>
      <c r="AA718" s="208"/>
      <c r="AB718" s="960"/>
      <c r="AC718" s="210">
        <v>0</v>
      </c>
      <c r="AD718" s="210">
        <v>0</v>
      </c>
      <c r="AE718" s="208">
        <v>0</v>
      </c>
      <c r="AF718" s="253">
        <v>0</v>
      </c>
      <c r="AG718" s="253">
        <f t="shared" si="121"/>
        <v>0</v>
      </c>
      <c r="AH718" s="114"/>
      <c r="AK718" s="904"/>
      <c r="DF718" s="1434" t="str">
        <f t="shared" si="149"/>
        <v>ASHP-SEER20-Replace_CAC_NonElectricHeat_ER1_SF</v>
      </c>
      <c r="DG718" s="1023"/>
      <c r="DH718" s="1265" t="str">
        <f t="shared" si="141"/>
        <v>Heating Res 6 Year EUL</v>
      </c>
      <c r="DI718" s="1020">
        <f>(INDEX('Avoided Cost Benefits'!$B$4:$B$866,MATCH(DH718,'Avoided Cost Benefits'!$A$4:$A$866,0)))*F718</f>
        <v>0</v>
      </c>
      <c r="DJ718" s="2051">
        <f t="shared" si="150"/>
        <v>0</v>
      </c>
      <c r="DM718" s="234"/>
    </row>
    <row r="719" spans="1:117" x14ac:dyDescent="0.25">
      <c r="A719" s="2146" t="s">
        <v>861</v>
      </c>
      <c r="B719" s="1318">
        <f t="shared" si="148"/>
        <v>353410</v>
      </c>
      <c r="C719" s="18" t="s">
        <v>1176</v>
      </c>
      <c r="D719" s="1974" t="s">
        <v>863</v>
      </c>
      <c r="E719" s="1265" t="s">
        <v>1178</v>
      </c>
      <c r="F719" s="208">
        <f>ROUND(((K1321*K1424*(1/K1527-1/K1630)*K1733)/1000)*$K$1800,2)</f>
        <v>758.63</v>
      </c>
      <c r="G719" s="540" t="s">
        <v>1083</v>
      </c>
      <c r="H719" s="66">
        <f>VLOOKUP(G719,'CP FACTORS'!$A$3:$B$38, 2, FALSE)</f>
        <v>9.4741810000000004E-4</v>
      </c>
      <c r="I719" s="1070">
        <f t="shared" si="140"/>
        <v>0.71874000000000005</v>
      </c>
      <c r="J719" s="57">
        <f t="shared" si="134"/>
        <v>12</v>
      </c>
      <c r="K719" s="152">
        <f t="shared" si="147"/>
        <v>0</v>
      </c>
      <c r="L719" s="167"/>
      <c r="M719" s="531"/>
      <c r="N719" s="542"/>
      <c r="O719" s="398"/>
      <c r="R719" s="510"/>
      <c r="T719" s="50"/>
      <c r="U719" s="544"/>
      <c r="V719" s="1307" t="s">
        <v>46</v>
      </c>
      <c r="W719" s="903"/>
      <c r="X719" s="233"/>
      <c r="Y719" s="208"/>
      <c r="Z719" s="208"/>
      <c r="AA719" s="208"/>
      <c r="AB719" s="960"/>
      <c r="AC719" s="210">
        <v>842.26</v>
      </c>
      <c r="AD719" s="210">
        <v>862.58</v>
      </c>
      <c r="AE719" s="210">
        <v>717.86</v>
      </c>
      <c r="AF719" s="253">
        <v>758.63</v>
      </c>
      <c r="AG719" s="253">
        <f t="shared" si="121"/>
        <v>758.63</v>
      </c>
      <c r="AH719" s="114"/>
      <c r="AK719" s="904"/>
      <c r="DF719" s="1434" t="str">
        <f t="shared" si="149"/>
        <v>ASHP-SEER20-Replace_CAC_NonElectricHeat_ER2_SF</v>
      </c>
      <c r="DG719" s="1023"/>
      <c r="DH719" s="1265" t="str">
        <f t="shared" si="141"/>
        <v>Cooling Res ER2 12 Year EUL</v>
      </c>
      <c r="DI719" s="1020">
        <f>(INDEX('Avoided Cost Benefits'!$B$4:$B$866,MATCH(DH719,'Avoided Cost Benefits'!$A$4:$A$866,0)))*F719</f>
        <v>981.60713826151823</v>
      </c>
      <c r="DJ719" s="2051">
        <f t="shared" si="150"/>
        <v>0</v>
      </c>
      <c r="DM719" s="234"/>
    </row>
    <row r="720" spans="1:117" x14ac:dyDescent="0.25">
      <c r="A720" s="2146" t="s">
        <v>861</v>
      </c>
      <c r="B720" s="1318">
        <f t="shared" si="148"/>
        <v>353410</v>
      </c>
      <c r="C720" s="18" t="s">
        <v>1176</v>
      </c>
      <c r="D720" s="1974" t="s">
        <v>863</v>
      </c>
      <c r="E720" s="1265" t="s">
        <v>1178</v>
      </c>
      <c r="F720" s="208">
        <f>0</f>
        <v>0</v>
      </c>
      <c r="G720" s="540" t="s">
        <v>1118</v>
      </c>
      <c r="H720" s="66">
        <f>VLOOKUP(G720,'CP FACTORS'!$A$3:$B$38, 2, FALSE)</f>
        <v>0</v>
      </c>
      <c r="I720" s="1070">
        <f t="shared" si="140"/>
        <v>0</v>
      </c>
      <c r="J720" s="57">
        <f>K1878</f>
        <v>12</v>
      </c>
      <c r="K720" s="152">
        <f t="shared" si="147"/>
        <v>0</v>
      </c>
      <c r="L720" s="167"/>
      <c r="M720" s="531"/>
      <c r="N720" s="542"/>
      <c r="O720" s="398"/>
      <c r="R720" s="510"/>
      <c r="T720" s="50"/>
      <c r="U720" s="544"/>
      <c r="V720" s="1307" t="s">
        <v>46</v>
      </c>
      <c r="W720" s="903"/>
      <c r="X720" s="233"/>
      <c r="Y720" s="208"/>
      <c r="Z720" s="208"/>
      <c r="AA720" s="208"/>
      <c r="AB720" s="960"/>
      <c r="AC720" s="210">
        <v>0</v>
      </c>
      <c r="AD720" s="210">
        <v>0</v>
      </c>
      <c r="AE720" s="208">
        <v>0</v>
      </c>
      <c r="AF720" s="253">
        <v>0</v>
      </c>
      <c r="AG720" s="253">
        <f t="shared" si="121"/>
        <v>0</v>
      </c>
      <c r="AH720" s="114"/>
      <c r="AK720" s="904"/>
      <c r="DF720" s="1434" t="str">
        <f t="shared" si="149"/>
        <v>ASHP-SEER20-Replace_CAC_NonElectricHeat_ER2_SF</v>
      </c>
      <c r="DG720" s="1023"/>
      <c r="DH720" s="1265" t="str">
        <f t="shared" si="141"/>
        <v>Heating Res ER2 12 Year EUL</v>
      </c>
      <c r="DI720" s="1020">
        <f>(INDEX('Avoided Cost Benefits'!$B$4:$B$866,MATCH(DH720,'Avoided Cost Benefits'!$A$4:$A$866,0)))*F720</f>
        <v>0</v>
      </c>
      <c r="DJ720" s="2051">
        <f t="shared" si="150"/>
        <v>0</v>
      </c>
      <c r="DM720" s="234"/>
    </row>
    <row r="721" spans="1:117" x14ac:dyDescent="0.25">
      <c r="A721" s="2143" t="s">
        <v>602</v>
      </c>
      <c r="B721" s="1318">
        <f t="shared" ref="B721:B724" si="151">VALUE(LEFT(C721,6))</f>
        <v>353420</v>
      </c>
      <c r="C721" s="650" t="s">
        <v>1179</v>
      </c>
      <c r="D721" s="1994" t="s">
        <v>810</v>
      </c>
      <c r="E721" s="2101" t="s">
        <v>1180</v>
      </c>
      <c r="F721" s="885">
        <f>ROUND(((K1322*K1425*(1/K1528-1/K1631)*K1734)/1000)*$K$1800,2)</f>
        <v>2079.37</v>
      </c>
      <c r="G721" s="2097" t="s">
        <v>1030</v>
      </c>
      <c r="H721" s="2098">
        <f>VLOOKUP(G721,'CP FACTORS'!$A$3:$B$38, 2, FALSE)</f>
        <v>9.4741810000000004E-4</v>
      </c>
      <c r="I721" s="2102">
        <f t="shared" ref="I721:I724" si="152">ROUND(F721*H721,6)</f>
        <v>1.9700329999999999</v>
      </c>
      <c r="J721" s="48">
        <f>K1874</f>
        <v>6</v>
      </c>
      <c r="K721" s="2100">
        <f>IF(C721&lt;&gt;C728,VLOOKUP(C721,$J$2007:$K$2218,2,FALSE),0)</f>
        <v>968.96549571986588</v>
      </c>
      <c r="L721" s="168">
        <f>L910</f>
        <v>2.2000000000000002</v>
      </c>
      <c r="M721" s="531"/>
      <c r="N721" s="542"/>
      <c r="O721" s="398"/>
      <c r="R721" s="510"/>
      <c r="T721" s="50"/>
      <c r="U721" s="544"/>
      <c r="V721" s="645" t="s">
        <v>46</v>
      </c>
      <c r="W721" s="903"/>
      <c r="X721" s="233"/>
      <c r="Y721" s="208"/>
      <c r="Z721" s="208"/>
      <c r="AA721" s="208"/>
      <c r="AB721" s="960"/>
      <c r="AC721" s="901"/>
      <c r="AD721" s="208"/>
      <c r="AE721" s="208"/>
      <c r="AF721" s="253"/>
      <c r="AG721" s="253">
        <f t="shared" ref="AG721:AG724" si="153">IF(F721&lt;&gt;"",F721,"")</f>
        <v>2079.37</v>
      </c>
      <c r="AH721" s="114"/>
      <c r="AK721" s="904"/>
      <c r="DF721" s="1434" t="str">
        <f t="shared" ref="DF721:DF724" si="154">E721</f>
        <v>ASHP-SEER20-Replace_CAC_NonElectricHeat_ER1_MF</v>
      </c>
      <c r="DG721" s="1019">
        <f>(DI721+DI722+DI723+DI724)/(DJ721+DJ722+DJ723+DJ724)</f>
        <v>2.6736214933917948</v>
      </c>
      <c r="DH721" s="1240" t="str">
        <f t="shared" ref="DH721:DH724" si="155">CONCATENATE(G721," ",J721," Year EUL")</f>
        <v>Cooling Res 6 Year EUL</v>
      </c>
      <c r="DI721" s="1020">
        <f>(INDEX('Avoided Cost Benefits'!$B$4:$B$866,MATCH(DH721,'Avoided Cost Benefits'!$A$4:$A$866,0)))*F721</f>
        <v>2070.7366581327951</v>
      </c>
      <c r="DJ721" s="2051">
        <f t="shared" ref="DJ721:DJ724" si="156">IFERROR(K721/((1+DiscountRate)^(CurrentYear-DiscountYear)),0)</f>
        <v>968.96549571986588</v>
      </c>
      <c r="DM721" s="234"/>
    </row>
    <row r="722" spans="1:117" x14ac:dyDescent="0.25">
      <c r="A722" s="2143" t="s">
        <v>602</v>
      </c>
      <c r="B722" s="1318">
        <f t="shared" si="151"/>
        <v>353420</v>
      </c>
      <c r="C722" s="650" t="s">
        <v>1179</v>
      </c>
      <c r="D722" s="1994" t="s">
        <v>810</v>
      </c>
      <c r="E722" s="2103" t="s">
        <v>1180</v>
      </c>
      <c r="F722" s="885">
        <v>0</v>
      </c>
      <c r="G722" s="2097" t="s">
        <v>1031</v>
      </c>
      <c r="H722" s="2098">
        <f>VLOOKUP(G722,'CP FACTORS'!$A$3:$B$38, 2, FALSE)</f>
        <v>0</v>
      </c>
      <c r="I722" s="2102">
        <f t="shared" si="152"/>
        <v>0</v>
      </c>
      <c r="J722" s="48">
        <f>K1875</f>
        <v>6</v>
      </c>
      <c r="K722" s="2100">
        <f>IF(C722&lt;&gt;C721,VLOOKUP(C722,$J$2007:$K$2218,2,FALSE),0)</f>
        <v>0</v>
      </c>
      <c r="L722" s="168"/>
      <c r="M722" s="531"/>
      <c r="N722" s="542"/>
      <c r="O722" s="398"/>
      <c r="R722" s="510"/>
      <c r="T722" s="50"/>
      <c r="U722" s="544"/>
      <c r="V722" s="645" t="s">
        <v>46</v>
      </c>
      <c r="W722" s="903"/>
      <c r="X722" s="233"/>
      <c r="Y722" s="208"/>
      <c r="Z722" s="208"/>
      <c r="AA722" s="208"/>
      <c r="AB722" s="960"/>
      <c r="AC722" s="901"/>
      <c r="AD722" s="208"/>
      <c r="AE722" s="208"/>
      <c r="AF722" s="253"/>
      <c r="AG722" s="253">
        <f t="shared" si="153"/>
        <v>0</v>
      </c>
      <c r="AH722" s="114"/>
      <c r="AK722" s="904"/>
      <c r="DF722" s="1434" t="str">
        <f t="shared" si="154"/>
        <v>ASHP-SEER20-Replace_CAC_NonElectricHeat_ER1_MF</v>
      </c>
      <c r="DG722" s="1023"/>
      <c r="DH722" s="1265" t="str">
        <f t="shared" si="155"/>
        <v>Heating Res 6 Year EUL</v>
      </c>
      <c r="DI722" s="1020">
        <f>(INDEX('Avoided Cost Benefits'!$B$4:$B$866,MATCH(DH722,'Avoided Cost Benefits'!$A$4:$A$866,0)))*F722</f>
        <v>0</v>
      </c>
      <c r="DJ722" s="2051">
        <f t="shared" si="156"/>
        <v>0</v>
      </c>
      <c r="DM722" s="234"/>
    </row>
    <row r="723" spans="1:117" x14ac:dyDescent="0.25">
      <c r="A723" s="2143" t="s">
        <v>602</v>
      </c>
      <c r="B723" s="1318">
        <f t="shared" si="151"/>
        <v>353420</v>
      </c>
      <c r="C723" s="650" t="s">
        <v>1179</v>
      </c>
      <c r="D723" s="1994" t="s">
        <v>810</v>
      </c>
      <c r="E723" s="2103" t="s">
        <v>1181</v>
      </c>
      <c r="F723" s="885">
        <f>ROUND(((K1323*K1426*(1/K1529-1/K1632)*K1735)/1000)*$K$1800,2)</f>
        <v>401.81</v>
      </c>
      <c r="G723" s="2097" t="s">
        <v>1083</v>
      </c>
      <c r="H723" s="2098">
        <f>VLOOKUP(G723,'CP FACTORS'!$A$3:$B$38, 2, FALSE)</f>
        <v>9.4741810000000004E-4</v>
      </c>
      <c r="I723" s="2102">
        <f t="shared" si="152"/>
        <v>0.38068200000000002</v>
      </c>
      <c r="J723" s="48">
        <f>K1876</f>
        <v>12</v>
      </c>
      <c r="K723" s="2100">
        <f>IF(C723&lt;&gt;C722,VLOOKUP(C723,$J$2007:$K$2218,2,FALSE),0)</f>
        <v>0</v>
      </c>
      <c r="L723" s="168"/>
      <c r="M723" s="531"/>
      <c r="N723" s="542"/>
      <c r="O723" s="398"/>
      <c r="R723" s="510"/>
      <c r="T723" s="50"/>
      <c r="U723" s="544"/>
      <c r="V723" s="645" t="s">
        <v>46</v>
      </c>
      <c r="W723" s="903"/>
      <c r="X723" s="236"/>
      <c r="Y723" s="208"/>
      <c r="Z723" s="208"/>
      <c r="AA723" s="208"/>
      <c r="AB723" s="960"/>
      <c r="AC723" s="901"/>
      <c r="AD723" s="208"/>
      <c r="AE723" s="210"/>
      <c r="AF723" s="253"/>
      <c r="AG723" s="253">
        <f t="shared" si="153"/>
        <v>401.81</v>
      </c>
      <c r="AH723" s="114"/>
      <c r="AK723" s="904"/>
      <c r="DF723" s="1434" t="str">
        <f t="shared" si="154"/>
        <v>ASHP-SEER20-Replace_CAC_NonElectricHeat_ER2_MF</v>
      </c>
      <c r="DG723" s="1023"/>
      <c r="DH723" s="1265" t="str">
        <f t="shared" si="155"/>
        <v>Cooling Res ER2 12 Year EUL</v>
      </c>
      <c r="DI723" s="1020">
        <f>(INDEX('Avoided Cost Benefits'!$B$4:$B$866,MATCH(DH723,'Avoided Cost Benefits'!$A$4:$A$866,0)))*F723</f>
        <v>519.91031757887333</v>
      </c>
      <c r="DJ723" s="2051">
        <f t="shared" si="156"/>
        <v>0</v>
      </c>
      <c r="DM723" s="234"/>
    </row>
    <row r="724" spans="1:117" x14ac:dyDescent="0.25">
      <c r="A724" s="2143" t="s">
        <v>602</v>
      </c>
      <c r="B724" s="1318">
        <f t="shared" si="151"/>
        <v>353420</v>
      </c>
      <c r="C724" s="650" t="s">
        <v>1179</v>
      </c>
      <c r="D724" s="1994" t="s">
        <v>810</v>
      </c>
      <c r="E724" s="2104" t="s">
        <v>1181</v>
      </c>
      <c r="F724" s="885">
        <v>0</v>
      </c>
      <c r="G724" s="2097" t="s">
        <v>1118</v>
      </c>
      <c r="H724" s="2098">
        <f>VLOOKUP(G724,'CP FACTORS'!$A$3:$B$38, 2, FALSE)</f>
        <v>0</v>
      </c>
      <c r="I724" s="2102">
        <f t="shared" si="152"/>
        <v>0</v>
      </c>
      <c r="J724" s="48">
        <f>K1877</f>
        <v>12</v>
      </c>
      <c r="K724" s="2100">
        <f>IF(C724&lt;&gt;C723,VLOOKUP(C724,$J$2007:$K$2218,2,FALSE),0)</f>
        <v>0</v>
      </c>
      <c r="L724" s="168"/>
      <c r="M724" s="531"/>
      <c r="N724" s="542"/>
      <c r="O724" s="398"/>
      <c r="R724" s="510"/>
      <c r="T724" s="50"/>
      <c r="U724" s="544"/>
      <c r="V724" s="645" t="s">
        <v>46</v>
      </c>
      <c r="W724" s="903"/>
      <c r="X724" s="233"/>
      <c r="Y724" s="208"/>
      <c r="Z724" s="208"/>
      <c r="AA724" s="208"/>
      <c r="AB724" s="960"/>
      <c r="AC724" s="901"/>
      <c r="AD724" s="208"/>
      <c r="AE724" s="208"/>
      <c r="AF724" s="253"/>
      <c r="AG724" s="253">
        <f t="shared" si="153"/>
        <v>0</v>
      </c>
      <c r="AH724" s="114"/>
      <c r="AK724" s="904"/>
      <c r="DF724" s="1434" t="str">
        <f t="shared" si="154"/>
        <v>ASHP-SEER20-Replace_CAC_NonElectricHeat_ER2_MF</v>
      </c>
      <c r="DG724" s="1023"/>
      <c r="DH724" s="1241" t="str">
        <f t="shared" si="155"/>
        <v>Heating Res ER2 12 Year EUL</v>
      </c>
      <c r="DI724" s="1020">
        <f>(INDEX('Avoided Cost Benefits'!$B$4:$B$866,MATCH(DH724,'Avoided Cost Benefits'!$A$4:$A$866,0)))*F724</f>
        <v>0</v>
      </c>
      <c r="DJ724" s="2051">
        <f t="shared" si="156"/>
        <v>0</v>
      </c>
      <c r="DM724" s="234"/>
    </row>
    <row r="725" spans="1:117" x14ac:dyDescent="0.25">
      <c r="A725" s="2146" t="s">
        <v>607</v>
      </c>
      <c r="B725" s="1318">
        <f t="shared" si="148"/>
        <v>353450</v>
      </c>
      <c r="C725" s="18" t="s">
        <v>1182</v>
      </c>
      <c r="D725" s="1994" t="s">
        <v>863</v>
      </c>
      <c r="E725" s="2105" t="s">
        <v>1183</v>
      </c>
      <c r="F725" s="977">
        <f>ROUND(((K1324*K1427*(1/K1530-1/K1633)*K1736)/1000)*$K$1800,2)</f>
        <v>823.65</v>
      </c>
      <c r="G725" s="36" t="s">
        <v>1030</v>
      </c>
      <c r="H725" s="130">
        <f>VLOOKUP(G725,'CP FACTORS'!$A$3:$B$38, 2, FALSE)</f>
        <v>9.4741810000000004E-4</v>
      </c>
      <c r="I725" s="1146">
        <f t="shared" si="140"/>
        <v>0.78034099999999995</v>
      </c>
      <c r="J725" s="44">
        <f>K1879</f>
        <v>18</v>
      </c>
      <c r="K725" s="360">
        <f>IF(C725&lt;&gt;C720,VLOOKUP(C725,$J$2007:$K$2218,2,FALSE),0)</f>
        <v>4329.25</v>
      </c>
      <c r="L725" s="404">
        <f>L912</f>
        <v>2.8870833333333334</v>
      </c>
      <c r="M725" s="531"/>
      <c r="N725" s="542"/>
      <c r="O725" s="398"/>
      <c r="R725" s="510"/>
      <c r="T725" s="50"/>
      <c r="U725" s="544"/>
      <c r="V725" s="1307" t="s">
        <v>46</v>
      </c>
      <c r="W725" s="903">
        <v>898.41230769230776</v>
      </c>
      <c r="X725" s="236">
        <v>898.41230769230776</v>
      </c>
      <c r="Y725" s="208">
        <v>898.41</v>
      </c>
      <c r="Z725" s="208">
        <v>898.41</v>
      </c>
      <c r="AA725" s="208">
        <v>898.41</v>
      </c>
      <c r="AB725" s="960">
        <v>898.41</v>
      </c>
      <c r="AC725" s="210">
        <v>701.88</v>
      </c>
      <c r="AD725" s="210">
        <v>899.76</v>
      </c>
      <c r="AE725" s="210">
        <v>717.64</v>
      </c>
      <c r="AF725" s="253">
        <v>823.65</v>
      </c>
      <c r="AG725" s="253">
        <f t="shared" si="121"/>
        <v>823.65</v>
      </c>
      <c r="AH725" s="114"/>
      <c r="AK725" s="904"/>
      <c r="DF725" s="1434" t="str">
        <f t="shared" si="149"/>
        <v>ASHP-SEER20-Replace_CAC_ElectricHeat_ROF_SF</v>
      </c>
      <c r="DG725" s="1019">
        <f>(DI725+DI726)/(DJ725+DJ726)</f>
        <v>1.745420544825012</v>
      </c>
      <c r="DH725" s="198" t="str">
        <f t="shared" si="141"/>
        <v>Cooling Res 18 Year EUL</v>
      </c>
      <c r="DI725" s="1020">
        <f>(INDEX('Avoided Cost Benefits'!$B$4:$B$866,MATCH(DH725,'Avoided Cost Benefits'!$A$4:$A$866,0)))*F725</f>
        <v>1885.9681541891377</v>
      </c>
      <c r="DJ725" s="2051">
        <f t="shared" si="150"/>
        <v>4329.25</v>
      </c>
      <c r="DM725" s="234"/>
    </row>
    <row r="726" spans="1:117" x14ac:dyDescent="0.25">
      <c r="A726" s="2146" t="s">
        <v>607</v>
      </c>
      <c r="B726" s="1318">
        <f t="shared" si="148"/>
        <v>353450</v>
      </c>
      <c r="C726" s="18" t="s">
        <v>1182</v>
      </c>
      <c r="D726" s="1994" t="s">
        <v>863</v>
      </c>
      <c r="E726" s="2106" t="s">
        <v>1183</v>
      </c>
      <c r="F726" s="977">
        <f>ROUND(((K912*K1015*(1/K1118-1/K1221)*K1736)/1000)*$K$1800,2)</f>
        <v>9355.93</v>
      </c>
      <c r="G726" s="36" t="s">
        <v>1031</v>
      </c>
      <c r="H726" s="130">
        <f>VLOOKUP(G726,'CP FACTORS'!$A$3:$B$38, 2, FALSE)</f>
        <v>0</v>
      </c>
      <c r="I726" s="1146">
        <f t="shared" si="140"/>
        <v>0</v>
      </c>
      <c r="J726" s="44">
        <f>K1880</f>
        <v>18</v>
      </c>
      <c r="K726" s="360">
        <f>IF(C726&lt;&gt;C725,VLOOKUP(C726,$J$2007:$K$2218,2,FALSE),0)</f>
        <v>0</v>
      </c>
      <c r="L726" s="404"/>
      <c r="M726" s="531"/>
      <c r="N726" s="542"/>
      <c r="O726" s="398"/>
      <c r="R726" s="510"/>
      <c r="T726" s="50"/>
      <c r="U726" s="544"/>
      <c r="V726" s="1307" t="s">
        <v>46</v>
      </c>
      <c r="W726" s="903">
        <v>14670.188469329136</v>
      </c>
      <c r="X726" s="233">
        <v>10924.142334552707</v>
      </c>
      <c r="Y726" s="208">
        <v>10924.14</v>
      </c>
      <c r="Z726" s="208">
        <v>10924.14</v>
      </c>
      <c r="AA726" s="208">
        <v>10924.14</v>
      </c>
      <c r="AB726" s="960">
        <v>10924.14</v>
      </c>
      <c r="AC726" s="210">
        <v>8887</v>
      </c>
      <c r="AD726" s="210">
        <v>10217.26</v>
      </c>
      <c r="AE726" s="208">
        <v>10217.26</v>
      </c>
      <c r="AF726" s="253">
        <v>10217.26</v>
      </c>
      <c r="AG726" s="253">
        <f t="shared" si="121"/>
        <v>9355.93</v>
      </c>
      <c r="AH726" s="114"/>
      <c r="AK726" s="904"/>
      <c r="DF726" s="1434" t="str">
        <f t="shared" si="149"/>
        <v>ASHP-SEER20-Replace_CAC_ElectricHeat_ROF_SF</v>
      </c>
      <c r="DG726" s="1021"/>
      <c r="DH726" s="235" t="str">
        <f t="shared" si="141"/>
        <v>Heating Res 18 Year EUL</v>
      </c>
      <c r="DI726" s="1020">
        <f>(INDEX('Avoided Cost Benefits'!$B$4:$B$866,MATCH(DH726,'Avoided Cost Benefits'!$A$4:$A$866,0)))*F726</f>
        <v>5670.3937394945451</v>
      </c>
      <c r="DJ726" s="2051">
        <f t="shared" si="150"/>
        <v>0</v>
      </c>
      <c r="DM726" s="234"/>
    </row>
    <row r="727" spans="1:117" s="39" customFormat="1" x14ac:dyDescent="0.25">
      <c r="A727" s="2143" t="s">
        <v>602</v>
      </c>
      <c r="B727" s="37">
        <f t="shared" ref="B727:B728" si="157">VALUE(LEFT(C727,6))</f>
        <v>353455</v>
      </c>
      <c r="C727" s="650" t="s">
        <v>1184</v>
      </c>
      <c r="D727" s="1994" t="s">
        <v>810</v>
      </c>
      <c r="E727" s="2107" t="s">
        <v>1185</v>
      </c>
      <c r="F727" s="885">
        <f>ROUND(((K1325*K1428*(1/K1531-1/K1634)*K1737)/1000)*$K$1800,2)</f>
        <v>539.88</v>
      </c>
      <c r="G727" s="2097" t="s">
        <v>1030</v>
      </c>
      <c r="H727" s="2098">
        <f>VLOOKUP(G727,'CP FACTORS'!$A$3:$B$38, 2, FALSE)</f>
        <v>9.4741810000000004E-4</v>
      </c>
      <c r="I727" s="2099">
        <f t="shared" ref="I727:I728" si="158">ROUND(F727*H727,6)</f>
        <v>0.51149199999999995</v>
      </c>
      <c r="J727" s="48">
        <f>K1881</f>
        <v>18</v>
      </c>
      <c r="K727" s="2100">
        <f>IF(C727&lt;&gt;C775,VLOOKUP(C727,$J$2007:$K$2218,2,FALSE),0)</f>
        <v>4357.60601696091</v>
      </c>
      <c r="L727" s="168">
        <f>L975</f>
        <v>1.95</v>
      </c>
      <c r="M727" s="531"/>
      <c r="N727" s="1983"/>
      <c r="O727" s="683"/>
      <c r="R727" s="1984"/>
      <c r="U727" s="1985"/>
      <c r="V727" s="645" t="s">
        <v>46</v>
      </c>
      <c r="W727" s="230"/>
      <c r="X727" s="233"/>
      <c r="Y727" s="210"/>
      <c r="Z727" s="210"/>
      <c r="AA727" s="210"/>
      <c r="AB727" s="959"/>
      <c r="AC727" s="210"/>
      <c r="AD727" s="210"/>
      <c r="AE727" s="210"/>
      <c r="AF727" s="253"/>
      <c r="AG727" s="253">
        <f>IF(F727&lt;&gt;"",F727,"")</f>
        <v>539.88</v>
      </c>
      <c r="AH727" s="683"/>
      <c r="DF727" s="1986" t="str">
        <f t="shared" ref="DF727:DF728" si="159">E727</f>
        <v>ASHP-SEER20-Replace_CAC_ElectricHeat_ROF_MF</v>
      </c>
      <c r="DG727" s="1019">
        <f>(DI727+DI728)/(DJ727+DJ728)</f>
        <v>1.1625898525186387</v>
      </c>
      <c r="DH727" s="198" t="str">
        <f t="shared" ref="DH727:DH728" si="160">CONCATENATE(G727," ",J727," Year EUL")</f>
        <v>Cooling Res 18 Year EUL</v>
      </c>
      <c r="DI727" s="1020">
        <f>(INDEX('Avoided Cost Benefits'!$B$4:$B$866,MATCH(DH727,'Avoided Cost Benefits'!$A$4:$A$866,0)))*F727</f>
        <v>1236.2004335380705</v>
      </c>
      <c r="DJ727" s="2051">
        <f t="shared" ref="DJ727:DJ728" si="161">IFERROR(K727/((1+DiscountRate)^(CurrentYear-DiscountYear)),0)</f>
        <v>4357.60601696091</v>
      </c>
      <c r="DM727" s="1987"/>
    </row>
    <row r="728" spans="1:117" s="39" customFormat="1" x14ac:dyDescent="0.25">
      <c r="A728" s="2143" t="s">
        <v>602</v>
      </c>
      <c r="B728" s="37">
        <f t="shared" si="157"/>
        <v>353455</v>
      </c>
      <c r="C728" s="650" t="s">
        <v>1184</v>
      </c>
      <c r="D728" s="1994" t="s">
        <v>810</v>
      </c>
      <c r="E728" s="2108" t="s">
        <v>1185</v>
      </c>
      <c r="F728" s="885">
        <f>ROUND(((K975*K1016*(1/K1119-1/K1222)*K1737)/1000)*$K$1800,2)</f>
        <v>6319.2</v>
      </c>
      <c r="G728" s="2097" t="s">
        <v>1031</v>
      </c>
      <c r="H728" s="2098">
        <f>VLOOKUP(G728,'CP FACTORS'!$A$3:$B$38, 2, FALSE)</f>
        <v>0</v>
      </c>
      <c r="I728" s="2099">
        <f t="shared" si="158"/>
        <v>0</v>
      </c>
      <c r="J728" s="48">
        <f>K1882</f>
        <v>18</v>
      </c>
      <c r="K728" s="2100">
        <f>IF(C728&lt;&gt;C727,VLOOKUP(C728,$J$2007:$K$2218,2,FALSE),0)</f>
        <v>0</v>
      </c>
      <c r="L728" s="168"/>
      <c r="M728" s="531"/>
      <c r="N728" s="1983"/>
      <c r="O728" s="683"/>
      <c r="R728" s="1984"/>
      <c r="U728" s="1985"/>
      <c r="V728" s="645" t="s">
        <v>46</v>
      </c>
      <c r="W728" s="230"/>
      <c r="X728" s="233"/>
      <c r="Y728" s="210"/>
      <c r="Z728" s="210"/>
      <c r="AA728" s="210"/>
      <c r="AB728" s="959"/>
      <c r="AC728" s="210"/>
      <c r="AD728" s="210"/>
      <c r="AE728" s="210"/>
      <c r="AF728" s="253"/>
      <c r="AG728" s="253">
        <f>IF(F728&lt;&gt;"",F728,"")</f>
        <v>6319.2</v>
      </c>
      <c r="AH728" s="683"/>
      <c r="AK728" s="1988"/>
      <c r="DF728" s="1986" t="str">
        <f t="shared" si="159"/>
        <v>ASHP-SEER20-Replace_CAC_ElectricHeat_ROF_MF</v>
      </c>
      <c r="DG728" s="1021"/>
      <c r="DH728" s="235" t="str">
        <f t="shared" si="160"/>
        <v>Heating Res 18 Year EUL</v>
      </c>
      <c r="DI728" s="1020">
        <f>(INDEX('Avoided Cost Benefits'!$B$4:$B$866,MATCH(DH728,'Avoided Cost Benefits'!$A$4:$A$866,0)))*F728</f>
        <v>3829.9081030548459</v>
      </c>
      <c r="DJ728" s="2051">
        <f t="shared" si="161"/>
        <v>0</v>
      </c>
      <c r="DM728" s="1987"/>
    </row>
    <row r="729" spans="1:117" x14ac:dyDescent="0.25">
      <c r="A729" s="2146" t="s">
        <v>861</v>
      </c>
      <c r="B729" s="1318">
        <f t="shared" si="148"/>
        <v>353460</v>
      </c>
      <c r="C729" s="18" t="s">
        <v>1186</v>
      </c>
      <c r="D729" s="1974" t="s">
        <v>863</v>
      </c>
      <c r="E729" s="198" t="s">
        <v>1187</v>
      </c>
      <c r="F729" s="208">
        <f>ROUND(((K1326*K1429*(1/K1532-1/K1635)*K1738)/1000)*$K$1800,2)</f>
        <v>823.65</v>
      </c>
      <c r="G729" s="540" t="s">
        <v>1030</v>
      </c>
      <c r="H729" s="66">
        <f>VLOOKUP(G729,'CP FACTORS'!$A$3:$B$38, 2, FALSE)</f>
        <v>9.4741810000000004E-4</v>
      </c>
      <c r="I729" s="1070">
        <f t="shared" si="140"/>
        <v>0.78034099999999995</v>
      </c>
      <c r="J729" s="57">
        <f t="shared" ref="J729:J734" si="162">K1883</f>
        <v>18</v>
      </c>
      <c r="K729" s="152">
        <f>IF(C729&lt;&gt;C726,VLOOKUP(C729,$J$2007:$K$2218,2,FALSE),0)</f>
        <v>350.28820074109143</v>
      </c>
      <c r="L729" s="167">
        <f>L913</f>
        <v>2.8870833333333334</v>
      </c>
      <c r="M729" s="531"/>
      <c r="N729" s="542"/>
      <c r="O729" s="398"/>
      <c r="R729" s="510"/>
      <c r="T729" s="50"/>
      <c r="U729" s="544"/>
      <c r="V729" s="1307" t="s">
        <v>46</v>
      </c>
      <c r="W729" s="903"/>
      <c r="X729" s="233"/>
      <c r="Y729" s="210"/>
      <c r="Z729" s="208"/>
      <c r="AA729" s="208"/>
      <c r="AB729" s="959"/>
      <c r="AC729" s="210"/>
      <c r="AD729" s="210">
        <v>899.76</v>
      </c>
      <c r="AE729" s="210">
        <v>717.64</v>
      </c>
      <c r="AF729" s="253">
        <v>823.65</v>
      </c>
      <c r="AG729" s="253">
        <f t="shared" si="121"/>
        <v>823.65</v>
      </c>
      <c r="AH729" s="114"/>
      <c r="AK729" s="904"/>
      <c r="DF729" s="1434" t="str">
        <f t="shared" si="149"/>
        <v>ASHP-SEER20-Replace_CAC_NonElectricHeat_ROF_SF</v>
      </c>
      <c r="DG729" s="1019">
        <f>(DI729+DI730)/(DJ729+DJ730)</f>
        <v>5.3840470509685074</v>
      </c>
      <c r="DH729" s="198" t="str">
        <f>CONCATENATE(G729," ",J729," Year EUL")</f>
        <v>Cooling Res 18 Year EUL</v>
      </c>
      <c r="DI729" s="1020">
        <f>(INDEX('Avoided Cost Benefits'!$B$4:$B$866,MATCH(DH729,'Avoided Cost Benefits'!$A$4:$A$866,0)))*F729</f>
        <v>1885.9681541891377</v>
      </c>
      <c r="DJ729" s="2051">
        <f t="shared" si="150"/>
        <v>350.28820074109143</v>
      </c>
      <c r="DM729" s="234"/>
    </row>
    <row r="730" spans="1:117" x14ac:dyDescent="0.25">
      <c r="A730" s="2146" t="s">
        <v>861</v>
      </c>
      <c r="B730" s="1318">
        <f t="shared" si="148"/>
        <v>353460</v>
      </c>
      <c r="C730" s="18" t="s">
        <v>1186</v>
      </c>
      <c r="D730" s="1974" t="s">
        <v>863</v>
      </c>
      <c r="E730" s="235" t="s">
        <v>1187</v>
      </c>
      <c r="F730" s="208">
        <f>0</f>
        <v>0</v>
      </c>
      <c r="G730" s="540" t="s">
        <v>1031</v>
      </c>
      <c r="H730" s="66">
        <f>VLOOKUP(G730,'CP FACTORS'!$A$3:$B$38, 2, FALSE)</f>
        <v>0</v>
      </c>
      <c r="I730" s="1070">
        <f t="shared" si="140"/>
        <v>0</v>
      </c>
      <c r="J730" s="57">
        <f t="shared" si="162"/>
        <v>18</v>
      </c>
      <c r="K730" s="152">
        <f t="shared" ref="K730:K771" si="163">IF(C730&lt;&gt;C729,VLOOKUP(C730,$J$2007:$K$2218,2,FALSE),0)</f>
        <v>0</v>
      </c>
      <c r="L730" s="167"/>
      <c r="M730" s="531"/>
      <c r="N730" s="542"/>
      <c r="O730" s="398"/>
      <c r="R730" s="510"/>
      <c r="T730" s="50"/>
      <c r="U730" s="544"/>
      <c r="V730" s="1307" t="s">
        <v>46</v>
      </c>
      <c r="W730" s="903"/>
      <c r="X730" s="233"/>
      <c r="Y730" s="210"/>
      <c r="Z730" s="208"/>
      <c r="AA730" s="208"/>
      <c r="AB730" s="959"/>
      <c r="AC730" s="210"/>
      <c r="AD730" s="210">
        <v>0</v>
      </c>
      <c r="AE730" s="208">
        <v>0</v>
      </c>
      <c r="AF730" s="253">
        <v>0</v>
      </c>
      <c r="AG730" s="253">
        <f t="shared" si="121"/>
        <v>0</v>
      </c>
      <c r="AH730" s="114"/>
      <c r="AK730" s="904"/>
      <c r="DF730" s="1434" t="str">
        <f t="shared" si="149"/>
        <v>ASHP-SEER20-Replace_CAC_NonElectricHeat_ROF_SF</v>
      </c>
      <c r="DG730" s="1021"/>
      <c r="DH730" s="235" t="str">
        <f>CONCATENATE(G730," ",J730," Year EUL")</f>
        <v>Heating Res 18 Year EUL</v>
      </c>
      <c r="DI730" s="1020">
        <f>(INDEX('Avoided Cost Benefits'!$B$4:$B$866,MATCH(DH730,'Avoided Cost Benefits'!$A$4:$A$866,0)))*F730</f>
        <v>0</v>
      </c>
      <c r="DJ730" s="2051">
        <f t="shared" si="150"/>
        <v>0</v>
      </c>
      <c r="DM730" s="234"/>
    </row>
    <row r="731" spans="1:117" x14ac:dyDescent="0.25">
      <c r="A731" s="2146" t="s">
        <v>607</v>
      </c>
      <c r="B731" s="1318">
        <f t="shared" si="148"/>
        <v>353550</v>
      </c>
      <c r="C731" s="18" t="s">
        <v>1188</v>
      </c>
      <c r="D731" s="1974" t="s">
        <v>863</v>
      </c>
      <c r="E731" s="1240" t="s">
        <v>1189</v>
      </c>
      <c r="F731" s="208">
        <f>ROUND(((K1327*K1430*(1/K1533-1/K1636)*K1739)/1000)*$K$1800,2)</f>
        <v>2498.89</v>
      </c>
      <c r="G731" s="540" t="s">
        <v>1030</v>
      </c>
      <c r="H731" s="66">
        <f>VLOOKUP(G731,'CP FACTORS'!$A$3:$B$38, 2, FALSE)</f>
        <v>9.4741810000000004E-4</v>
      </c>
      <c r="I731" s="1070">
        <f t="shared" ref="I731:I780" si="164">ROUND(F731*H731,6)</f>
        <v>2.3674940000000002</v>
      </c>
      <c r="J731" s="57">
        <f t="shared" si="162"/>
        <v>6</v>
      </c>
      <c r="K731" s="152">
        <f t="shared" si="163"/>
        <v>4645.1653206811143</v>
      </c>
      <c r="L731" s="167">
        <f>L914</f>
        <v>3.3440561485431846</v>
      </c>
      <c r="M731" s="531"/>
      <c r="N731" s="542"/>
      <c r="O731" s="398"/>
      <c r="R731" s="510"/>
      <c r="T731" s="50"/>
      <c r="U731" s="544"/>
      <c r="V731" s="1307" t="s">
        <v>46</v>
      </c>
      <c r="W731" s="903">
        <v>3214.5697478991597</v>
      </c>
      <c r="X731" s="233">
        <v>2341.3968787515005</v>
      </c>
      <c r="Y731" s="208">
        <v>2341.4</v>
      </c>
      <c r="Z731" s="208">
        <v>2341.4</v>
      </c>
      <c r="AA731" s="208">
        <v>2341.4</v>
      </c>
      <c r="AB731" s="960">
        <v>2341.4</v>
      </c>
      <c r="AC731" s="210">
        <v>2697.17</v>
      </c>
      <c r="AD731" s="210">
        <v>2958.13</v>
      </c>
      <c r="AE731" s="210">
        <v>2702.24</v>
      </c>
      <c r="AF731" s="253">
        <v>2498.89</v>
      </c>
      <c r="AG731" s="253">
        <f t="shared" si="121"/>
        <v>2498.89</v>
      </c>
      <c r="AH731" s="114"/>
      <c r="AK731" s="904"/>
      <c r="DF731" s="1434" t="str">
        <f t="shared" si="149"/>
        <v>ASHP-SEER21-Replace_CAC_ElectricHeat_ER1_SF</v>
      </c>
      <c r="DG731" s="1019">
        <f>(DI731+DI732+DI733+DI734)/(DJ731+DJ732+DJ733+DJ734)</f>
        <v>2.2278666400454461</v>
      </c>
      <c r="DH731" s="1240" t="str">
        <f t="shared" ref="DH731:DH780" si="165">CONCATENATE(G731," ",J731," Year EUL")</f>
        <v>Cooling Res 6 Year EUL</v>
      </c>
      <c r="DI731" s="1020">
        <f>(INDEX('Avoided Cost Benefits'!$B$4:$B$866,MATCH(DH731,'Avoided Cost Benefits'!$A$4:$A$866,0)))*F731</f>
        <v>2488.5148519221975</v>
      </c>
      <c r="DJ731" s="2051">
        <f t="shared" si="150"/>
        <v>4645.1653206811143</v>
      </c>
      <c r="DM731" s="234"/>
    </row>
    <row r="732" spans="1:117" x14ac:dyDescent="0.25">
      <c r="A732" s="2146" t="s">
        <v>607</v>
      </c>
      <c r="B732" s="1318">
        <f t="shared" si="148"/>
        <v>353550</v>
      </c>
      <c r="C732" s="18" t="s">
        <v>1188</v>
      </c>
      <c r="D732" s="1974" t="s">
        <v>863</v>
      </c>
      <c r="E732" s="1265" t="s">
        <v>1189</v>
      </c>
      <c r="F732" s="208">
        <f>ROUND(((K914*K1018*(1/K1121-1/K1224)*K1739)/1000)*$K$1800,2)</f>
        <v>10912.25</v>
      </c>
      <c r="G732" s="540" t="s">
        <v>1031</v>
      </c>
      <c r="H732" s="66">
        <f>VLOOKUP(G732,'CP FACTORS'!$A$3:$B$38, 2, FALSE)</f>
        <v>0</v>
      </c>
      <c r="I732" s="1070">
        <f t="shared" si="164"/>
        <v>0</v>
      </c>
      <c r="J732" s="57">
        <f t="shared" si="162"/>
        <v>6</v>
      </c>
      <c r="K732" s="152">
        <f t="shared" si="163"/>
        <v>0</v>
      </c>
      <c r="L732" s="167"/>
      <c r="M732" s="531"/>
      <c r="N732" s="542"/>
      <c r="O732" s="398"/>
      <c r="R732" s="510"/>
      <c r="T732" s="50"/>
      <c r="U732" s="544"/>
      <c r="V732" s="1307" t="s">
        <v>46</v>
      </c>
      <c r="W732" s="903">
        <v>13965.852998065762</v>
      </c>
      <c r="X732" s="233">
        <v>10399.659574468084</v>
      </c>
      <c r="Y732" s="208">
        <v>10399.66</v>
      </c>
      <c r="Z732" s="208">
        <v>10399.66</v>
      </c>
      <c r="AA732" s="208">
        <v>10399.66</v>
      </c>
      <c r="AB732" s="960">
        <v>10399.66</v>
      </c>
      <c r="AC732" s="210">
        <v>12895.04</v>
      </c>
      <c r="AD732" s="210">
        <v>12037.46</v>
      </c>
      <c r="AE732" s="210">
        <v>12022.15</v>
      </c>
      <c r="AF732" s="253">
        <v>12022.15</v>
      </c>
      <c r="AG732" s="253">
        <f t="shared" si="121"/>
        <v>10912.25</v>
      </c>
      <c r="AH732" s="114"/>
      <c r="AK732" s="904"/>
      <c r="DF732" s="1434" t="str">
        <f t="shared" si="149"/>
        <v>ASHP-SEER21-Replace_CAC_ElectricHeat_ER1_SF</v>
      </c>
      <c r="DG732" s="1023"/>
      <c r="DH732" s="1265" t="str">
        <f t="shared" si="165"/>
        <v>Heating Res 6 Year EUL</v>
      </c>
      <c r="DI732" s="1020">
        <f>(INDEX('Avoided Cost Benefits'!$B$4:$B$866,MATCH(DH732,'Avoided Cost Benefits'!$A$4:$A$866,0)))*F732</f>
        <v>2926.4342263857097</v>
      </c>
      <c r="DJ732" s="2051">
        <f t="shared" si="150"/>
        <v>0</v>
      </c>
      <c r="DM732" s="234"/>
    </row>
    <row r="733" spans="1:117" x14ac:dyDescent="0.25">
      <c r="A733" s="2146" t="s">
        <v>607</v>
      </c>
      <c r="B733" s="1318">
        <f t="shared" si="148"/>
        <v>353550</v>
      </c>
      <c r="C733" s="18" t="s">
        <v>1188</v>
      </c>
      <c r="D733" s="1974" t="s">
        <v>863</v>
      </c>
      <c r="E733" s="1265" t="s">
        <v>1190</v>
      </c>
      <c r="F733" s="208">
        <f>ROUND(((K1328*K1431*(1/K1534-1/K1637)*K1740)/1000)*$K$1800,2)</f>
        <v>963.47</v>
      </c>
      <c r="G733" s="540" t="s">
        <v>1083</v>
      </c>
      <c r="H733" s="66">
        <f>VLOOKUP(G733,'CP FACTORS'!$A$3:$B$38, 2, FALSE)</f>
        <v>9.4741810000000004E-4</v>
      </c>
      <c r="I733" s="1070">
        <f t="shared" si="164"/>
        <v>0.91280899999999998</v>
      </c>
      <c r="J733" s="57">
        <f t="shared" si="162"/>
        <v>12</v>
      </c>
      <c r="K733" s="152">
        <f t="shared" si="163"/>
        <v>0</v>
      </c>
      <c r="L733" s="167"/>
      <c r="M733" s="531"/>
      <c r="N733" s="542"/>
      <c r="O733" s="398"/>
      <c r="R733" s="510"/>
      <c r="T733" s="50"/>
      <c r="U733" s="544"/>
      <c r="V733" s="1307" t="s">
        <v>46</v>
      </c>
      <c r="W733" s="903">
        <v>947.30549450549472</v>
      </c>
      <c r="X733" s="236">
        <v>947.30549450549472</v>
      </c>
      <c r="Y733" s="208">
        <v>947.31</v>
      </c>
      <c r="Z733" s="208">
        <v>947.31</v>
      </c>
      <c r="AA733" s="208">
        <v>947.31</v>
      </c>
      <c r="AB733" s="960">
        <v>947.31</v>
      </c>
      <c r="AC733" s="210">
        <v>1151.58</v>
      </c>
      <c r="AD733" s="210">
        <v>1070.04</v>
      </c>
      <c r="AE733" s="210">
        <v>892.64</v>
      </c>
      <c r="AF733" s="253">
        <v>963.47</v>
      </c>
      <c r="AG733" s="253">
        <f t="shared" si="121"/>
        <v>963.47</v>
      </c>
      <c r="AH733" s="114"/>
      <c r="AK733" s="904"/>
      <c r="DF733" s="1434" t="str">
        <f t="shared" si="149"/>
        <v>ASHP-SEER21-Replace_CAC_ElectricHeat_ER2_SF</v>
      </c>
      <c r="DG733" s="1023"/>
      <c r="DH733" s="1265" t="str">
        <f t="shared" si="165"/>
        <v>Cooling Res ER2 12 Year EUL</v>
      </c>
      <c r="DI733" s="1020">
        <f>(INDEX('Avoided Cost Benefits'!$B$4:$B$866,MATCH(DH733,'Avoided Cost Benefits'!$A$4:$A$866,0)))*F733</f>
        <v>1246.6538754080711</v>
      </c>
      <c r="DJ733" s="2051">
        <f t="shared" si="150"/>
        <v>0</v>
      </c>
      <c r="DM733" s="234"/>
    </row>
    <row r="734" spans="1:117" x14ac:dyDescent="0.25">
      <c r="A734" s="2146" t="s">
        <v>607</v>
      </c>
      <c r="B734" s="1318">
        <f t="shared" si="148"/>
        <v>353550</v>
      </c>
      <c r="C734" s="18" t="s">
        <v>1188</v>
      </c>
      <c r="D734" s="1974" t="s">
        <v>863</v>
      </c>
      <c r="E734" s="1241" t="s">
        <v>1190</v>
      </c>
      <c r="F734" s="208">
        <f>ROUND(((K915*K1019*(1/K1122-1/K1225)*K1740)/1000)*$K$1800,2)</f>
        <v>10912.25</v>
      </c>
      <c r="G734" s="540" t="s">
        <v>1118</v>
      </c>
      <c r="H734" s="66">
        <f>VLOOKUP(G734,'CP FACTORS'!$A$3:$B$38, 2, FALSE)</f>
        <v>0</v>
      </c>
      <c r="I734" s="1070">
        <f t="shared" si="164"/>
        <v>0</v>
      </c>
      <c r="J734" s="57">
        <f t="shared" si="162"/>
        <v>12</v>
      </c>
      <c r="K734" s="152">
        <f t="shared" si="163"/>
        <v>0</v>
      </c>
      <c r="L734" s="167"/>
      <c r="M734" s="531"/>
      <c r="N734" s="542"/>
      <c r="O734" s="398"/>
      <c r="R734" s="510"/>
      <c r="T734" s="50"/>
      <c r="U734" s="544"/>
      <c r="V734" s="1307" t="s">
        <v>46</v>
      </c>
      <c r="W734" s="903">
        <v>13965.852998065762</v>
      </c>
      <c r="X734" s="233">
        <v>10399.659574468084</v>
      </c>
      <c r="Y734" s="208">
        <v>10399.66</v>
      </c>
      <c r="Z734" s="208">
        <v>10399.66</v>
      </c>
      <c r="AA734" s="208">
        <v>10399.66</v>
      </c>
      <c r="AB734" s="960">
        <v>10399.66</v>
      </c>
      <c r="AC734" s="210">
        <v>12895.04</v>
      </c>
      <c r="AD734" s="210">
        <v>12037.46</v>
      </c>
      <c r="AE734" s="210">
        <v>12022.15</v>
      </c>
      <c r="AF734" s="253">
        <v>12022.15</v>
      </c>
      <c r="AG734" s="253">
        <f t="shared" ref="AG734:AG801" si="166">IF(F734&lt;&gt;"",F734,"")</f>
        <v>10912.25</v>
      </c>
      <c r="AH734" s="114"/>
      <c r="AK734" s="904"/>
      <c r="DF734" s="1434" t="str">
        <f t="shared" si="149"/>
        <v>ASHP-SEER21-Replace_CAC_ElectricHeat_ER2_SF</v>
      </c>
      <c r="DG734" s="1023"/>
      <c r="DH734" s="1241" t="str">
        <f t="shared" si="165"/>
        <v>Heating Res ER2 12 Year EUL</v>
      </c>
      <c r="DI734" s="1020">
        <f>(INDEX('Avoided Cost Benefits'!$B$4:$B$866,MATCH(DH734,'Avoided Cost Benefits'!$A$4:$A$866,0)))*F734</f>
        <v>3687.2059017254819</v>
      </c>
      <c r="DJ734" s="2051">
        <f t="shared" si="150"/>
        <v>0</v>
      </c>
      <c r="DM734" s="234"/>
    </row>
    <row r="735" spans="1:117" x14ac:dyDescent="0.25">
      <c r="A735" s="2146" t="s">
        <v>861</v>
      </c>
      <c r="B735" s="1318">
        <f t="shared" si="148"/>
        <v>353560</v>
      </c>
      <c r="C735" s="18" t="s">
        <v>1191</v>
      </c>
      <c r="D735" s="1974" t="s">
        <v>863</v>
      </c>
      <c r="E735" s="1265" t="s">
        <v>1192</v>
      </c>
      <c r="F735" s="208">
        <f>ROUND(((K1329*K1432*(1/K1535-1/K1638)*K1741)/1000)*$K$1800,2)</f>
        <v>2498.89</v>
      </c>
      <c r="G735" s="540" t="s">
        <v>1030</v>
      </c>
      <c r="H735" s="66">
        <f>VLOOKUP(G735,'CP FACTORS'!$A$3:$B$38, 2, FALSE)</f>
        <v>9.4741810000000004E-4</v>
      </c>
      <c r="I735" s="1070">
        <f t="shared" si="164"/>
        <v>2.3674940000000002</v>
      </c>
      <c r="J735" s="57">
        <f t="shared" ref="J735:J766" si="167">K1889</f>
        <v>6</v>
      </c>
      <c r="K735" s="152">
        <f t="shared" si="163"/>
        <v>636.0313063667636</v>
      </c>
      <c r="L735" s="167">
        <f>L916</f>
        <v>3.3440561485431846</v>
      </c>
      <c r="M735" s="531"/>
      <c r="N735" s="542"/>
      <c r="O735" s="398"/>
      <c r="R735" s="510"/>
      <c r="T735" s="50"/>
      <c r="U735" s="544"/>
      <c r="V735" s="1307" t="s">
        <v>46</v>
      </c>
      <c r="W735" s="903"/>
      <c r="X735" s="233"/>
      <c r="Y735" s="208"/>
      <c r="Z735" s="208"/>
      <c r="AA735" s="208"/>
      <c r="AB735" s="960"/>
      <c r="AC735" s="210">
        <v>2697.17</v>
      </c>
      <c r="AD735" s="210">
        <v>2958.13</v>
      </c>
      <c r="AE735" s="210">
        <v>2702.24</v>
      </c>
      <c r="AF735" s="253">
        <v>2498.89</v>
      </c>
      <c r="AG735" s="253">
        <f t="shared" si="166"/>
        <v>2498.89</v>
      </c>
      <c r="AH735" s="114"/>
      <c r="AK735" s="904"/>
      <c r="DF735" s="1434" t="str">
        <f t="shared" si="149"/>
        <v>ASHP-SEER21-Replace_CAC_NonElectricHeat_ER1_SF</v>
      </c>
      <c r="DG735" s="1019">
        <f>(DI735+DI736+DI737+DI738)/(DJ735+DJ736+DJ737+DJ738)</f>
        <v>5.8726177311410614</v>
      </c>
      <c r="DH735" s="1265" t="str">
        <f t="shared" si="165"/>
        <v>Cooling Res 6 Year EUL</v>
      </c>
      <c r="DI735" s="1020">
        <f>(INDEX('Avoided Cost Benefits'!$B$4:$B$866,MATCH(DH735,'Avoided Cost Benefits'!$A$4:$A$866,0)))*F735</f>
        <v>2488.5148519221975</v>
      </c>
      <c r="DJ735" s="2051">
        <f t="shared" si="150"/>
        <v>636.0313063667636</v>
      </c>
      <c r="DM735" s="234"/>
    </row>
    <row r="736" spans="1:117" x14ac:dyDescent="0.25">
      <c r="A736" s="2146" t="s">
        <v>861</v>
      </c>
      <c r="B736" s="1318">
        <f t="shared" si="148"/>
        <v>353560</v>
      </c>
      <c r="C736" s="18" t="s">
        <v>1191</v>
      </c>
      <c r="D736" s="1974" t="s">
        <v>863</v>
      </c>
      <c r="E736" s="1265" t="s">
        <v>1192</v>
      </c>
      <c r="F736" s="208">
        <v>0</v>
      </c>
      <c r="G736" s="540" t="s">
        <v>1031</v>
      </c>
      <c r="H736" s="66">
        <f>VLOOKUP(G736,'CP FACTORS'!$A$3:$B$38, 2, FALSE)</f>
        <v>0</v>
      </c>
      <c r="I736" s="1070">
        <f t="shared" si="164"/>
        <v>0</v>
      </c>
      <c r="J736" s="57">
        <f t="shared" si="167"/>
        <v>6</v>
      </c>
      <c r="K736" s="152">
        <f t="shared" si="163"/>
        <v>0</v>
      </c>
      <c r="L736" s="167"/>
      <c r="M736" s="531"/>
      <c r="N736" s="542"/>
      <c r="O736" s="398"/>
      <c r="R736" s="510"/>
      <c r="T736" s="50"/>
      <c r="U736" s="544"/>
      <c r="V736" s="1307" t="s">
        <v>46</v>
      </c>
      <c r="W736" s="903"/>
      <c r="X736" s="233"/>
      <c r="Y736" s="208"/>
      <c r="Z736" s="208"/>
      <c r="AA736" s="208"/>
      <c r="AB736" s="960"/>
      <c r="AC736" s="210">
        <v>0</v>
      </c>
      <c r="AD736" s="208">
        <v>0</v>
      </c>
      <c r="AE736" s="208">
        <v>0</v>
      </c>
      <c r="AF736" s="253">
        <v>0</v>
      </c>
      <c r="AG736" s="253">
        <f t="shared" si="166"/>
        <v>0</v>
      </c>
      <c r="AH736" s="114"/>
      <c r="AK736" s="904"/>
      <c r="DF736" s="1434" t="str">
        <f t="shared" si="149"/>
        <v>ASHP-SEER21-Replace_CAC_NonElectricHeat_ER1_SF</v>
      </c>
      <c r="DG736" s="1023"/>
      <c r="DH736" s="1265" t="str">
        <f t="shared" si="165"/>
        <v>Heating Res 6 Year EUL</v>
      </c>
      <c r="DI736" s="1020">
        <f>(INDEX('Avoided Cost Benefits'!$B$4:$B$866,MATCH(DH736,'Avoided Cost Benefits'!$A$4:$A$866,0)))*F736</f>
        <v>0</v>
      </c>
      <c r="DJ736" s="2051">
        <f t="shared" si="150"/>
        <v>0</v>
      </c>
      <c r="DM736" s="234"/>
    </row>
    <row r="737" spans="1:117" x14ac:dyDescent="0.25">
      <c r="A737" s="2146" t="s">
        <v>861</v>
      </c>
      <c r="B737" s="1318">
        <f t="shared" si="148"/>
        <v>353560</v>
      </c>
      <c r="C737" s="18" t="s">
        <v>1191</v>
      </c>
      <c r="D737" s="1974" t="s">
        <v>863</v>
      </c>
      <c r="E737" s="1265" t="s">
        <v>1193</v>
      </c>
      <c r="F737" s="208">
        <f>ROUND(((K1330*K1433*(1/K1536-1/K1639)*K1742)/1000)*$K$1800,2)</f>
        <v>963.47</v>
      </c>
      <c r="G737" s="540" t="s">
        <v>1083</v>
      </c>
      <c r="H737" s="66">
        <f>VLOOKUP(G737,'CP FACTORS'!$A$3:$B$38, 2, FALSE)</f>
        <v>9.4741810000000004E-4</v>
      </c>
      <c r="I737" s="1070">
        <f t="shared" si="164"/>
        <v>0.91280899999999998</v>
      </c>
      <c r="J737" s="57">
        <f t="shared" si="167"/>
        <v>12</v>
      </c>
      <c r="K737" s="152">
        <f t="shared" si="163"/>
        <v>0</v>
      </c>
      <c r="L737" s="167"/>
      <c r="M737" s="531"/>
      <c r="N737" s="542"/>
      <c r="O737" s="398"/>
      <c r="R737" s="510"/>
      <c r="T737" s="50"/>
      <c r="U737" s="544"/>
      <c r="V737" s="1307" t="s">
        <v>46</v>
      </c>
      <c r="W737" s="903"/>
      <c r="X737" s="233"/>
      <c r="Y737" s="208"/>
      <c r="Z737" s="208"/>
      <c r="AA737" s="208"/>
      <c r="AB737" s="960"/>
      <c r="AC737" s="210">
        <v>1151.58</v>
      </c>
      <c r="AD737" s="210">
        <v>1070.04</v>
      </c>
      <c r="AE737" s="210">
        <v>892.64</v>
      </c>
      <c r="AF737" s="253">
        <v>963.47</v>
      </c>
      <c r="AG737" s="253">
        <f t="shared" si="166"/>
        <v>963.47</v>
      </c>
      <c r="AH737" s="114"/>
      <c r="AK737" s="904"/>
      <c r="DF737" s="1434" t="str">
        <f t="shared" si="149"/>
        <v>ASHP-SEER21-Replace_CAC_NonElectricHeat_ER2_SF</v>
      </c>
      <c r="DG737" s="1023"/>
      <c r="DH737" s="1265" t="str">
        <f t="shared" si="165"/>
        <v>Cooling Res ER2 12 Year EUL</v>
      </c>
      <c r="DI737" s="1020">
        <f>(INDEX('Avoided Cost Benefits'!$B$4:$B$866,MATCH(DH737,'Avoided Cost Benefits'!$A$4:$A$866,0)))*F737</f>
        <v>1246.6538754080711</v>
      </c>
      <c r="DJ737" s="2051">
        <f t="shared" si="150"/>
        <v>0</v>
      </c>
      <c r="DM737" s="234"/>
    </row>
    <row r="738" spans="1:117" x14ac:dyDescent="0.25">
      <c r="A738" s="2146" t="s">
        <v>861</v>
      </c>
      <c r="B738" s="1318">
        <f t="shared" si="148"/>
        <v>353560</v>
      </c>
      <c r="C738" s="18" t="s">
        <v>1191</v>
      </c>
      <c r="D738" s="1974" t="s">
        <v>863</v>
      </c>
      <c r="E738" s="1241" t="s">
        <v>1193</v>
      </c>
      <c r="F738" s="208">
        <f>0</f>
        <v>0</v>
      </c>
      <c r="G738" s="540" t="s">
        <v>1118</v>
      </c>
      <c r="H738" s="66">
        <f>VLOOKUP(G738,'CP FACTORS'!$A$3:$B$38, 2, FALSE)</f>
        <v>0</v>
      </c>
      <c r="I738" s="1070">
        <f t="shared" si="164"/>
        <v>0</v>
      </c>
      <c r="J738" s="57">
        <f t="shared" si="167"/>
        <v>12</v>
      </c>
      <c r="K738" s="152">
        <f t="shared" si="163"/>
        <v>0</v>
      </c>
      <c r="L738" s="167"/>
      <c r="M738" s="531"/>
      <c r="N738" s="542"/>
      <c r="O738" s="398"/>
      <c r="R738" s="510"/>
      <c r="T738" s="50"/>
      <c r="U738" s="544"/>
      <c r="V738" s="1307" t="s">
        <v>46</v>
      </c>
      <c r="W738" s="903"/>
      <c r="X738" s="233"/>
      <c r="Y738" s="208"/>
      <c r="Z738" s="208"/>
      <c r="AA738" s="208"/>
      <c r="AB738" s="960"/>
      <c r="AC738" s="210">
        <v>0</v>
      </c>
      <c r="AD738" s="208">
        <v>0</v>
      </c>
      <c r="AE738" s="208">
        <v>0</v>
      </c>
      <c r="AF738" s="253">
        <v>0</v>
      </c>
      <c r="AG738" s="253">
        <f t="shared" si="166"/>
        <v>0</v>
      </c>
      <c r="AH738" s="114"/>
      <c r="AK738" s="904"/>
      <c r="DF738" s="1434" t="str">
        <f t="shared" si="149"/>
        <v>ASHP-SEER21-Replace_CAC_NonElectricHeat_ER2_SF</v>
      </c>
      <c r="DG738" s="1023"/>
      <c r="DH738" s="1265" t="str">
        <f t="shared" si="165"/>
        <v>Heating Res ER2 12 Year EUL</v>
      </c>
      <c r="DI738" s="1020">
        <f>(INDEX('Avoided Cost Benefits'!$B$4:$B$866,MATCH(DH738,'Avoided Cost Benefits'!$A$4:$A$866,0)))*F738</f>
        <v>0</v>
      </c>
      <c r="DJ738" s="2051">
        <f t="shared" si="150"/>
        <v>0</v>
      </c>
      <c r="DM738" s="234"/>
    </row>
    <row r="739" spans="1:117" x14ac:dyDescent="0.25">
      <c r="A739" s="2146" t="s">
        <v>602</v>
      </c>
      <c r="B739" s="1318">
        <f t="shared" si="148"/>
        <v>353600</v>
      </c>
      <c r="C739" s="18" t="s">
        <v>1194</v>
      </c>
      <c r="D739" s="1974" t="s">
        <v>810</v>
      </c>
      <c r="E739" s="1240" t="s">
        <v>1195</v>
      </c>
      <c r="F739" s="208">
        <f>ROUND(((K1331*K1434*(1/K1537-1/K1640)*K1743)/1000)*$K$1800,2)</f>
        <v>1521.91</v>
      </c>
      <c r="G739" s="540" t="s">
        <v>1030</v>
      </c>
      <c r="H739" s="66">
        <f>VLOOKUP(G739,'CP FACTORS'!$A$3:$B$38, 2, FALSE)</f>
        <v>9.4741810000000004E-4</v>
      </c>
      <c r="I739" s="1070">
        <f t="shared" si="164"/>
        <v>1.4418850000000001</v>
      </c>
      <c r="J739" s="57">
        <f t="shared" si="167"/>
        <v>6</v>
      </c>
      <c r="K739" s="152">
        <f t="shared" si="163"/>
        <v>3847.7316315552043</v>
      </c>
      <c r="L739" s="167">
        <f>L918</f>
        <v>3.1</v>
      </c>
      <c r="M739" s="531"/>
      <c r="N739" s="542"/>
      <c r="O739" s="398"/>
      <c r="R739" s="510"/>
      <c r="T739" s="50"/>
      <c r="U739" s="544"/>
      <c r="V739" s="1307" t="s">
        <v>46</v>
      </c>
      <c r="W739" s="903">
        <v>2089.4703361344541</v>
      </c>
      <c r="X739" s="233">
        <v>1521.9079711884754</v>
      </c>
      <c r="Y739" s="208">
        <v>1521.91</v>
      </c>
      <c r="Z739" s="208">
        <v>1521.91</v>
      </c>
      <c r="AA739" s="208">
        <v>1521.91</v>
      </c>
      <c r="AB739" s="960">
        <v>1521.91</v>
      </c>
      <c r="AC739" s="901">
        <v>1521.91</v>
      </c>
      <c r="AD739" s="208">
        <v>1521.91</v>
      </c>
      <c r="AE739" s="208">
        <v>1521.91</v>
      </c>
      <c r="AF739" s="253">
        <v>1521.91</v>
      </c>
      <c r="AG739" s="253">
        <f t="shared" si="166"/>
        <v>1521.91</v>
      </c>
      <c r="AH739" s="114"/>
      <c r="AK739" s="904"/>
      <c r="DF739" s="1434" t="str">
        <f t="shared" si="149"/>
        <v>ASHP-SEER21-Replace_CAC_ElectricHeat_ER1_MF</v>
      </c>
      <c r="DG739" s="1019">
        <f>(DI739+DI740+DI741+DI742)/(DJ739+DJ740+DJ741+DJ742)</f>
        <v>1.6204391830527427</v>
      </c>
      <c r="DH739" s="1240" t="str">
        <f t="shared" si="165"/>
        <v>Cooling Res 6 Year EUL</v>
      </c>
      <c r="DI739" s="1020">
        <f>(INDEX('Avoided Cost Benefits'!$B$4:$B$866,MATCH(DH739,'Avoided Cost Benefits'!$A$4:$A$866,0)))*F739</f>
        <v>1515.5911777985073</v>
      </c>
      <c r="DJ739" s="2051">
        <f t="shared" si="150"/>
        <v>3847.7316315552043</v>
      </c>
      <c r="DM739" s="234"/>
    </row>
    <row r="740" spans="1:117" x14ac:dyDescent="0.25">
      <c r="A740" s="2146" t="s">
        <v>602</v>
      </c>
      <c r="B740" s="1318">
        <f t="shared" si="148"/>
        <v>353600</v>
      </c>
      <c r="C740" s="18" t="s">
        <v>1194</v>
      </c>
      <c r="D740" s="1974" t="s">
        <v>810</v>
      </c>
      <c r="E740" s="1265" t="s">
        <v>1195</v>
      </c>
      <c r="F740" s="208">
        <f>ROUND(((K918*K1022*(1/K1125-1/K1228)*K1743)/1000)*$K$1800,2)</f>
        <v>6575.3</v>
      </c>
      <c r="G740" s="540" t="s">
        <v>1031</v>
      </c>
      <c r="H740" s="66">
        <f>VLOOKUP(G740,'CP FACTORS'!$A$3:$B$38, 2, FALSE)</f>
        <v>0</v>
      </c>
      <c r="I740" s="1070">
        <f t="shared" si="164"/>
        <v>0</v>
      </c>
      <c r="J740" s="57">
        <f t="shared" si="167"/>
        <v>6</v>
      </c>
      <c r="K740" s="152">
        <f t="shared" si="163"/>
        <v>0</v>
      </c>
      <c r="L740" s="167"/>
      <c r="M740" s="531"/>
      <c r="N740" s="542"/>
      <c r="O740" s="398"/>
      <c r="R740" s="510"/>
      <c r="T740" s="50"/>
      <c r="U740" s="544"/>
      <c r="V740" s="1307" t="s">
        <v>46</v>
      </c>
      <c r="W740" s="903">
        <v>9077.8044487427451</v>
      </c>
      <c r="X740" s="233">
        <v>6759.7787234042544</v>
      </c>
      <c r="Y740" s="208">
        <v>6759.78</v>
      </c>
      <c r="Z740" s="208">
        <v>6759.78</v>
      </c>
      <c r="AA740" s="208">
        <v>6759.78</v>
      </c>
      <c r="AB740" s="960">
        <v>6759.78</v>
      </c>
      <c r="AC740" s="901">
        <v>6759.78</v>
      </c>
      <c r="AD740" s="208">
        <v>6759.78</v>
      </c>
      <c r="AE740" s="208">
        <v>6759.78</v>
      </c>
      <c r="AF740" s="253">
        <v>6759.78</v>
      </c>
      <c r="AG740" s="253">
        <f t="shared" si="166"/>
        <v>6575.3</v>
      </c>
      <c r="AH740" s="114"/>
      <c r="AK740" s="904"/>
      <c r="DF740" s="1434" t="str">
        <f t="shared" si="149"/>
        <v>ASHP-SEER21-Replace_CAC_ElectricHeat_ER1_MF</v>
      </c>
      <c r="DG740" s="1023"/>
      <c r="DH740" s="1265" t="str">
        <f t="shared" si="165"/>
        <v>Heating Res 6 Year EUL</v>
      </c>
      <c r="DI740" s="1020">
        <f>(INDEX('Avoided Cost Benefits'!$B$4:$B$866,MATCH(DH740,'Avoided Cost Benefits'!$A$4:$A$866,0)))*F740</f>
        <v>1763.3561335887612</v>
      </c>
      <c r="DJ740" s="2051">
        <f t="shared" si="150"/>
        <v>0</v>
      </c>
      <c r="DM740" s="234"/>
    </row>
    <row r="741" spans="1:117" x14ac:dyDescent="0.25">
      <c r="A741" s="2146" t="s">
        <v>602</v>
      </c>
      <c r="B741" s="1318">
        <f t="shared" si="148"/>
        <v>353600</v>
      </c>
      <c r="C741" s="18" t="s">
        <v>1194</v>
      </c>
      <c r="D741" s="1974" t="s">
        <v>810</v>
      </c>
      <c r="E741" s="1265" t="s">
        <v>1196</v>
      </c>
      <c r="F741" s="208">
        <f>ROUND(((K1332*K1435*(1/K1538-1/K1641)*K1744)/1000)*$K$1800,2)</f>
        <v>567.5</v>
      </c>
      <c r="G741" s="540" t="s">
        <v>1083</v>
      </c>
      <c r="H741" s="66">
        <f>VLOOKUP(G741,'CP FACTORS'!$A$3:$B$38, 2, FALSE)</f>
        <v>9.4741810000000004E-4</v>
      </c>
      <c r="I741" s="1070">
        <f t="shared" si="164"/>
        <v>0.53766000000000003</v>
      </c>
      <c r="J741" s="57">
        <f t="shared" si="167"/>
        <v>12</v>
      </c>
      <c r="K741" s="152">
        <f t="shared" si="163"/>
        <v>0</v>
      </c>
      <c r="L741" s="167"/>
      <c r="M741" s="531"/>
      <c r="N741" s="542"/>
      <c r="O741" s="398"/>
      <c r="R741" s="510"/>
      <c r="T741" s="50"/>
      <c r="U741" s="544"/>
      <c r="V741" s="1307" t="s">
        <v>46</v>
      </c>
      <c r="W741" s="903">
        <v>615.74857142857161</v>
      </c>
      <c r="X741" s="236">
        <v>615.74857142857161</v>
      </c>
      <c r="Y741" s="208">
        <v>615.75</v>
      </c>
      <c r="Z741" s="208">
        <v>615.75</v>
      </c>
      <c r="AA741" s="208">
        <v>615.75</v>
      </c>
      <c r="AB741" s="960">
        <v>615.75</v>
      </c>
      <c r="AC741" s="901">
        <v>615.75</v>
      </c>
      <c r="AD741" s="208">
        <v>615.75</v>
      </c>
      <c r="AE741" s="210">
        <v>500.3</v>
      </c>
      <c r="AF741" s="253">
        <v>567.5</v>
      </c>
      <c r="AG741" s="253">
        <f t="shared" si="166"/>
        <v>567.5</v>
      </c>
      <c r="AH741" s="114"/>
      <c r="AK741" s="904"/>
      <c r="DF741" s="1434" t="str">
        <f t="shared" si="149"/>
        <v>ASHP-SEER21-Replace_CAC_ElectricHeat_ER2_MF</v>
      </c>
      <c r="DG741" s="1023"/>
      <c r="DH741" s="1265" t="str">
        <f t="shared" si="165"/>
        <v>Cooling Res ER2 12 Year EUL</v>
      </c>
      <c r="DI741" s="1020">
        <f>(INDEX('Avoided Cost Benefits'!$B$4:$B$866,MATCH(DH741,'Avoided Cost Benefits'!$A$4:$A$866,0)))*F741</f>
        <v>734.30005531472739</v>
      </c>
      <c r="DJ741" s="2051">
        <f t="shared" si="150"/>
        <v>0</v>
      </c>
      <c r="DM741" s="234"/>
    </row>
    <row r="742" spans="1:117" x14ac:dyDescent="0.25">
      <c r="A742" s="2146" t="s">
        <v>602</v>
      </c>
      <c r="B742" s="1318">
        <f t="shared" si="148"/>
        <v>353600</v>
      </c>
      <c r="C742" s="18" t="s">
        <v>1194</v>
      </c>
      <c r="D742" s="1974" t="s">
        <v>810</v>
      </c>
      <c r="E742" s="1241" t="s">
        <v>1196</v>
      </c>
      <c r="F742" s="208">
        <f>ROUND(((K919*K1023*(1/K1126-1/K1229)*K1744)/1000)*$K$1800,2)</f>
        <v>6575.3</v>
      </c>
      <c r="G742" s="540" t="s">
        <v>1118</v>
      </c>
      <c r="H742" s="66">
        <f>VLOOKUP(G742,'CP FACTORS'!$A$3:$B$38, 2, FALSE)</f>
        <v>0</v>
      </c>
      <c r="I742" s="1070">
        <f t="shared" si="164"/>
        <v>0</v>
      </c>
      <c r="J742" s="57">
        <f t="shared" si="167"/>
        <v>12</v>
      </c>
      <c r="K742" s="152">
        <f t="shared" si="163"/>
        <v>0</v>
      </c>
      <c r="L742" s="167"/>
      <c r="M742" s="531"/>
      <c r="N742" s="542"/>
      <c r="O742" s="398"/>
      <c r="R742" s="510"/>
      <c r="T742" s="50"/>
      <c r="U742" s="544"/>
      <c r="V742" s="1307" t="s">
        <v>46</v>
      </c>
      <c r="W742" s="903">
        <v>9077.8044487427451</v>
      </c>
      <c r="X742" s="233">
        <v>6759.7787234042544</v>
      </c>
      <c r="Y742" s="208">
        <v>6759.78</v>
      </c>
      <c r="Z742" s="208">
        <v>6759.78</v>
      </c>
      <c r="AA742" s="208">
        <v>6759.78</v>
      </c>
      <c r="AB742" s="960">
        <v>6759.78</v>
      </c>
      <c r="AC742" s="901">
        <v>6759.78</v>
      </c>
      <c r="AD742" s="208">
        <v>6759.78</v>
      </c>
      <c r="AE742" s="208">
        <v>6759.78</v>
      </c>
      <c r="AF742" s="253">
        <v>6759.78</v>
      </c>
      <c r="AG742" s="253">
        <f t="shared" si="166"/>
        <v>6575.3</v>
      </c>
      <c r="AH742" s="114"/>
      <c r="AK742" s="904"/>
      <c r="DF742" s="1434" t="str">
        <f t="shared" si="149"/>
        <v>ASHP-SEER21-Replace_CAC_ElectricHeat_ER2_MF</v>
      </c>
      <c r="DG742" s="1023"/>
      <c r="DH742" s="1241" t="str">
        <f t="shared" si="165"/>
        <v>Heating Res ER2 12 Year EUL</v>
      </c>
      <c r="DI742" s="1020">
        <f>(INDEX('Avoided Cost Benefits'!$B$4:$B$866,MATCH(DH742,'Avoided Cost Benefits'!$A$4:$A$866,0)))*F742</f>
        <v>2221.7677349415162</v>
      </c>
      <c r="DJ742" s="2051">
        <f t="shared" si="150"/>
        <v>0</v>
      </c>
      <c r="DM742" s="234"/>
    </row>
    <row r="743" spans="1:117" x14ac:dyDescent="0.25">
      <c r="A743" s="2146" t="s">
        <v>607</v>
      </c>
      <c r="B743" s="1318">
        <f t="shared" si="148"/>
        <v>353650</v>
      </c>
      <c r="C743" s="18" t="s">
        <v>1197</v>
      </c>
      <c r="D743" s="1974" t="s">
        <v>863</v>
      </c>
      <c r="E743" s="198" t="s">
        <v>1198</v>
      </c>
      <c r="F743" s="208">
        <f>ROUND(((K1333*K1436*(1/K1539-1/K1642)*K1745)/1000)*$K$1800,2)</f>
        <v>981.12</v>
      </c>
      <c r="G743" s="540" t="s">
        <v>1030</v>
      </c>
      <c r="H743" s="66">
        <f>VLOOKUP(G743,'CP FACTORS'!$A$3:$B$38, 2, FALSE)</f>
        <v>9.4741810000000004E-4</v>
      </c>
      <c r="I743" s="1070">
        <f t="shared" si="164"/>
        <v>0.929531</v>
      </c>
      <c r="J743" s="57">
        <f t="shared" si="167"/>
        <v>18</v>
      </c>
      <c r="K743" s="152">
        <f t="shared" si="163"/>
        <v>4678.9696970312507</v>
      </c>
      <c r="L743" s="167">
        <f>L920</f>
        <v>3.4699494950520831</v>
      </c>
      <c r="M743" s="531"/>
      <c r="N743" s="542"/>
      <c r="O743" s="398"/>
      <c r="R743" s="510"/>
      <c r="T743" s="50"/>
      <c r="U743" s="544"/>
      <c r="V743" s="1307" t="s">
        <v>46</v>
      </c>
      <c r="W743" s="903">
        <v>977.86373626373654</v>
      </c>
      <c r="X743" s="236">
        <v>977.86373626373654</v>
      </c>
      <c r="Y743" s="208">
        <v>977.86</v>
      </c>
      <c r="Z743" s="208">
        <v>977.86</v>
      </c>
      <c r="AA743" s="208">
        <v>977.86</v>
      </c>
      <c r="AB743" s="960">
        <v>977.86</v>
      </c>
      <c r="AC743" s="210">
        <v>1109.96</v>
      </c>
      <c r="AD743" s="210">
        <v>1127.3</v>
      </c>
      <c r="AE743" s="210">
        <v>999.42</v>
      </c>
      <c r="AF743" s="253">
        <v>981.12</v>
      </c>
      <c r="AG743" s="253">
        <f t="shared" si="166"/>
        <v>981.12</v>
      </c>
      <c r="AH743" s="114"/>
      <c r="AK743" s="904"/>
      <c r="DF743" s="1434" t="str">
        <f t="shared" si="149"/>
        <v>ASHP-SEER21-Replace_CAC_ElectricHeat_ROF_SF</v>
      </c>
      <c r="DG743" s="1019">
        <f>(DI743+DI744)/(DJ743+DJ744)</f>
        <v>1.9468302605261167</v>
      </c>
      <c r="DH743" s="198" t="str">
        <f t="shared" si="165"/>
        <v>Cooling Res 18 Year EUL</v>
      </c>
      <c r="DI743" s="1020">
        <f>(INDEX('Avoided Cost Benefits'!$B$4:$B$866,MATCH(DH743,'Avoided Cost Benefits'!$A$4:$A$866,0)))*F743</f>
        <v>2246.5380628155731</v>
      </c>
      <c r="DJ743" s="2051">
        <f t="shared" si="150"/>
        <v>4678.9696970312507</v>
      </c>
      <c r="DM743" s="234"/>
    </row>
    <row r="744" spans="1:117" x14ac:dyDescent="0.25">
      <c r="A744" s="2146" t="s">
        <v>607</v>
      </c>
      <c r="B744" s="1318">
        <f t="shared" si="148"/>
        <v>353650</v>
      </c>
      <c r="C744" s="18" t="s">
        <v>1197</v>
      </c>
      <c r="D744" s="1974" t="s">
        <v>863</v>
      </c>
      <c r="E744" s="235" t="s">
        <v>1198</v>
      </c>
      <c r="F744" s="208">
        <f>ROUND(((K920*K1024*(1/K1127-1/K1230)*K1745)/1000)*$K$1800,2)</f>
        <v>11323.06</v>
      </c>
      <c r="G744" s="540" t="s">
        <v>1031</v>
      </c>
      <c r="H744" s="66">
        <f>VLOOKUP(G744,'CP FACTORS'!$A$3:$B$38, 2, FALSE)</f>
        <v>0</v>
      </c>
      <c r="I744" s="1070">
        <f t="shared" si="164"/>
        <v>0</v>
      </c>
      <c r="J744" s="57">
        <f t="shared" si="167"/>
        <v>18</v>
      </c>
      <c r="K744" s="152">
        <f t="shared" si="163"/>
        <v>0</v>
      </c>
      <c r="L744" s="167"/>
      <c r="M744" s="531"/>
      <c r="N744" s="542"/>
      <c r="O744" s="398"/>
      <c r="R744" s="510"/>
      <c r="T744" s="50"/>
      <c r="U744" s="544"/>
      <c r="V744" s="1307" t="s">
        <v>46</v>
      </c>
      <c r="W744" s="903">
        <v>14670.188469329136</v>
      </c>
      <c r="X744" s="233">
        <v>10924.142334552707</v>
      </c>
      <c r="Y744" s="208">
        <v>10924.14</v>
      </c>
      <c r="Z744" s="208">
        <v>10924.14</v>
      </c>
      <c r="AA744" s="208">
        <v>10924.14</v>
      </c>
      <c r="AB744" s="960">
        <v>10924.14</v>
      </c>
      <c r="AC744" s="210">
        <v>12441.81</v>
      </c>
      <c r="AD744" s="210">
        <v>12604.65</v>
      </c>
      <c r="AE744" s="210">
        <v>12395.99</v>
      </c>
      <c r="AF744" s="253">
        <v>12395.99</v>
      </c>
      <c r="AG744" s="253">
        <f t="shared" si="166"/>
        <v>11323.06</v>
      </c>
      <c r="AH744" s="114"/>
      <c r="AK744" s="904"/>
      <c r="DF744" s="1434" t="str">
        <f t="shared" si="149"/>
        <v>ASHP-SEER21-Replace_CAC_ElectricHeat_ROF_SF</v>
      </c>
      <c r="DG744" s="1021"/>
      <c r="DH744" s="235" t="str">
        <f t="shared" si="165"/>
        <v>Heating Res 18 Year EUL</v>
      </c>
      <c r="DI744" s="1020">
        <f>(INDEX('Avoided Cost Benefits'!$B$4:$B$866,MATCH(DH744,'Avoided Cost Benefits'!$A$4:$A$866,0)))*F744</f>
        <v>6862.6217314495825</v>
      </c>
      <c r="DJ744" s="2051">
        <f t="shared" si="150"/>
        <v>0</v>
      </c>
      <c r="DM744" s="234"/>
    </row>
    <row r="745" spans="1:117" x14ac:dyDescent="0.25">
      <c r="A745" s="2146" t="s">
        <v>861</v>
      </c>
      <c r="B745" s="1318">
        <f t="shared" si="148"/>
        <v>353660</v>
      </c>
      <c r="C745" s="18" t="s">
        <v>1199</v>
      </c>
      <c r="D745" s="1974" t="s">
        <v>863</v>
      </c>
      <c r="E745" s="198" t="s">
        <v>1200</v>
      </c>
      <c r="F745" s="208">
        <f>ROUND(((K1334*K1437*(1/K1540-1/K1643)*K1746)/1000)*$K$1800,2)</f>
        <v>981.12</v>
      </c>
      <c r="G745" s="540" t="s">
        <v>1030</v>
      </c>
      <c r="H745" s="66">
        <f>VLOOKUP(G745,'CP FACTORS'!$A$3:$B$38, 2, FALSE)</f>
        <v>9.4741810000000004E-4</v>
      </c>
      <c r="I745" s="1070">
        <f>ROUND(F745*H745,6)</f>
        <v>0.929531</v>
      </c>
      <c r="J745" s="57">
        <f t="shared" si="167"/>
        <v>18</v>
      </c>
      <c r="K745" s="152">
        <f t="shared" si="163"/>
        <v>373.0952204170697</v>
      </c>
      <c r="L745" s="167">
        <f>L921</f>
        <v>3.4699494950520831</v>
      </c>
      <c r="M745" s="531"/>
      <c r="N745" s="542"/>
      <c r="O745" s="398"/>
      <c r="R745" s="510"/>
      <c r="T745" s="50"/>
      <c r="U745" s="544"/>
      <c r="V745" s="1307" t="s">
        <v>46</v>
      </c>
      <c r="W745" s="903"/>
      <c r="X745" s="233"/>
      <c r="Y745" s="210"/>
      <c r="Z745" s="208"/>
      <c r="AA745" s="208"/>
      <c r="AB745" s="959"/>
      <c r="AC745" s="210"/>
      <c r="AD745" s="210">
        <v>1127.3</v>
      </c>
      <c r="AE745" s="210">
        <v>999.42</v>
      </c>
      <c r="AF745" s="253">
        <v>981.12</v>
      </c>
      <c r="AG745" s="253">
        <f t="shared" si="166"/>
        <v>981.12</v>
      </c>
      <c r="AH745" s="114"/>
      <c r="AK745" s="904"/>
      <c r="DF745" s="1434" t="str">
        <f t="shared" si="149"/>
        <v>ASHP-SEER21-Replace_CAC_NonElectricHeat_ROF_SF</v>
      </c>
      <c r="DG745" s="1019">
        <f>(DI745+DI746)/(DJ745+DJ746)</f>
        <v>6.0213531020425544</v>
      </c>
      <c r="DH745" s="198" t="str">
        <f>CONCATENATE(G745," ",J745," Year EUL")</f>
        <v>Cooling Res 18 Year EUL</v>
      </c>
      <c r="DI745" s="1020">
        <f>(INDEX('Avoided Cost Benefits'!$B$4:$B$866,MATCH(DH745,'Avoided Cost Benefits'!$A$4:$A$866,0)))*F745</f>
        <v>2246.5380628155731</v>
      </c>
      <c r="DJ745" s="2051">
        <f t="shared" si="150"/>
        <v>373.0952204170697</v>
      </c>
      <c r="DM745" s="234"/>
    </row>
    <row r="746" spans="1:117" x14ac:dyDescent="0.25">
      <c r="A746" s="2146" t="s">
        <v>861</v>
      </c>
      <c r="B746" s="1318">
        <f t="shared" si="148"/>
        <v>353660</v>
      </c>
      <c r="C746" s="18" t="s">
        <v>1199</v>
      </c>
      <c r="D746" s="1974" t="s">
        <v>863</v>
      </c>
      <c r="E746" s="235" t="s">
        <v>1200</v>
      </c>
      <c r="F746" s="208">
        <f>0</f>
        <v>0</v>
      </c>
      <c r="G746" s="540" t="s">
        <v>1031</v>
      </c>
      <c r="H746" s="66">
        <f>VLOOKUP(G746,'CP FACTORS'!$A$3:$B$38, 2, FALSE)</f>
        <v>0</v>
      </c>
      <c r="I746" s="1070">
        <f>ROUND(F746*H746,6)</f>
        <v>0</v>
      </c>
      <c r="J746" s="57">
        <f t="shared" si="167"/>
        <v>18</v>
      </c>
      <c r="K746" s="152">
        <f t="shared" si="163"/>
        <v>0</v>
      </c>
      <c r="L746" s="167"/>
      <c r="M746" s="531"/>
      <c r="N746" s="542"/>
      <c r="O746" s="398"/>
      <c r="R746" s="510"/>
      <c r="T746" s="50"/>
      <c r="U746" s="544"/>
      <c r="V746" s="1307" t="s">
        <v>46</v>
      </c>
      <c r="W746" s="903"/>
      <c r="X746" s="233"/>
      <c r="Y746" s="210"/>
      <c r="Z746" s="208"/>
      <c r="AA746" s="208"/>
      <c r="AB746" s="959"/>
      <c r="AC746" s="210"/>
      <c r="AD746" s="210">
        <v>0</v>
      </c>
      <c r="AE746" s="208">
        <v>0</v>
      </c>
      <c r="AF746" s="253">
        <v>0</v>
      </c>
      <c r="AG746" s="253">
        <f t="shared" si="166"/>
        <v>0</v>
      </c>
      <c r="AH746" s="114"/>
      <c r="AK746" s="904"/>
      <c r="DF746" s="1434" t="str">
        <f t="shared" si="149"/>
        <v>ASHP-SEER21-Replace_CAC_NonElectricHeat_ROF_SF</v>
      </c>
      <c r="DG746" s="1021"/>
      <c r="DH746" s="235" t="str">
        <f>CONCATENATE(G746," ",J746," Year EUL")</f>
        <v>Heating Res 18 Year EUL</v>
      </c>
      <c r="DI746" s="1020">
        <f>(INDEX('Avoided Cost Benefits'!$B$4:$B$866,MATCH(DH746,'Avoided Cost Benefits'!$A$4:$A$866,0)))*F746</f>
        <v>0</v>
      </c>
      <c r="DJ746" s="2051">
        <f t="shared" si="150"/>
        <v>0</v>
      </c>
      <c r="DM746" s="234"/>
    </row>
    <row r="747" spans="1:117" x14ac:dyDescent="0.25">
      <c r="A747" s="2146" t="s">
        <v>607</v>
      </c>
      <c r="B747" s="1318">
        <f t="shared" ref="B747:B790" si="168">VALUE(LEFT(C747,6))</f>
        <v>353750</v>
      </c>
      <c r="C747" s="18" t="s">
        <v>1201</v>
      </c>
      <c r="D747" s="1974" t="s">
        <v>863</v>
      </c>
      <c r="E747" s="198" t="s">
        <v>1202</v>
      </c>
      <c r="F747" s="208">
        <f>ROUND(((K1335*K1438*(1/K1541-1/K1644)*K1747)/1000)*$K$1800,2)</f>
        <v>2226.27</v>
      </c>
      <c r="G747" s="540" t="s">
        <v>1030</v>
      </c>
      <c r="H747" s="66">
        <f>VLOOKUP(G747,'CP FACTORS'!$A$3:$B$38, 2, FALSE)</f>
        <v>9.4741810000000004E-4</v>
      </c>
      <c r="I747" s="1070">
        <f t="shared" si="164"/>
        <v>2.1092080000000002</v>
      </c>
      <c r="J747" s="57">
        <f t="shared" si="167"/>
        <v>6</v>
      </c>
      <c r="K747" s="152">
        <f t="shared" si="163"/>
        <v>626.73442183390762</v>
      </c>
      <c r="L747" s="167">
        <f>L922</f>
        <v>2.6603692243864097</v>
      </c>
      <c r="M747" s="531"/>
      <c r="N747" s="542"/>
      <c r="O747" s="398"/>
      <c r="R747" s="510"/>
      <c r="T747" s="50"/>
      <c r="U747" s="544"/>
      <c r="V747" s="1307" t="s">
        <v>46</v>
      </c>
      <c r="W747" s="903">
        <v>2755.2411764705885</v>
      </c>
      <c r="X747" s="233">
        <v>2106.8816326530614</v>
      </c>
      <c r="Y747" s="208">
        <v>2106.88</v>
      </c>
      <c r="Z747" s="208">
        <v>2106.88</v>
      </c>
      <c r="AA747" s="208">
        <v>2106.88</v>
      </c>
      <c r="AB747" s="960">
        <v>2106.88</v>
      </c>
      <c r="AC747" s="210">
        <v>1716.58</v>
      </c>
      <c r="AD747" s="210">
        <v>2219.17</v>
      </c>
      <c r="AE747" s="210">
        <v>2277.0100000000002</v>
      </c>
      <c r="AF747" s="253">
        <v>2226.27</v>
      </c>
      <c r="AG747" s="253">
        <f t="shared" si="166"/>
        <v>2226.27</v>
      </c>
      <c r="AH747" s="114"/>
      <c r="AK747" s="904"/>
      <c r="DF747" s="1434" t="str">
        <f t="shared" ref="DF747:DF791" si="169">E747</f>
        <v>ASHP-SEER17_ER1_SF</v>
      </c>
      <c r="DG747" s="1019">
        <f>(DI747+DI748+DI749+DI750)/(DJ747+DJ748+DJ749+DJ750)</f>
        <v>5.3687302727035178</v>
      </c>
      <c r="DH747" s="198" t="str">
        <f t="shared" si="165"/>
        <v>Cooling Res 6 Year EUL</v>
      </c>
      <c r="DI747" s="1020">
        <f>(INDEX('Avoided Cost Benefits'!$B$4:$B$866,MATCH(DH747,'Avoided Cost Benefits'!$A$4:$A$866,0)))*F747</f>
        <v>2217.026743629704</v>
      </c>
      <c r="DJ747" s="2051">
        <f t="shared" ref="DJ747:DJ790" si="170">IFERROR(K747/((1+DiscountRate)^(CurrentYear-DiscountYear)),0)</f>
        <v>626.73442183390762</v>
      </c>
      <c r="DM747" s="234"/>
    </row>
    <row r="748" spans="1:117" x14ac:dyDescent="0.25">
      <c r="A748" s="2146" t="s">
        <v>607</v>
      </c>
      <c r="B748" s="1318">
        <f t="shared" si="168"/>
        <v>353750</v>
      </c>
      <c r="C748" s="18" t="s">
        <v>1201</v>
      </c>
      <c r="D748" s="1974" t="s">
        <v>863</v>
      </c>
      <c r="E748" s="1265" t="s">
        <v>1202</v>
      </c>
      <c r="F748" s="208">
        <f>ROUND(((K922*K1026*(1/K1129-1/K1232)*K1747)/1000)*$K$1800,2)</f>
        <v>1606.25</v>
      </c>
      <c r="G748" s="540" t="s">
        <v>1031</v>
      </c>
      <c r="H748" s="66">
        <f>VLOOKUP(G748,'CP FACTORS'!$A$3:$B$38, 2, FALSE)</f>
        <v>0</v>
      </c>
      <c r="I748" s="1070">
        <f t="shared" si="164"/>
        <v>0</v>
      </c>
      <c r="J748" s="57">
        <f t="shared" si="167"/>
        <v>6</v>
      </c>
      <c r="K748" s="152">
        <f t="shared" si="163"/>
        <v>0</v>
      </c>
      <c r="L748" s="167"/>
      <c r="M748" s="531"/>
      <c r="N748" s="542"/>
      <c r="O748" s="398"/>
      <c r="R748" s="510"/>
      <c r="T748" s="50"/>
      <c r="U748" s="544"/>
      <c r="V748" s="1307" t="s">
        <v>46</v>
      </c>
      <c r="W748" s="903">
        <v>6249.9803405572748</v>
      </c>
      <c r="X748" s="233">
        <v>2767.3247800351946</v>
      </c>
      <c r="Y748" s="208">
        <v>2767.32</v>
      </c>
      <c r="Z748" s="208">
        <v>2767.32</v>
      </c>
      <c r="AA748" s="208">
        <v>2767.32</v>
      </c>
      <c r="AB748" s="960">
        <v>2767.32</v>
      </c>
      <c r="AC748" s="210">
        <v>2388.46</v>
      </c>
      <c r="AD748" s="210">
        <v>2439.54</v>
      </c>
      <c r="AE748" s="210">
        <v>2214.4</v>
      </c>
      <c r="AF748" s="253">
        <v>2214.4</v>
      </c>
      <c r="AG748" s="253">
        <f t="shared" si="166"/>
        <v>1606.25</v>
      </c>
      <c r="AH748" s="114"/>
      <c r="AK748" s="904"/>
      <c r="DF748" s="1434" t="str">
        <f t="shared" si="169"/>
        <v>ASHP-SEER17_ER1_SF</v>
      </c>
      <c r="DG748" s="1023"/>
      <c r="DH748" s="1265" t="str">
        <f t="shared" si="165"/>
        <v>Heating Res 6 Year EUL</v>
      </c>
      <c r="DI748" s="1020">
        <f>(INDEX('Avoided Cost Benefits'!$B$4:$B$866,MATCH(DH748,'Avoided Cost Benefits'!$A$4:$A$866,0)))*F748</f>
        <v>430.76221458746329</v>
      </c>
      <c r="DJ748" s="2051">
        <f t="shared" si="170"/>
        <v>0</v>
      </c>
      <c r="DM748" s="234"/>
    </row>
    <row r="749" spans="1:117" x14ac:dyDescent="0.25">
      <c r="A749" s="2146" t="s">
        <v>607</v>
      </c>
      <c r="B749" s="1318">
        <f t="shared" si="168"/>
        <v>353750</v>
      </c>
      <c r="C749" s="18" t="s">
        <v>1201</v>
      </c>
      <c r="D749" s="1974" t="s">
        <v>863</v>
      </c>
      <c r="E749" s="1265" t="s">
        <v>1203</v>
      </c>
      <c r="F749" s="208">
        <f>ROUND(((K1336*K1439*(1/K1542-1/K1645)*K1748)/1000)*$K$1800,2)</f>
        <v>367.16</v>
      </c>
      <c r="G749" s="540" t="s">
        <v>1083</v>
      </c>
      <c r="H749" s="66">
        <f>VLOOKUP(G749,'CP FACTORS'!$A$3:$B$38, 2, FALSE)</f>
        <v>9.4741810000000004E-4</v>
      </c>
      <c r="I749" s="1070">
        <f t="shared" si="164"/>
        <v>0.347854</v>
      </c>
      <c r="J749" s="57">
        <f t="shared" si="167"/>
        <v>12</v>
      </c>
      <c r="K749" s="152">
        <f t="shared" si="163"/>
        <v>0</v>
      </c>
      <c r="L749" s="167"/>
      <c r="M749" s="531"/>
      <c r="N749" s="542"/>
      <c r="O749" s="398"/>
      <c r="R749" s="510"/>
      <c r="T749" s="50"/>
      <c r="U749" s="544"/>
      <c r="V749" s="1307" t="s">
        <v>46</v>
      </c>
      <c r="W749" s="903">
        <v>433.76974789915954</v>
      </c>
      <c r="X749" s="236">
        <v>433.76974789915954</v>
      </c>
      <c r="Y749" s="208">
        <v>433.77</v>
      </c>
      <c r="Z749" s="208">
        <v>433.77</v>
      </c>
      <c r="AA749" s="208">
        <v>433.77</v>
      </c>
      <c r="AB749" s="960">
        <v>433.77</v>
      </c>
      <c r="AC749" s="210">
        <v>399.92</v>
      </c>
      <c r="AD749" s="210">
        <v>427.89</v>
      </c>
      <c r="AE749" s="210">
        <v>283.33999999999997</v>
      </c>
      <c r="AF749" s="253">
        <v>367.16</v>
      </c>
      <c r="AG749" s="253">
        <f t="shared" si="166"/>
        <v>367.16</v>
      </c>
      <c r="AH749" s="114"/>
      <c r="AK749" s="904"/>
      <c r="DF749" s="1434" t="str">
        <f t="shared" si="169"/>
        <v>ASHP-SEER17_ER2_SF</v>
      </c>
      <c r="DG749" s="1023"/>
      <c r="DH749" s="1265" t="str">
        <f t="shared" si="165"/>
        <v>Cooling Res ER2 12 Year EUL</v>
      </c>
      <c r="DI749" s="1020">
        <f>(INDEX('Avoided Cost Benefits'!$B$4:$B$866,MATCH(DH749,'Avoided Cost Benefits'!$A$4:$A$866,0)))*F749</f>
        <v>475.07596177859966</v>
      </c>
      <c r="DJ749" s="2051">
        <f t="shared" si="170"/>
        <v>0</v>
      </c>
      <c r="DM749" s="234"/>
    </row>
    <row r="750" spans="1:117" x14ac:dyDescent="0.25">
      <c r="A750" s="2146" t="s">
        <v>607</v>
      </c>
      <c r="B750" s="1318">
        <f t="shared" si="168"/>
        <v>353750</v>
      </c>
      <c r="C750" s="18" t="s">
        <v>1201</v>
      </c>
      <c r="D750" s="1974" t="s">
        <v>863</v>
      </c>
      <c r="E750" s="1241" t="s">
        <v>1203</v>
      </c>
      <c r="F750" s="208">
        <f>ROUND(((K923*K1027*(1/K1130-1/K1233)*K1748)/1000)*$K$1800,2)</f>
        <v>715.91</v>
      </c>
      <c r="G750" s="540" t="s">
        <v>1118</v>
      </c>
      <c r="H750" s="66">
        <f>VLOOKUP(G750,'CP FACTORS'!$A$3:$B$38, 2, FALSE)</f>
        <v>0</v>
      </c>
      <c r="I750" s="1070">
        <f t="shared" si="164"/>
        <v>0</v>
      </c>
      <c r="J750" s="57">
        <f t="shared" si="167"/>
        <v>12</v>
      </c>
      <c r="K750" s="152">
        <f t="shared" si="163"/>
        <v>0</v>
      </c>
      <c r="L750" s="167"/>
      <c r="M750" s="531"/>
      <c r="N750" s="542"/>
      <c r="O750" s="398"/>
      <c r="R750" s="510"/>
      <c r="T750" s="50"/>
      <c r="U750" s="544"/>
      <c r="V750" s="1307" t="s">
        <v>46</v>
      </c>
      <c r="W750" s="903">
        <v>1327.6421052631592</v>
      </c>
      <c r="X750" s="233">
        <v>988.62747111681745</v>
      </c>
      <c r="Y750" s="208">
        <v>988.63</v>
      </c>
      <c r="Z750" s="208">
        <v>988.63</v>
      </c>
      <c r="AA750" s="208">
        <v>988.63</v>
      </c>
      <c r="AB750" s="960">
        <v>988.63</v>
      </c>
      <c r="AC750" s="210">
        <v>809.97</v>
      </c>
      <c r="AD750" s="210">
        <v>857.63</v>
      </c>
      <c r="AE750" s="210">
        <v>509.57</v>
      </c>
      <c r="AF750" s="253">
        <v>1324.07</v>
      </c>
      <c r="AG750" s="253">
        <f t="shared" si="166"/>
        <v>715.91</v>
      </c>
      <c r="AH750" s="114"/>
      <c r="AK750" s="904"/>
      <c r="DF750" s="1434" t="str">
        <f t="shared" si="169"/>
        <v>ASHP-SEER17_ER2_SF</v>
      </c>
      <c r="DG750" s="1023"/>
      <c r="DH750" s="1241" t="str">
        <f t="shared" si="165"/>
        <v>Heating Res ER2 12 Year EUL</v>
      </c>
      <c r="DI750" s="1020">
        <f>(INDEX('Avoided Cost Benefits'!$B$4:$B$866,MATCH(DH750,'Avoided Cost Benefits'!$A$4:$A$866,0)))*F750</f>
        <v>241.90314344926935</v>
      </c>
      <c r="DJ750" s="2051">
        <f t="shared" si="170"/>
        <v>0</v>
      </c>
      <c r="DM750" s="234"/>
    </row>
    <row r="751" spans="1:117" x14ac:dyDescent="0.25">
      <c r="A751" s="2146" t="s">
        <v>607</v>
      </c>
      <c r="B751" s="1318">
        <f t="shared" si="168"/>
        <v>353800</v>
      </c>
      <c r="C751" s="18" t="s">
        <v>1204</v>
      </c>
      <c r="D751" s="1974" t="s">
        <v>863</v>
      </c>
      <c r="E751" s="198" t="s">
        <v>1205</v>
      </c>
      <c r="F751" s="208">
        <f>ROUND(((K1337*K1440*(1/K1543-1/K1646)*K1749)/1000)*$K$1800,2)</f>
        <v>363.52</v>
      </c>
      <c r="G751" s="540" t="s">
        <v>1030</v>
      </c>
      <c r="H751" s="66">
        <f>VLOOKUP(G751,'CP FACTORS'!$A$3:$B$38, 2, FALSE)</f>
        <v>9.4741810000000004E-4</v>
      </c>
      <c r="I751" s="1070">
        <f t="shared" si="164"/>
        <v>0.34440500000000002</v>
      </c>
      <c r="J751" s="57">
        <f t="shared" si="167"/>
        <v>18</v>
      </c>
      <c r="K751" s="152">
        <f t="shared" si="163"/>
        <v>630</v>
      </c>
      <c r="L751" s="167">
        <f>L924</f>
        <v>3.2119969039215692</v>
      </c>
      <c r="M751" s="531"/>
      <c r="N751" s="542"/>
      <c r="O751" s="398"/>
      <c r="R751" s="510"/>
      <c r="T751" s="50"/>
      <c r="U751" s="544"/>
      <c r="V751" s="1307" t="s">
        <v>46</v>
      </c>
      <c r="W751" s="903">
        <v>433.76974789915954</v>
      </c>
      <c r="X751" s="236">
        <v>433.76974789915954</v>
      </c>
      <c r="Y751" s="208">
        <v>433.77</v>
      </c>
      <c r="Z751" s="208">
        <v>433.77</v>
      </c>
      <c r="AA751" s="208">
        <v>433.77</v>
      </c>
      <c r="AB751" s="960">
        <v>433.77</v>
      </c>
      <c r="AC751" s="210">
        <v>612.74</v>
      </c>
      <c r="AD751" s="210">
        <v>429.65</v>
      </c>
      <c r="AE751" s="210">
        <v>270.14</v>
      </c>
      <c r="AF751" s="253">
        <v>363.52</v>
      </c>
      <c r="AG751" s="253">
        <f t="shared" si="166"/>
        <v>363.52</v>
      </c>
      <c r="AH751" s="114"/>
      <c r="AK751" s="904"/>
      <c r="DF751" s="1434" t="str">
        <f t="shared" si="169"/>
        <v>ASHP-SEER17_ROF_SF</v>
      </c>
      <c r="DG751" s="1019">
        <f>(DI751+DI752)/(DJ751+DJ752)</f>
        <v>2.1527676754933478</v>
      </c>
      <c r="DH751" s="198" t="str">
        <f t="shared" si="165"/>
        <v>Cooling Res 18 Year EUL</v>
      </c>
      <c r="DI751" s="1020">
        <f>(INDEX('Avoided Cost Benefits'!$B$4:$B$866,MATCH(DH751,'Avoided Cost Benefits'!$A$4:$A$866,0)))*F751</f>
        <v>832.37679039742034</v>
      </c>
      <c r="DJ751" s="2051">
        <f t="shared" si="170"/>
        <v>630</v>
      </c>
      <c r="DM751" s="234"/>
    </row>
    <row r="752" spans="1:117" x14ac:dyDescent="0.25">
      <c r="A752" s="2146" t="s">
        <v>607</v>
      </c>
      <c r="B752" s="1318">
        <f t="shared" si="168"/>
        <v>353800</v>
      </c>
      <c r="C752" s="18" t="s">
        <v>1204</v>
      </c>
      <c r="D752" s="1974" t="s">
        <v>863</v>
      </c>
      <c r="E752" s="235" t="s">
        <v>1205</v>
      </c>
      <c r="F752" s="208">
        <f>ROUND(((K924*K1028*(1/K1131-1/K1234)*K1749)/1000)*$K$1800,2)</f>
        <v>864.36</v>
      </c>
      <c r="G752" s="540" t="s">
        <v>1031</v>
      </c>
      <c r="H752" s="66">
        <f>VLOOKUP(G752,'CP FACTORS'!$A$3:$B$38, 2, FALSE)</f>
        <v>0</v>
      </c>
      <c r="I752" s="1070">
        <f t="shared" si="164"/>
        <v>0</v>
      </c>
      <c r="J752" s="57">
        <f t="shared" si="167"/>
        <v>18</v>
      </c>
      <c r="K752" s="152">
        <f t="shared" si="163"/>
        <v>0</v>
      </c>
      <c r="L752" s="167"/>
      <c r="M752" s="531"/>
      <c r="N752" s="542"/>
      <c r="O752" s="398"/>
      <c r="R752" s="510"/>
      <c r="T752" s="50"/>
      <c r="U752" s="544"/>
      <c r="V752" s="1307" t="s">
        <v>46</v>
      </c>
      <c r="W752" s="903">
        <v>1584.0000000000018</v>
      </c>
      <c r="X752" s="233">
        <v>1179.5241413638641</v>
      </c>
      <c r="Y752" s="208">
        <v>1179.52</v>
      </c>
      <c r="Z752" s="208">
        <v>1179.52</v>
      </c>
      <c r="AA752" s="208">
        <v>1179.52</v>
      </c>
      <c r="AB752" s="960">
        <v>1179.52</v>
      </c>
      <c r="AC752" s="210">
        <v>1235.04</v>
      </c>
      <c r="AD752" s="210">
        <v>835.36</v>
      </c>
      <c r="AE752" s="210">
        <v>589.9</v>
      </c>
      <c r="AF752" s="253">
        <v>1573.28</v>
      </c>
      <c r="AG752" s="253">
        <f t="shared" si="166"/>
        <v>864.36</v>
      </c>
      <c r="AH752" s="114"/>
      <c r="AK752" s="904"/>
      <c r="DF752" s="1434" t="str">
        <f t="shared" si="169"/>
        <v>ASHP-SEER17_ROF_SF</v>
      </c>
      <c r="DG752" s="1021"/>
      <c r="DH752" s="235" t="str">
        <f t="shared" si="165"/>
        <v>Heating Res 18 Year EUL</v>
      </c>
      <c r="DI752" s="1020">
        <f>(INDEX('Avoided Cost Benefits'!$B$4:$B$866,MATCH(DH752,'Avoided Cost Benefits'!$A$4:$A$866,0)))*F752</f>
        <v>523.86684516338892</v>
      </c>
      <c r="DJ752" s="2051">
        <f t="shared" si="170"/>
        <v>0</v>
      </c>
      <c r="DM752" s="234"/>
    </row>
    <row r="753" spans="1:117" x14ac:dyDescent="0.25">
      <c r="A753" s="2146" t="s">
        <v>607</v>
      </c>
      <c r="B753" s="1318">
        <f t="shared" si="168"/>
        <v>353850</v>
      </c>
      <c r="C753" s="18" t="s">
        <v>1206</v>
      </c>
      <c r="D753" s="1974" t="s">
        <v>863</v>
      </c>
      <c r="E753" s="1240" t="s">
        <v>1207</v>
      </c>
      <c r="F753" s="208">
        <f>ROUND(((K1338*K1441*(1/K1544-1/K1647)*K1750)/1000)*$K$1800,2)</f>
        <v>2592.9299999999998</v>
      </c>
      <c r="G753" s="540" t="s">
        <v>1030</v>
      </c>
      <c r="H753" s="66">
        <f>VLOOKUP(G753,'CP FACTORS'!$A$3:$B$38, 2, FALSE)</f>
        <v>9.4741810000000004E-4</v>
      </c>
      <c r="I753" s="1070">
        <f t="shared" si="164"/>
        <v>2.4565890000000001</v>
      </c>
      <c r="J753" s="57">
        <f t="shared" si="167"/>
        <v>6</v>
      </c>
      <c r="K753" s="152">
        <f t="shared" si="163"/>
        <v>851.83158083659146</v>
      </c>
      <c r="L753" s="167">
        <f>L925</f>
        <v>2.8921256722608026</v>
      </c>
      <c r="M753" s="531"/>
      <c r="N753" s="542"/>
      <c r="O753" s="398"/>
      <c r="R753" s="510"/>
      <c r="T753" s="50"/>
      <c r="U753" s="544"/>
      <c r="V753" s="1307" t="s">
        <v>46</v>
      </c>
      <c r="W753" s="903">
        <v>2867.7000000000003</v>
      </c>
      <c r="X753" s="233">
        <v>2219.3404561824727</v>
      </c>
      <c r="Y753" s="208">
        <v>2219.34</v>
      </c>
      <c r="Z753" s="208">
        <v>2219.34</v>
      </c>
      <c r="AA753" s="208">
        <v>2219.34</v>
      </c>
      <c r="AB753" s="959">
        <v>2735.03</v>
      </c>
      <c r="AC753" s="210">
        <v>2063.94</v>
      </c>
      <c r="AD753" s="210">
        <v>2369.3000000000002</v>
      </c>
      <c r="AE753" s="210">
        <v>2358.35</v>
      </c>
      <c r="AF753" s="253">
        <v>2592.9299999999998</v>
      </c>
      <c r="AG753" s="253">
        <f t="shared" si="166"/>
        <v>2592.9299999999998</v>
      </c>
      <c r="AH753" s="114"/>
      <c r="AK753" s="904"/>
      <c r="DF753" s="1434" t="str">
        <f t="shared" si="169"/>
        <v>ASHP-SEER18_ER1_SF</v>
      </c>
      <c r="DG753" s="1019">
        <f>(DI753+DI754+DI755+DI756)/(DJ753+DJ754+DJ755+DJ756)</f>
        <v>4.680310402354908</v>
      </c>
      <c r="DH753" s="1240" t="str">
        <f t="shared" si="165"/>
        <v>Cooling Res 6 Year EUL</v>
      </c>
      <c r="DI753" s="1020">
        <f>(INDEX('Avoided Cost Benefits'!$B$4:$B$866,MATCH(DH753,'Avoided Cost Benefits'!$A$4:$A$866,0)))*F753</f>
        <v>2582.1644069945551</v>
      </c>
      <c r="DJ753" s="2051">
        <f t="shared" si="170"/>
        <v>851.83158083659146</v>
      </c>
      <c r="DM753" s="234"/>
    </row>
    <row r="754" spans="1:117" x14ac:dyDescent="0.25">
      <c r="A754" s="2146" t="s">
        <v>607</v>
      </c>
      <c r="B754" s="1318">
        <f t="shared" si="168"/>
        <v>353850</v>
      </c>
      <c r="C754" s="18" t="s">
        <v>1206</v>
      </c>
      <c r="D754" s="1974" t="s">
        <v>863</v>
      </c>
      <c r="E754" s="1265" t="s">
        <v>1207</v>
      </c>
      <c r="F754" s="208">
        <f>ROUND(((K925*K1029*(1/K1132-1/K1235)*K1750)/1000)*$K$1800,2)</f>
        <v>1782.32</v>
      </c>
      <c r="G754" s="540" t="s">
        <v>1031</v>
      </c>
      <c r="H754" s="66">
        <f>VLOOKUP(G754,'CP FACTORS'!$A$3:$B$38, 2, FALSE)</f>
        <v>0</v>
      </c>
      <c r="I754" s="1070">
        <f t="shared" si="164"/>
        <v>0</v>
      </c>
      <c r="J754" s="57">
        <f t="shared" si="167"/>
        <v>6</v>
      </c>
      <c r="K754" s="152">
        <f t="shared" si="163"/>
        <v>0</v>
      </c>
      <c r="L754" s="167"/>
      <c r="M754" s="531"/>
      <c r="N754" s="542"/>
      <c r="O754" s="398"/>
      <c r="R754" s="510"/>
      <c r="T754" s="50"/>
      <c r="U754" s="544"/>
      <c r="V754" s="1307" t="s">
        <v>46</v>
      </c>
      <c r="W754" s="903">
        <v>6249.9803405572748</v>
      </c>
      <c r="X754" s="233">
        <v>2767.3247800351946</v>
      </c>
      <c r="Y754" s="208">
        <v>2767.32</v>
      </c>
      <c r="Z754" s="208">
        <v>2767.32</v>
      </c>
      <c r="AA754" s="208">
        <v>2767.32</v>
      </c>
      <c r="AB754" s="959">
        <v>3103.81</v>
      </c>
      <c r="AC754" s="210">
        <v>2980.4</v>
      </c>
      <c r="AD754" s="210">
        <v>2872.62</v>
      </c>
      <c r="AE754" s="210">
        <v>2716.07</v>
      </c>
      <c r="AF754" s="253">
        <v>2716.07</v>
      </c>
      <c r="AG754" s="253">
        <f t="shared" si="166"/>
        <v>1782.32</v>
      </c>
      <c r="AH754" s="114"/>
      <c r="AK754" s="904"/>
      <c r="DF754" s="1434" t="str">
        <f t="shared" si="169"/>
        <v>ASHP-SEER18_ER1_SF</v>
      </c>
      <c r="DG754" s="1023"/>
      <c r="DH754" s="1265" t="str">
        <f t="shared" si="165"/>
        <v>Heating Res 6 Year EUL</v>
      </c>
      <c r="DI754" s="1020">
        <f>(INDEX('Avoided Cost Benefits'!$B$4:$B$866,MATCH(DH754,'Avoided Cost Benefits'!$A$4:$A$866,0)))*F754</f>
        <v>477.98045777651521</v>
      </c>
      <c r="DJ754" s="2051">
        <f t="shared" si="170"/>
        <v>0</v>
      </c>
      <c r="DM754" s="234"/>
    </row>
    <row r="755" spans="1:117" x14ac:dyDescent="0.25">
      <c r="A755" s="2146" t="s">
        <v>607</v>
      </c>
      <c r="B755" s="1318">
        <f t="shared" si="168"/>
        <v>353850</v>
      </c>
      <c r="C755" s="18" t="s">
        <v>1206</v>
      </c>
      <c r="D755" s="1974" t="s">
        <v>863</v>
      </c>
      <c r="E755" s="1265" t="s">
        <v>1208</v>
      </c>
      <c r="F755" s="977">
        <f>ROUND(((K1339*K1442*(1/K1545-1/K1648)*K1751)/1000)*$K$1800,2)</f>
        <v>503.51</v>
      </c>
      <c r="G755" s="540" t="s">
        <v>1083</v>
      </c>
      <c r="H755" s="66">
        <f>VLOOKUP(G755,'CP FACTORS'!$A$3:$B$38, 2, FALSE)</f>
        <v>9.4741810000000004E-4</v>
      </c>
      <c r="I755" s="1146">
        <f t="shared" si="164"/>
        <v>0.47703400000000001</v>
      </c>
      <c r="J755" s="57">
        <f t="shared" si="167"/>
        <v>12</v>
      </c>
      <c r="K755" s="152">
        <f t="shared" si="163"/>
        <v>0</v>
      </c>
      <c r="L755" s="167"/>
      <c r="M755" s="531"/>
      <c r="N755" s="542"/>
      <c r="O755" s="398"/>
      <c r="R755" s="510"/>
      <c r="T755" s="50"/>
      <c r="U755" s="544"/>
      <c r="V755" s="1307" t="s">
        <v>46</v>
      </c>
      <c r="W755" s="903">
        <v>546.2285714285714</v>
      </c>
      <c r="X755" s="236">
        <v>546.2285714285714</v>
      </c>
      <c r="Y755" s="208">
        <v>546.23</v>
      </c>
      <c r="Z755" s="208">
        <v>546.23</v>
      </c>
      <c r="AA755" s="208">
        <v>546.23</v>
      </c>
      <c r="AB755" s="959">
        <v>695.03</v>
      </c>
      <c r="AC755" s="210">
        <v>523.08000000000004</v>
      </c>
      <c r="AD755" s="210">
        <v>526.57000000000005</v>
      </c>
      <c r="AE755" s="885">
        <v>373.05</v>
      </c>
      <c r="AF755" s="253">
        <v>503.51</v>
      </c>
      <c r="AG755" s="253">
        <f t="shared" si="166"/>
        <v>503.51</v>
      </c>
      <c r="AH755" s="114"/>
      <c r="AK755" s="904"/>
      <c r="DF755" s="1434" t="str">
        <f t="shared" si="169"/>
        <v>ASHP-SEER18_ER2_SF</v>
      </c>
      <c r="DG755" s="1023"/>
      <c r="DH755" s="1265" t="str">
        <f t="shared" si="165"/>
        <v>Cooling Res ER2 12 Year EUL</v>
      </c>
      <c r="DI755" s="1020">
        <f>(INDEX('Avoided Cost Benefits'!$B$4:$B$866,MATCH(DH755,'Avoided Cost Benefits'!$A$4:$A$866,0)))*F755</f>
        <v>651.50206317448169</v>
      </c>
      <c r="DJ755" s="2051">
        <f t="shared" si="170"/>
        <v>0</v>
      </c>
      <c r="DM755" s="234"/>
    </row>
    <row r="756" spans="1:117" x14ac:dyDescent="0.25">
      <c r="A756" s="2146" t="s">
        <v>607</v>
      </c>
      <c r="B756" s="1318">
        <f t="shared" si="168"/>
        <v>353850</v>
      </c>
      <c r="C756" s="18" t="s">
        <v>1206</v>
      </c>
      <c r="D756" s="1974" t="s">
        <v>863</v>
      </c>
      <c r="E756" s="1241" t="s">
        <v>1208</v>
      </c>
      <c r="F756" s="977">
        <f xml:space="preserve"> ROUND(((K926*K1030*(1/K1133-1/K1236)*K1751)/1000)*$K$1800,2)</f>
        <v>814.42</v>
      </c>
      <c r="G756" s="540" t="s">
        <v>1118</v>
      </c>
      <c r="H756" s="66">
        <f>VLOOKUP(G756,'CP FACTORS'!$A$3:$B$38, 2, FALSE)</f>
        <v>0</v>
      </c>
      <c r="I756" s="1146">
        <f t="shared" si="164"/>
        <v>0</v>
      </c>
      <c r="J756" s="57">
        <f t="shared" si="167"/>
        <v>12</v>
      </c>
      <c r="K756" s="152">
        <f t="shared" si="163"/>
        <v>0</v>
      </c>
      <c r="L756" s="167"/>
      <c r="M756" s="531"/>
      <c r="N756" s="542"/>
      <c r="O756" s="398"/>
      <c r="R756" s="510"/>
      <c r="T756" s="50"/>
      <c r="U756" s="544"/>
      <c r="V756" s="1307" t="s">
        <v>46</v>
      </c>
      <c r="W756" s="903">
        <v>1327.6421052631592</v>
      </c>
      <c r="X756" s="233">
        <v>988.62747111681745</v>
      </c>
      <c r="Y756" s="208">
        <v>988.63</v>
      </c>
      <c r="Z756" s="208">
        <v>988.63</v>
      </c>
      <c r="AA756" s="208">
        <v>988.63</v>
      </c>
      <c r="AB756" s="959">
        <v>1190.3599999999999</v>
      </c>
      <c r="AC756" s="210">
        <v>1250.1300000000001</v>
      </c>
      <c r="AD756" s="210">
        <v>1251.58</v>
      </c>
      <c r="AE756" s="885">
        <v>862.73</v>
      </c>
      <c r="AF756" s="253">
        <v>1748.17</v>
      </c>
      <c r="AG756" s="253">
        <f t="shared" si="166"/>
        <v>814.42</v>
      </c>
      <c r="AH756" s="114"/>
      <c r="AK756" s="904"/>
      <c r="DF756" s="1434" t="str">
        <f t="shared" si="169"/>
        <v>ASHP-SEER18_ER2_SF</v>
      </c>
      <c r="DG756" s="1023"/>
      <c r="DH756" s="1241" t="str">
        <f t="shared" si="165"/>
        <v>Heating Res ER2 12 Year EUL</v>
      </c>
      <c r="DI756" s="1020">
        <f>(INDEX('Avoided Cost Benefits'!$B$4:$B$866,MATCH(DH756,'Avoided Cost Benefits'!$A$4:$A$866,0)))*F756</f>
        <v>275.1892808983726</v>
      </c>
      <c r="DJ756" s="2051">
        <f t="shared" si="170"/>
        <v>0</v>
      </c>
      <c r="DM756" s="234"/>
    </row>
    <row r="757" spans="1:117" x14ac:dyDescent="0.25">
      <c r="A757" s="2146" t="s">
        <v>607</v>
      </c>
      <c r="B757" s="1318">
        <f t="shared" si="168"/>
        <v>353950</v>
      </c>
      <c r="C757" s="18" t="s">
        <v>1209</v>
      </c>
      <c r="D757" s="1974" t="s">
        <v>863</v>
      </c>
      <c r="E757" s="198" t="s">
        <v>1210</v>
      </c>
      <c r="F757" s="208">
        <f>ROUND(((K1340*K1443*(1/K1546-1/K1649)*K1752)/1000)*$K$1800,2)</f>
        <v>528.75</v>
      </c>
      <c r="G757" s="540" t="s">
        <v>1030</v>
      </c>
      <c r="H757" s="66">
        <f>VLOOKUP(G757,'CP FACTORS'!$A$3:$B$38, 2, FALSE)</f>
        <v>9.4741810000000004E-4</v>
      </c>
      <c r="I757" s="1070">
        <f t="shared" si="164"/>
        <v>0.50094700000000003</v>
      </c>
      <c r="J757" s="57">
        <f t="shared" si="167"/>
        <v>18</v>
      </c>
      <c r="K757" s="152">
        <f t="shared" si="163"/>
        <v>855</v>
      </c>
      <c r="L757" s="167">
        <f>L927</f>
        <v>3.0020370366666667</v>
      </c>
      <c r="M757" s="531"/>
      <c r="N757" s="542"/>
      <c r="O757" s="398"/>
      <c r="R757" s="510"/>
      <c r="T757" s="50"/>
      <c r="U757" s="544"/>
      <c r="V757" s="1307" t="s">
        <v>46</v>
      </c>
      <c r="W757" s="903">
        <v>546.2285714285714</v>
      </c>
      <c r="X757" s="236">
        <v>546.2285714285714</v>
      </c>
      <c r="Y757" s="208">
        <v>546.23</v>
      </c>
      <c r="Z757" s="208">
        <v>546.23</v>
      </c>
      <c r="AA757" s="208">
        <v>546.23</v>
      </c>
      <c r="AB757" s="960">
        <v>546.23</v>
      </c>
      <c r="AC757" s="210">
        <v>591.21</v>
      </c>
      <c r="AD757" s="210">
        <v>521.92999999999995</v>
      </c>
      <c r="AE757" s="210">
        <v>348.14</v>
      </c>
      <c r="AF757" s="253">
        <v>528.75</v>
      </c>
      <c r="AG757" s="253">
        <f t="shared" si="166"/>
        <v>528.75</v>
      </c>
      <c r="AH757" s="114"/>
      <c r="AK757" s="904"/>
      <c r="DF757" s="1434" t="str">
        <f t="shared" si="169"/>
        <v>ASHP-SEER18_ROF_SF</v>
      </c>
      <c r="DG757" s="1019">
        <f>(DI757+DI758)/(DJ757+DJ758)</f>
        <v>2.0152898125317069</v>
      </c>
      <c r="DH757" s="198" t="str">
        <f t="shared" si="165"/>
        <v>Cooling Res 18 Year EUL</v>
      </c>
      <c r="DI757" s="1020">
        <f>(INDEX('Avoided Cost Benefits'!$B$4:$B$866,MATCH(DH757,'Avoided Cost Benefits'!$A$4:$A$866,0)))*F757</f>
        <v>1210.7153056850684</v>
      </c>
      <c r="DJ757" s="2051">
        <f t="shared" si="170"/>
        <v>855</v>
      </c>
      <c r="DM757" s="234"/>
    </row>
    <row r="758" spans="1:117" x14ac:dyDescent="0.25">
      <c r="A758" s="2146" t="s">
        <v>607</v>
      </c>
      <c r="B758" s="1318">
        <f t="shared" si="168"/>
        <v>353950</v>
      </c>
      <c r="C758" s="18" t="s">
        <v>1209</v>
      </c>
      <c r="D758" s="1974" t="s">
        <v>863</v>
      </c>
      <c r="E758" s="235" t="s">
        <v>1210</v>
      </c>
      <c r="F758" s="208">
        <f>ROUND(((K927*K1031*(1/K1134-1/K1237)*K1752)/1000)*$K$1800,2)</f>
        <v>845.37</v>
      </c>
      <c r="G758" s="540" t="s">
        <v>1031</v>
      </c>
      <c r="H758" s="66">
        <f>VLOOKUP(G758,'CP FACTORS'!$A$3:$B$38, 2, FALSE)</f>
        <v>0</v>
      </c>
      <c r="I758" s="1070">
        <f t="shared" si="164"/>
        <v>0</v>
      </c>
      <c r="J758" s="57">
        <f t="shared" si="167"/>
        <v>18</v>
      </c>
      <c r="K758" s="152">
        <f t="shared" si="163"/>
        <v>0</v>
      </c>
      <c r="L758" s="167"/>
      <c r="M758" s="531"/>
      <c r="N758" s="542"/>
      <c r="O758" s="398"/>
      <c r="R758" s="510"/>
      <c r="T758" s="50"/>
      <c r="U758" s="544"/>
      <c r="V758" s="1307" t="s">
        <v>46</v>
      </c>
      <c r="W758" s="903">
        <v>1584.0000000000018</v>
      </c>
      <c r="X758" s="233">
        <v>1179.5241413638641</v>
      </c>
      <c r="Y758" s="208">
        <v>1179.52</v>
      </c>
      <c r="Z758" s="208">
        <v>1179.52</v>
      </c>
      <c r="AA758" s="208">
        <v>1179.52</v>
      </c>
      <c r="AB758" s="960">
        <v>1179.52</v>
      </c>
      <c r="AC758" s="210">
        <v>1676.32</v>
      </c>
      <c r="AD758" s="210">
        <v>1313.04</v>
      </c>
      <c r="AE758" s="210">
        <v>820.53</v>
      </c>
      <c r="AF758" s="253">
        <v>1739.62</v>
      </c>
      <c r="AG758" s="253">
        <f t="shared" si="166"/>
        <v>845.37</v>
      </c>
      <c r="AH758" s="114"/>
      <c r="AK758" s="904"/>
      <c r="DF758" s="1434" t="str">
        <f t="shared" si="169"/>
        <v>ASHP-SEER18_ROF_SF</v>
      </c>
      <c r="DG758" s="1021"/>
      <c r="DH758" s="235" t="str">
        <f t="shared" si="165"/>
        <v>Heating Res 18 Year EUL</v>
      </c>
      <c r="DI758" s="1020">
        <f>(INDEX('Avoided Cost Benefits'!$B$4:$B$866,MATCH(DH758,'Avoided Cost Benefits'!$A$4:$A$866,0)))*F758</f>
        <v>512.35748402954096</v>
      </c>
      <c r="DJ758" s="2051">
        <f t="shared" si="170"/>
        <v>0</v>
      </c>
      <c r="DM758" s="234"/>
    </row>
    <row r="759" spans="1:117" x14ac:dyDescent="0.25">
      <c r="A759" s="2146" t="s">
        <v>607</v>
      </c>
      <c r="B759" s="1318">
        <f t="shared" si="168"/>
        <v>354000</v>
      </c>
      <c r="C759" s="18" t="s">
        <v>1211</v>
      </c>
      <c r="D759" s="1974" t="s">
        <v>863</v>
      </c>
      <c r="E759" s="1240" t="s">
        <v>1212</v>
      </c>
      <c r="F759" s="208">
        <f>ROUND(((K1341*K1444*(1/K1547-1/K1650)*K1753)/1000)*$K$1800,2)</f>
        <v>2563.17</v>
      </c>
      <c r="G759" s="540" t="s">
        <v>1030</v>
      </c>
      <c r="H759" s="66">
        <f>VLOOKUP(G759,'CP FACTORS'!$A$3:$B$38, 2, FALSE)</f>
        <v>9.4741810000000004E-4</v>
      </c>
      <c r="I759" s="1070">
        <f t="shared" si="164"/>
        <v>2.4283939999999999</v>
      </c>
      <c r="J759" s="57">
        <f t="shared" si="167"/>
        <v>6</v>
      </c>
      <c r="K759" s="152">
        <f t="shared" si="163"/>
        <v>1078.2009195105929</v>
      </c>
      <c r="L759" s="167">
        <f>L928</f>
        <v>3.7731209149509803</v>
      </c>
      <c r="M759" s="531"/>
      <c r="N759" s="542"/>
      <c r="O759" s="398"/>
      <c r="R759" s="510"/>
      <c r="T759" s="50"/>
      <c r="U759" s="544"/>
      <c r="V759" s="1307" t="s">
        <v>46</v>
      </c>
      <c r="W759" s="903">
        <v>2968.3210526315793</v>
      </c>
      <c r="X759" s="233">
        <v>2319.9615088140517</v>
      </c>
      <c r="Y759" s="208">
        <v>2319.96</v>
      </c>
      <c r="Z759" s="208">
        <v>2319.96</v>
      </c>
      <c r="AA759" s="208">
        <v>2319.96</v>
      </c>
      <c r="AB759" s="960">
        <v>2319.96</v>
      </c>
      <c r="AC759" s="210">
        <v>2424.9299999999998</v>
      </c>
      <c r="AD759" s="210">
        <v>3279.13</v>
      </c>
      <c r="AE759" s="210">
        <v>2673.03</v>
      </c>
      <c r="AF759" s="253">
        <v>2563.17</v>
      </c>
      <c r="AG759" s="253">
        <f t="shared" si="166"/>
        <v>2563.17</v>
      </c>
      <c r="AH759" s="114"/>
      <c r="AK759" s="904"/>
      <c r="DF759" s="1434" t="str">
        <f t="shared" si="169"/>
        <v>ASHP-SEER19_ER1_SF</v>
      </c>
      <c r="DG759" s="1019">
        <f>(DI759+DI760+DI761+DI762)/(DJ759+DJ760+DJ761+DJ762)</f>
        <v>4.1468708439635922</v>
      </c>
      <c r="DH759" s="1240" t="str">
        <f t="shared" si="165"/>
        <v>Cooling Res 6 Year EUL</v>
      </c>
      <c r="DI759" s="1020">
        <f>(INDEX('Avoided Cost Benefits'!$B$4:$B$866,MATCH(DH759,'Avoided Cost Benefits'!$A$4:$A$866,0)))*F759</f>
        <v>2552.5279676181904</v>
      </c>
      <c r="DJ759" s="2051">
        <f t="shared" si="170"/>
        <v>1078.2009195105929</v>
      </c>
      <c r="DM759" s="234"/>
    </row>
    <row r="760" spans="1:117" x14ac:dyDescent="0.25">
      <c r="A760" s="2146" t="s">
        <v>607</v>
      </c>
      <c r="B760" s="1318">
        <f t="shared" si="168"/>
        <v>354000</v>
      </c>
      <c r="C760" s="18" t="s">
        <v>1211</v>
      </c>
      <c r="D760" s="1974" t="s">
        <v>863</v>
      </c>
      <c r="E760" s="1265" t="s">
        <v>1212</v>
      </c>
      <c r="F760" s="208">
        <f>ROUND(((K928*K1032*(1/K1135-1/K1238)*K1753)/1000)*$K$1800,2)</f>
        <v>2445.29</v>
      </c>
      <c r="G760" s="540" t="s">
        <v>1031</v>
      </c>
      <c r="H760" s="66">
        <f>VLOOKUP(G760,'CP FACTORS'!$A$3:$B$38, 2, FALSE)</f>
        <v>0</v>
      </c>
      <c r="I760" s="1070">
        <f t="shared" si="164"/>
        <v>0</v>
      </c>
      <c r="J760" s="57">
        <f t="shared" si="167"/>
        <v>6</v>
      </c>
      <c r="K760" s="152">
        <f t="shared" si="163"/>
        <v>0</v>
      </c>
      <c r="L760" s="167"/>
      <c r="M760" s="531"/>
      <c r="N760" s="542"/>
      <c r="O760" s="398"/>
      <c r="R760" s="510"/>
      <c r="T760" s="50"/>
      <c r="U760" s="544"/>
      <c r="V760" s="1307" t="s">
        <v>46</v>
      </c>
      <c r="W760" s="903">
        <v>6249.9803405572748</v>
      </c>
      <c r="X760" s="233">
        <v>2767.3247800351946</v>
      </c>
      <c r="Y760" s="208">
        <v>2767.32</v>
      </c>
      <c r="Z760" s="208">
        <v>2767.32</v>
      </c>
      <c r="AA760" s="208">
        <v>2767.32</v>
      </c>
      <c r="AB760" s="960">
        <v>2767.32</v>
      </c>
      <c r="AC760" s="210">
        <v>3760.88</v>
      </c>
      <c r="AD760" s="210">
        <v>3393.01</v>
      </c>
      <c r="AE760" s="210">
        <v>3575.55</v>
      </c>
      <c r="AF760" s="253">
        <v>3575.55</v>
      </c>
      <c r="AG760" s="253">
        <f t="shared" si="166"/>
        <v>2445.29</v>
      </c>
      <c r="AH760" s="114"/>
      <c r="AK760" s="904"/>
      <c r="DF760" s="1434" t="str">
        <f t="shared" si="169"/>
        <v>ASHP-SEER19_ER1_SF</v>
      </c>
      <c r="DG760" s="1023"/>
      <c r="DH760" s="1265" t="str">
        <f t="shared" si="165"/>
        <v>Heating Res 6 Year EUL</v>
      </c>
      <c r="DI760" s="1020">
        <f>(INDEX('Avoided Cost Benefits'!$B$4:$B$866,MATCH(DH760,'Avoided Cost Benefits'!$A$4:$A$866,0)))*F760</f>
        <v>655.77496386526263</v>
      </c>
      <c r="DJ760" s="2051">
        <f t="shared" si="170"/>
        <v>0</v>
      </c>
      <c r="DM760" s="234"/>
    </row>
    <row r="761" spans="1:117" x14ac:dyDescent="0.25">
      <c r="A761" s="2146" t="s">
        <v>607</v>
      </c>
      <c r="B761" s="1318">
        <f t="shared" si="168"/>
        <v>354000</v>
      </c>
      <c r="C761" s="18" t="s">
        <v>1211</v>
      </c>
      <c r="D761" s="1974" t="s">
        <v>863</v>
      </c>
      <c r="E761" s="1265" t="s">
        <v>1213</v>
      </c>
      <c r="F761" s="208">
        <f>ROUND(((K1342*K1445*(1/K1548-1/K1651)*K1754)/1000)*$K$1800,2)</f>
        <v>667.18</v>
      </c>
      <c r="G761" s="540" t="s">
        <v>1083</v>
      </c>
      <c r="H761" s="66">
        <f>VLOOKUP(G761,'CP FACTORS'!$A$3:$B$38, 2, FALSE)</f>
        <v>9.4741810000000004E-4</v>
      </c>
      <c r="I761" s="1070">
        <f t="shared" si="164"/>
        <v>0.63209800000000005</v>
      </c>
      <c r="J761" s="57">
        <f t="shared" si="167"/>
        <v>12</v>
      </c>
      <c r="K761" s="152">
        <f t="shared" si="163"/>
        <v>0</v>
      </c>
      <c r="L761" s="167"/>
      <c r="M761" s="531"/>
      <c r="N761" s="542"/>
      <c r="O761" s="398"/>
      <c r="R761" s="510"/>
      <c r="T761" s="50"/>
      <c r="U761" s="544"/>
      <c r="V761" s="1307" t="s">
        <v>46</v>
      </c>
      <c r="W761" s="903">
        <v>646.8496240601504</v>
      </c>
      <c r="X761" s="236">
        <v>646.8496240601504</v>
      </c>
      <c r="Y761" s="208">
        <v>646.85</v>
      </c>
      <c r="Z761" s="208">
        <v>646.85</v>
      </c>
      <c r="AA761" s="208">
        <v>646.85</v>
      </c>
      <c r="AB761" s="960">
        <v>646.85</v>
      </c>
      <c r="AC761" s="210">
        <v>795.55</v>
      </c>
      <c r="AD761" s="210">
        <v>816.88</v>
      </c>
      <c r="AE761" s="210">
        <v>548.35</v>
      </c>
      <c r="AF761" s="253">
        <v>667.18</v>
      </c>
      <c r="AG761" s="253">
        <f t="shared" si="166"/>
        <v>667.18</v>
      </c>
      <c r="AH761" s="114"/>
      <c r="AK761" s="904"/>
      <c r="DF761" s="1434" t="str">
        <f t="shared" si="169"/>
        <v>ASHP-SEER19_ER2_SF</v>
      </c>
      <c r="DG761" s="1023"/>
      <c r="DH761" s="1265" t="str">
        <f t="shared" si="165"/>
        <v>Cooling Res ER2 12 Year EUL</v>
      </c>
      <c r="DI761" s="1020">
        <f>(INDEX('Avoided Cost Benefits'!$B$4:$B$866,MATCH(DH761,'Avoided Cost Benefits'!$A$4:$A$866,0)))*F761</f>
        <v>863.27808088965594</v>
      </c>
      <c r="DJ761" s="2051">
        <f t="shared" si="170"/>
        <v>0</v>
      </c>
      <c r="DM761" s="234"/>
    </row>
    <row r="762" spans="1:117" x14ac:dyDescent="0.25">
      <c r="A762" s="2146" t="s">
        <v>607</v>
      </c>
      <c r="B762" s="1318">
        <f t="shared" si="168"/>
        <v>354000</v>
      </c>
      <c r="C762" s="18" t="s">
        <v>1211</v>
      </c>
      <c r="D762" s="1974" t="s">
        <v>863</v>
      </c>
      <c r="E762" s="1241" t="s">
        <v>1213</v>
      </c>
      <c r="F762" s="208">
        <f>ROUND(((K929*K1033*(1/K1136-1/K1239)*K1754)/1000)*$K$1800,2)</f>
        <v>1182.55</v>
      </c>
      <c r="G762" s="540" t="s">
        <v>1118</v>
      </c>
      <c r="H762" s="66">
        <f>VLOOKUP(G762,'CP FACTORS'!$A$3:$B$38, 2, FALSE)</f>
        <v>0</v>
      </c>
      <c r="I762" s="1070">
        <f t="shared" si="164"/>
        <v>0</v>
      </c>
      <c r="J762" s="57">
        <f t="shared" si="167"/>
        <v>12</v>
      </c>
      <c r="K762" s="152">
        <f t="shared" si="163"/>
        <v>0</v>
      </c>
      <c r="L762" s="167"/>
      <c r="M762" s="531"/>
      <c r="N762" s="542"/>
      <c r="O762" s="398"/>
      <c r="R762" s="510"/>
      <c r="T762" s="50"/>
      <c r="U762" s="544"/>
      <c r="V762" s="1307" t="s">
        <v>46</v>
      </c>
      <c r="W762" s="903">
        <v>1327.6421052631592</v>
      </c>
      <c r="X762" s="233">
        <v>988.62747111681745</v>
      </c>
      <c r="Y762" s="208">
        <v>988.63</v>
      </c>
      <c r="Z762" s="208">
        <v>988.63</v>
      </c>
      <c r="AA762" s="208">
        <v>988.63</v>
      </c>
      <c r="AB762" s="960">
        <v>988.63</v>
      </c>
      <c r="AC762" s="210">
        <v>1604.88</v>
      </c>
      <c r="AD762" s="210">
        <v>1359.3</v>
      </c>
      <c r="AE762" s="210">
        <v>1157.6300000000001</v>
      </c>
      <c r="AF762" s="253">
        <v>2312.81</v>
      </c>
      <c r="AG762" s="253">
        <f t="shared" si="166"/>
        <v>1182.55</v>
      </c>
      <c r="AH762" s="114"/>
      <c r="AK762" s="904"/>
      <c r="DF762" s="1434" t="str">
        <f t="shared" si="169"/>
        <v>ASHP-SEER19_ER2_SF</v>
      </c>
      <c r="DG762" s="1023"/>
      <c r="DH762" s="1241" t="str">
        <f t="shared" si="165"/>
        <v>Heating Res ER2 12 Year EUL</v>
      </c>
      <c r="DI762" s="1020">
        <f>(INDEX('Avoided Cost Benefits'!$B$4:$B$866,MATCH(DH762,'Avoided Cost Benefits'!$A$4:$A$866,0)))*F762</f>
        <v>399.57894468010431</v>
      </c>
      <c r="DJ762" s="2051">
        <f t="shared" si="170"/>
        <v>0</v>
      </c>
      <c r="DM762" s="234"/>
    </row>
    <row r="763" spans="1:117" x14ac:dyDescent="0.25">
      <c r="A763" s="2146" t="s">
        <v>607</v>
      </c>
      <c r="B763" s="1318">
        <f t="shared" si="168"/>
        <v>354050</v>
      </c>
      <c r="C763" s="18" t="s">
        <v>1214</v>
      </c>
      <c r="D763" s="1974" t="s">
        <v>863</v>
      </c>
      <c r="E763" s="198" t="s">
        <v>1215</v>
      </c>
      <c r="F763" s="208">
        <f>ROUND(((K1343*K1446*(1/K1549-1/K1652)*K1755)/1000)*$K$1800,2)</f>
        <v>665.33</v>
      </c>
      <c r="G763" s="540" t="s">
        <v>1030</v>
      </c>
      <c r="H763" s="66">
        <f>VLOOKUP(G763,'CP FACTORS'!$A$3:$B$38, 2, FALSE)</f>
        <v>9.4741810000000004E-4</v>
      </c>
      <c r="I763" s="1070">
        <f t="shared" si="164"/>
        <v>0.63034599999999996</v>
      </c>
      <c r="J763" s="57">
        <f t="shared" si="167"/>
        <v>18</v>
      </c>
      <c r="K763" s="152">
        <f t="shared" si="163"/>
        <v>1081</v>
      </c>
      <c r="L763" s="167">
        <f>L930</f>
        <v>2.9920329673076922</v>
      </c>
      <c r="M763" s="531"/>
      <c r="N763" s="542"/>
      <c r="O763" s="398"/>
      <c r="R763" s="510"/>
      <c r="T763" s="50"/>
      <c r="U763" s="544"/>
      <c r="V763" s="1307" t="s">
        <v>46</v>
      </c>
      <c r="W763" s="903">
        <v>646.8496240601504</v>
      </c>
      <c r="X763" s="236">
        <v>646.8496240601504</v>
      </c>
      <c r="Y763" s="208">
        <v>646.85</v>
      </c>
      <c r="Z763" s="208">
        <v>646.85</v>
      </c>
      <c r="AA763" s="208">
        <v>646.85</v>
      </c>
      <c r="AB763" s="960">
        <v>646.85</v>
      </c>
      <c r="AC763" s="210">
        <v>428.97</v>
      </c>
      <c r="AD763" s="210">
        <v>699.07</v>
      </c>
      <c r="AE763" s="210">
        <v>529.09</v>
      </c>
      <c r="AF763" s="253">
        <v>665.33</v>
      </c>
      <c r="AG763" s="253">
        <f t="shared" si="166"/>
        <v>665.33</v>
      </c>
      <c r="AH763" s="114"/>
      <c r="AK763" s="904"/>
      <c r="DF763" s="1434" t="str">
        <f t="shared" si="169"/>
        <v>ASHP-SEER19_ROF_SF</v>
      </c>
      <c r="DG763" s="1019">
        <f>(DI763+DI764)/(DJ763+DJ764)</f>
        <v>1.9350588523297969</v>
      </c>
      <c r="DH763" s="198" t="str">
        <f t="shared" si="165"/>
        <v>Cooling Res 18 Year EUL</v>
      </c>
      <c r="DI763" s="1020">
        <f>(INDEX('Avoided Cost Benefits'!$B$4:$B$866,MATCH(DH763,'Avoided Cost Benefits'!$A$4:$A$866,0)))*F763</f>
        <v>1523.4519419980077</v>
      </c>
      <c r="DJ763" s="2051">
        <f t="shared" si="170"/>
        <v>1081</v>
      </c>
      <c r="DM763" s="234"/>
    </row>
    <row r="764" spans="1:117" x14ac:dyDescent="0.25">
      <c r="A764" s="2146" t="s">
        <v>607</v>
      </c>
      <c r="B764" s="1318">
        <f t="shared" si="168"/>
        <v>354050</v>
      </c>
      <c r="C764" s="18" t="s">
        <v>1214</v>
      </c>
      <c r="D764" s="1974" t="s">
        <v>863</v>
      </c>
      <c r="E764" s="235" t="s">
        <v>1215</v>
      </c>
      <c r="F764" s="208">
        <f>ROUND(((K930*K1034*(1/K1137-1/K1240)*K1755)/1000)*$K$1800,2)</f>
        <v>937.75</v>
      </c>
      <c r="G764" s="540" t="s">
        <v>1031</v>
      </c>
      <c r="H764" s="66">
        <f>VLOOKUP(G764,'CP FACTORS'!$A$3:$B$38, 2, FALSE)</f>
        <v>0</v>
      </c>
      <c r="I764" s="1070">
        <f t="shared" si="164"/>
        <v>0</v>
      </c>
      <c r="J764" s="57">
        <f t="shared" si="167"/>
        <v>18</v>
      </c>
      <c r="K764" s="152">
        <f t="shared" si="163"/>
        <v>0</v>
      </c>
      <c r="L764" s="167"/>
      <c r="M764" s="531"/>
      <c r="N764" s="542"/>
      <c r="O764" s="398"/>
      <c r="R764" s="510"/>
      <c r="T764" s="50"/>
      <c r="U764" s="544"/>
      <c r="V764" s="1307" t="s">
        <v>46</v>
      </c>
      <c r="W764" s="903">
        <v>1584.0000000000018</v>
      </c>
      <c r="X764" s="233">
        <v>1179.5241413638641</v>
      </c>
      <c r="Y764" s="208">
        <v>1179.52</v>
      </c>
      <c r="Z764" s="208">
        <v>1179.52</v>
      </c>
      <c r="AA764" s="208">
        <v>1179.52</v>
      </c>
      <c r="AB764" s="960">
        <v>1179.52</v>
      </c>
      <c r="AC764" s="210">
        <v>1045.1500000000001</v>
      </c>
      <c r="AD764" s="210">
        <v>1240.33</v>
      </c>
      <c r="AE764" s="210">
        <v>935.67</v>
      </c>
      <c r="AF764" s="253">
        <v>1851.7</v>
      </c>
      <c r="AG764" s="253">
        <f t="shared" si="166"/>
        <v>937.75</v>
      </c>
      <c r="AH764" s="114"/>
      <c r="AK764" s="904"/>
      <c r="DF764" s="1434" t="str">
        <f t="shared" si="169"/>
        <v>ASHP-SEER19_ROF_SF</v>
      </c>
      <c r="DG764" s="1021"/>
      <c r="DH764" s="235" t="str">
        <f t="shared" si="165"/>
        <v>Heating Res 18 Year EUL</v>
      </c>
      <c r="DI764" s="1020">
        <f>(INDEX('Avoided Cost Benefits'!$B$4:$B$866,MATCH(DH764,'Avoided Cost Benefits'!$A$4:$A$866,0)))*F764</f>
        <v>568.3466773705029</v>
      </c>
      <c r="DJ764" s="2051">
        <f t="shared" si="170"/>
        <v>0</v>
      </c>
      <c r="DM764" s="234"/>
    </row>
    <row r="765" spans="1:117" x14ac:dyDescent="0.25">
      <c r="A765" s="2146" t="s">
        <v>607</v>
      </c>
      <c r="B765" s="1318">
        <f t="shared" si="168"/>
        <v>354100</v>
      </c>
      <c r="C765" s="18" t="s">
        <v>1216</v>
      </c>
      <c r="D765" s="1974" t="s">
        <v>863</v>
      </c>
      <c r="E765" s="1240" t="s">
        <v>1217</v>
      </c>
      <c r="F765" s="208">
        <f>ROUND(((K1344*K1447*(1/K1550-1/K1653)*K1756)/1000)*$K$1800,2)</f>
        <v>2226.27</v>
      </c>
      <c r="G765" s="540" t="s">
        <v>1030</v>
      </c>
      <c r="H765" s="66">
        <f>VLOOKUP(G765,'CP FACTORS'!$A$3:$B$38, 2, FALSE)</f>
        <v>9.4741810000000004E-4</v>
      </c>
      <c r="I765" s="1070">
        <f t="shared" si="164"/>
        <v>2.1092080000000002</v>
      </c>
      <c r="J765" s="57">
        <f t="shared" si="167"/>
        <v>6</v>
      </c>
      <c r="K765" s="152">
        <f t="shared" si="163"/>
        <v>3783.9531661870506</v>
      </c>
      <c r="L765" s="167">
        <f>L931</f>
        <v>2.6603692243864097</v>
      </c>
      <c r="M765" s="531"/>
      <c r="N765" s="542"/>
      <c r="O765" s="398"/>
      <c r="R765" s="510"/>
      <c r="T765" s="50"/>
      <c r="U765" s="544"/>
      <c r="V765" s="1307" t="s">
        <v>46</v>
      </c>
      <c r="W765" s="903">
        <v>2852.3647058823531</v>
      </c>
      <c r="X765" s="233">
        <v>1979.1918367346937</v>
      </c>
      <c r="Y765" s="208">
        <v>1979.19</v>
      </c>
      <c r="Z765" s="208">
        <v>1979.19</v>
      </c>
      <c r="AA765" s="208">
        <v>1979.19</v>
      </c>
      <c r="AB765" s="960">
        <v>1979.19</v>
      </c>
      <c r="AC765" s="210">
        <v>1948.61</v>
      </c>
      <c r="AD765" s="210">
        <v>2219.17</v>
      </c>
      <c r="AE765" s="210">
        <v>2277.0100000000002</v>
      </c>
      <c r="AF765" s="253">
        <v>2226.27</v>
      </c>
      <c r="AG765" s="253">
        <f t="shared" si="166"/>
        <v>2226.27</v>
      </c>
      <c r="AH765" s="114"/>
      <c r="AK765" s="904"/>
      <c r="DF765" s="1434" t="str">
        <f t="shared" si="169"/>
        <v>ASHP-SEER17-Replace_CAC_ElectricHeat_ER1_SF</v>
      </c>
      <c r="DG765" s="1019">
        <f>(DI765+DI766+DI767+DI768)/(DJ765+DJ766+DJ767+DJ768)</f>
        <v>2.0986751170817408</v>
      </c>
      <c r="DH765" s="1240" t="str">
        <f t="shared" si="165"/>
        <v>Cooling Res 6 Year EUL</v>
      </c>
      <c r="DI765" s="1020">
        <f>(INDEX('Avoided Cost Benefits'!$B$4:$B$866,MATCH(DH765,'Avoided Cost Benefits'!$A$4:$A$866,0)))*F765</f>
        <v>2217.026743629704</v>
      </c>
      <c r="DJ765" s="2051">
        <f t="shared" si="170"/>
        <v>3783.9531661870506</v>
      </c>
      <c r="DM765" s="234"/>
    </row>
    <row r="766" spans="1:117" x14ac:dyDescent="0.25">
      <c r="A766" s="2146" t="s">
        <v>607</v>
      </c>
      <c r="B766" s="1318">
        <f t="shared" si="168"/>
        <v>354100</v>
      </c>
      <c r="C766" s="18" t="s">
        <v>1216</v>
      </c>
      <c r="D766" s="1974" t="s">
        <v>863</v>
      </c>
      <c r="E766" s="1265" t="s">
        <v>1217</v>
      </c>
      <c r="F766" s="208">
        <f>ROUND(((K931*K1035*(1/K1138-1/K1241)*K1756)/1000)*$K$1800,2)</f>
        <v>8353.61</v>
      </c>
      <c r="G766" s="540" t="s">
        <v>1031</v>
      </c>
      <c r="H766" s="66">
        <f>VLOOKUP(G766,'CP FACTORS'!$A$3:$B$38, 2, FALSE)</f>
        <v>0</v>
      </c>
      <c r="I766" s="1070">
        <f t="shared" si="164"/>
        <v>0</v>
      </c>
      <c r="J766" s="57">
        <f t="shared" si="167"/>
        <v>6</v>
      </c>
      <c r="K766" s="152">
        <f t="shared" si="163"/>
        <v>0</v>
      </c>
      <c r="L766" s="167"/>
      <c r="M766" s="531"/>
      <c r="N766" s="542"/>
      <c r="O766" s="398"/>
      <c r="R766" s="510"/>
      <c r="T766" s="50"/>
      <c r="U766" s="544"/>
      <c r="V766" s="1307" t="s">
        <v>46</v>
      </c>
      <c r="W766" s="903">
        <v>13965.852998065762</v>
      </c>
      <c r="X766" s="233">
        <v>10399.659574468084</v>
      </c>
      <c r="Y766" s="208">
        <v>10399.66</v>
      </c>
      <c r="Z766" s="208">
        <v>10399.66</v>
      </c>
      <c r="AA766" s="208">
        <v>10399.66</v>
      </c>
      <c r="AB766" s="960">
        <v>10399.66</v>
      </c>
      <c r="AC766" s="210">
        <v>9594</v>
      </c>
      <c r="AD766" s="210">
        <v>9883.16</v>
      </c>
      <c r="AE766" s="210">
        <v>8961.76</v>
      </c>
      <c r="AF766" s="253">
        <v>8961.76</v>
      </c>
      <c r="AG766" s="253">
        <f t="shared" si="166"/>
        <v>8353.61</v>
      </c>
      <c r="AH766" s="114"/>
      <c r="AK766" s="904"/>
      <c r="DF766" s="1434" t="str">
        <f t="shared" si="169"/>
        <v>ASHP-SEER17-Replace_CAC_ElectricHeat_ER1_SF</v>
      </c>
      <c r="DG766" s="1023"/>
      <c r="DH766" s="1265" t="str">
        <f t="shared" si="165"/>
        <v>Heating Res 6 Year EUL</v>
      </c>
      <c r="DI766" s="1020">
        <f>(INDEX('Avoided Cost Benefits'!$B$4:$B$866,MATCH(DH766,'Avoided Cost Benefits'!$A$4:$A$866,0)))*F766</f>
        <v>2240.2611943346178</v>
      </c>
      <c r="DJ766" s="2051">
        <f t="shared" si="170"/>
        <v>0</v>
      </c>
      <c r="DM766" s="234"/>
    </row>
    <row r="767" spans="1:117" x14ac:dyDescent="0.25">
      <c r="A767" s="2146" t="s">
        <v>607</v>
      </c>
      <c r="B767" s="1318">
        <f t="shared" si="168"/>
        <v>354100</v>
      </c>
      <c r="C767" s="18" t="s">
        <v>1216</v>
      </c>
      <c r="D767" s="1974" t="s">
        <v>863</v>
      </c>
      <c r="E767" s="1265" t="s">
        <v>1218</v>
      </c>
      <c r="F767" s="208">
        <f>ROUND(((K1345*K1448*(1/K1551-1/K1654)*K1757)/1000)*$K$1800,2)</f>
        <v>511.12</v>
      </c>
      <c r="G767" s="540" t="s">
        <v>1083</v>
      </c>
      <c r="H767" s="66">
        <f>VLOOKUP(G767,'CP FACTORS'!$A$3:$B$38, 2, FALSE)</f>
        <v>9.4741810000000004E-4</v>
      </c>
      <c r="I767" s="1070">
        <f t="shared" si="164"/>
        <v>0.48424400000000001</v>
      </c>
      <c r="J767" s="57">
        <f>K1921</f>
        <v>12</v>
      </c>
      <c r="K767" s="152">
        <f t="shared" si="163"/>
        <v>0</v>
      </c>
      <c r="L767" s="167"/>
      <c r="M767" s="531"/>
      <c r="N767" s="542"/>
      <c r="O767" s="398"/>
      <c r="R767" s="510"/>
      <c r="T767" s="50"/>
      <c r="U767" s="544"/>
      <c r="V767" s="1307" t="s">
        <v>46</v>
      </c>
      <c r="W767" s="903">
        <v>585.10045248868789</v>
      </c>
      <c r="X767" s="236">
        <v>585.10045248868789</v>
      </c>
      <c r="Y767" s="208">
        <v>585.1</v>
      </c>
      <c r="Z767" s="208">
        <v>585.1</v>
      </c>
      <c r="AA767" s="208">
        <v>585.1</v>
      </c>
      <c r="AB767" s="960">
        <v>585.1</v>
      </c>
      <c r="AC767" s="210">
        <v>550.07000000000005</v>
      </c>
      <c r="AD767" s="210">
        <v>605.03</v>
      </c>
      <c r="AE767" s="210">
        <v>438.15</v>
      </c>
      <c r="AF767" s="253">
        <v>511.12</v>
      </c>
      <c r="AG767" s="253">
        <f t="shared" si="166"/>
        <v>511.12</v>
      </c>
      <c r="AH767" s="114"/>
      <c r="AK767" s="904"/>
      <c r="DF767" s="1434" t="str">
        <f t="shared" si="169"/>
        <v>ASHP-SEER17-Replace_CAC_ElectricHeat_ER2_SF</v>
      </c>
      <c r="DG767" s="1023"/>
      <c r="DH767" s="1265" t="str">
        <f t="shared" si="165"/>
        <v>Cooling Res ER2 12 Year EUL</v>
      </c>
      <c r="DI767" s="1020">
        <f>(INDEX('Avoided Cost Benefits'!$B$4:$B$866,MATCH(DH767,'Avoided Cost Benefits'!$A$4:$A$866,0)))*F767</f>
        <v>661.34880048011178</v>
      </c>
      <c r="DJ767" s="2051">
        <f t="shared" si="170"/>
        <v>0</v>
      </c>
      <c r="DM767" s="234"/>
    </row>
    <row r="768" spans="1:117" x14ac:dyDescent="0.25">
      <c r="A768" s="2146" t="s">
        <v>607</v>
      </c>
      <c r="B768" s="1318">
        <f t="shared" si="168"/>
        <v>354100</v>
      </c>
      <c r="C768" s="18" t="s">
        <v>1216</v>
      </c>
      <c r="D768" s="1974" t="s">
        <v>863</v>
      </c>
      <c r="E768" s="1241" t="s">
        <v>1218</v>
      </c>
      <c r="F768" s="208">
        <f>ROUND(((K932*K1036*(1/K1139-1/K1242)*K1757)/1000)*$K$1800,2)</f>
        <v>8353.61</v>
      </c>
      <c r="G768" s="540" t="s">
        <v>1118</v>
      </c>
      <c r="H768" s="66">
        <f>VLOOKUP(G768,'CP FACTORS'!$A$3:$B$38, 2, FALSE)</f>
        <v>0</v>
      </c>
      <c r="I768" s="1070">
        <f t="shared" si="164"/>
        <v>0</v>
      </c>
      <c r="J768" s="57">
        <f>K1922</f>
        <v>12</v>
      </c>
      <c r="K768" s="152">
        <f t="shared" si="163"/>
        <v>0</v>
      </c>
      <c r="L768" s="167"/>
      <c r="M768" s="531"/>
      <c r="N768" s="542"/>
      <c r="O768" s="398"/>
      <c r="R768" s="510"/>
      <c r="T768" s="50"/>
      <c r="U768" s="544"/>
      <c r="V768" s="1307" t="s">
        <v>46</v>
      </c>
      <c r="W768" s="903">
        <v>13965.852998065762</v>
      </c>
      <c r="X768" s="233">
        <v>10399.659574468084</v>
      </c>
      <c r="Y768" s="208">
        <v>10399.66</v>
      </c>
      <c r="Z768" s="208">
        <v>10399.66</v>
      </c>
      <c r="AA768" s="208">
        <v>10399.66</v>
      </c>
      <c r="AB768" s="960">
        <v>10399.66</v>
      </c>
      <c r="AC768" s="210">
        <v>9594</v>
      </c>
      <c r="AD768" s="210">
        <v>9883.16</v>
      </c>
      <c r="AE768" s="210">
        <v>8961.76</v>
      </c>
      <c r="AF768" s="253">
        <v>8961.76</v>
      </c>
      <c r="AG768" s="253">
        <f t="shared" si="166"/>
        <v>8353.61</v>
      </c>
      <c r="AH768" s="114"/>
      <c r="AK768" s="904"/>
      <c r="DF768" s="1434" t="str">
        <f t="shared" si="169"/>
        <v>ASHP-SEER17-Replace_CAC_ElectricHeat_ER2_SF</v>
      </c>
      <c r="DG768" s="1023"/>
      <c r="DH768" s="1241" t="str">
        <f t="shared" si="165"/>
        <v>Heating Res ER2 12 Year EUL</v>
      </c>
      <c r="DI768" s="1020">
        <f>(INDEX('Avoided Cost Benefits'!$B$4:$B$866,MATCH(DH768,'Avoided Cost Benefits'!$A$4:$A$866,0)))*F768</f>
        <v>2822.6516156349976</v>
      </c>
      <c r="DJ768" s="2051">
        <f t="shared" si="170"/>
        <v>0</v>
      </c>
      <c r="DM768" s="234"/>
    </row>
    <row r="769" spans="1:117" x14ac:dyDescent="0.25">
      <c r="A769" s="2146" t="s">
        <v>861</v>
      </c>
      <c r="B769" s="1318">
        <f t="shared" si="168"/>
        <v>354110</v>
      </c>
      <c r="C769" s="18" t="s">
        <v>1219</v>
      </c>
      <c r="D769" s="1974" t="s">
        <v>863</v>
      </c>
      <c r="E769" s="1265" t="s">
        <v>1220</v>
      </c>
      <c r="F769" s="208">
        <f>ROUND(((K1346*K1449*(1/K1552-1/K1655)*K1758)/1000)*$K$1800,2)</f>
        <v>2226.27</v>
      </c>
      <c r="G769" s="540" t="s">
        <v>1030</v>
      </c>
      <c r="H769" s="66">
        <f>VLOOKUP(G769,'CP FACTORS'!$A$3:$B$38, 2, FALSE)</f>
        <v>9.4741810000000004E-4</v>
      </c>
      <c r="I769" s="1070">
        <f t="shared" si="164"/>
        <v>2.1092080000000002</v>
      </c>
      <c r="J769" s="57">
        <f>K1923</f>
        <v>6</v>
      </c>
      <c r="K769" s="152">
        <f t="shared" si="163"/>
        <v>532.70060739653661</v>
      </c>
      <c r="L769" s="167">
        <f>L933</f>
        <v>2.6603692243864097</v>
      </c>
      <c r="M769" s="531"/>
      <c r="N769" s="542"/>
      <c r="O769" s="398"/>
      <c r="R769" s="510"/>
      <c r="T769" s="50"/>
      <c r="U769" s="544"/>
      <c r="V769" s="1307" t="s">
        <v>46</v>
      </c>
      <c r="W769" s="903"/>
      <c r="X769" s="233"/>
      <c r="Y769" s="208"/>
      <c r="Z769" s="208"/>
      <c r="AA769" s="208"/>
      <c r="AB769" s="960"/>
      <c r="AC769" s="210">
        <v>1948.61</v>
      </c>
      <c r="AD769" s="210">
        <v>2219.17</v>
      </c>
      <c r="AE769" s="210">
        <v>2277.0100000000002</v>
      </c>
      <c r="AF769" s="253">
        <v>2226.27</v>
      </c>
      <c r="AG769" s="253">
        <f t="shared" si="166"/>
        <v>2226.27</v>
      </c>
      <c r="AH769" s="114"/>
      <c r="AK769" s="904"/>
      <c r="DF769" s="1434" t="str">
        <f t="shared" si="169"/>
        <v>ASHP-SEER17-Replace_CAC_NonElectricHeat_ER1_SF</v>
      </c>
      <c r="DG769" s="1019">
        <f>(DI769+DI770+DI771+DI776)/(DJ769+DJ770+DJ771+DJ776)</f>
        <v>5.4033644868123529</v>
      </c>
      <c r="DH769" s="1265" t="str">
        <f t="shared" si="165"/>
        <v>Cooling Res 6 Year EUL</v>
      </c>
      <c r="DI769" s="1020">
        <f>(INDEX('Avoided Cost Benefits'!$B$4:$B$866,MATCH(DH769,'Avoided Cost Benefits'!$A$4:$A$866,0)))*F769</f>
        <v>2217.026743629704</v>
      </c>
      <c r="DJ769" s="2051">
        <f t="shared" si="170"/>
        <v>532.70060739653661</v>
      </c>
      <c r="DM769" s="234"/>
    </row>
    <row r="770" spans="1:117" x14ac:dyDescent="0.25">
      <c r="A770" s="2146" t="s">
        <v>861</v>
      </c>
      <c r="B770" s="1318">
        <f t="shared" si="168"/>
        <v>354110</v>
      </c>
      <c r="C770" s="18" t="s">
        <v>1219</v>
      </c>
      <c r="D770" s="1974" t="s">
        <v>863</v>
      </c>
      <c r="E770" s="1265" t="s">
        <v>1220</v>
      </c>
      <c r="F770" s="208">
        <v>0</v>
      </c>
      <c r="G770" s="540" t="s">
        <v>1031</v>
      </c>
      <c r="H770" s="66">
        <f>VLOOKUP(G770,'CP FACTORS'!$A$3:$B$38, 2, FALSE)</f>
        <v>0</v>
      </c>
      <c r="I770" s="1070">
        <f t="shared" si="164"/>
        <v>0</v>
      </c>
      <c r="J770" s="57">
        <f>K1924</f>
        <v>6</v>
      </c>
      <c r="K770" s="152">
        <f t="shared" si="163"/>
        <v>0</v>
      </c>
      <c r="L770" s="167"/>
      <c r="M770" s="531"/>
      <c r="N770" s="542"/>
      <c r="O770" s="398"/>
      <c r="R770" s="510"/>
      <c r="T770" s="50"/>
      <c r="U770" s="544"/>
      <c r="V770" s="1307" t="s">
        <v>46</v>
      </c>
      <c r="W770" s="903"/>
      <c r="X770" s="233"/>
      <c r="Y770" s="208"/>
      <c r="Z770" s="208"/>
      <c r="AA770" s="208"/>
      <c r="AB770" s="960"/>
      <c r="AC770" s="210">
        <v>0</v>
      </c>
      <c r="AD770" s="208">
        <v>0</v>
      </c>
      <c r="AE770" s="208">
        <v>0</v>
      </c>
      <c r="AF770" s="253">
        <v>0</v>
      </c>
      <c r="AG770" s="253">
        <f t="shared" si="166"/>
        <v>0</v>
      </c>
      <c r="AH770" s="114"/>
      <c r="AK770" s="904"/>
      <c r="DF770" s="1434" t="str">
        <f t="shared" si="169"/>
        <v>ASHP-SEER17-Replace_CAC_NonElectricHeat_ER1_SF</v>
      </c>
      <c r="DG770" s="1023"/>
      <c r="DH770" s="1265" t="str">
        <f t="shared" si="165"/>
        <v>Heating Res 6 Year EUL</v>
      </c>
      <c r="DI770" s="1020">
        <f>(INDEX('Avoided Cost Benefits'!$B$4:$B$866,MATCH(DH770,'Avoided Cost Benefits'!$A$4:$A$866,0)))*F770</f>
        <v>0</v>
      </c>
      <c r="DJ770" s="2051">
        <f t="shared" si="170"/>
        <v>0</v>
      </c>
      <c r="DM770" s="234"/>
    </row>
    <row r="771" spans="1:117" x14ac:dyDescent="0.25">
      <c r="A771" s="2146" t="s">
        <v>861</v>
      </c>
      <c r="B771" s="1318">
        <f t="shared" si="168"/>
        <v>354110</v>
      </c>
      <c r="C771" s="18" t="s">
        <v>1219</v>
      </c>
      <c r="D771" s="1974" t="s">
        <v>863</v>
      </c>
      <c r="E771" s="1265" t="s">
        <v>1221</v>
      </c>
      <c r="F771" s="208">
        <f>ROUND(((K1347*K1450*(1/K1553-1/K1656)*K1759)/1000)*$K$1800,2)</f>
        <v>511.12</v>
      </c>
      <c r="G771" s="540" t="s">
        <v>1083</v>
      </c>
      <c r="H771" s="66">
        <f>VLOOKUP(G771,'CP FACTORS'!$A$3:$B$38, 2, FALSE)</f>
        <v>9.4741810000000004E-4</v>
      </c>
      <c r="I771" s="1070">
        <f t="shared" si="164"/>
        <v>0.48424400000000001</v>
      </c>
      <c r="J771" s="57">
        <f>K1925</f>
        <v>12</v>
      </c>
      <c r="K771" s="152">
        <f t="shared" si="163"/>
        <v>0</v>
      </c>
      <c r="L771" s="167"/>
      <c r="M771" s="531"/>
      <c r="N771" s="542"/>
      <c r="O771" s="398"/>
      <c r="R771" s="510"/>
      <c r="T771" s="50"/>
      <c r="U771" s="544"/>
      <c r="V771" s="1307" t="s">
        <v>46</v>
      </c>
      <c r="W771" s="903"/>
      <c r="X771" s="233"/>
      <c r="Y771" s="208"/>
      <c r="Z771" s="208"/>
      <c r="AA771" s="208"/>
      <c r="AB771" s="960"/>
      <c r="AC771" s="210">
        <v>550.07000000000005</v>
      </c>
      <c r="AD771" s="210">
        <v>605.03</v>
      </c>
      <c r="AE771" s="210">
        <v>438.15</v>
      </c>
      <c r="AF771" s="253">
        <v>511.12</v>
      </c>
      <c r="AG771" s="253">
        <f t="shared" si="166"/>
        <v>511.12</v>
      </c>
      <c r="AH771" s="114"/>
      <c r="AK771" s="904"/>
      <c r="DF771" s="1434" t="str">
        <f t="shared" si="169"/>
        <v>ASHP-SEER17-Replace_CAC_NonElectricHeat_ER2_SF</v>
      </c>
      <c r="DG771" s="1023"/>
      <c r="DH771" s="1265" t="str">
        <f t="shared" si="165"/>
        <v>Cooling Res ER2 12 Year EUL</v>
      </c>
      <c r="DI771" s="1020">
        <f>(INDEX('Avoided Cost Benefits'!$B$4:$B$866,MATCH(DH771,'Avoided Cost Benefits'!$A$4:$A$866,0)))*F771</f>
        <v>661.34880048011178</v>
      </c>
      <c r="DJ771" s="2051">
        <f t="shared" si="170"/>
        <v>0</v>
      </c>
      <c r="DM771" s="234"/>
    </row>
    <row r="772" spans="1:117" x14ac:dyDescent="0.25">
      <c r="A772" s="2143" t="s">
        <v>602</v>
      </c>
      <c r="B772" s="1318">
        <f>VALUE(LEFT(C772,6))</f>
        <v>354120</v>
      </c>
      <c r="C772" s="650" t="s">
        <v>1222</v>
      </c>
      <c r="D772" s="1994" t="s">
        <v>810</v>
      </c>
      <c r="E772" s="2101" t="s">
        <v>1223</v>
      </c>
      <c r="F772" s="885">
        <f>ROUND(((K1348*K1451*(1/K1554-1/K1657)*K1760)/1000)*$K$1800,2)</f>
        <v>1885.09</v>
      </c>
      <c r="G772" s="2097" t="s">
        <v>1030</v>
      </c>
      <c r="H772" s="2098">
        <f>VLOOKUP(G772,'CP FACTORS'!$A$3:$B$38, 2, FALSE)</f>
        <v>9.4741810000000004E-4</v>
      </c>
      <c r="I772" s="2102">
        <f>ROUND(F772*H772,6)</f>
        <v>1.785968</v>
      </c>
      <c r="J772" s="48">
        <f>K1927</f>
        <v>6</v>
      </c>
      <c r="K772" s="2100">
        <f>IF(C772&lt;&gt;C702,VLOOKUP(C772,$J$2007:$K$2218,2,FALSE),0)</f>
        <v>490.66476099789202</v>
      </c>
      <c r="L772" s="168">
        <f>L935</f>
        <v>1.9627289377289376</v>
      </c>
      <c r="M772" s="531"/>
      <c r="N772" s="542"/>
      <c r="O772" s="398"/>
      <c r="R772" s="510"/>
      <c r="T772" s="50"/>
      <c r="U772" s="544"/>
      <c r="V772" s="645" t="s">
        <v>46</v>
      </c>
      <c r="W772" s="903"/>
      <c r="X772" s="233"/>
      <c r="Y772" s="208"/>
      <c r="Z772" s="208"/>
      <c r="AA772" s="208"/>
      <c r="AB772" s="960"/>
      <c r="AC772" s="901"/>
      <c r="AD772" s="208"/>
      <c r="AE772" s="208"/>
      <c r="AF772" s="253"/>
      <c r="AG772" s="253">
        <f>IF(F772&lt;&gt;"",F772,"")</f>
        <v>1885.09</v>
      </c>
      <c r="AH772" s="114"/>
      <c r="AK772" s="904"/>
      <c r="DF772" s="1434" t="str">
        <f>E772</f>
        <v>ASHP-SEER17-Replace_CAC_NonElectricHeat_ER1_MF</v>
      </c>
      <c r="DG772" s="1019">
        <f>(DI772+DI773+DI774+DI775)/(DJ772+DJ773+DJ774+DJ775)</f>
        <v>4.4113638083340039</v>
      </c>
      <c r="DH772" s="1240" t="str">
        <f>CONCATENATE(G772," ",J772," Year EUL")</f>
        <v>Cooling Res 6 Year EUL</v>
      </c>
      <c r="DI772" s="1020">
        <f>(INDEX('Avoided Cost Benefits'!$B$4:$B$866,MATCH(DH772,'Avoided Cost Benefits'!$A$4:$A$866,0)))*F772</f>
        <v>1877.2632897846706</v>
      </c>
      <c r="DJ772" s="2051">
        <f>IFERROR(K772/((1+DiscountRate)^(CurrentYear-DiscountYear)),0)</f>
        <v>490.66476099789202</v>
      </c>
      <c r="DM772" s="234"/>
    </row>
    <row r="773" spans="1:117" x14ac:dyDescent="0.25">
      <c r="A773" s="2143" t="s">
        <v>602</v>
      </c>
      <c r="B773" s="1318">
        <f>VALUE(LEFT(C773,6))</f>
        <v>354120</v>
      </c>
      <c r="C773" s="650" t="s">
        <v>1222</v>
      </c>
      <c r="D773" s="1994" t="s">
        <v>810</v>
      </c>
      <c r="E773" s="2103" t="s">
        <v>1223</v>
      </c>
      <c r="F773" s="885">
        <v>0</v>
      </c>
      <c r="G773" s="2097" t="s">
        <v>1031</v>
      </c>
      <c r="H773" s="2098">
        <f>VLOOKUP(G773,'CP FACTORS'!$A$3:$B$38, 2, FALSE)</f>
        <v>0</v>
      </c>
      <c r="I773" s="2102">
        <f>ROUND(F773*H773,6)</f>
        <v>0</v>
      </c>
      <c r="J773" s="48">
        <f>K1928</f>
        <v>6</v>
      </c>
      <c r="K773" s="2100">
        <f>IF(C773&lt;&gt;C772,VLOOKUP(C773,$J$2007:$K$2218,2,FALSE),0)</f>
        <v>0</v>
      </c>
      <c r="L773" s="168"/>
      <c r="M773" s="531"/>
      <c r="N773" s="542"/>
      <c r="O773" s="398"/>
      <c r="R773" s="510"/>
      <c r="T773" s="50"/>
      <c r="U773" s="544"/>
      <c r="V773" s="645" t="s">
        <v>46</v>
      </c>
      <c r="W773" s="903"/>
      <c r="X773" s="233"/>
      <c r="Y773" s="208"/>
      <c r="Z773" s="208"/>
      <c r="AA773" s="208"/>
      <c r="AB773" s="960"/>
      <c r="AC773" s="901"/>
      <c r="AD773" s="208"/>
      <c r="AE773" s="208"/>
      <c r="AF773" s="253"/>
      <c r="AG773" s="253">
        <f>IF(F773&lt;&gt;"",F773,"")</f>
        <v>0</v>
      </c>
      <c r="AH773" s="114"/>
      <c r="AK773" s="904"/>
      <c r="DF773" s="1434" t="str">
        <f>E773</f>
        <v>ASHP-SEER17-Replace_CAC_NonElectricHeat_ER1_MF</v>
      </c>
      <c r="DG773" s="1023"/>
      <c r="DH773" s="1265" t="str">
        <f>CONCATENATE(G773," ",J773," Year EUL")</f>
        <v>Heating Res 6 Year EUL</v>
      </c>
      <c r="DI773" s="1020">
        <f>(INDEX('Avoided Cost Benefits'!$B$4:$B$866,MATCH(DH773,'Avoided Cost Benefits'!$A$4:$A$866,0)))*F773</f>
        <v>0</v>
      </c>
      <c r="DJ773" s="2051">
        <f>IFERROR(K773/((1+DiscountRate)^(CurrentYear-DiscountYear)),0)</f>
        <v>0</v>
      </c>
      <c r="DM773" s="234"/>
    </row>
    <row r="774" spans="1:117" x14ac:dyDescent="0.25">
      <c r="A774" s="2143" t="s">
        <v>602</v>
      </c>
      <c r="B774" s="1318">
        <f>VALUE(LEFT(C774,6))</f>
        <v>354120</v>
      </c>
      <c r="C774" s="650" t="s">
        <v>1222</v>
      </c>
      <c r="D774" s="1994" t="s">
        <v>810</v>
      </c>
      <c r="E774" s="2103" t="s">
        <v>1224</v>
      </c>
      <c r="F774" s="885">
        <f>ROUND(((K1349*K1452*(1/K1555-1/K1658)*K1761)/1000)*$K$1800,2)</f>
        <v>221.99</v>
      </c>
      <c r="G774" s="2097" t="s">
        <v>1083</v>
      </c>
      <c r="H774" s="2098">
        <f>VLOOKUP(G774,'CP FACTORS'!$A$3:$B$38, 2, FALSE)</f>
        <v>9.4741810000000004E-4</v>
      </c>
      <c r="I774" s="2102">
        <f>ROUND(F774*H774,6)</f>
        <v>0.210317</v>
      </c>
      <c r="J774" s="48">
        <f>K1929</f>
        <v>12</v>
      </c>
      <c r="K774" s="2100">
        <f>IF(C774&lt;&gt;C773,VLOOKUP(C774,$J$2007:$K$2218,2,FALSE),0)</f>
        <v>0</v>
      </c>
      <c r="L774" s="168"/>
      <c r="M774" s="531"/>
      <c r="N774" s="542"/>
      <c r="O774" s="398"/>
      <c r="R774" s="510"/>
      <c r="T774" s="50"/>
      <c r="U774" s="544"/>
      <c r="V774" s="645" t="s">
        <v>46</v>
      </c>
      <c r="W774" s="903"/>
      <c r="X774" s="236"/>
      <c r="Y774" s="208"/>
      <c r="Z774" s="208"/>
      <c r="AA774" s="208"/>
      <c r="AB774" s="960"/>
      <c r="AC774" s="901"/>
      <c r="AD774" s="208"/>
      <c r="AE774" s="210"/>
      <c r="AF774" s="253"/>
      <c r="AG774" s="253">
        <f>IF(F774&lt;&gt;"",F774,"")</f>
        <v>221.99</v>
      </c>
      <c r="AH774" s="114"/>
      <c r="AK774" s="904"/>
      <c r="DF774" s="1434" t="str">
        <f>E774</f>
        <v>ASHP-SEER17-Replace_CAC_NonElectricHeat_ER2_MF</v>
      </c>
      <c r="DG774" s="1023"/>
      <c r="DH774" s="1265" t="str">
        <f>CONCATENATE(G774," ",J774," Year EUL")</f>
        <v>Cooling Res ER2 12 Year EUL</v>
      </c>
      <c r="DI774" s="1020">
        <f>(INDEX('Avoided Cost Benefits'!$B$4:$B$866,MATCH(DH774,'Avoided Cost Benefits'!$A$4:$A$866,0)))*F774</f>
        <v>287.23747890628425</v>
      </c>
      <c r="DJ774" s="2051">
        <f>IFERROR(K774/((1+DiscountRate)^(CurrentYear-DiscountYear)),0)</f>
        <v>0</v>
      </c>
      <c r="DM774" s="234"/>
    </row>
    <row r="775" spans="1:117" x14ac:dyDescent="0.25">
      <c r="A775" s="2143" t="s">
        <v>602</v>
      </c>
      <c r="B775" s="1318">
        <f>VALUE(LEFT(C775,6))</f>
        <v>354120</v>
      </c>
      <c r="C775" s="650" t="s">
        <v>1222</v>
      </c>
      <c r="D775" s="1994" t="s">
        <v>810</v>
      </c>
      <c r="E775" s="2104" t="s">
        <v>1224</v>
      </c>
      <c r="F775" s="885">
        <v>0</v>
      </c>
      <c r="G775" s="2097" t="s">
        <v>1118</v>
      </c>
      <c r="H775" s="2098">
        <f>VLOOKUP(G775,'CP FACTORS'!$A$3:$B$38, 2, FALSE)</f>
        <v>0</v>
      </c>
      <c r="I775" s="2102">
        <f>ROUND(F775*H775,6)</f>
        <v>0</v>
      </c>
      <c r="J775" s="48">
        <f>K1930</f>
        <v>12</v>
      </c>
      <c r="K775" s="2100">
        <f>IF(C775&lt;&gt;C774,VLOOKUP(C775,$J$2007:$K$2218,2,FALSE),0)</f>
        <v>0</v>
      </c>
      <c r="L775" s="168"/>
      <c r="M775" s="531"/>
      <c r="N775" s="542"/>
      <c r="O775" s="398"/>
      <c r="R775" s="510"/>
      <c r="T775" s="50"/>
      <c r="U775" s="544"/>
      <c r="V775" s="645" t="s">
        <v>46</v>
      </c>
      <c r="W775" s="903"/>
      <c r="X775" s="233"/>
      <c r="Y775" s="208"/>
      <c r="Z775" s="208"/>
      <c r="AA775" s="208"/>
      <c r="AB775" s="960"/>
      <c r="AC775" s="901"/>
      <c r="AD775" s="208"/>
      <c r="AE775" s="208"/>
      <c r="AF775" s="253"/>
      <c r="AG775" s="253">
        <f>IF(F775&lt;&gt;"",F775,"")</f>
        <v>0</v>
      </c>
      <c r="AH775" s="114"/>
      <c r="AK775" s="904"/>
      <c r="DF775" s="1434" t="str">
        <f>E775</f>
        <v>ASHP-SEER17-Replace_CAC_NonElectricHeat_ER2_MF</v>
      </c>
      <c r="DG775" s="1023"/>
      <c r="DH775" s="1241" t="str">
        <f>CONCATENATE(G775," ",J775," Year EUL")</f>
        <v>Heating Res ER2 12 Year EUL</v>
      </c>
      <c r="DI775" s="1020">
        <f>(INDEX('Avoided Cost Benefits'!$B$4:$B$866,MATCH(DH775,'Avoided Cost Benefits'!$A$4:$A$866,0)))*F775</f>
        <v>0</v>
      </c>
      <c r="DJ775" s="2051">
        <f>IFERROR(K775/((1+DiscountRate)^(CurrentYear-DiscountYear)),0)</f>
        <v>0</v>
      </c>
      <c r="DM775" s="234"/>
    </row>
    <row r="776" spans="1:117" x14ac:dyDescent="0.25">
      <c r="A776" s="2146" t="s">
        <v>861</v>
      </c>
      <c r="B776" s="1318">
        <f t="shared" si="168"/>
        <v>354110</v>
      </c>
      <c r="C776" s="18" t="s">
        <v>1219</v>
      </c>
      <c r="D776" s="1974" t="s">
        <v>863</v>
      </c>
      <c r="E776" s="1265" t="s">
        <v>1221</v>
      </c>
      <c r="F776" s="208">
        <f>0</f>
        <v>0</v>
      </c>
      <c r="G776" s="540" t="s">
        <v>1118</v>
      </c>
      <c r="H776" s="66">
        <f>VLOOKUP(G776,'CP FACTORS'!$A$3:$B$38, 2, FALSE)</f>
        <v>0</v>
      </c>
      <c r="I776" s="1070">
        <f t="shared" si="164"/>
        <v>0</v>
      </c>
      <c r="J776" s="57">
        <f t="shared" ref="J776" si="171">K1926</f>
        <v>12</v>
      </c>
      <c r="K776" s="152">
        <f>IF(C776&lt;&gt;C771,VLOOKUP(C776,$J$2007:$K$2218,2,FALSE),0)</f>
        <v>0</v>
      </c>
      <c r="L776" s="167"/>
      <c r="M776" s="531"/>
      <c r="N776" s="542"/>
      <c r="O776" s="398"/>
      <c r="R776" s="510"/>
      <c r="T776" s="50"/>
      <c r="U776" s="544"/>
      <c r="V776" s="1307" t="s">
        <v>46</v>
      </c>
      <c r="W776" s="903"/>
      <c r="X776" s="233"/>
      <c r="Y776" s="208"/>
      <c r="Z776" s="208"/>
      <c r="AA776" s="208"/>
      <c r="AB776" s="960"/>
      <c r="AC776" s="210">
        <v>0</v>
      </c>
      <c r="AD776" s="208">
        <v>0</v>
      </c>
      <c r="AE776" s="208">
        <v>0</v>
      </c>
      <c r="AF776" s="253">
        <v>0</v>
      </c>
      <c r="AG776" s="253">
        <f t="shared" si="166"/>
        <v>0</v>
      </c>
      <c r="AH776" s="114"/>
      <c r="AK776" s="904"/>
      <c r="DF776" s="1434" t="str">
        <f t="shared" si="169"/>
        <v>ASHP-SEER17-Replace_CAC_NonElectricHeat_ER2_SF</v>
      </c>
      <c r="DG776" s="1023"/>
      <c r="DH776" s="1265" t="str">
        <f t="shared" si="165"/>
        <v>Heating Res ER2 12 Year EUL</v>
      </c>
      <c r="DI776" s="1020">
        <f>(INDEX('Avoided Cost Benefits'!$B$4:$B$866,MATCH(DH776,'Avoided Cost Benefits'!$A$4:$A$866,0)))*F776</f>
        <v>0</v>
      </c>
      <c r="DJ776" s="2051">
        <f t="shared" si="170"/>
        <v>0</v>
      </c>
      <c r="DM776" s="234"/>
    </row>
    <row r="777" spans="1:117" x14ac:dyDescent="0.25">
      <c r="A777" s="2146" t="s">
        <v>602</v>
      </c>
      <c r="B777" s="1318">
        <f t="shared" si="168"/>
        <v>354150</v>
      </c>
      <c r="C777" s="18" t="s">
        <v>1225</v>
      </c>
      <c r="D777" s="1974" t="s">
        <v>810</v>
      </c>
      <c r="E777" s="1240" t="s">
        <v>1226</v>
      </c>
      <c r="F777" s="208">
        <f>ROUND((($K$1350*$K$1453*(1/$K$1556-1/$K$1659)*$K$1762)/1000)*$K$1800,2)</f>
        <v>1286.47</v>
      </c>
      <c r="G777" s="540" t="s">
        <v>1030</v>
      </c>
      <c r="H777" s="66">
        <f>VLOOKUP(G777,'CP FACTORS'!$A$3:$B$38, 2, FALSE)</f>
        <v>9.4741810000000004E-4</v>
      </c>
      <c r="I777" s="1070">
        <f t="shared" si="164"/>
        <v>1.218825</v>
      </c>
      <c r="J777" s="57">
        <f t="shared" ref="J777:J791" si="172">K1931</f>
        <v>6</v>
      </c>
      <c r="K777" s="152">
        <f t="shared" ref="K777:K808" si="173">IF(C777&lt;&gt;C776,VLOOKUP(C777,$J$2007:$K$2218,2,FALSE),0)</f>
        <v>3396.7316315552043</v>
      </c>
      <c r="L777" s="167">
        <f>L937</f>
        <v>3.1</v>
      </c>
      <c r="M777" s="531"/>
      <c r="N777" s="542"/>
      <c r="O777" s="398"/>
      <c r="R777" s="510"/>
      <c r="T777" s="50"/>
      <c r="U777" s="544"/>
      <c r="V777" s="1307" t="s">
        <v>46</v>
      </c>
      <c r="W777" s="903">
        <v>1854.0370588235296</v>
      </c>
      <c r="X777" s="233">
        <v>1286.4746938775511</v>
      </c>
      <c r="Y777" s="208">
        <v>1286.47</v>
      </c>
      <c r="Z777" s="208">
        <v>1286.47</v>
      </c>
      <c r="AA777" s="208">
        <v>1286.47</v>
      </c>
      <c r="AB777" s="960">
        <v>1286.47</v>
      </c>
      <c r="AC777" s="901">
        <v>1286.47</v>
      </c>
      <c r="AD777" s="208">
        <v>1286.47</v>
      </c>
      <c r="AE777" s="208">
        <v>1286.47</v>
      </c>
      <c r="AF777" s="253">
        <v>1286.47</v>
      </c>
      <c r="AG777" s="253">
        <f t="shared" si="166"/>
        <v>1286.47</v>
      </c>
      <c r="AH777" s="114"/>
      <c r="AK777" s="904"/>
      <c r="DF777" s="1434" t="str">
        <f t="shared" si="169"/>
        <v>ASHP-SEER17-Replace_CAC_ElectricHeat_ER1_MF</v>
      </c>
      <c r="DG777" s="1019">
        <f>(DI777+DI778+DI779+DI780)/(DJ777+DJ778+DJ779+DJ780)</f>
        <v>1.6326050808149164</v>
      </c>
      <c r="DH777" s="1240" t="str">
        <f t="shared" si="165"/>
        <v>Cooling Res 6 Year EUL</v>
      </c>
      <c r="DI777" s="1020">
        <f>(INDEX('Avoided Cost Benefits'!$B$4:$B$866,MATCH(DH777,'Avoided Cost Benefits'!$A$4:$A$866,0)))*F777</f>
        <v>1281.1287017645234</v>
      </c>
      <c r="DJ777" s="2051">
        <f t="shared" si="170"/>
        <v>3396.7316315552043</v>
      </c>
      <c r="DM777" s="234"/>
    </row>
    <row r="778" spans="1:117" x14ac:dyDescent="0.25">
      <c r="A778" s="2146" t="s">
        <v>602</v>
      </c>
      <c r="B778" s="1318">
        <f t="shared" si="168"/>
        <v>354150</v>
      </c>
      <c r="C778" s="18" t="s">
        <v>1225</v>
      </c>
      <c r="D778" s="1974" t="s">
        <v>810</v>
      </c>
      <c r="E778" s="1265" t="s">
        <v>1226</v>
      </c>
      <c r="F778" s="208">
        <f>ROUND((($K$937*$K$1041*(1/$K$1144-1/$K$1247)*$K$1762)/1000)*$K$1800,2)</f>
        <v>6327.14</v>
      </c>
      <c r="G778" s="540" t="s">
        <v>1031</v>
      </c>
      <c r="H778" s="66">
        <f>VLOOKUP(G778,'CP FACTORS'!$A$3:$B$38, 2, FALSE)</f>
        <v>0</v>
      </c>
      <c r="I778" s="1070">
        <f t="shared" si="164"/>
        <v>0</v>
      </c>
      <c r="J778" s="57">
        <f t="shared" si="172"/>
        <v>6</v>
      </c>
      <c r="K778" s="152">
        <f t="shared" si="173"/>
        <v>0</v>
      </c>
      <c r="L778" s="167"/>
      <c r="M778" s="531"/>
      <c r="N778" s="542"/>
      <c r="O778" s="398"/>
      <c r="R778" s="510"/>
      <c r="T778" s="50"/>
      <c r="U778" s="544"/>
      <c r="V778" s="1307" t="s">
        <v>46</v>
      </c>
      <c r="W778" s="903">
        <v>9077.8044487427451</v>
      </c>
      <c r="X778" s="233">
        <v>6759.7787234042544</v>
      </c>
      <c r="Y778" s="208">
        <v>6759.78</v>
      </c>
      <c r="Z778" s="208">
        <v>6759.78</v>
      </c>
      <c r="AA778" s="208">
        <v>6759.78</v>
      </c>
      <c r="AB778" s="960">
        <v>6759.78</v>
      </c>
      <c r="AC778" s="901">
        <v>6759.78</v>
      </c>
      <c r="AD778" s="208">
        <v>6759.78</v>
      </c>
      <c r="AE778" s="208">
        <v>6759.78</v>
      </c>
      <c r="AF778" s="253">
        <v>6759.78</v>
      </c>
      <c r="AG778" s="253">
        <f t="shared" si="166"/>
        <v>6327.14</v>
      </c>
      <c r="AH778" s="114"/>
      <c r="AK778" s="904"/>
      <c r="DF778" s="1434" t="str">
        <f t="shared" si="169"/>
        <v>ASHP-SEER17-Replace_CAC_ElectricHeat_ER1_MF</v>
      </c>
      <c r="DG778" s="1023"/>
      <c r="DH778" s="1265" t="str">
        <f t="shared" si="165"/>
        <v>Heating Res 6 Year EUL</v>
      </c>
      <c r="DI778" s="1020">
        <f>(INDEX('Avoided Cost Benefits'!$B$4:$B$866,MATCH(DH778,'Avoided Cost Benefits'!$A$4:$A$866,0)))*F778</f>
        <v>1696.804879940808</v>
      </c>
      <c r="DJ778" s="2051">
        <f t="shared" si="170"/>
        <v>0</v>
      </c>
      <c r="DM778" s="234"/>
    </row>
    <row r="779" spans="1:117" x14ac:dyDescent="0.25">
      <c r="A779" s="2146" t="s">
        <v>602</v>
      </c>
      <c r="B779" s="1318">
        <f t="shared" si="168"/>
        <v>354150</v>
      </c>
      <c r="C779" s="18" t="s">
        <v>1225</v>
      </c>
      <c r="D779" s="1974" t="s">
        <v>810</v>
      </c>
      <c r="E779" s="1265" t="s">
        <v>1227</v>
      </c>
      <c r="F779" s="208">
        <f>ROUND((($K$1351*$K$1454*(1/$K$1557-1/$K$1660)*$K$1763)/1000)*$K$1800,2)</f>
        <v>332.07</v>
      </c>
      <c r="G779" s="540" t="s">
        <v>1083</v>
      </c>
      <c r="H779" s="66">
        <f>VLOOKUP(G779,'CP FACTORS'!$A$3:$B$38, 2, FALSE)</f>
        <v>9.4741810000000004E-4</v>
      </c>
      <c r="I779" s="1070">
        <f t="shared" si="164"/>
        <v>0.31460900000000003</v>
      </c>
      <c r="J779" s="57">
        <f t="shared" si="172"/>
        <v>12</v>
      </c>
      <c r="K779" s="152">
        <f t="shared" si="173"/>
        <v>0</v>
      </c>
      <c r="L779" s="167"/>
      <c r="M779" s="531"/>
      <c r="N779" s="542"/>
      <c r="O779" s="398"/>
      <c r="R779" s="510"/>
      <c r="T779" s="50"/>
      <c r="U779" s="544"/>
      <c r="V779" s="1307" t="s">
        <v>46</v>
      </c>
      <c r="W779" s="903">
        <v>380.31529411764717</v>
      </c>
      <c r="X779" s="236">
        <v>380.31529411764717</v>
      </c>
      <c r="Y779" s="208">
        <v>380.32</v>
      </c>
      <c r="Z779" s="208">
        <v>380.32</v>
      </c>
      <c r="AA779" s="208">
        <v>380.32</v>
      </c>
      <c r="AB779" s="960">
        <v>380.32</v>
      </c>
      <c r="AC779" s="901">
        <v>380.32</v>
      </c>
      <c r="AD779" s="208">
        <v>380.32</v>
      </c>
      <c r="AE779" s="210">
        <v>264.86</v>
      </c>
      <c r="AF779" s="253">
        <v>332.07</v>
      </c>
      <c r="AG779" s="253">
        <f t="shared" si="166"/>
        <v>332.07</v>
      </c>
      <c r="AH779" s="114"/>
      <c r="AK779" s="904"/>
      <c r="DF779" s="1434" t="str">
        <f t="shared" si="169"/>
        <v>ASHP-SEER17-Replace_CAC_ElectricHeat_ER2_MF</v>
      </c>
      <c r="DG779" s="1023"/>
      <c r="DH779" s="1265" t="str">
        <f t="shared" si="165"/>
        <v>Cooling Res ER2 12 Year EUL</v>
      </c>
      <c r="DI779" s="1020">
        <f>(INDEX('Avoided Cost Benefits'!$B$4:$B$866,MATCH(DH779,'Avoided Cost Benefits'!$A$4:$A$866,0)))*F779</f>
        <v>429.67228082530659</v>
      </c>
      <c r="DJ779" s="2051">
        <f t="shared" si="170"/>
        <v>0</v>
      </c>
      <c r="DM779" s="234"/>
    </row>
    <row r="780" spans="1:117" x14ac:dyDescent="0.25">
      <c r="A780" s="2146" t="s">
        <v>602</v>
      </c>
      <c r="B780" s="1318">
        <f t="shared" si="168"/>
        <v>354150</v>
      </c>
      <c r="C780" s="18" t="s">
        <v>1225</v>
      </c>
      <c r="D780" s="1974" t="s">
        <v>810</v>
      </c>
      <c r="E780" s="1241" t="s">
        <v>1227</v>
      </c>
      <c r="F780" s="208">
        <f>ROUND((($K$938*$K$1042*(1/$K$1145-1/$K$1248)*$K$1763)/1000)*$K$1800,2)</f>
        <v>6327.14</v>
      </c>
      <c r="G780" s="540" t="s">
        <v>1118</v>
      </c>
      <c r="H780" s="66">
        <f>VLOOKUP(G780,'CP FACTORS'!$A$3:$B$38, 2, FALSE)</f>
        <v>0</v>
      </c>
      <c r="I780" s="1070">
        <f t="shared" si="164"/>
        <v>0</v>
      </c>
      <c r="J780" s="57">
        <f t="shared" si="172"/>
        <v>12</v>
      </c>
      <c r="K780" s="152">
        <f t="shared" si="173"/>
        <v>0</v>
      </c>
      <c r="L780" s="167"/>
      <c r="M780" s="531"/>
      <c r="N780" s="542"/>
      <c r="O780" s="398"/>
      <c r="R780" s="510"/>
      <c r="T780" s="50"/>
      <c r="U780" s="544"/>
      <c r="V780" s="1307" t="s">
        <v>46</v>
      </c>
      <c r="W780" s="903">
        <v>9077.8044487427451</v>
      </c>
      <c r="X780" s="233">
        <v>6759.7787234042544</v>
      </c>
      <c r="Y780" s="208">
        <v>6759.78</v>
      </c>
      <c r="Z780" s="208">
        <v>6759.78</v>
      </c>
      <c r="AA780" s="208">
        <v>6759.78</v>
      </c>
      <c r="AB780" s="960">
        <v>6759.78</v>
      </c>
      <c r="AC780" s="901">
        <v>6759.78</v>
      </c>
      <c r="AD780" s="208">
        <v>6759.78</v>
      </c>
      <c r="AE780" s="208">
        <v>6759.78</v>
      </c>
      <c r="AF780" s="253">
        <v>6759.78</v>
      </c>
      <c r="AG780" s="253">
        <f t="shared" si="166"/>
        <v>6327.14</v>
      </c>
      <c r="AH780" s="114"/>
      <c r="AK780" s="904"/>
      <c r="DF780" s="1434" t="str">
        <f t="shared" si="169"/>
        <v>ASHP-SEER17-Replace_CAC_ElectricHeat_ER2_MF</v>
      </c>
      <c r="DG780" s="1023"/>
      <c r="DH780" s="1241" t="str">
        <f t="shared" si="165"/>
        <v>Heating Res ER2 12 Year EUL</v>
      </c>
      <c r="DI780" s="1020">
        <f>(INDEX('Avoided Cost Benefits'!$B$4:$B$866,MATCH(DH780,'Avoided Cost Benefits'!$A$4:$A$866,0)))*F780</f>
        <v>2137.9154573111286</v>
      </c>
      <c r="DJ780" s="2051">
        <f t="shared" si="170"/>
        <v>0</v>
      </c>
      <c r="DM780" s="234"/>
    </row>
    <row r="781" spans="1:117" x14ac:dyDescent="0.25">
      <c r="A781" s="2146" t="s">
        <v>602</v>
      </c>
      <c r="B781" s="1318">
        <f t="shared" si="168"/>
        <v>354200</v>
      </c>
      <c r="C781" s="18" t="s">
        <v>1228</v>
      </c>
      <c r="D781" s="1974" t="s">
        <v>810</v>
      </c>
      <c r="E781" s="1240" t="s">
        <v>1229</v>
      </c>
      <c r="F781" s="208">
        <f>ROUND(((K1352*K1455*(1/K1558-1/K1661)*K1764)/1000)*$K$1800,2)</f>
        <v>1369.47</v>
      </c>
      <c r="G781" s="540" t="s">
        <v>1030</v>
      </c>
      <c r="H781" s="66">
        <f>VLOOKUP(G781,'CP FACTORS'!$A$3:$B$38, 2, FALSE)</f>
        <v>9.4741810000000004E-4</v>
      </c>
      <c r="I781" s="961">
        <f t="shared" ref="I781:I812" si="174">ROUND(F781*H781,6)</f>
        <v>1.297461</v>
      </c>
      <c r="J781" s="57">
        <f t="shared" si="172"/>
        <v>6</v>
      </c>
      <c r="K781" s="152">
        <f t="shared" si="173"/>
        <v>626.51836415648631</v>
      </c>
      <c r="L781" s="167">
        <f>L939</f>
        <v>3.3</v>
      </c>
      <c r="M781" s="531"/>
      <c r="N781" s="542"/>
      <c r="O781" s="398"/>
      <c r="R781" s="510"/>
      <c r="T781" s="50"/>
      <c r="U781" s="544"/>
      <c r="V781" s="1307" t="s">
        <v>46</v>
      </c>
      <c r="W781" s="903">
        <v>1790.9067647058826</v>
      </c>
      <c r="X781" s="233">
        <v>1369.47306122449</v>
      </c>
      <c r="Y781" s="208">
        <v>1369.47</v>
      </c>
      <c r="Z781" s="208">
        <v>1369.47</v>
      </c>
      <c r="AA781" s="208">
        <v>1369.47</v>
      </c>
      <c r="AB781" s="960">
        <v>1369.47</v>
      </c>
      <c r="AC781" s="901">
        <v>1369.47</v>
      </c>
      <c r="AD781" s="208">
        <v>1369.47</v>
      </c>
      <c r="AE781" s="208">
        <v>1369.47</v>
      </c>
      <c r="AF781" s="253">
        <v>1369.47</v>
      </c>
      <c r="AG781" s="253">
        <f t="shared" si="166"/>
        <v>1369.47</v>
      </c>
      <c r="AH781" s="114"/>
      <c r="AK781" s="904"/>
      <c r="DF781" s="1434" t="str">
        <f t="shared" si="169"/>
        <v>ASHP-SEER17_ER1_MF</v>
      </c>
      <c r="DG781" s="1019">
        <f>(DI781+DI782+DI783+DI784)/(DJ781+DJ782+DJ783+DJ784)</f>
        <v>3.5555099175673179</v>
      </c>
      <c r="DH781" s="1240" t="str">
        <f t="shared" ref="DH781:DH812" si="175">CONCATENATE(G781," ",J781," Year EUL")</f>
        <v>Cooling Res 6 Year EUL</v>
      </c>
      <c r="DI781" s="1020">
        <f>(INDEX('Avoided Cost Benefits'!$B$4:$B$866,MATCH(DH781,'Avoided Cost Benefits'!$A$4:$A$866,0)))*F781</f>
        <v>1363.7840938424229</v>
      </c>
      <c r="DJ781" s="2051">
        <f t="shared" si="170"/>
        <v>626.51836415648631</v>
      </c>
      <c r="DM781" s="234"/>
    </row>
    <row r="782" spans="1:117" x14ac:dyDescent="0.25">
      <c r="A782" s="2146" t="s">
        <v>602</v>
      </c>
      <c r="B782" s="1318">
        <f t="shared" si="168"/>
        <v>354200</v>
      </c>
      <c r="C782" s="18" t="s">
        <v>1228</v>
      </c>
      <c r="D782" s="1974" t="s">
        <v>810</v>
      </c>
      <c r="E782" s="1265" t="s">
        <v>1229</v>
      </c>
      <c r="F782" s="208">
        <f>ROUND(((K939*K1043*(1/K1146-1/K1249)*K1764)/1000)*$K$1800,2)</f>
        <v>1295.0899999999999</v>
      </c>
      <c r="G782" s="540" t="s">
        <v>1031</v>
      </c>
      <c r="H782" s="66">
        <f>VLOOKUP(G782,'CP FACTORS'!$A$3:$B$38, 2, FALSE)</f>
        <v>0</v>
      </c>
      <c r="I782" s="961">
        <f t="shared" si="174"/>
        <v>0</v>
      </c>
      <c r="J782" s="57">
        <f t="shared" si="172"/>
        <v>6</v>
      </c>
      <c r="K782" s="152">
        <f t="shared" si="173"/>
        <v>0</v>
      </c>
      <c r="L782" s="167"/>
      <c r="M782" s="531"/>
      <c r="N782" s="542"/>
      <c r="O782" s="398"/>
      <c r="R782" s="510"/>
      <c r="T782" s="50"/>
      <c r="U782" s="544"/>
      <c r="V782" s="1307" t="s">
        <v>46</v>
      </c>
      <c r="W782" s="903">
        <v>4062.4872213622284</v>
      </c>
      <c r="X782" s="233">
        <v>1798.7611070228763</v>
      </c>
      <c r="Y782" s="208">
        <v>1798.76</v>
      </c>
      <c r="Z782" s="208">
        <v>1798.76</v>
      </c>
      <c r="AA782" s="208">
        <v>1798.76</v>
      </c>
      <c r="AB782" s="960">
        <v>1798.76</v>
      </c>
      <c r="AC782" s="901">
        <v>1798.76</v>
      </c>
      <c r="AD782" s="208">
        <v>1798.76</v>
      </c>
      <c r="AE782" s="208">
        <v>1798.76</v>
      </c>
      <c r="AF782" s="253">
        <v>1798.76</v>
      </c>
      <c r="AG782" s="253">
        <f t="shared" si="166"/>
        <v>1295.0899999999999</v>
      </c>
      <c r="AH782" s="114"/>
      <c r="AK782" s="904"/>
      <c r="DF782" s="1434" t="str">
        <f t="shared" si="169"/>
        <v>ASHP-SEER17_ER1_MF</v>
      </c>
      <c r="DG782" s="1023"/>
      <c r="DH782" s="1265" t="str">
        <f t="shared" si="175"/>
        <v>Heating Res 6 Year EUL</v>
      </c>
      <c r="DI782" s="1020">
        <f>(INDEX('Avoided Cost Benefits'!$B$4:$B$866,MATCH(DH782,'Avoided Cost Benefits'!$A$4:$A$866,0)))*F782</f>
        <v>347.31569586930914</v>
      </c>
      <c r="DJ782" s="2051">
        <f t="shared" si="170"/>
        <v>0</v>
      </c>
      <c r="DM782" s="234"/>
    </row>
    <row r="783" spans="1:117" x14ac:dyDescent="0.25">
      <c r="A783" s="2146" t="s">
        <v>602</v>
      </c>
      <c r="B783" s="1318">
        <f t="shared" si="168"/>
        <v>354200</v>
      </c>
      <c r="C783" s="18" t="s">
        <v>1228</v>
      </c>
      <c r="D783" s="1974" t="s">
        <v>810</v>
      </c>
      <c r="E783" s="1265" t="s">
        <v>1230</v>
      </c>
      <c r="F783" s="208">
        <f>ROUND(((K1353*K1456*(1/K1559-1/K1662)*K1765)/1000)*$K$1800,2)</f>
        <v>248.43</v>
      </c>
      <c r="G783" s="540" t="s">
        <v>1083</v>
      </c>
      <c r="H783" s="66">
        <f>VLOOKUP(G783,'CP FACTORS'!$A$3:$B$38, 2, FALSE)</f>
        <v>9.4741810000000004E-4</v>
      </c>
      <c r="I783" s="961">
        <f t="shared" si="174"/>
        <v>0.23536699999999999</v>
      </c>
      <c r="J783" s="57">
        <f t="shared" si="172"/>
        <v>12</v>
      </c>
      <c r="K783" s="152">
        <f t="shared" si="173"/>
        <v>0</v>
      </c>
      <c r="L783" s="167"/>
      <c r="M783" s="531"/>
      <c r="N783" s="542"/>
      <c r="O783" s="398"/>
      <c r="R783" s="510"/>
      <c r="T783" s="50"/>
      <c r="U783" s="544"/>
      <c r="V783" s="1307" t="s">
        <v>46</v>
      </c>
      <c r="W783" s="903">
        <v>281.95033613445372</v>
      </c>
      <c r="X783" s="236">
        <v>281.95033613445372</v>
      </c>
      <c r="Y783" s="208">
        <v>281.95</v>
      </c>
      <c r="Z783" s="208">
        <v>281.95</v>
      </c>
      <c r="AA783" s="208">
        <v>281.95</v>
      </c>
      <c r="AB783" s="960">
        <v>281.95</v>
      </c>
      <c r="AC783" s="901">
        <v>281.95</v>
      </c>
      <c r="AD783" s="208">
        <v>281.95</v>
      </c>
      <c r="AE783" s="210">
        <v>175.44</v>
      </c>
      <c r="AF783" s="253">
        <v>248.43</v>
      </c>
      <c r="AG783" s="253">
        <f t="shared" si="166"/>
        <v>248.43</v>
      </c>
      <c r="AH783" s="114"/>
      <c r="AK783" s="904"/>
      <c r="DF783" s="1434" t="str">
        <f t="shared" si="169"/>
        <v>ASHP-SEER17_ER2_MF</v>
      </c>
      <c r="DG783" s="1023"/>
      <c r="DH783" s="1265" t="str">
        <f t="shared" si="175"/>
        <v>Cooling Res ER2 12 Year EUL</v>
      </c>
      <c r="DI783" s="1020">
        <f>(INDEX('Avoided Cost Benefits'!$B$4:$B$866,MATCH(DH783,'Avoided Cost Benefits'!$A$4:$A$866,0)))*F783</f>
        <v>321.44874491953783</v>
      </c>
      <c r="DJ783" s="2051">
        <f t="shared" si="170"/>
        <v>0</v>
      </c>
      <c r="DM783" s="234"/>
    </row>
    <row r="784" spans="1:117" x14ac:dyDescent="0.25">
      <c r="A784" s="2146" t="s">
        <v>602</v>
      </c>
      <c r="B784" s="1318">
        <f t="shared" si="168"/>
        <v>354200</v>
      </c>
      <c r="C784" s="18" t="s">
        <v>1228</v>
      </c>
      <c r="D784" s="1974" t="s">
        <v>810</v>
      </c>
      <c r="E784" s="1241" t="s">
        <v>1230</v>
      </c>
      <c r="F784" s="208">
        <f xml:space="preserve"> ROUND(((K940*K1044*(1/K1147-1/K1250)*K1765)/1000)*$K$1800,2)</f>
        <v>577.23</v>
      </c>
      <c r="G784" s="540" t="s">
        <v>1118</v>
      </c>
      <c r="H784" s="66">
        <f>VLOOKUP(G784,'CP FACTORS'!$A$3:$B$38, 2, FALSE)</f>
        <v>0</v>
      </c>
      <c r="I784" s="961">
        <f t="shared" si="174"/>
        <v>0</v>
      </c>
      <c r="J784" s="57">
        <f t="shared" si="172"/>
        <v>12</v>
      </c>
      <c r="K784" s="152">
        <f t="shared" si="173"/>
        <v>0</v>
      </c>
      <c r="L784" s="167"/>
      <c r="M784" s="531"/>
      <c r="N784" s="542"/>
      <c r="O784" s="398"/>
      <c r="R784" s="510"/>
      <c r="T784" s="50"/>
      <c r="U784" s="544"/>
      <c r="V784" s="1307" t="s">
        <v>46</v>
      </c>
      <c r="W784" s="903">
        <v>862.96736842105349</v>
      </c>
      <c r="X784" s="233">
        <v>642.6078562259313</v>
      </c>
      <c r="Y784" s="208">
        <v>642.61</v>
      </c>
      <c r="Z784" s="208">
        <v>642.61</v>
      </c>
      <c r="AA784" s="208">
        <v>642.61</v>
      </c>
      <c r="AB784" s="960">
        <v>642.61</v>
      </c>
      <c r="AC784" s="901">
        <v>642.61</v>
      </c>
      <c r="AD784" s="208">
        <v>642.61</v>
      </c>
      <c r="AE784" s="210">
        <v>424.19</v>
      </c>
      <c r="AF784" s="253">
        <v>1080.9000000000001</v>
      </c>
      <c r="AG784" s="253">
        <f t="shared" si="166"/>
        <v>577.23</v>
      </c>
      <c r="AH784" s="114"/>
      <c r="AK784" s="904"/>
      <c r="DF784" s="1434" t="str">
        <f t="shared" si="169"/>
        <v>ASHP-SEER17_ER2_MF</v>
      </c>
      <c r="DG784" s="1023"/>
      <c r="DH784" s="1241" t="str">
        <f t="shared" si="175"/>
        <v>Heating Res ER2 12 Year EUL</v>
      </c>
      <c r="DI784" s="1020">
        <f>(INDEX('Avoided Cost Benefits'!$B$4:$B$866,MATCH(DH784,'Avoided Cost Benefits'!$A$4:$A$866,0)))*F784</f>
        <v>195.04372266516987</v>
      </c>
      <c r="DJ784" s="2051">
        <f t="shared" si="170"/>
        <v>0</v>
      </c>
      <c r="DM784" s="234"/>
    </row>
    <row r="785" spans="1:117" x14ac:dyDescent="0.25">
      <c r="A785" s="2146" t="s">
        <v>607</v>
      </c>
      <c r="B785" s="1318">
        <f t="shared" si="168"/>
        <v>354250</v>
      </c>
      <c r="C785" s="18" t="s">
        <v>1231</v>
      </c>
      <c r="D785" s="1974" t="s">
        <v>863</v>
      </c>
      <c r="E785" s="1240" t="s">
        <v>1232</v>
      </c>
      <c r="F785" s="208">
        <f>ROUND(((K1354*K1457*(1/K1560-1/K1663)*K1766)/1000)*$K$1800,2)</f>
        <v>2592.9299999999998</v>
      </c>
      <c r="G785" s="540" t="s">
        <v>1030</v>
      </c>
      <c r="H785" s="66">
        <f>VLOOKUP(G785,'CP FACTORS'!$A$3:$B$38, 2, FALSE)</f>
        <v>9.4741810000000004E-4</v>
      </c>
      <c r="I785" s="961">
        <f t="shared" si="174"/>
        <v>2.4565890000000001</v>
      </c>
      <c r="J785" s="57">
        <f t="shared" si="172"/>
        <v>6</v>
      </c>
      <c r="K785" s="152">
        <f t="shared" si="173"/>
        <v>4148.0070349116859</v>
      </c>
      <c r="L785" s="167">
        <f>L941</f>
        <v>2.8921256722608026</v>
      </c>
      <c r="M785" s="531"/>
      <c r="N785" s="542"/>
      <c r="O785" s="398"/>
      <c r="R785" s="510"/>
      <c r="T785" s="50"/>
      <c r="U785" s="544"/>
      <c r="V785" s="1307" t="s">
        <v>46</v>
      </c>
      <c r="W785" s="903">
        <v>2958.0078431372549</v>
      </c>
      <c r="X785" s="233">
        <v>2084.8349739895957</v>
      </c>
      <c r="Y785" s="208">
        <v>2084.83</v>
      </c>
      <c r="Z785" s="208">
        <v>2084.83</v>
      </c>
      <c r="AA785" s="208">
        <v>2084.83</v>
      </c>
      <c r="AB785" s="959">
        <v>2709.13</v>
      </c>
      <c r="AC785" s="210">
        <v>2068.02</v>
      </c>
      <c r="AD785" s="210">
        <v>2369.3000000000002</v>
      </c>
      <c r="AE785" s="210">
        <v>2358.35</v>
      </c>
      <c r="AF785" s="253">
        <v>2592.9299999999998</v>
      </c>
      <c r="AG785" s="253">
        <f t="shared" si="166"/>
        <v>2592.9299999999998</v>
      </c>
      <c r="AH785" s="114"/>
      <c r="AK785" s="904"/>
      <c r="DF785" s="1434" t="str">
        <f t="shared" si="169"/>
        <v>ASHP-SEER18-Replace_CAC_ElectricHeat_ER1_SF</v>
      </c>
      <c r="DG785" s="1019">
        <f>(DI785+DI786+DI787+DI788)/(DJ785+DJ786+DJ787+DJ788)</f>
        <v>2.1625727691211578</v>
      </c>
      <c r="DH785" s="1240" t="str">
        <f t="shared" si="175"/>
        <v>Cooling Res 6 Year EUL</v>
      </c>
      <c r="DI785" s="1020">
        <f>(INDEX('Avoided Cost Benefits'!$B$4:$B$866,MATCH(DH785,'Avoided Cost Benefits'!$A$4:$A$866,0)))*F785</f>
        <v>2582.1644069945551</v>
      </c>
      <c r="DJ785" s="2051">
        <f t="shared" si="170"/>
        <v>4148.0070349116859</v>
      </c>
      <c r="DM785" s="234"/>
    </row>
    <row r="786" spans="1:117" x14ac:dyDescent="0.25">
      <c r="A786" s="2146" t="s">
        <v>607</v>
      </c>
      <c r="B786" s="1318">
        <f t="shared" si="168"/>
        <v>354250</v>
      </c>
      <c r="C786" s="18" t="s">
        <v>1231</v>
      </c>
      <c r="D786" s="1974" t="s">
        <v>863</v>
      </c>
      <c r="E786" s="1265" t="s">
        <v>1232</v>
      </c>
      <c r="F786" s="208">
        <f>ROUND(((K941*K1045*(1/K1148-1/K1251)*K1766)/1000)*$K$1800,2)</f>
        <v>9117.4699999999993</v>
      </c>
      <c r="G786" s="540" t="s">
        <v>1031</v>
      </c>
      <c r="H786" s="66">
        <f>VLOOKUP(G786,'CP FACTORS'!$A$3:$B$38, 2, FALSE)</f>
        <v>0</v>
      </c>
      <c r="I786" s="961">
        <f t="shared" si="174"/>
        <v>0</v>
      </c>
      <c r="J786" s="57">
        <f t="shared" si="172"/>
        <v>6</v>
      </c>
      <c r="K786" s="152">
        <f t="shared" si="173"/>
        <v>0</v>
      </c>
      <c r="L786" s="167"/>
      <c r="M786" s="531"/>
      <c r="N786" s="542"/>
      <c r="O786" s="398"/>
      <c r="R786" s="510"/>
      <c r="T786" s="50"/>
      <c r="U786" s="544"/>
      <c r="V786" s="1307" t="s">
        <v>46</v>
      </c>
      <c r="W786" s="903">
        <v>13965.852998065762</v>
      </c>
      <c r="X786" s="233">
        <v>10399.659574468084</v>
      </c>
      <c r="Y786" s="208">
        <v>10399.66</v>
      </c>
      <c r="Z786" s="208">
        <v>10399.66</v>
      </c>
      <c r="AA786" s="208">
        <v>10399.66</v>
      </c>
      <c r="AB786" s="959">
        <v>11774.43</v>
      </c>
      <c r="AC786" s="210">
        <v>10952.77</v>
      </c>
      <c r="AD786" s="210">
        <v>10500.37</v>
      </c>
      <c r="AE786" s="210">
        <v>10051.219999999999</v>
      </c>
      <c r="AF786" s="253">
        <v>10051.219999999999</v>
      </c>
      <c r="AG786" s="253">
        <f t="shared" si="166"/>
        <v>9117.4699999999993</v>
      </c>
      <c r="AH786" s="114"/>
      <c r="AK786" s="904"/>
      <c r="DF786" s="1434" t="str">
        <f t="shared" si="169"/>
        <v>ASHP-SEER18-Replace_CAC_ElectricHeat_ER1_SF</v>
      </c>
      <c r="DG786" s="1023"/>
      <c r="DH786" s="1265" t="str">
        <f t="shared" si="175"/>
        <v>Heating Res 6 Year EUL</v>
      </c>
      <c r="DI786" s="1020">
        <f>(INDEX('Avoided Cost Benefits'!$B$4:$B$866,MATCH(DH786,'Avoided Cost Benefits'!$A$4:$A$866,0)))*F786</f>
        <v>2445.1122606286435</v>
      </c>
      <c r="DJ786" s="2051">
        <f t="shared" si="170"/>
        <v>0</v>
      </c>
      <c r="DM786" s="234"/>
    </row>
    <row r="787" spans="1:117" x14ac:dyDescent="0.25">
      <c r="A787" s="2146" t="s">
        <v>607</v>
      </c>
      <c r="B787" s="1318">
        <f t="shared" si="168"/>
        <v>354250</v>
      </c>
      <c r="C787" s="18" t="s">
        <v>1231</v>
      </c>
      <c r="D787" s="1974" t="s">
        <v>863</v>
      </c>
      <c r="E787" s="1265" t="s">
        <v>1233</v>
      </c>
      <c r="F787" s="208">
        <f>ROUND(((K1355*K1458*(1/K1561-1/K1664)*K1767)/1000)*$K$1800,2)</f>
        <v>666.45</v>
      </c>
      <c r="G787" s="540" t="s">
        <v>1083</v>
      </c>
      <c r="H787" s="66">
        <f>VLOOKUP(G787,'CP FACTORS'!$A$3:$B$38, 2, FALSE)</f>
        <v>9.4741810000000004E-4</v>
      </c>
      <c r="I787" s="961">
        <f t="shared" si="174"/>
        <v>0.63140700000000005</v>
      </c>
      <c r="J787" s="57">
        <f t="shared" si="172"/>
        <v>12</v>
      </c>
      <c r="K787" s="152">
        <f t="shared" si="173"/>
        <v>0</v>
      </c>
      <c r="L787" s="167"/>
      <c r="M787" s="531"/>
      <c r="N787" s="542"/>
      <c r="O787" s="398"/>
      <c r="R787" s="510"/>
      <c r="T787" s="50"/>
      <c r="U787" s="544"/>
      <c r="V787" s="1307" t="s">
        <v>46</v>
      </c>
      <c r="W787" s="903">
        <v>690.74358974358995</v>
      </c>
      <c r="X787" s="236">
        <v>690.74358974358995</v>
      </c>
      <c r="Y787" s="208">
        <v>690.74</v>
      </c>
      <c r="Z787" s="208">
        <v>690.74</v>
      </c>
      <c r="AA787" s="208">
        <v>690.74</v>
      </c>
      <c r="AB787" s="959">
        <v>822.66</v>
      </c>
      <c r="AC787" s="210">
        <v>697.15</v>
      </c>
      <c r="AD787" s="210">
        <v>708.01</v>
      </c>
      <c r="AE787" s="210">
        <v>530.95000000000005</v>
      </c>
      <c r="AF787" s="253">
        <v>666.45</v>
      </c>
      <c r="AG787" s="253">
        <f t="shared" si="166"/>
        <v>666.45</v>
      </c>
      <c r="AH787" s="114"/>
      <c r="AK787" s="904"/>
      <c r="DF787" s="1434" t="str">
        <f t="shared" si="169"/>
        <v>ASHP-SEER18-Replace_CAC_ElectricHeat_ER2_SF</v>
      </c>
      <c r="DG787" s="1023"/>
      <c r="DH787" s="1265" t="str">
        <f t="shared" si="175"/>
        <v>Cooling Res ER2 12 Year EUL</v>
      </c>
      <c r="DI787" s="1020">
        <f>(INDEX('Avoided Cost Benefits'!$B$4:$B$866,MATCH(DH787,'Avoided Cost Benefits'!$A$4:$A$866,0)))*F787</f>
        <v>862.33351870396484</v>
      </c>
      <c r="DJ787" s="2051">
        <f t="shared" si="170"/>
        <v>0</v>
      </c>
      <c r="DM787" s="234"/>
    </row>
    <row r="788" spans="1:117" x14ac:dyDescent="0.25">
      <c r="A788" s="2146" t="s">
        <v>607</v>
      </c>
      <c r="B788" s="1318">
        <f t="shared" si="168"/>
        <v>354250</v>
      </c>
      <c r="C788" s="18" t="s">
        <v>1231</v>
      </c>
      <c r="D788" s="1974" t="s">
        <v>863</v>
      </c>
      <c r="E788" s="1241" t="s">
        <v>1233</v>
      </c>
      <c r="F788" s="208">
        <f>ROUND(((K942*K1046*(1/K1149-1/K1252)*K1767)/1000)*$K$1800,2)</f>
        <v>9117.4699999999993</v>
      </c>
      <c r="G788" s="540" t="s">
        <v>1118</v>
      </c>
      <c r="H788" s="66">
        <f>VLOOKUP(G788,'CP FACTORS'!$A$3:$B$38, 2, FALSE)</f>
        <v>0</v>
      </c>
      <c r="I788" s="961">
        <f t="shared" si="174"/>
        <v>0</v>
      </c>
      <c r="J788" s="57">
        <f t="shared" si="172"/>
        <v>12</v>
      </c>
      <c r="K788" s="152">
        <f t="shared" si="173"/>
        <v>0</v>
      </c>
      <c r="L788" s="167"/>
      <c r="M788" s="531"/>
      <c r="N788" s="542"/>
      <c r="O788" s="398"/>
      <c r="R788" s="510"/>
      <c r="T788" s="50"/>
      <c r="U788" s="544"/>
      <c r="V788" s="1307" t="s">
        <v>46</v>
      </c>
      <c r="W788" s="903">
        <v>13965.852998065762</v>
      </c>
      <c r="X788" s="233">
        <v>10399.659574468084</v>
      </c>
      <c r="Y788" s="208">
        <v>10399.66</v>
      </c>
      <c r="Z788" s="208">
        <v>10399.66</v>
      </c>
      <c r="AA788" s="208">
        <v>10399.66</v>
      </c>
      <c r="AB788" s="959">
        <v>11774.43</v>
      </c>
      <c r="AC788" s="210">
        <v>10952.77</v>
      </c>
      <c r="AD788" s="210">
        <v>10500.37</v>
      </c>
      <c r="AE788" s="210">
        <v>10051.219999999999</v>
      </c>
      <c r="AF788" s="253">
        <v>10051.219999999999</v>
      </c>
      <c r="AG788" s="253">
        <f t="shared" si="166"/>
        <v>9117.4699999999993</v>
      </c>
      <c r="AH788" s="114"/>
      <c r="AK788" s="904"/>
      <c r="DF788" s="1434" t="str">
        <f t="shared" si="169"/>
        <v>ASHP-SEER18-Replace_CAC_ElectricHeat_ER2_SF</v>
      </c>
      <c r="DG788" s="1023"/>
      <c r="DH788" s="1241" t="str">
        <f t="shared" si="175"/>
        <v>Heating Res ER2 12 Year EUL</v>
      </c>
      <c r="DI788" s="1020">
        <f>(INDEX('Avoided Cost Benefits'!$B$4:$B$866,MATCH(DH788,'Avoided Cost Benefits'!$A$4:$A$866,0)))*F788</f>
        <v>3080.756873495844</v>
      </c>
      <c r="DJ788" s="2051">
        <f t="shared" si="170"/>
        <v>0</v>
      </c>
      <c r="DM788" s="234"/>
    </row>
    <row r="789" spans="1:117" x14ac:dyDescent="0.25">
      <c r="A789" s="2146" t="s">
        <v>861</v>
      </c>
      <c r="B789" s="1318">
        <f t="shared" si="168"/>
        <v>354260</v>
      </c>
      <c r="C789" s="18" t="s">
        <v>1234</v>
      </c>
      <c r="D789" s="1974" t="s">
        <v>863</v>
      </c>
      <c r="E789" s="1265" t="s">
        <v>1235</v>
      </c>
      <c r="F789" s="208">
        <f>ROUND(((K1356*K1459*(1/K1562-1/K1665)*K1768)/1000)*$K$1800,2)</f>
        <v>2592.9299999999998</v>
      </c>
      <c r="G789" s="540" t="s">
        <v>1030</v>
      </c>
      <c r="H789" s="66">
        <f>VLOOKUP(G789,'CP FACTORS'!$A$3:$B$38, 2, FALSE)</f>
        <v>9.4741810000000004E-4</v>
      </c>
      <c r="I789" s="961">
        <f t="shared" si="174"/>
        <v>2.4565890000000001</v>
      </c>
      <c r="J789" s="57">
        <f t="shared" si="172"/>
        <v>6</v>
      </c>
      <c r="K789" s="152">
        <f t="shared" si="173"/>
        <v>629.00018095247731</v>
      </c>
      <c r="L789" s="167">
        <f>L943</f>
        <v>2.8921256722608026</v>
      </c>
      <c r="M789" s="531"/>
      <c r="N789" s="542"/>
      <c r="O789" s="398"/>
      <c r="R789" s="510"/>
      <c r="T789" s="50"/>
      <c r="U789" s="544"/>
      <c r="V789" s="1307" t="s">
        <v>46</v>
      </c>
      <c r="W789" s="903"/>
      <c r="X789" s="233"/>
      <c r="Y789" s="208"/>
      <c r="Z789" s="208"/>
      <c r="AA789" s="208"/>
      <c r="AB789" s="959"/>
      <c r="AC789" s="210">
        <v>2068.02</v>
      </c>
      <c r="AD789" s="210">
        <v>2369.3000000000002</v>
      </c>
      <c r="AE789" s="210">
        <v>2358.35</v>
      </c>
      <c r="AF789" s="253">
        <v>2592.9299999999998</v>
      </c>
      <c r="AG789" s="253">
        <f t="shared" si="166"/>
        <v>2592.9299999999998</v>
      </c>
      <c r="AH789" s="114"/>
      <c r="AK789" s="904"/>
      <c r="DF789" s="1434" t="str">
        <f t="shared" si="169"/>
        <v>ASHP-SEER18-Replace_CAC_NonElectricHeat_ER1_SF</v>
      </c>
      <c r="DG789" s="1019">
        <f>(DI789+DI790+DI791+DI792)/(DJ789+DJ790+DJ791+DJ792)</f>
        <v>5.4761477500413642</v>
      </c>
      <c r="DH789" s="1265" t="str">
        <f t="shared" si="175"/>
        <v>Cooling Res 6 Year EUL</v>
      </c>
      <c r="DI789" s="1020">
        <f>(INDEX('Avoided Cost Benefits'!$B$4:$B$866,MATCH(DH789,'Avoided Cost Benefits'!$A$4:$A$866,0)))*F789</f>
        <v>2582.1644069945551</v>
      </c>
      <c r="DJ789" s="2051">
        <f t="shared" si="170"/>
        <v>629.00018095247731</v>
      </c>
      <c r="DM789" s="234"/>
    </row>
    <row r="790" spans="1:117" x14ac:dyDescent="0.25">
      <c r="A790" s="2146" t="s">
        <v>861</v>
      </c>
      <c r="B790" s="1318">
        <f t="shared" si="168"/>
        <v>354260</v>
      </c>
      <c r="C790" s="18" t="s">
        <v>1234</v>
      </c>
      <c r="D790" s="1974" t="s">
        <v>863</v>
      </c>
      <c r="E790" s="1265" t="s">
        <v>1235</v>
      </c>
      <c r="F790" s="208">
        <v>0</v>
      </c>
      <c r="G790" s="540" t="s">
        <v>1031</v>
      </c>
      <c r="H790" s="66">
        <f>VLOOKUP(G790,'CP FACTORS'!$A$3:$B$38, 2, FALSE)</f>
        <v>0</v>
      </c>
      <c r="I790" s="961">
        <f t="shared" si="174"/>
        <v>0</v>
      </c>
      <c r="J790" s="57">
        <f t="shared" si="172"/>
        <v>6</v>
      </c>
      <c r="K790" s="152">
        <f t="shared" si="173"/>
        <v>0</v>
      </c>
      <c r="L790" s="167"/>
      <c r="M790" s="531"/>
      <c r="N790" s="542"/>
      <c r="O790" s="398"/>
      <c r="R790" s="510"/>
      <c r="T790" s="50"/>
      <c r="U790" s="544"/>
      <c r="V790" s="1307" t="s">
        <v>46</v>
      </c>
      <c r="W790" s="903"/>
      <c r="X790" s="233"/>
      <c r="Y790" s="208"/>
      <c r="Z790" s="208"/>
      <c r="AA790" s="208"/>
      <c r="AB790" s="959"/>
      <c r="AC790" s="210">
        <v>0</v>
      </c>
      <c r="AD790" s="208">
        <v>0</v>
      </c>
      <c r="AE790" s="208">
        <v>0</v>
      </c>
      <c r="AF790" s="253">
        <v>0</v>
      </c>
      <c r="AG790" s="253">
        <f t="shared" si="166"/>
        <v>0</v>
      </c>
      <c r="AH790" s="114"/>
      <c r="AK790" s="904"/>
      <c r="DF790" s="1434" t="str">
        <f t="shared" si="169"/>
        <v>ASHP-SEER18-Replace_CAC_NonElectricHeat_ER1_SF</v>
      </c>
      <c r="DG790" s="1023"/>
      <c r="DH790" s="1265" t="str">
        <f t="shared" si="175"/>
        <v>Heating Res 6 Year EUL</v>
      </c>
      <c r="DI790" s="1020">
        <f>(INDEX('Avoided Cost Benefits'!$B$4:$B$866,MATCH(DH790,'Avoided Cost Benefits'!$A$4:$A$866,0)))*F790</f>
        <v>0</v>
      </c>
      <c r="DJ790" s="2051">
        <f t="shared" si="170"/>
        <v>0</v>
      </c>
      <c r="DM790" s="234"/>
    </row>
    <row r="791" spans="1:117" x14ac:dyDescent="0.25">
      <c r="A791" s="2146" t="s">
        <v>861</v>
      </c>
      <c r="B791" s="1318">
        <f t="shared" ref="B791:B822" si="176">VALUE(LEFT(C791,6))</f>
        <v>354260</v>
      </c>
      <c r="C791" s="18" t="s">
        <v>1234</v>
      </c>
      <c r="D791" s="1974" t="s">
        <v>863</v>
      </c>
      <c r="E791" s="1265" t="s">
        <v>1236</v>
      </c>
      <c r="F791" s="208">
        <f>ROUND(((K1357*K1460*(1/K1563-1/K1666)*K1769)/1000)*$K$1800,2)</f>
        <v>666.45</v>
      </c>
      <c r="G791" s="540" t="s">
        <v>1083</v>
      </c>
      <c r="H791" s="66">
        <f>VLOOKUP(G791,'CP FACTORS'!$A$3:$B$38, 2, FALSE)</f>
        <v>9.4741810000000004E-4</v>
      </c>
      <c r="I791" s="961">
        <f t="shared" si="174"/>
        <v>0.63140700000000005</v>
      </c>
      <c r="J791" s="57">
        <f t="shared" si="172"/>
        <v>12</v>
      </c>
      <c r="K791" s="152">
        <f t="shared" si="173"/>
        <v>0</v>
      </c>
      <c r="L791" s="167"/>
      <c r="M791" s="531"/>
      <c r="N791" s="542"/>
      <c r="O791" s="398"/>
      <c r="R791" s="510"/>
      <c r="T791" s="50"/>
      <c r="U791" s="544"/>
      <c r="V791" s="1307" t="s">
        <v>46</v>
      </c>
      <c r="W791" s="903"/>
      <c r="X791" s="233"/>
      <c r="Y791" s="208"/>
      <c r="Z791" s="208"/>
      <c r="AA791" s="208"/>
      <c r="AB791" s="959"/>
      <c r="AC791" s="210">
        <v>697.15</v>
      </c>
      <c r="AD791" s="210">
        <v>708.01</v>
      </c>
      <c r="AE791" s="210">
        <v>530.95000000000005</v>
      </c>
      <c r="AF791" s="253">
        <v>666.45</v>
      </c>
      <c r="AG791" s="253">
        <f t="shared" si="166"/>
        <v>666.45</v>
      </c>
      <c r="AH791" s="114"/>
      <c r="AK791" s="904"/>
      <c r="DF791" s="1434" t="str">
        <f t="shared" si="169"/>
        <v>ASHP-SEER18-Replace_CAC_NonElectricHeat_ER2_SF</v>
      </c>
      <c r="DG791" s="1023"/>
      <c r="DH791" s="1265" t="str">
        <f t="shared" si="175"/>
        <v>Cooling Res ER2 12 Year EUL</v>
      </c>
      <c r="DI791" s="1020">
        <f>(INDEX('Avoided Cost Benefits'!$B$4:$B$866,MATCH(DH791,'Avoided Cost Benefits'!$A$4:$A$866,0)))*F791</f>
        <v>862.33351870396484</v>
      </c>
      <c r="DJ791" s="2051">
        <f t="shared" ref="DJ791:DJ822" si="177">IFERROR(K791/((1+DiscountRate)^(CurrentYear-DiscountYear)),0)</f>
        <v>0</v>
      </c>
      <c r="DM791" s="234"/>
    </row>
    <row r="792" spans="1:117" x14ac:dyDescent="0.25">
      <c r="A792" s="2146" t="s">
        <v>861</v>
      </c>
      <c r="B792" s="1318">
        <f t="shared" si="176"/>
        <v>354260</v>
      </c>
      <c r="C792" s="18" t="s">
        <v>1234</v>
      </c>
      <c r="D792" s="1974" t="s">
        <v>863</v>
      </c>
      <c r="E792" s="1265" t="s">
        <v>1236</v>
      </c>
      <c r="F792" s="208">
        <f>0</f>
        <v>0</v>
      </c>
      <c r="G792" s="540" t="s">
        <v>1118</v>
      </c>
      <c r="H792" s="66">
        <f>VLOOKUP(G792,'CP FACTORS'!$A$3:$B$38, 2, FALSE)</f>
        <v>0</v>
      </c>
      <c r="I792" s="961">
        <f t="shared" si="174"/>
        <v>0</v>
      </c>
      <c r="J792" s="57">
        <f t="shared" ref="J792:J796" si="178">K1946</f>
        <v>12</v>
      </c>
      <c r="K792" s="152">
        <f t="shared" si="173"/>
        <v>0</v>
      </c>
      <c r="L792" s="167"/>
      <c r="M792" s="531"/>
      <c r="N792" s="542"/>
      <c r="O792" s="398"/>
      <c r="R792" s="510"/>
      <c r="T792" s="50"/>
      <c r="U792" s="544"/>
      <c r="V792" s="1307" t="s">
        <v>46</v>
      </c>
      <c r="W792" s="903"/>
      <c r="X792" s="233"/>
      <c r="Y792" s="208"/>
      <c r="Z792" s="208"/>
      <c r="AA792" s="208"/>
      <c r="AB792" s="959"/>
      <c r="AC792" s="210">
        <v>0</v>
      </c>
      <c r="AD792" s="208">
        <v>0</v>
      </c>
      <c r="AE792" s="208">
        <v>0</v>
      </c>
      <c r="AF792" s="253">
        <v>0</v>
      </c>
      <c r="AG792" s="253">
        <f t="shared" si="166"/>
        <v>0</v>
      </c>
      <c r="AH792" s="114"/>
      <c r="AK792" s="904"/>
      <c r="DF792" s="1434" t="str">
        <f t="shared" ref="DF792:DF823" si="179">E792</f>
        <v>ASHP-SEER18-Replace_CAC_NonElectricHeat_ER2_SF</v>
      </c>
      <c r="DG792" s="1023"/>
      <c r="DH792" s="1265" t="str">
        <f t="shared" si="175"/>
        <v>Heating Res ER2 12 Year EUL</v>
      </c>
      <c r="DI792" s="1020">
        <f>(INDEX('Avoided Cost Benefits'!$B$4:$B$866,MATCH(DH792,'Avoided Cost Benefits'!$A$4:$A$866,0)))*F792</f>
        <v>0</v>
      </c>
      <c r="DJ792" s="2051">
        <f t="shared" si="177"/>
        <v>0</v>
      </c>
      <c r="DM792" s="234"/>
    </row>
    <row r="793" spans="1:117" x14ac:dyDescent="0.25">
      <c r="A793" s="2146" t="s">
        <v>602</v>
      </c>
      <c r="B793" s="1318">
        <f t="shared" si="176"/>
        <v>354300</v>
      </c>
      <c r="C793" s="18" t="s">
        <v>1237</v>
      </c>
      <c r="D793" s="1974" t="s">
        <v>810</v>
      </c>
      <c r="E793" s="1240" t="s">
        <v>1238</v>
      </c>
      <c r="F793" s="208">
        <f>ROUND(((K1358*K1461*(1/K1564-1/K1667)*K1770)/1000)*$K$1800,2)</f>
        <v>2018.52</v>
      </c>
      <c r="G793" s="540" t="s">
        <v>1030</v>
      </c>
      <c r="H793" s="66">
        <f>VLOOKUP(G793,'CP FACTORS'!$A$3:$B$38, 2, FALSE)</f>
        <v>9.4741810000000004E-4</v>
      </c>
      <c r="I793" s="961">
        <f t="shared" si="174"/>
        <v>1.912382</v>
      </c>
      <c r="J793" s="57">
        <f t="shared" si="178"/>
        <v>6</v>
      </c>
      <c r="K793" s="152">
        <f t="shared" si="173"/>
        <v>3312.7316315552043</v>
      </c>
      <c r="L793" s="167">
        <f>L945</f>
        <v>1.5</v>
      </c>
      <c r="M793" s="531"/>
      <c r="N793" s="542"/>
      <c r="O793" s="398"/>
      <c r="R793" s="510"/>
      <c r="T793" s="50"/>
      <c r="U793" s="544"/>
      <c r="V793" s="1307" t="s">
        <v>46</v>
      </c>
      <c r="W793" s="903">
        <v>1922.7050980392157</v>
      </c>
      <c r="X793" s="233">
        <v>1355.1427330932372</v>
      </c>
      <c r="Y793" s="208">
        <v>1355.14</v>
      </c>
      <c r="Z793" s="208">
        <v>1355.14</v>
      </c>
      <c r="AA793" s="208">
        <v>1355.14</v>
      </c>
      <c r="AB793" s="959">
        <v>2638.66</v>
      </c>
      <c r="AC793" s="210">
        <v>1312.04</v>
      </c>
      <c r="AD793" s="210">
        <v>2018.52</v>
      </c>
      <c r="AE793" s="208">
        <v>2018.52</v>
      </c>
      <c r="AF793" s="253">
        <v>2018.52</v>
      </c>
      <c r="AG793" s="253">
        <f t="shared" si="166"/>
        <v>2018.52</v>
      </c>
      <c r="AH793" s="114"/>
      <c r="AK793" s="904"/>
      <c r="DF793" s="1434" t="str">
        <f t="shared" si="179"/>
        <v>ASHP-SEER18-Replace_CAC_ElectricHeat_ER1_MF</v>
      </c>
      <c r="DG793" s="1019">
        <f>(DI793+DI794+DI795+DI796)/(DJ793+DJ794+DJ795+DJ796)</f>
        <v>1.588452643616292</v>
      </c>
      <c r="DH793" s="1240" t="str">
        <f t="shared" si="175"/>
        <v>Cooling Res 6 Year EUL</v>
      </c>
      <c r="DI793" s="1020">
        <f>(INDEX('Avoided Cost Benefits'!$B$4:$B$866,MATCH(DH793,'Avoided Cost Benefits'!$A$4:$A$866,0)))*F793</f>
        <v>2010.1393014106241</v>
      </c>
      <c r="DJ793" s="2051">
        <f t="shared" si="177"/>
        <v>3312.7316315552043</v>
      </c>
      <c r="DM793" s="234"/>
    </row>
    <row r="794" spans="1:117" x14ac:dyDescent="0.25">
      <c r="A794" s="2146" t="s">
        <v>602</v>
      </c>
      <c r="B794" s="1318">
        <f t="shared" si="176"/>
        <v>354300</v>
      </c>
      <c r="C794" s="18" t="s">
        <v>1237</v>
      </c>
      <c r="D794" s="1974" t="s">
        <v>810</v>
      </c>
      <c r="E794" s="1265" t="s">
        <v>1238</v>
      </c>
      <c r="F794" s="208">
        <f>ROUND(((K945*K1049*(1/K1152-1/K1255)*K1770)/1000)*$K$1800,2)</f>
        <v>4728.7700000000004</v>
      </c>
      <c r="G794" s="540" t="s">
        <v>1031</v>
      </c>
      <c r="H794" s="66">
        <f>VLOOKUP(G794,'CP FACTORS'!$A$3:$B$38, 2, FALSE)</f>
        <v>0</v>
      </c>
      <c r="I794" s="961">
        <f t="shared" si="174"/>
        <v>0</v>
      </c>
      <c r="J794" s="57">
        <f t="shared" si="178"/>
        <v>6</v>
      </c>
      <c r="K794" s="152">
        <f t="shared" si="173"/>
        <v>0</v>
      </c>
      <c r="L794" s="167"/>
      <c r="M794" s="531"/>
      <c r="N794" s="542"/>
      <c r="O794" s="398"/>
      <c r="R794" s="510"/>
      <c r="T794" s="50"/>
      <c r="U794" s="544"/>
      <c r="V794" s="1307" t="s">
        <v>46</v>
      </c>
      <c r="W794" s="903">
        <v>9077.8044487427451</v>
      </c>
      <c r="X794" s="233">
        <v>6759.7787234042544</v>
      </c>
      <c r="Y794" s="208">
        <v>6759.78</v>
      </c>
      <c r="Z794" s="208">
        <v>6759.78</v>
      </c>
      <c r="AA794" s="208">
        <v>6759.78</v>
      </c>
      <c r="AB794" s="959">
        <v>9020.2199999999993</v>
      </c>
      <c r="AC794" s="210">
        <v>3382.58</v>
      </c>
      <c r="AD794" s="210">
        <v>5203.97</v>
      </c>
      <c r="AE794" s="208">
        <v>5203.97</v>
      </c>
      <c r="AF794" s="253">
        <v>5203.97</v>
      </c>
      <c r="AG794" s="253">
        <f t="shared" si="166"/>
        <v>4728.7700000000004</v>
      </c>
      <c r="AH794" s="114"/>
      <c r="AK794" s="904"/>
      <c r="DF794" s="1434" t="str">
        <f t="shared" si="179"/>
        <v>ASHP-SEER18-Replace_CAC_ElectricHeat_ER1_MF</v>
      </c>
      <c r="DG794" s="1023"/>
      <c r="DH794" s="1265" t="str">
        <f t="shared" si="175"/>
        <v>Heating Res 6 Year EUL</v>
      </c>
      <c r="DI794" s="1020">
        <f>(INDEX('Avoided Cost Benefits'!$B$4:$B$866,MATCH(DH794,'Avoided Cost Benefits'!$A$4:$A$866,0)))*F794</f>
        <v>1268.1559143811728</v>
      </c>
      <c r="DJ794" s="2051">
        <f t="shared" si="177"/>
        <v>0</v>
      </c>
      <c r="DM794" s="234"/>
    </row>
    <row r="795" spans="1:117" x14ac:dyDescent="0.25">
      <c r="A795" s="2146" t="s">
        <v>602</v>
      </c>
      <c r="B795" s="1318">
        <f t="shared" si="176"/>
        <v>354300</v>
      </c>
      <c r="C795" s="18" t="s">
        <v>1237</v>
      </c>
      <c r="D795" s="1974" t="s">
        <v>810</v>
      </c>
      <c r="E795" s="1265" t="s">
        <v>1239</v>
      </c>
      <c r="F795" s="208">
        <f>ROUND(((K1359*K1462*(1/K1565-1/K1668)*K1771)/1000)*$K$1800,2)</f>
        <v>298.31</v>
      </c>
      <c r="G795" s="540" t="s">
        <v>1083</v>
      </c>
      <c r="H795" s="66">
        <f>VLOOKUP(G795,'CP FACTORS'!$A$3:$B$38, 2, FALSE)</f>
        <v>9.4741810000000004E-4</v>
      </c>
      <c r="I795" s="961">
        <f t="shared" si="174"/>
        <v>0.28262399999999999</v>
      </c>
      <c r="J795" s="57">
        <f t="shared" si="178"/>
        <v>12</v>
      </c>
      <c r="K795" s="152">
        <f t="shared" si="173"/>
        <v>0</v>
      </c>
      <c r="L795" s="167"/>
      <c r="M795" s="531"/>
      <c r="N795" s="542"/>
      <c r="O795" s="398"/>
      <c r="R795" s="510"/>
      <c r="T795" s="50"/>
      <c r="U795" s="544"/>
      <c r="V795" s="1307" t="s">
        <v>46</v>
      </c>
      <c r="W795" s="903">
        <v>448.98333333333346</v>
      </c>
      <c r="X795" s="236">
        <v>448.98333333333346</v>
      </c>
      <c r="Y795" s="208">
        <v>448.98</v>
      </c>
      <c r="Z795" s="208">
        <v>448.98</v>
      </c>
      <c r="AA795" s="208">
        <v>448.98</v>
      </c>
      <c r="AB795" s="959">
        <v>579.33000000000004</v>
      </c>
      <c r="AC795" s="210">
        <v>217.25</v>
      </c>
      <c r="AD795" s="210">
        <v>334.23</v>
      </c>
      <c r="AE795" s="210">
        <v>248.29</v>
      </c>
      <c r="AF795" s="253">
        <v>298.31</v>
      </c>
      <c r="AG795" s="253">
        <f t="shared" si="166"/>
        <v>298.31</v>
      </c>
      <c r="AH795" s="114"/>
      <c r="AK795" s="904"/>
      <c r="DF795" s="1434" t="str">
        <f t="shared" si="179"/>
        <v>ASHP-SEER18-Replace_CAC_ElectricHeat_ER2_MF</v>
      </c>
      <c r="DG795" s="1023"/>
      <c r="DH795" s="1265" t="str">
        <f t="shared" si="175"/>
        <v>Cooling Res ER2 12 Year EUL</v>
      </c>
      <c r="DI795" s="1020">
        <f>(INDEX('Avoided Cost Benefits'!$B$4:$B$866,MATCH(DH795,'Avoided Cost Benefits'!$A$4:$A$866,0)))*F795</f>
        <v>385.98951453909484</v>
      </c>
      <c r="DJ795" s="2051">
        <f t="shared" si="177"/>
        <v>0</v>
      </c>
      <c r="DM795" s="234"/>
    </row>
    <row r="796" spans="1:117" x14ac:dyDescent="0.25">
      <c r="A796" s="2146" t="s">
        <v>602</v>
      </c>
      <c r="B796" s="1318">
        <f t="shared" si="176"/>
        <v>354300</v>
      </c>
      <c r="C796" s="18" t="s">
        <v>1237</v>
      </c>
      <c r="D796" s="1974" t="s">
        <v>810</v>
      </c>
      <c r="E796" s="1241" t="s">
        <v>1239</v>
      </c>
      <c r="F796" s="208">
        <f>ROUND(((K946*K1050*(1/K1153-1/K1256)*K1771)/1000)*$K$1800,2)</f>
        <v>4728.7700000000004</v>
      </c>
      <c r="G796" s="540" t="s">
        <v>1118</v>
      </c>
      <c r="H796" s="66">
        <f>VLOOKUP(G796,'CP FACTORS'!$A$3:$B$38, 2, FALSE)</f>
        <v>0</v>
      </c>
      <c r="I796" s="961">
        <f t="shared" si="174"/>
        <v>0</v>
      </c>
      <c r="J796" s="57">
        <f t="shared" si="178"/>
        <v>12</v>
      </c>
      <c r="K796" s="152">
        <f t="shared" si="173"/>
        <v>0</v>
      </c>
      <c r="L796" s="167"/>
      <c r="M796" s="531"/>
      <c r="N796" s="542"/>
      <c r="O796" s="398"/>
      <c r="R796" s="510"/>
      <c r="T796" s="50"/>
      <c r="U796" s="544"/>
      <c r="V796" s="1307" t="s">
        <v>46</v>
      </c>
      <c r="W796" s="903">
        <v>9077.8044487427451</v>
      </c>
      <c r="X796" s="233">
        <v>6759.7787234042544</v>
      </c>
      <c r="Y796" s="208">
        <v>6759.78</v>
      </c>
      <c r="Z796" s="208">
        <v>6759.78</v>
      </c>
      <c r="AA796" s="208">
        <v>6759.78</v>
      </c>
      <c r="AB796" s="959">
        <v>9020.2199999999993</v>
      </c>
      <c r="AC796" s="210">
        <v>3382.58</v>
      </c>
      <c r="AD796" s="210">
        <v>5203.97</v>
      </c>
      <c r="AE796" s="208">
        <v>5203.97</v>
      </c>
      <c r="AF796" s="253">
        <v>5203.97</v>
      </c>
      <c r="AG796" s="253">
        <f t="shared" si="166"/>
        <v>4728.7700000000004</v>
      </c>
      <c r="AH796" s="114"/>
      <c r="AK796" s="904"/>
      <c r="DF796" s="1434" t="str">
        <f t="shared" si="179"/>
        <v>ASHP-SEER18-Replace_CAC_ElectricHeat_ER2_MF</v>
      </c>
      <c r="DG796" s="1023"/>
      <c r="DH796" s="1241" t="str">
        <f t="shared" si="175"/>
        <v>Heating Res ER2 12 Year EUL</v>
      </c>
      <c r="DI796" s="1020">
        <f>(INDEX('Avoided Cost Benefits'!$B$4:$B$866,MATCH(DH796,'Avoided Cost Benefits'!$A$4:$A$866,0)))*F796</f>
        <v>1597.8325874042848</v>
      </c>
      <c r="DJ796" s="2051">
        <f t="shared" si="177"/>
        <v>0</v>
      </c>
      <c r="DM796" s="234"/>
    </row>
    <row r="797" spans="1:117" x14ac:dyDescent="0.25">
      <c r="A797" s="2146" t="s">
        <v>602</v>
      </c>
      <c r="B797" s="1318">
        <f t="shared" si="176"/>
        <v>354350</v>
      </c>
      <c r="C797" s="18" t="s">
        <v>1240</v>
      </c>
      <c r="D797" s="1974" t="s">
        <v>810</v>
      </c>
      <c r="E797" s="1240" t="s">
        <v>1241</v>
      </c>
      <c r="F797" s="208">
        <f>ROUND(((K1360*K1463*(1/K1566-1/K1669)*K1772)/1000)*$K$1800,2)</f>
        <v>2464.77</v>
      </c>
      <c r="G797" s="540" t="s">
        <v>1030</v>
      </c>
      <c r="H797" s="66">
        <f>VLOOKUP(G797,'CP FACTORS'!$A$3:$B$38, 2, FALSE)</f>
        <v>9.4741810000000004E-4</v>
      </c>
      <c r="I797" s="961">
        <f t="shared" si="174"/>
        <v>2.3351679999999999</v>
      </c>
      <c r="J797" s="57">
        <f t="shared" ref="J797:J823" si="180">K1951</f>
        <v>6</v>
      </c>
      <c r="K797" s="152">
        <f t="shared" si="173"/>
        <v>851.66719041900797</v>
      </c>
      <c r="L797" s="167">
        <f>L947</f>
        <v>2.5</v>
      </c>
      <c r="M797" s="531"/>
      <c r="N797" s="542"/>
      <c r="O797" s="398"/>
      <c r="R797" s="510"/>
      <c r="T797" s="50"/>
      <c r="U797" s="544"/>
      <c r="V797" s="1307" t="s">
        <v>46</v>
      </c>
      <c r="W797" s="903">
        <v>1864.0050000000006</v>
      </c>
      <c r="X797" s="233">
        <v>1442.5712965186076</v>
      </c>
      <c r="Y797" s="208">
        <v>1442.57</v>
      </c>
      <c r="Z797" s="208">
        <v>1442.57</v>
      </c>
      <c r="AA797" s="208">
        <v>1442.57</v>
      </c>
      <c r="AB797" s="960">
        <v>1442.57</v>
      </c>
      <c r="AC797" s="210">
        <v>2201.5</v>
      </c>
      <c r="AD797" s="210">
        <v>2464.77</v>
      </c>
      <c r="AE797" s="208">
        <v>2464.77</v>
      </c>
      <c r="AF797" s="253">
        <v>2464.77</v>
      </c>
      <c r="AG797" s="253">
        <f t="shared" si="166"/>
        <v>2464.77</v>
      </c>
      <c r="AH797" s="114"/>
      <c r="AK797" s="904"/>
      <c r="DF797" s="1434" t="str">
        <f t="shared" si="179"/>
        <v>ASHP-SEER18_ER1_MF</v>
      </c>
      <c r="DG797" s="1019">
        <f>(DI797+DI798+DI799+DI800)/(DJ797+DJ798+DJ799+DJ800)</f>
        <v>4.215818440192991</v>
      </c>
      <c r="DH797" s="1240" t="str">
        <f t="shared" si="175"/>
        <v>Cooling Res 6 Year EUL</v>
      </c>
      <c r="DI797" s="1020">
        <f>(INDEX('Avoided Cost Benefits'!$B$4:$B$866,MATCH(DH797,'Avoided Cost Benefits'!$A$4:$A$866,0)))*F797</f>
        <v>2454.5365148414999</v>
      </c>
      <c r="DJ797" s="2051">
        <f t="shared" si="177"/>
        <v>851.66719041900797</v>
      </c>
      <c r="DM797" s="234"/>
    </row>
    <row r="798" spans="1:117" x14ac:dyDescent="0.25">
      <c r="A798" s="2146" t="s">
        <v>602</v>
      </c>
      <c r="B798" s="1318">
        <f t="shared" si="176"/>
        <v>354350</v>
      </c>
      <c r="C798" s="18" t="s">
        <v>1240</v>
      </c>
      <c r="D798" s="1974" t="s">
        <v>810</v>
      </c>
      <c r="E798" s="1265" t="s">
        <v>1241</v>
      </c>
      <c r="F798" s="208">
        <f>ROUND(((K947*K1051*(1/K1154-1/K1257)*K1772)/1000)*$K$1800,2)</f>
        <v>1540.67</v>
      </c>
      <c r="G798" s="540" t="s">
        <v>1031</v>
      </c>
      <c r="H798" s="66">
        <f>VLOOKUP(G798,'CP FACTORS'!$A$3:$B$38, 2, FALSE)</f>
        <v>0</v>
      </c>
      <c r="I798" s="961">
        <f t="shared" si="174"/>
        <v>0</v>
      </c>
      <c r="J798" s="57">
        <f t="shared" si="180"/>
        <v>6</v>
      </c>
      <c r="K798" s="152">
        <f t="shared" si="173"/>
        <v>0</v>
      </c>
      <c r="L798" s="167"/>
      <c r="M798" s="531"/>
      <c r="N798" s="542"/>
      <c r="O798" s="398"/>
      <c r="R798" s="510"/>
      <c r="T798" s="50"/>
      <c r="U798" s="544"/>
      <c r="V798" s="1307" t="s">
        <v>46</v>
      </c>
      <c r="W798" s="903">
        <v>4062.4872213622284</v>
      </c>
      <c r="X798" s="233">
        <v>1798.7611070228763</v>
      </c>
      <c r="Y798" s="208">
        <v>1798.76</v>
      </c>
      <c r="Z798" s="208">
        <v>1798.76</v>
      </c>
      <c r="AA798" s="208">
        <v>1798.76</v>
      </c>
      <c r="AB798" s="960">
        <v>1798.76</v>
      </c>
      <c r="AC798" s="210">
        <v>2725.4</v>
      </c>
      <c r="AD798" s="210">
        <v>2332.67</v>
      </c>
      <c r="AE798" s="208">
        <v>2332.67</v>
      </c>
      <c r="AF798" s="253">
        <v>2332.67</v>
      </c>
      <c r="AG798" s="253">
        <f t="shared" si="166"/>
        <v>1540.67</v>
      </c>
      <c r="AH798" s="114"/>
      <c r="AK798" s="904"/>
      <c r="DF798" s="1434" t="str">
        <f t="shared" si="179"/>
        <v>ASHP-SEER18_ER1_MF</v>
      </c>
      <c r="DG798" s="1023"/>
      <c r="DH798" s="1265" t="str">
        <f t="shared" si="175"/>
        <v>Heating Res 6 Year EUL</v>
      </c>
      <c r="DI798" s="1020">
        <f>(INDEX('Avoided Cost Benefits'!$B$4:$B$866,MATCH(DH798,'Avoided Cost Benefits'!$A$4:$A$866,0)))*F798</f>
        <v>413.17504818581608</v>
      </c>
      <c r="DJ798" s="2051">
        <f t="shared" si="177"/>
        <v>0</v>
      </c>
      <c r="DM798" s="234"/>
    </row>
    <row r="799" spans="1:117" x14ac:dyDescent="0.25">
      <c r="A799" s="2146" t="s">
        <v>602</v>
      </c>
      <c r="B799" s="1318">
        <f t="shared" si="176"/>
        <v>354350</v>
      </c>
      <c r="C799" s="18" t="s">
        <v>1240</v>
      </c>
      <c r="D799" s="1974" t="s">
        <v>810</v>
      </c>
      <c r="E799" s="1265" t="s">
        <v>1242</v>
      </c>
      <c r="F799" s="208">
        <f>ROUND(((K1361*K1464*(1/K1567-1/K1670)*K1773)/1000)*$K$1800,2)</f>
        <v>374.74</v>
      </c>
      <c r="G799" s="540" t="s">
        <v>1083</v>
      </c>
      <c r="H799" s="66">
        <f>VLOOKUP(G799,'CP FACTORS'!$A$3:$B$38, 2, FALSE)</f>
        <v>9.4741810000000004E-4</v>
      </c>
      <c r="I799" s="961">
        <f t="shared" si="174"/>
        <v>0.35503499999999999</v>
      </c>
      <c r="J799" s="57">
        <f t="shared" si="180"/>
        <v>12</v>
      </c>
      <c r="K799" s="152">
        <f t="shared" si="173"/>
        <v>0</v>
      </c>
      <c r="L799" s="167"/>
      <c r="M799" s="531"/>
      <c r="N799" s="542"/>
      <c r="O799" s="398"/>
      <c r="R799" s="510"/>
      <c r="T799" s="50"/>
      <c r="U799" s="544"/>
      <c r="V799" s="1307" t="s">
        <v>46</v>
      </c>
      <c r="W799" s="903">
        <v>355.04857142857139</v>
      </c>
      <c r="X799" s="236">
        <v>355.04857142857139</v>
      </c>
      <c r="Y799" s="208">
        <v>355.05</v>
      </c>
      <c r="Z799" s="208">
        <v>355.05</v>
      </c>
      <c r="AA799" s="208">
        <v>355.05</v>
      </c>
      <c r="AB799" s="960">
        <v>355.05</v>
      </c>
      <c r="AC799" s="210">
        <v>588.84</v>
      </c>
      <c r="AD799" s="210">
        <v>413.81</v>
      </c>
      <c r="AE799" s="210">
        <v>289.67</v>
      </c>
      <c r="AF799" s="253">
        <v>374.74</v>
      </c>
      <c r="AG799" s="253">
        <f t="shared" si="166"/>
        <v>374.74</v>
      </c>
      <c r="AH799" s="114"/>
      <c r="AK799" s="904"/>
      <c r="DF799" s="1434" t="str">
        <f t="shared" si="179"/>
        <v>ASHP-SEER18_ER2_MF</v>
      </c>
      <c r="DG799" s="1023"/>
      <c r="DH799" s="1265" t="str">
        <f t="shared" si="175"/>
        <v>Cooling Res ER2 12 Year EUL</v>
      </c>
      <c r="DI799" s="1020">
        <f>(INDEX('Avoided Cost Benefits'!$B$4:$B$866,MATCH(DH799,'Avoided Cost Benefits'!$A$4:$A$866,0)))*F799</f>
        <v>484.88388146016024</v>
      </c>
      <c r="DJ799" s="2051">
        <f t="shared" si="177"/>
        <v>0</v>
      </c>
      <c r="DM799" s="234"/>
    </row>
    <row r="800" spans="1:117" x14ac:dyDescent="0.25">
      <c r="A800" s="2146" t="s">
        <v>602</v>
      </c>
      <c r="B800" s="1318">
        <f t="shared" si="176"/>
        <v>354350</v>
      </c>
      <c r="C800" s="18" t="s">
        <v>1240</v>
      </c>
      <c r="D800" s="1974" t="s">
        <v>810</v>
      </c>
      <c r="E800" s="1241" t="s">
        <v>1242</v>
      </c>
      <c r="F800" s="208">
        <f>ROUND(((K948*K1052*(1/K1155-1/K1258)*K1773)/1000)*$K$1800,2)</f>
        <v>704</v>
      </c>
      <c r="G800" s="540" t="s">
        <v>1118</v>
      </c>
      <c r="H800" s="66">
        <f>VLOOKUP(G800,'CP FACTORS'!$A$3:$B$38, 2, FALSE)</f>
        <v>0</v>
      </c>
      <c r="I800" s="961">
        <f t="shared" si="174"/>
        <v>0</v>
      </c>
      <c r="J800" s="57">
        <f t="shared" si="180"/>
        <v>12</v>
      </c>
      <c r="K800" s="152">
        <f t="shared" si="173"/>
        <v>0</v>
      </c>
      <c r="L800" s="167"/>
      <c r="M800" s="531"/>
      <c r="N800" s="542"/>
      <c r="O800" s="398"/>
      <c r="R800" s="510"/>
      <c r="T800" s="50"/>
      <c r="U800" s="544"/>
      <c r="V800" s="1307" t="s">
        <v>46</v>
      </c>
      <c r="W800" s="903">
        <v>862.96736842105349</v>
      </c>
      <c r="X800" s="233">
        <v>642.6078562259313</v>
      </c>
      <c r="Y800" s="208">
        <v>642.61</v>
      </c>
      <c r="Z800" s="208">
        <v>642.61</v>
      </c>
      <c r="AA800" s="208">
        <v>642.61</v>
      </c>
      <c r="AB800" s="960">
        <v>642.61</v>
      </c>
      <c r="AC800" s="210">
        <v>973.65</v>
      </c>
      <c r="AD800" s="210">
        <v>985.17</v>
      </c>
      <c r="AE800" s="210">
        <v>730.6</v>
      </c>
      <c r="AF800" s="253">
        <v>1496</v>
      </c>
      <c r="AG800" s="253">
        <f t="shared" si="166"/>
        <v>704</v>
      </c>
      <c r="AH800" s="114"/>
      <c r="AK800" s="904"/>
      <c r="DF800" s="1434" t="str">
        <f t="shared" si="179"/>
        <v>ASHP-SEER18_ER2_MF</v>
      </c>
      <c r="DG800" s="1023"/>
      <c r="DH800" s="1241" t="str">
        <f t="shared" si="175"/>
        <v>Heating Res ER2 12 Year EUL</v>
      </c>
      <c r="DI800" s="1020">
        <f>(INDEX('Avoided Cost Benefits'!$B$4:$B$866,MATCH(DH800,'Avoided Cost Benefits'!$A$4:$A$866,0)))*F800</f>
        <v>237.87880178833322</v>
      </c>
      <c r="DJ800" s="2051">
        <f t="shared" si="177"/>
        <v>0</v>
      </c>
      <c r="DM800" s="234"/>
    </row>
    <row r="801" spans="1:117" x14ac:dyDescent="0.25">
      <c r="A801" s="2146" t="s">
        <v>607</v>
      </c>
      <c r="B801" s="1318">
        <f t="shared" si="176"/>
        <v>354400</v>
      </c>
      <c r="C801" s="18" t="s">
        <v>1243</v>
      </c>
      <c r="D801" s="1974" t="s">
        <v>863</v>
      </c>
      <c r="E801" s="1240" t="s">
        <v>1244</v>
      </c>
      <c r="F801" s="208">
        <f>ROUND(((K1362*K1465*(1/K1568-1/K1671)*K1774)/1000)*$K$1800,2)</f>
        <v>2563.17</v>
      </c>
      <c r="G801" s="540" t="s">
        <v>1030</v>
      </c>
      <c r="H801" s="66">
        <f>VLOOKUP(G801,'CP FACTORS'!$A$3:$B$38, 2, FALSE)</f>
        <v>9.4741810000000004E-4</v>
      </c>
      <c r="I801" s="961">
        <f t="shared" si="174"/>
        <v>2.4283939999999999</v>
      </c>
      <c r="J801" s="57">
        <f t="shared" si="180"/>
        <v>6</v>
      </c>
      <c r="K801" s="152">
        <f t="shared" si="173"/>
        <v>4902.6041805257928</v>
      </c>
      <c r="L801" s="167">
        <f>L949</f>
        <v>3.7731209149509803</v>
      </c>
      <c r="M801" s="531"/>
      <c r="N801" s="542"/>
      <c r="O801" s="398"/>
      <c r="R801" s="510"/>
      <c r="T801" s="50"/>
      <c r="U801" s="544"/>
      <c r="V801" s="1307" t="s">
        <v>46</v>
      </c>
      <c r="W801" s="903">
        <v>3052.5306501547993</v>
      </c>
      <c r="X801" s="233">
        <v>2179.3577810071401</v>
      </c>
      <c r="Y801" s="208">
        <v>2179.36</v>
      </c>
      <c r="Z801" s="208">
        <v>2179.36</v>
      </c>
      <c r="AA801" s="208">
        <v>2179.36</v>
      </c>
      <c r="AB801" s="960">
        <v>2179.36</v>
      </c>
      <c r="AC801" s="210">
        <v>2436.71</v>
      </c>
      <c r="AD801" s="210">
        <v>3279.14</v>
      </c>
      <c r="AE801" s="210">
        <v>2673.03</v>
      </c>
      <c r="AF801" s="253">
        <v>2563.17</v>
      </c>
      <c r="AG801" s="253">
        <f t="shared" si="166"/>
        <v>2563.17</v>
      </c>
      <c r="AH801" s="114"/>
      <c r="AK801" s="904"/>
      <c r="DF801" s="1434" t="str">
        <f t="shared" si="179"/>
        <v>ASHP-SEER19-Replace_CAC_ElectricHeat_ER1_SF</v>
      </c>
      <c r="DG801" s="1019">
        <f>(DI801+DI802+DI803+DI804)/(DJ801+DJ802+DJ803+DJ804)</f>
        <v>2.2284181700412744</v>
      </c>
      <c r="DH801" s="1240" t="str">
        <f t="shared" si="175"/>
        <v>Cooling Res 6 Year EUL</v>
      </c>
      <c r="DI801" s="1020">
        <f>(INDEX('Avoided Cost Benefits'!$B$4:$B$866,MATCH(DH801,'Avoided Cost Benefits'!$A$4:$A$866,0)))*F801</f>
        <v>2552.5279676181904</v>
      </c>
      <c r="DJ801" s="2051">
        <f t="shared" si="177"/>
        <v>4902.6041805257928</v>
      </c>
      <c r="DM801" s="234"/>
    </row>
    <row r="802" spans="1:117" x14ac:dyDescent="0.25">
      <c r="A802" s="2146" t="s">
        <v>607</v>
      </c>
      <c r="B802" s="1318">
        <f t="shared" si="176"/>
        <v>354400</v>
      </c>
      <c r="C802" s="18" t="s">
        <v>1243</v>
      </c>
      <c r="D802" s="1974" t="s">
        <v>863</v>
      </c>
      <c r="E802" s="1265" t="s">
        <v>1244</v>
      </c>
      <c r="F802" s="208">
        <f>ROUND(((K949*K1053*(1/K1156-1/K1259)*K1774)/1000)*$K$1800,2)</f>
        <v>12014.86</v>
      </c>
      <c r="G802" s="540" t="s">
        <v>1031</v>
      </c>
      <c r="H802" s="66">
        <f>VLOOKUP(G802,'CP FACTORS'!$A$3:$B$38, 2, FALSE)</f>
        <v>0</v>
      </c>
      <c r="I802" s="961">
        <f t="shared" si="174"/>
        <v>0</v>
      </c>
      <c r="J802" s="57">
        <f t="shared" si="180"/>
        <v>6</v>
      </c>
      <c r="K802" s="152">
        <f t="shared" si="173"/>
        <v>0</v>
      </c>
      <c r="L802" s="167"/>
      <c r="M802" s="531"/>
      <c r="N802" s="542"/>
      <c r="O802" s="398"/>
      <c r="R802" s="510"/>
      <c r="T802" s="50"/>
      <c r="U802" s="544"/>
      <c r="V802" s="1307" t="s">
        <v>46</v>
      </c>
      <c r="W802" s="903">
        <v>13965.852998065762</v>
      </c>
      <c r="X802" s="233">
        <v>10399.659574468084</v>
      </c>
      <c r="Y802" s="208">
        <v>10399.66</v>
      </c>
      <c r="Z802" s="208">
        <v>10399.66</v>
      </c>
      <c r="AA802" s="208">
        <v>10399.66</v>
      </c>
      <c r="AB802" s="960">
        <v>10399.66</v>
      </c>
      <c r="AC802" s="210">
        <v>12553.53</v>
      </c>
      <c r="AD802" s="210">
        <v>12962.58</v>
      </c>
      <c r="AE802" s="210">
        <v>13145.12</v>
      </c>
      <c r="AF802" s="253">
        <v>13145.12</v>
      </c>
      <c r="AG802" s="253">
        <f t="shared" ref="AG802:AG852" si="181">IF(F802&lt;&gt;"",F802,"")</f>
        <v>12014.86</v>
      </c>
      <c r="AH802" s="114"/>
      <c r="AK802" s="904"/>
      <c r="DF802" s="1434" t="str">
        <f t="shared" si="179"/>
        <v>ASHP-SEER19-Replace_CAC_ElectricHeat_ER1_SF</v>
      </c>
      <c r="DG802" s="1023"/>
      <c r="DH802" s="1265" t="str">
        <f t="shared" si="175"/>
        <v>Heating Res 6 Year EUL</v>
      </c>
      <c r="DI802" s="1020">
        <f>(INDEX('Avoided Cost Benefits'!$B$4:$B$866,MATCH(DH802,'Avoided Cost Benefits'!$A$4:$A$866,0)))*F802</f>
        <v>3222.1308647833957</v>
      </c>
      <c r="DJ802" s="2051">
        <f t="shared" si="177"/>
        <v>0</v>
      </c>
      <c r="DM802" s="234"/>
    </row>
    <row r="803" spans="1:117" x14ac:dyDescent="0.25">
      <c r="A803" s="2146" t="s">
        <v>607</v>
      </c>
      <c r="B803" s="1318">
        <f t="shared" si="176"/>
        <v>354400</v>
      </c>
      <c r="C803" s="18" t="s">
        <v>1243</v>
      </c>
      <c r="D803" s="1974" t="s">
        <v>863</v>
      </c>
      <c r="E803" s="1265" t="s">
        <v>1245</v>
      </c>
      <c r="F803" s="208">
        <f>ROUND(((K1363*K1466*(1/K1569-1/K1672)*K1775)/1000)*$K$1800,2)</f>
        <v>842.88</v>
      </c>
      <c r="G803" s="540" t="s">
        <v>1083</v>
      </c>
      <c r="H803" s="66">
        <f>VLOOKUP(G803,'CP FACTORS'!$A$3:$B$38, 2, FALSE)</f>
        <v>9.4741810000000004E-4</v>
      </c>
      <c r="I803" s="961">
        <f t="shared" si="174"/>
        <v>0.79856000000000005</v>
      </c>
      <c r="J803" s="57">
        <f t="shared" si="180"/>
        <v>12</v>
      </c>
      <c r="K803" s="152">
        <f t="shared" si="173"/>
        <v>0</v>
      </c>
      <c r="L803" s="167"/>
      <c r="M803" s="531"/>
      <c r="N803" s="542"/>
      <c r="O803" s="398"/>
      <c r="R803" s="510"/>
      <c r="T803" s="50"/>
      <c r="U803" s="544"/>
      <c r="V803" s="1307" t="s">
        <v>46</v>
      </c>
      <c r="W803" s="903">
        <v>785.26639676113382</v>
      </c>
      <c r="X803" s="236">
        <v>785.26639676113382</v>
      </c>
      <c r="Y803" s="208">
        <v>785.27</v>
      </c>
      <c r="Z803" s="208">
        <v>785.27</v>
      </c>
      <c r="AA803" s="208">
        <v>785.27</v>
      </c>
      <c r="AB803" s="960">
        <v>785.27</v>
      </c>
      <c r="AC803" s="210">
        <v>924.84</v>
      </c>
      <c r="AD803" s="210">
        <v>1051.1199999999999</v>
      </c>
      <c r="AE803" s="210">
        <v>727.55</v>
      </c>
      <c r="AF803" s="253">
        <v>842.88</v>
      </c>
      <c r="AG803" s="253">
        <f t="shared" si="181"/>
        <v>842.88</v>
      </c>
      <c r="AH803" s="114"/>
      <c r="AK803" s="904"/>
      <c r="DF803" s="1434" t="str">
        <f t="shared" si="179"/>
        <v>ASHP-SEER19-Replace_CAC_ElectricHeat_ER2_SF</v>
      </c>
      <c r="DG803" s="1023"/>
      <c r="DH803" s="1265" t="str">
        <f t="shared" si="175"/>
        <v>Cooling Res ER2 12 Year EUL</v>
      </c>
      <c r="DI803" s="1020">
        <f>(INDEX('Avoided Cost Benefits'!$B$4:$B$866,MATCH(DH803,'Avoided Cost Benefits'!$A$4:$A$866,0)))*F803</f>
        <v>1090.6199658567002</v>
      </c>
      <c r="DJ803" s="2051">
        <f t="shared" si="177"/>
        <v>0</v>
      </c>
      <c r="DM803" s="234"/>
    </row>
    <row r="804" spans="1:117" x14ac:dyDescent="0.25">
      <c r="A804" s="2146" t="s">
        <v>607</v>
      </c>
      <c r="B804" s="1318">
        <f t="shared" si="176"/>
        <v>354400</v>
      </c>
      <c r="C804" s="18" t="s">
        <v>1243</v>
      </c>
      <c r="D804" s="1974" t="s">
        <v>863</v>
      </c>
      <c r="E804" s="1274" t="s">
        <v>1245</v>
      </c>
      <c r="F804" s="208">
        <f>ROUND(((K950*K1054*(1/K1157-1/K1260)*K1775)/1000)*$K$1800,2)</f>
        <v>12014.86</v>
      </c>
      <c r="G804" s="540" t="s">
        <v>1118</v>
      </c>
      <c r="H804" s="66">
        <f>VLOOKUP(G804,'CP FACTORS'!$A$3:$B$38, 2, FALSE)</f>
        <v>0</v>
      </c>
      <c r="I804" s="961">
        <f t="shared" si="174"/>
        <v>0</v>
      </c>
      <c r="J804" s="57">
        <f t="shared" si="180"/>
        <v>12</v>
      </c>
      <c r="K804" s="152">
        <f t="shared" si="173"/>
        <v>0</v>
      </c>
      <c r="L804" s="167"/>
      <c r="M804" s="531"/>
      <c r="N804" s="542"/>
      <c r="O804" s="398"/>
      <c r="R804" s="510"/>
      <c r="T804" s="50"/>
      <c r="U804" s="544"/>
      <c r="V804" s="1307" t="s">
        <v>46</v>
      </c>
      <c r="W804" s="903">
        <v>13965.852998065762</v>
      </c>
      <c r="X804" s="233">
        <v>10399.659574468084</v>
      </c>
      <c r="Y804" s="208">
        <v>10399.66</v>
      </c>
      <c r="Z804" s="208">
        <v>10399.66</v>
      </c>
      <c r="AA804" s="208">
        <v>10399.66</v>
      </c>
      <c r="AB804" s="960">
        <v>10399.66</v>
      </c>
      <c r="AC804" s="210">
        <v>12553.53</v>
      </c>
      <c r="AD804" s="210">
        <v>12962.58</v>
      </c>
      <c r="AE804" s="210">
        <v>13145.12</v>
      </c>
      <c r="AF804" s="253">
        <v>13145.12</v>
      </c>
      <c r="AG804" s="253">
        <f t="shared" si="181"/>
        <v>12014.86</v>
      </c>
      <c r="AH804" s="114"/>
      <c r="AK804" s="904"/>
      <c r="DF804" s="1434" t="str">
        <f t="shared" si="179"/>
        <v>ASHP-SEER19-Replace_CAC_ElectricHeat_ER2_SF</v>
      </c>
      <c r="DG804" s="1023"/>
      <c r="DH804" s="1274" t="str">
        <f t="shared" si="175"/>
        <v>Heating Res ER2 12 Year EUL</v>
      </c>
      <c r="DI804" s="1020">
        <f>(INDEX('Avoided Cost Benefits'!$B$4:$B$866,MATCH(DH804,'Avoided Cost Benefits'!$A$4:$A$866,0)))*F804</f>
        <v>4059.7734381457008</v>
      </c>
      <c r="DJ804" s="2051">
        <f t="shared" si="177"/>
        <v>0</v>
      </c>
      <c r="DM804" s="234"/>
    </row>
    <row r="805" spans="1:117" x14ac:dyDescent="0.25">
      <c r="A805" s="2146" t="s">
        <v>861</v>
      </c>
      <c r="B805" s="1318">
        <f t="shared" si="176"/>
        <v>354410</v>
      </c>
      <c r="C805" s="18" t="s">
        <v>1246</v>
      </c>
      <c r="D805" s="1974" t="s">
        <v>863</v>
      </c>
      <c r="E805" s="193" t="s">
        <v>1247</v>
      </c>
      <c r="F805" s="208">
        <f>ROUND(((K1364*K1467*(1/K1570-1/K1673)*K1776)/1000)*$K$1800,2)</f>
        <v>2563.17</v>
      </c>
      <c r="G805" s="540" t="s">
        <v>1030</v>
      </c>
      <c r="H805" s="66">
        <f>VLOOKUP(G805,'CP FACTORS'!$A$3:$B$38, 2, FALSE)</f>
        <v>9.4741810000000004E-4</v>
      </c>
      <c r="I805" s="961">
        <f t="shared" si="174"/>
        <v>2.4283939999999999</v>
      </c>
      <c r="J805" s="57">
        <f t="shared" si="180"/>
        <v>6</v>
      </c>
      <c r="K805" s="152">
        <f t="shared" si="173"/>
        <v>595.74489338766887</v>
      </c>
      <c r="L805" s="167">
        <f>L951</f>
        <v>3.6</v>
      </c>
      <c r="M805" s="531"/>
      <c r="N805" s="542"/>
      <c r="O805" s="398"/>
      <c r="R805" s="510"/>
      <c r="T805" s="50"/>
      <c r="U805" s="544"/>
      <c r="V805" s="1307" t="s">
        <v>46</v>
      </c>
      <c r="W805" s="903"/>
      <c r="X805" s="233"/>
      <c r="Y805" s="208"/>
      <c r="Z805" s="208"/>
      <c r="AA805" s="208"/>
      <c r="AB805" s="960"/>
      <c r="AC805" s="210">
        <v>2436.71</v>
      </c>
      <c r="AD805" s="208">
        <v>2436.71</v>
      </c>
      <c r="AE805" s="210">
        <v>2673.03</v>
      </c>
      <c r="AF805" s="253">
        <v>2563.17</v>
      </c>
      <c r="AG805" s="253">
        <f t="shared" si="181"/>
        <v>2563.17</v>
      </c>
      <c r="AH805" s="114"/>
      <c r="AK805" s="904"/>
      <c r="DF805" s="1434" t="str">
        <f t="shared" si="179"/>
        <v>ASHP-SEER19-Replace_CAC_NonElectricHeat_ER1_SF</v>
      </c>
      <c r="DG805" s="1019">
        <f>(DI805+DI806+DI807+DI808)/(DJ805+DJ806+DJ807+DJ808)</f>
        <v>6.1152818495150507</v>
      </c>
      <c r="DH805" s="193" t="str">
        <f t="shared" si="175"/>
        <v>Cooling Res 6 Year EUL</v>
      </c>
      <c r="DI805" s="1020">
        <f>(INDEX('Avoided Cost Benefits'!$B$4:$B$866,MATCH(DH805,'Avoided Cost Benefits'!$A$4:$A$866,0)))*F805</f>
        <v>2552.5279676181904</v>
      </c>
      <c r="DJ805" s="2051">
        <f t="shared" si="177"/>
        <v>595.74489338766887</v>
      </c>
      <c r="DM805" s="234"/>
    </row>
    <row r="806" spans="1:117" x14ac:dyDescent="0.25">
      <c r="A806" s="2146" t="s">
        <v>861</v>
      </c>
      <c r="B806" s="1318">
        <f t="shared" si="176"/>
        <v>354410</v>
      </c>
      <c r="C806" s="18" t="s">
        <v>1246</v>
      </c>
      <c r="D806" s="1974" t="s">
        <v>863</v>
      </c>
      <c r="E806" s="193" t="s">
        <v>1247</v>
      </c>
      <c r="F806" s="208">
        <v>0</v>
      </c>
      <c r="G806" s="540" t="s">
        <v>1031</v>
      </c>
      <c r="H806" s="66">
        <f>VLOOKUP(G806,'CP FACTORS'!$A$3:$B$38, 2, FALSE)</f>
        <v>0</v>
      </c>
      <c r="I806" s="961">
        <f t="shared" si="174"/>
        <v>0</v>
      </c>
      <c r="J806" s="57">
        <f t="shared" si="180"/>
        <v>6</v>
      </c>
      <c r="K806" s="152">
        <f t="shared" si="173"/>
        <v>0</v>
      </c>
      <c r="L806" s="167"/>
      <c r="M806" s="531"/>
      <c r="N806" s="542"/>
      <c r="O806" s="398"/>
      <c r="R806" s="510"/>
      <c r="T806" s="50"/>
      <c r="U806" s="544"/>
      <c r="V806" s="1307" t="s">
        <v>46</v>
      </c>
      <c r="W806" s="903"/>
      <c r="X806" s="233"/>
      <c r="Y806" s="208"/>
      <c r="Z806" s="208"/>
      <c r="AA806" s="208"/>
      <c r="AB806" s="960"/>
      <c r="AC806" s="210">
        <v>0</v>
      </c>
      <c r="AD806" s="208">
        <v>0</v>
      </c>
      <c r="AE806" s="208">
        <v>0</v>
      </c>
      <c r="AF806" s="253">
        <v>0</v>
      </c>
      <c r="AG806" s="253">
        <f t="shared" si="181"/>
        <v>0</v>
      </c>
      <c r="AH806" s="114"/>
      <c r="AK806" s="904"/>
      <c r="DF806" s="1434" t="str">
        <f t="shared" si="179"/>
        <v>ASHP-SEER19-Replace_CAC_NonElectricHeat_ER1_SF</v>
      </c>
      <c r="DG806" s="1023"/>
      <c r="DH806" s="193" t="str">
        <f t="shared" si="175"/>
        <v>Heating Res 6 Year EUL</v>
      </c>
      <c r="DI806" s="1020">
        <f>(INDEX('Avoided Cost Benefits'!$B$4:$B$866,MATCH(DH806,'Avoided Cost Benefits'!$A$4:$A$866,0)))*F806</f>
        <v>0</v>
      </c>
      <c r="DJ806" s="2051">
        <f t="shared" si="177"/>
        <v>0</v>
      </c>
      <c r="DM806" s="234"/>
    </row>
    <row r="807" spans="1:117" x14ac:dyDescent="0.25">
      <c r="A807" s="2146" t="s">
        <v>861</v>
      </c>
      <c r="B807" s="1318">
        <f t="shared" si="176"/>
        <v>354410</v>
      </c>
      <c r="C807" s="18" t="s">
        <v>1246</v>
      </c>
      <c r="D807" s="1974" t="s">
        <v>863</v>
      </c>
      <c r="E807" s="193" t="s">
        <v>1248</v>
      </c>
      <c r="F807" s="208">
        <f>ROUND(((K1365*K1468*(1/K1571-1/K1674)*K1777)/1000)*$K$1800,2)</f>
        <v>842.88</v>
      </c>
      <c r="G807" s="540" t="s">
        <v>1083</v>
      </c>
      <c r="H807" s="66">
        <f>VLOOKUP(G807,'CP FACTORS'!$A$3:$B$38, 2, FALSE)</f>
        <v>9.4741810000000004E-4</v>
      </c>
      <c r="I807" s="961">
        <f t="shared" si="174"/>
        <v>0.79856000000000005</v>
      </c>
      <c r="J807" s="57">
        <f t="shared" si="180"/>
        <v>12</v>
      </c>
      <c r="K807" s="152">
        <f t="shared" si="173"/>
        <v>0</v>
      </c>
      <c r="L807" s="167"/>
      <c r="M807" s="531"/>
      <c r="N807" s="542"/>
      <c r="O807" s="398"/>
      <c r="R807" s="510"/>
      <c r="T807" s="50"/>
      <c r="U807" s="544"/>
      <c r="V807" s="1307" t="s">
        <v>46</v>
      </c>
      <c r="W807" s="903"/>
      <c r="X807" s="233"/>
      <c r="Y807" s="208"/>
      <c r="Z807" s="208"/>
      <c r="AA807" s="208"/>
      <c r="AB807" s="960"/>
      <c r="AC807" s="210">
        <v>924.84</v>
      </c>
      <c r="AD807" s="208">
        <v>924.84</v>
      </c>
      <c r="AE807" s="210">
        <v>727.55</v>
      </c>
      <c r="AF807" s="253">
        <v>842.88</v>
      </c>
      <c r="AG807" s="253">
        <f t="shared" si="181"/>
        <v>842.88</v>
      </c>
      <c r="AH807" s="114"/>
      <c r="AK807" s="904"/>
      <c r="DF807" s="1434" t="str">
        <f t="shared" si="179"/>
        <v>ASHP-SEER19-Replace_CAC_NonElectricHeat_ER2_SF</v>
      </c>
      <c r="DG807" s="1023"/>
      <c r="DH807" s="193" t="str">
        <f t="shared" si="175"/>
        <v>Cooling Res ER2 12 Year EUL</v>
      </c>
      <c r="DI807" s="1020">
        <f>(INDEX('Avoided Cost Benefits'!$B$4:$B$866,MATCH(DH807,'Avoided Cost Benefits'!$A$4:$A$866,0)))*F807</f>
        <v>1090.6199658567002</v>
      </c>
      <c r="DJ807" s="2051">
        <f t="shared" si="177"/>
        <v>0</v>
      </c>
      <c r="DM807" s="234"/>
    </row>
    <row r="808" spans="1:117" x14ac:dyDescent="0.25">
      <c r="A808" s="2146" t="s">
        <v>861</v>
      </c>
      <c r="B808" s="1318">
        <f t="shared" si="176"/>
        <v>354410</v>
      </c>
      <c r="C808" s="18" t="s">
        <v>1246</v>
      </c>
      <c r="D808" s="1974" t="s">
        <v>863</v>
      </c>
      <c r="E808" s="193" t="s">
        <v>1248</v>
      </c>
      <c r="F808" s="208">
        <f>0</f>
        <v>0</v>
      </c>
      <c r="G808" s="540" t="s">
        <v>1118</v>
      </c>
      <c r="H808" s="66">
        <f>VLOOKUP(G808,'CP FACTORS'!$A$3:$B$38, 2, FALSE)</f>
        <v>0</v>
      </c>
      <c r="I808" s="961">
        <f t="shared" si="174"/>
        <v>0</v>
      </c>
      <c r="J808" s="57">
        <f t="shared" si="180"/>
        <v>12</v>
      </c>
      <c r="K808" s="152">
        <f t="shared" si="173"/>
        <v>0</v>
      </c>
      <c r="L808" s="167"/>
      <c r="M808" s="531"/>
      <c r="N808" s="542"/>
      <c r="O808" s="398"/>
      <c r="R808" s="510"/>
      <c r="T808" s="50"/>
      <c r="U808" s="544"/>
      <c r="V808" s="1307" t="s">
        <v>46</v>
      </c>
      <c r="W808" s="903"/>
      <c r="X808" s="233"/>
      <c r="Y808" s="208"/>
      <c r="Z808" s="208"/>
      <c r="AA808" s="208"/>
      <c r="AB808" s="960"/>
      <c r="AC808" s="210">
        <v>0</v>
      </c>
      <c r="AD808" s="208">
        <v>0</v>
      </c>
      <c r="AE808" s="208">
        <v>0</v>
      </c>
      <c r="AF808" s="253">
        <v>0</v>
      </c>
      <c r="AG808" s="253">
        <f t="shared" si="181"/>
        <v>0</v>
      </c>
      <c r="AH808" s="114"/>
      <c r="AK808" s="904"/>
      <c r="DF808" s="1434" t="str">
        <f t="shared" si="179"/>
        <v>ASHP-SEER19-Replace_CAC_NonElectricHeat_ER2_SF</v>
      </c>
      <c r="DG808" s="1023"/>
      <c r="DH808" s="193" t="str">
        <f t="shared" si="175"/>
        <v>Heating Res ER2 12 Year EUL</v>
      </c>
      <c r="DI808" s="1020">
        <f>(INDEX('Avoided Cost Benefits'!$B$4:$B$866,MATCH(DH808,'Avoided Cost Benefits'!$A$4:$A$866,0)))*F808</f>
        <v>0</v>
      </c>
      <c r="DJ808" s="2051">
        <f t="shared" si="177"/>
        <v>0</v>
      </c>
      <c r="DM808" s="234"/>
    </row>
    <row r="809" spans="1:117" x14ac:dyDescent="0.25">
      <c r="A809" s="2146" t="s">
        <v>602</v>
      </c>
      <c r="B809" s="1318">
        <f t="shared" si="176"/>
        <v>354450</v>
      </c>
      <c r="C809" s="18" t="s">
        <v>1249</v>
      </c>
      <c r="D809" s="1974" t="s">
        <v>810</v>
      </c>
      <c r="E809" s="1240" t="s">
        <v>1250</v>
      </c>
      <c r="F809" s="208">
        <f>ROUND(((K1366*K1469*(1/K1572-1/K1675)*K1778)/1000)*$K$1800,2)</f>
        <v>1416.58</v>
      </c>
      <c r="G809" s="540" t="s">
        <v>1030</v>
      </c>
      <c r="H809" s="66">
        <f>VLOOKUP(G809,'CP FACTORS'!$A$3:$B$38, 2, FALSE)</f>
        <v>9.4741810000000004E-4</v>
      </c>
      <c r="I809" s="961">
        <f t="shared" si="174"/>
        <v>1.3420939999999999</v>
      </c>
      <c r="J809" s="57">
        <f t="shared" si="180"/>
        <v>6</v>
      </c>
      <c r="K809" s="152">
        <f t="shared" ref="K809:K840" si="182">IF(C809&lt;&gt;C808,VLOOKUP(C809,$J$2007:$K$2218,2,FALSE),0)</f>
        <v>3847.7316315552043</v>
      </c>
      <c r="L809" s="167">
        <f>L953</f>
        <v>3.1</v>
      </c>
      <c r="M809" s="531"/>
      <c r="N809" s="542"/>
      <c r="O809" s="398"/>
      <c r="R809" s="510"/>
      <c r="T809" s="50"/>
      <c r="U809" s="544"/>
      <c r="V809" s="1307" t="s">
        <v>46</v>
      </c>
      <c r="W809" s="903">
        <v>1984.1449226006196</v>
      </c>
      <c r="X809" s="233">
        <v>1416.5825576546411</v>
      </c>
      <c r="Y809" s="208">
        <v>1416.58</v>
      </c>
      <c r="Z809" s="208">
        <v>1416.58</v>
      </c>
      <c r="AA809" s="208">
        <v>1416.58</v>
      </c>
      <c r="AB809" s="960">
        <v>1416.58</v>
      </c>
      <c r="AC809" s="901">
        <v>1416.58</v>
      </c>
      <c r="AD809" s="208">
        <v>1416.58</v>
      </c>
      <c r="AE809" s="208">
        <v>1416.58</v>
      </c>
      <c r="AF809" s="253">
        <v>1416.58</v>
      </c>
      <c r="AG809" s="253">
        <f t="shared" si="181"/>
        <v>1416.58</v>
      </c>
      <c r="AH809" s="114"/>
      <c r="AK809" s="904"/>
      <c r="DF809" s="1434" t="str">
        <f t="shared" si="179"/>
        <v>ASHP-SEER19-Replace_CAC_ElectricHeat_ER1_MF</v>
      </c>
      <c r="DG809" s="1019">
        <f>(DI809+DI810+DI811+DI812)/(DJ809+DJ810+DJ811+DJ812)</f>
        <v>1.5327333605853137</v>
      </c>
      <c r="DH809" s="1240" t="str">
        <f t="shared" si="175"/>
        <v>Cooling Res 6 Year EUL</v>
      </c>
      <c r="DI809" s="1020">
        <f>(INDEX('Avoided Cost Benefits'!$B$4:$B$866,MATCH(DH809,'Avoided Cost Benefits'!$A$4:$A$866,0)))*F809</f>
        <v>1410.6984977073607</v>
      </c>
      <c r="DJ809" s="2051">
        <f t="shared" si="177"/>
        <v>3847.7316315552043</v>
      </c>
      <c r="DM809" s="234"/>
    </row>
    <row r="810" spans="1:117" x14ac:dyDescent="0.25">
      <c r="A810" s="2146" t="s">
        <v>602</v>
      </c>
      <c r="B810" s="1318">
        <f t="shared" si="176"/>
        <v>354450</v>
      </c>
      <c r="C810" s="18" t="s">
        <v>1249</v>
      </c>
      <c r="D810" s="1974" t="s">
        <v>810</v>
      </c>
      <c r="E810" s="1265" t="s">
        <v>1250</v>
      </c>
      <c r="F810" s="208">
        <f>ROUND(((K953*K1057*(1/K1160-1/K1263)*K1778)/1000)*$K$1800,2)</f>
        <v>6416.43</v>
      </c>
      <c r="G810" s="540" t="s">
        <v>1031</v>
      </c>
      <c r="H810" s="66">
        <f>VLOOKUP(G810,'CP FACTORS'!$A$3:$B$38, 2, FALSE)</f>
        <v>0</v>
      </c>
      <c r="I810" s="961">
        <f t="shared" si="174"/>
        <v>0</v>
      </c>
      <c r="J810" s="57">
        <f t="shared" si="180"/>
        <v>6</v>
      </c>
      <c r="K810" s="152">
        <f t="shared" si="182"/>
        <v>0</v>
      </c>
      <c r="L810" s="167"/>
      <c r="M810" s="531"/>
      <c r="N810" s="542"/>
      <c r="O810" s="398"/>
      <c r="R810" s="510"/>
      <c r="T810" s="50"/>
      <c r="U810" s="544"/>
      <c r="V810" s="1307" t="s">
        <v>46</v>
      </c>
      <c r="W810" s="903">
        <v>9077.8044487427451</v>
      </c>
      <c r="X810" s="233">
        <v>6759.7787234042544</v>
      </c>
      <c r="Y810" s="208">
        <v>6759.78</v>
      </c>
      <c r="Z810" s="208">
        <v>6759.78</v>
      </c>
      <c r="AA810" s="208">
        <v>6759.78</v>
      </c>
      <c r="AB810" s="960">
        <v>6759.78</v>
      </c>
      <c r="AC810" s="901">
        <v>6759.78</v>
      </c>
      <c r="AD810" s="208">
        <v>6759.78</v>
      </c>
      <c r="AE810" s="208">
        <v>6759.78</v>
      </c>
      <c r="AF810" s="253">
        <v>6759.78</v>
      </c>
      <c r="AG810" s="253">
        <f t="shared" si="181"/>
        <v>6416.43</v>
      </c>
      <c r="AH810" s="114"/>
      <c r="AK810" s="904"/>
      <c r="DF810" s="1434" t="str">
        <f t="shared" si="179"/>
        <v>ASHP-SEER19-Replace_CAC_ElectricHeat_ER1_MF</v>
      </c>
      <c r="DG810" s="1023"/>
      <c r="DH810" s="1265" t="str">
        <f t="shared" si="175"/>
        <v>Heating Res 6 Year EUL</v>
      </c>
      <c r="DI810" s="1020">
        <f>(INDEX('Avoided Cost Benefits'!$B$4:$B$866,MATCH(DH810,'Avoided Cost Benefits'!$A$4:$A$866,0)))*F810</f>
        <v>1720.7505659426847</v>
      </c>
      <c r="DJ810" s="2051">
        <f t="shared" si="177"/>
        <v>0</v>
      </c>
      <c r="DM810" s="234"/>
    </row>
    <row r="811" spans="1:117" x14ac:dyDescent="0.25">
      <c r="A811" s="2146" t="s">
        <v>602</v>
      </c>
      <c r="B811" s="1318">
        <f t="shared" si="176"/>
        <v>354450</v>
      </c>
      <c r="C811" s="18" t="s">
        <v>1249</v>
      </c>
      <c r="D811" s="1974" t="s">
        <v>810</v>
      </c>
      <c r="E811" s="1265" t="s">
        <v>1251</v>
      </c>
      <c r="F811" s="208">
        <f>ROUND(((K1367*K1470*(1/K1573-1/K1676)*K1779)/1000)*$K$1800,2)</f>
        <v>462.17</v>
      </c>
      <c r="G811" s="540" t="s">
        <v>1083</v>
      </c>
      <c r="H811" s="66">
        <f>VLOOKUP(G811,'CP FACTORS'!$A$3:$B$38, 2, FALSE)</f>
        <v>9.4741810000000004E-4</v>
      </c>
      <c r="I811" s="961">
        <f t="shared" si="174"/>
        <v>0.43786799999999998</v>
      </c>
      <c r="J811" s="57">
        <f t="shared" si="180"/>
        <v>12</v>
      </c>
      <c r="K811" s="152">
        <f t="shared" si="182"/>
        <v>0</v>
      </c>
      <c r="L811" s="167"/>
      <c r="M811" s="531"/>
      <c r="N811" s="542"/>
      <c r="O811" s="398"/>
      <c r="R811" s="510"/>
      <c r="T811" s="50"/>
      <c r="U811" s="544"/>
      <c r="V811" s="1307" t="s">
        <v>46</v>
      </c>
      <c r="W811" s="903">
        <v>510.42315789473696</v>
      </c>
      <c r="X811" s="236">
        <v>510.42315789473696</v>
      </c>
      <c r="Y811" s="208">
        <v>510.42</v>
      </c>
      <c r="Z811" s="208">
        <v>510.42</v>
      </c>
      <c r="AA811" s="208">
        <v>510.42</v>
      </c>
      <c r="AB811" s="960">
        <v>510.42</v>
      </c>
      <c r="AC811" s="901">
        <v>510.42</v>
      </c>
      <c r="AD811" s="208">
        <v>510.42</v>
      </c>
      <c r="AE811" s="210">
        <v>394.97</v>
      </c>
      <c r="AF811" s="253">
        <v>462.17</v>
      </c>
      <c r="AG811" s="253">
        <f t="shared" si="181"/>
        <v>462.17</v>
      </c>
      <c r="AH811" s="114"/>
      <c r="AK811" s="904"/>
      <c r="DF811" s="1434" t="str">
        <f t="shared" si="179"/>
        <v>ASHP-SEER19-Replace_CAC_ElectricHeat_ER2_MF</v>
      </c>
      <c r="DG811" s="1023"/>
      <c r="DH811" s="1265" t="str">
        <f t="shared" si="175"/>
        <v>Cooling Res ER2 12 Year EUL</v>
      </c>
      <c r="DI811" s="1020">
        <f>(INDEX('Avoided Cost Benefits'!$B$4:$B$866,MATCH(DH811,'Avoided Cost Benefits'!$A$4:$A$866,0)))*F811</f>
        <v>598.01137720670931</v>
      </c>
      <c r="DJ811" s="2051">
        <f t="shared" si="177"/>
        <v>0</v>
      </c>
      <c r="DM811" s="234"/>
    </row>
    <row r="812" spans="1:117" x14ac:dyDescent="0.25">
      <c r="A812" s="2146" t="s">
        <v>602</v>
      </c>
      <c r="B812" s="1318">
        <f t="shared" si="176"/>
        <v>354450</v>
      </c>
      <c r="C812" s="18" t="s">
        <v>1249</v>
      </c>
      <c r="D812" s="1974" t="s">
        <v>810</v>
      </c>
      <c r="E812" s="1241" t="s">
        <v>1251</v>
      </c>
      <c r="F812" s="208">
        <f>ROUND(((K954*K1058*(1/K1161-1/K1264)*K1779)/1000)*$K$1800,2)</f>
        <v>6416.43</v>
      </c>
      <c r="G812" s="540" t="s">
        <v>1118</v>
      </c>
      <c r="H812" s="66">
        <f>VLOOKUP(G812,'CP FACTORS'!$A$3:$B$38, 2, FALSE)</f>
        <v>0</v>
      </c>
      <c r="I812" s="961">
        <f t="shared" si="174"/>
        <v>0</v>
      </c>
      <c r="J812" s="57">
        <f t="shared" si="180"/>
        <v>12</v>
      </c>
      <c r="K812" s="152">
        <f t="shared" si="182"/>
        <v>0</v>
      </c>
      <c r="L812" s="167"/>
      <c r="M812" s="531"/>
      <c r="N812" s="542"/>
      <c r="O812" s="398"/>
      <c r="R812" s="510"/>
      <c r="T812" s="50"/>
      <c r="U812" s="544"/>
      <c r="V812" s="1307" t="s">
        <v>46</v>
      </c>
      <c r="W812" s="903">
        <v>9077.8044487427451</v>
      </c>
      <c r="X812" s="233">
        <v>6759.7787234042544</v>
      </c>
      <c r="Y812" s="208">
        <v>6759.78</v>
      </c>
      <c r="Z812" s="208">
        <v>6759.78</v>
      </c>
      <c r="AA812" s="208">
        <v>6759.78</v>
      </c>
      <c r="AB812" s="960">
        <v>6759.78</v>
      </c>
      <c r="AC812" s="901">
        <v>6759.78</v>
      </c>
      <c r="AD812" s="208">
        <v>6759.78</v>
      </c>
      <c r="AE812" s="208">
        <v>6759.78</v>
      </c>
      <c r="AF812" s="253">
        <v>6759.78</v>
      </c>
      <c r="AG812" s="253">
        <f t="shared" si="181"/>
        <v>6416.43</v>
      </c>
      <c r="AH812" s="114"/>
      <c r="AK812" s="904"/>
      <c r="DF812" s="1434" t="str">
        <f t="shared" si="179"/>
        <v>ASHP-SEER19-Replace_CAC_ElectricHeat_ER2_MF</v>
      </c>
      <c r="DG812" s="1023"/>
      <c r="DH812" s="1241" t="str">
        <f t="shared" si="175"/>
        <v>Heating Res ER2 12 Year EUL</v>
      </c>
      <c r="DI812" s="1020">
        <f>(INDEX('Avoided Cost Benefits'!$B$4:$B$866,MATCH(DH812,'Avoided Cost Benefits'!$A$4:$A$866,0)))*F812</f>
        <v>2168.0861934072655</v>
      </c>
      <c r="DJ812" s="2051">
        <f t="shared" si="177"/>
        <v>0</v>
      </c>
      <c r="DM812" s="234"/>
    </row>
    <row r="813" spans="1:117" x14ac:dyDescent="0.25">
      <c r="A813" s="2146" t="s">
        <v>602</v>
      </c>
      <c r="B813" s="1318">
        <f t="shared" si="176"/>
        <v>354500</v>
      </c>
      <c r="C813" s="18" t="s">
        <v>1252</v>
      </c>
      <c r="D813" s="1974" t="s">
        <v>810</v>
      </c>
      <c r="E813" s="1240" t="s">
        <v>1253</v>
      </c>
      <c r="F813" s="208">
        <f>ROUND(((K1368*K1471*(1/K1574-1/K1677)*K1780)/1000)*$K$1800,2)</f>
        <v>1507.97</v>
      </c>
      <c r="G813" s="540" t="s">
        <v>1030</v>
      </c>
      <c r="H813" s="66">
        <f>VLOOKUP(G813,'CP FACTORS'!$A$3:$B$38, 2, FALSE)</f>
        <v>9.4741810000000004E-4</v>
      </c>
      <c r="I813" s="1070">
        <f t="shared" ref="I813:I838" si="183">ROUND(F813*H813,6)</f>
        <v>1.4286779999999999</v>
      </c>
      <c r="J813" s="57">
        <f t="shared" si="180"/>
        <v>6</v>
      </c>
      <c r="K813" s="152">
        <f t="shared" si="182"/>
        <v>1077.5183641564863</v>
      </c>
      <c r="L813" s="167">
        <f>L955</f>
        <v>3.3</v>
      </c>
      <c r="M813" s="531"/>
      <c r="N813" s="542"/>
      <c r="O813" s="398"/>
      <c r="R813" s="510"/>
      <c r="T813" s="50"/>
      <c r="U813" s="544"/>
      <c r="V813" s="1307" t="s">
        <v>46</v>
      </c>
      <c r="W813" s="903">
        <v>1929.4086842105264</v>
      </c>
      <c r="X813" s="233">
        <v>1507.9749807291337</v>
      </c>
      <c r="Y813" s="208">
        <v>1507.97</v>
      </c>
      <c r="Z813" s="208">
        <v>1507.97</v>
      </c>
      <c r="AA813" s="208">
        <v>1507.97</v>
      </c>
      <c r="AB813" s="960">
        <v>1507.97</v>
      </c>
      <c r="AC813" s="901">
        <v>1507.97</v>
      </c>
      <c r="AD813" s="208">
        <v>1507.97</v>
      </c>
      <c r="AE813" s="208">
        <v>1507.97</v>
      </c>
      <c r="AF813" s="253">
        <v>1507.97</v>
      </c>
      <c r="AG813" s="253">
        <f t="shared" si="181"/>
        <v>1507.97</v>
      </c>
      <c r="AH813" s="114"/>
      <c r="AK813" s="904"/>
      <c r="DF813" s="1434" t="str">
        <f t="shared" si="179"/>
        <v>ASHP-SEER19_ER1_MF</v>
      </c>
      <c r="DG813" s="1019">
        <f>(DI813+DI814+DI815+DI816)/(DJ813+DJ814+DJ815+DJ816)</f>
        <v>2.41511362651016</v>
      </c>
      <c r="DH813" s="1240" t="str">
        <f t="shared" ref="DH813:DH838" si="184">CONCATENATE(G813," ",J813," Year EUL")</f>
        <v>Cooling Res 6 Year EUL</v>
      </c>
      <c r="DI813" s="1020">
        <f>(INDEX('Avoided Cost Benefits'!$B$4:$B$866,MATCH(DH813,'Avoided Cost Benefits'!$A$4:$A$866,0)))*F813</f>
        <v>1501.7090553218095</v>
      </c>
      <c r="DJ813" s="2051">
        <f t="shared" si="177"/>
        <v>1077.5183641564863</v>
      </c>
      <c r="DM813" s="234"/>
    </row>
    <row r="814" spans="1:117" x14ac:dyDescent="0.25">
      <c r="A814" s="2146" t="s">
        <v>602</v>
      </c>
      <c r="B814" s="1318">
        <f t="shared" si="176"/>
        <v>354500</v>
      </c>
      <c r="C814" s="18" t="s">
        <v>1252</v>
      </c>
      <c r="D814" s="1974" t="s">
        <v>810</v>
      </c>
      <c r="E814" s="1265" t="s">
        <v>1253</v>
      </c>
      <c r="F814" s="208">
        <f>ROUND(((K955*K1059*(1/K1162-1/K1265)*K1780)/1000)*$K$1800,2)</f>
        <v>1390.14</v>
      </c>
      <c r="G814" s="540" t="s">
        <v>1031</v>
      </c>
      <c r="H814" s="66">
        <f>VLOOKUP(G814,'CP FACTORS'!$A$3:$B$38, 2, FALSE)</f>
        <v>0</v>
      </c>
      <c r="I814" s="1070">
        <f t="shared" si="183"/>
        <v>0</v>
      </c>
      <c r="J814" s="57">
        <f t="shared" si="180"/>
        <v>6</v>
      </c>
      <c r="K814" s="152">
        <f t="shared" si="182"/>
        <v>0</v>
      </c>
      <c r="L814" s="167"/>
      <c r="M814" s="531"/>
      <c r="N814" s="542"/>
      <c r="O814" s="398"/>
      <c r="R814" s="510"/>
      <c r="T814" s="50"/>
      <c r="U814" s="544"/>
      <c r="V814" s="1307" t="s">
        <v>46</v>
      </c>
      <c r="W814" s="903">
        <v>4062.4872213622284</v>
      </c>
      <c r="X814" s="233">
        <v>1798.7611070228763</v>
      </c>
      <c r="Y814" s="208">
        <v>1798.76</v>
      </c>
      <c r="Z814" s="208">
        <v>1798.76</v>
      </c>
      <c r="AA814" s="208">
        <v>1798.76</v>
      </c>
      <c r="AB814" s="960">
        <v>1798.76</v>
      </c>
      <c r="AC814" s="901">
        <v>1798.76</v>
      </c>
      <c r="AD814" s="208">
        <v>1798.76</v>
      </c>
      <c r="AE814" s="208">
        <v>1798.76</v>
      </c>
      <c r="AF814" s="253">
        <v>1798.76</v>
      </c>
      <c r="AG814" s="253">
        <f t="shared" si="181"/>
        <v>1390.14</v>
      </c>
      <c r="AH814" s="114"/>
      <c r="AK814" s="904"/>
      <c r="DF814" s="1434" t="str">
        <f t="shared" si="179"/>
        <v>ASHP-SEER19_ER1_MF</v>
      </c>
      <c r="DG814" s="1023"/>
      <c r="DH814" s="1265" t="str">
        <f t="shared" si="184"/>
        <v>Heating Res 6 Year EUL</v>
      </c>
      <c r="DI814" s="1020">
        <f>(INDEX('Avoided Cost Benefits'!$B$4:$B$866,MATCH(DH814,'Avoided Cost Benefits'!$A$4:$A$866,0)))*F814</f>
        <v>372.80609182046146</v>
      </c>
      <c r="DJ814" s="2051">
        <f t="shared" si="177"/>
        <v>0</v>
      </c>
      <c r="DM814" s="234"/>
    </row>
    <row r="815" spans="1:117" x14ac:dyDescent="0.25">
      <c r="A815" s="2146" t="s">
        <v>602</v>
      </c>
      <c r="B815" s="1318">
        <f t="shared" si="176"/>
        <v>354500</v>
      </c>
      <c r="C815" s="18" t="s">
        <v>1252</v>
      </c>
      <c r="D815" s="1974" t="s">
        <v>810</v>
      </c>
      <c r="E815" s="1265" t="s">
        <v>1254</v>
      </c>
      <c r="F815" s="208">
        <f>ROUND(((K1369*K1472*(1/K1575-1/K1678)*K1781)/1000)*$K$1800,2)</f>
        <v>386.93</v>
      </c>
      <c r="G815" s="540" t="s">
        <v>1083</v>
      </c>
      <c r="H815" s="66">
        <f>VLOOKUP(G815,'CP FACTORS'!$A$3:$B$38, 2, FALSE)</f>
        <v>9.4741810000000004E-4</v>
      </c>
      <c r="I815" s="1070">
        <f t="shared" si="183"/>
        <v>0.36658400000000002</v>
      </c>
      <c r="J815" s="57">
        <f t="shared" si="180"/>
        <v>12</v>
      </c>
      <c r="K815" s="152">
        <f t="shared" si="182"/>
        <v>0</v>
      </c>
      <c r="L815" s="167"/>
      <c r="M815" s="531"/>
      <c r="N815" s="542"/>
      <c r="O815" s="398"/>
      <c r="R815" s="510"/>
      <c r="T815" s="50"/>
      <c r="U815" s="544"/>
      <c r="V815" s="1307" t="s">
        <v>46</v>
      </c>
      <c r="W815" s="903">
        <v>420.45225563909776</v>
      </c>
      <c r="X815" s="236">
        <v>420.45225563909776</v>
      </c>
      <c r="Y815" s="208">
        <v>420.45</v>
      </c>
      <c r="Z815" s="208">
        <v>420.45</v>
      </c>
      <c r="AA815" s="208">
        <v>420.45</v>
      </c>
      <c r="AB815" s="960">
        <v>420.45</v>
      </c>
      <c r="AC815" s="901">
        <v>420.45</v>
      </c>
      <c r="AD815" s="208">
        <v>420.45</v>
      </c>
      <c r="AE815" s="210">
        <v>313.94</v>
      </c>
      <c r="AF815" s="253">
        <v>386.93</v>
      </c>
      <c r="AG815" s="253">
        <f t="shared" si="181"/>
        <v>386.93</v>
      </c>
      <c r="AH815" s="114"/>
      <c r="AK815" s="904"/>
      <c r="DF815" s="1434" t="str">
        <f t="shared" si="179"/>
        <v>ASHP-SEER19_ER2_MF</v>
      </c>
      <c r="DG815" s="1023"/>
      <c r="DH815" s="1265" t="str">
        <f t="shared" si="184"/>
        <v>Cooling Res ER2 12 Year EUL</v>
      </c>
      <c r="DI815" s="1020">
        <f>(INDEX('Avoided Cost Benefits'!$B$4:$B$866,MATCH(DH815,'Avoided Cost Benefits'!$A$4:$A$866,0)))*F815</f>
        <v>500.65677604040081</v>
      </c>
      <c r="DJ815" s="2051">
        <f t="shared" si="177"/>
        <v>0</v>
      </c>
      <c r="DM815" s="234"/>
    </row>
    <row r="816" spans="1:117" x14ac:dyDescent="0.25">
      <c r="A816" s="2146" t="s">
        <v>602</v>
      </c>
      <c r="B816" s="1318">
        <f t="shared" si="176"/>
        <v>354500</v>
      </c>
      <c r="C816" s="18" t="s">
        <v>1252</v>
      </c>
      <c r="D816" s="1974" t="s">
        <v>810</v>
      </c>
      <c r="E816" s="1241" t="s">
        <v>1254</v>
      </c>
      <c r="F816" s="208">
        <f>ROUND(((K956*K1060*(1/K1163-1/K1266)*K1781)/1000)*$K$1800,2)</f>
        <v>672.27</v>
      </c>
      <c r="G816" s="540" t="s">
        <v>1118</v>
      </c>
      <c r="H816" s="66">
        <f>VLOOKUP(G816,'CP FACTORS'!$A$3:$B$38, 2, FALSE)</f>
        <v>0</v>
      </c>
      <c r="I816" s="1070">
        <f t="shared" si="183"/>
        <v>0</v>
      </c>
      <c r="J816" s="57">
        <f t="shared" si="180"/>
        <v>12</v>
      </c>
      <c r="K816" s="152">
        <f t="shared" si="182"/>
        <v>0</v>
      </c>
      <c r="L816" s="167"/>
      <c r="M816" s="531"/>
      <c r="N816" s="542"/>
      <c r="O816" s="398"/>
      <c r="R816" s="510"/>
      <c r="T816" s="50"/>
      <c r="U816" s="544"/>
      <c r="V816" s="1307" t="s">
        <v>46</v>
      </c>
      <c r="W816" s="903">
        <v>862.96736842105349</v>
      </c>
      <c r="X816" s="233">
        <v>642.6078562259313</v>
      </c>
      <c r="Y816" s="208">
        <v>642.61</v>
      </c>
      <c r="Z816" s="208">
        <v>642.61</v>
      </c>
      <c r="AA816" s="208">
        <v>642.61</v>
      </c>
      <c r="AB816" s="960">
        <v>642.61</v>
      </c>
      <c r="AC816" s="901">
        <v>642.61</v>
      </c>
      <c r="AD816" s="208">
        <v>642.61</v>
      </c>
      <c r="AE816" s="210">
        <v>424.19</v>
      </c>
      <c r="AF816" s="253">
        <v>1080.9000000000001</v>
      </c>
      <c r="AG816" s="253">
        <f t="shared" si="181"/>
        <v>672.27</v>
      </c>
      <c r="AH816" s="114"/>
      <c r="AK816" s="904"/>
      <c r="DF816" s="1434" t="str">
        <f t="shared" si="179"/>
        <v>ASHP-SEER19_ER2_MF</v>
      </c>
      <c r="DG816" s="1023"/>
      <c r="DH816" s="1241" t="str">
        <f t="shared" si="184"/>
        <v>Heating Res ER2 12 Year EUL</v>
      </c>
      <c r="DI816" s="1020">
        <f>(INDEX('Avoided Cost Benefits'!$B$4:$B$866,MATCH(DH816,'Avoided Cost Benefits'!$A$4:$A$866,0)))*F816</f>
        <v>227.15736090659485</v>
      </c>
      <c r="DJ816" s="2051">
        <f t="shared" si="177"/>
        <v>0</v>
      </c>
      <c r="DM816" s="234"/>
    </row>
    <row r="817" spans="1:117" x14ac:dyDescent="0.25">
      <c r="A817" s="2146" t="s">
        <v>607</v>
      </c>
      <c r="B817" s="1318">
        <f t="shared" si="176"/>
        <v>354550</v>
      </c>
      <c r="C817" s="18" t="s">
        <v>1255</v>
      </c>
      <c r="D817" s="1974" t="s">
        <v>863</v>
      </c>
      <c r="E817" s="1240" t="s">
        <v>1256</v>
      </c>
      <c r="F817" s="208">
        <f>ROUND(((K1370*K1473*(1/K1576-1/K1679)*K1782)/1000)*$K$1800,2)</f>
        <v>2257.71</v>
      </c>
      <c r="G817" s="540" t="s">
        <v>1030</v>
      </c>
      <c r="H817" s="66">
        <f>VLOOKUP(G817,'CP FACTORS'!$A$3:$B$38, 2, FALSE)</f>
        <v>9.4741810000000004E-4</v>
      </c>
      <c r="I817" s="1070">
        <f t="shared" si="183"/>
        <v>2.138995</v>
      </c>
      <c r="J817" s="57">
        <f t="shared" si="180"/>
        <v>6</v>
      </c>
      <c r="K817" s="152">
        <f t="shared" si="182"/>
        <v>1077.7021397098724</v>
      </c>
      <c r="L817" s="167">
        <f>L957</f>
        <v>2.5833656509695291</v>
      </c>
      <c r="M817" s="531"/>
      <c r="N817" s="542"/>
      <c r="O817" s="398"/>
      <c r="R817" s="510"/>
      <c r="T817" s="50"/>
      <c r="U817" s="544"/>
      <c r="V817" s="1307" t="s">
        <v>46</v>
      </c>
      <c r="W817" s="903">
        <v>3058.88</v>
      </c>
      <c r="X817" s="233">
        <v>2410.520456182473</v>
      </c>
      <c r="Y817" s="208">
        <v>2410.52</v>
      </c>
      <c r="Z817" s="208">
        <v>2410.52</v>
      </c>
      <c r="AA817" s="208">
        <v>2410.52</v>
      </c>
      <c r="AB817" s="960">
        <v>2410.52</v>
      </c>
      <c r="AC817" s="210">
        <v>3652.3</v>
      </c>
      <c r="AD817" s="210">
        <v>2594.98</v>
      </c>
      <c r="AE817" s="210">
        <v>2567.77</v>
      </c>
      <c r="AF817" s="253">
        <v>2257.71</v>
      </c>
      <c r="AG817" s="253">
        <f t="shared" si="181"/>
        <v>2257.71</v>
      </c>
      <c r="AH817" s="114"/>
      <c r="AK817" s="904"/>
      <c r="DF817" s="1434" t="str">
        <f t="shared" si="179"/>
        <v>ASHP-SEER20_ER1_SF</v>
      </c>
      <c r="DG817" s="1019">
        <f>(DI817+DI818+DI819+DI820)/(DJ817+DJ818+DJ819+DJ820)</f>
        <v>3.5764620612528106</v>
      </c>
      <c r="DH817" s="1240" t="str">
        <f t="shared" si="184"/>
        <v>Cooling Res 6 Year EUL</v>
      </c>
      <c r="DI817" s="1020">
        <f>(INDEX('Avoided Cost Benefits'!$B$4:$B$866,MATCH(DH817,'Avoided Cost Benefits'!$A$4:$A$866,0)))*F817</f>
        <v>2248.3362078095734</v>
      </c>
      <c r="DJ817" s="2051">
        <f t="shared" si="177"/>
        <v>1077.7021397098724</v>
      </c>
      <c r="DM817" s="234"/>
    </row>
    <row r="818" spans="1:117" x14ac:dyDescent="0.25">
      <c r="A818" s="2146" t="s">
        <v>607</v>
      </c>
      <c r="B818" s="1318">
        <f t="shared" si="176"/>
        <v>354550</v>
      </c>
      <c r="C818" s="18" t="s">
        <v>1255</v>
      </c>
      <c r="D818" s="1974" t="s">
        <v>863</v>
      </c>
      <c r="E818" s="1265" t="s">
        <v>1256</v>
      </c>
      <c r="F818" s="208">
        <f>ROUND(((K957*K1061*(1/K1164-1/K1267)*K1782)/1000)*$K$1800,2)</f>
        <v>1819.64</v>
      </c>
      <c r="G818" s="540" t="s">
        <v>1031</v>
      </c>
      <c r="H818" s="66">
        <f>VLOOKUP(G818,'CP FACTORS'!$A$3:$B$38, 2, FALSE)</f>
        <v>0</v>
      </c>
      <c r="I818" s="1070">
        <f t="shared" si="183"/>
        <v>0</v>
      </c>
      <c r="J818" s="57">
        <f t="shared" si="180"/>
        <v>6</v>
      </c>
      <c r="K818" s="152">
        <f t="shared" si="182"/>
        <v>0</v>
      </c>
      <c r="L818" s="167"/>
      <c r="M818" s="531"/>
      <c r="N818" s="542"/>
      <c r="O818" s="398"/>
      <c r="R818" s="510"/>
      <c r="T818" s="50"/>
      <c r="U818" s="544"/>
      <c r="V818" s="1307" t="s">
        <v>46</v>
      </c>
      <c r="W818" s="903">
        <v>6249.9803405572748</v>
      </c>
      <c r="X818" s="233">
        <v>2767.3247800351946</v>
      </c>
      <c r="Y818" s="208">
        <v>2767.32</v>
      </c>
      <c r="Z818" s="208">
        <v>2767.32</v>
      </c>
      <c r="AA818" s="208">
        <v>2767.32</v>
      </c>
      <c r="AB818" s="960">
        <v>2767.32</v>
      </c>
      <c r="AC818" s="210">
        <v>5092.7700000000004</v>
      </c>
      <c r="AD818" s="210">
        <v>2662.45</v>
      </c>
      <c r="AE818" s="210">
        <v>2572.52</v>
      </c>
      <c r="AF818" s="253">
        <v>2572.52</v>
      </c>
      <c r="AG818" s="253">
        <f t="shared" si="181"/>
        <v>1819.64</v>
      </c>
      <c r="AH818" s="114"/>
      <c r="AK818" s="904"/>
      <c r="DF818" s="1434" t="str">
        <f t="shared" si="179"/>
        <v>ASHP-SEER20_ER1_SF</v>
      </c>
      <c r="DG818" s="1023"/>
      <c r="DH818" s="1265" t="str">
        <f t="shared" si="184"/>
        <v>Heating Res 6 Year EUL</v>
      </c>
      <c r="DI818" s="1020">
        <f>(INDEX('Avoided Cost Benefits'!$B$4:$B$866,MATCH(DH818,'Avoided Cost Benefits'!$A$4:$A$866,0)))*F818</f>
        <v>487.98889098952952</v>
      </c>
      <c r="DJ818" s="2051">
        <f t="shared" si="177"/>
        <v>0</v>
      </c>
      <c r="DM818" s="234"/>
    </row>
    <row r="819" spans="1:117" x14ac:dyDescent="0.25">
      <c r="A819" s="2146" t="s">
        <v>607</v>
      </c>
      <c r="B819" s="1318">
        <f t="shared" si="176"/>
        <v>354550</v>
      </c>
      <c r="C819" s="18" t="s">
        <v>1255</v>
      </c>
      <c r="D819" s="1974" t="s">
        <v>863</v>
      </c>
      <c r="E819" s="1265" t="s">
        <v>1257</v>
      </c>
      <c r="F819" s="208">
        <f>ROUND(((K1371*K1474*(1/K1577-1/K1680)*K1783)/1000)*$K$1800,2)</f>
        <v>614.66</v>
      </c>
      <c r="G819" s="540" t="s">
        <v>1083</v>
      </c>
      <c r="H819" s="66">
        <f>VLOOKUP(G819,'CP FACTORS'!$A$3:$B$38, 2, FALSE)</f>
        <v>9.4741810000000004E-4</v>
      </c>
      <c r="I819" s="1070">
        <f t="shared" si="183"/>
        <v>0.58233999999999997</v>
      </c>
      <c r="J819" s="57">
        <f t="shared" si="180"/>
        <v>12</v>
      </c>
      <c r="K819" s="152">
        <f t="shared" si="182"/>
        <v>0</v>
      </c>
      <c r="L819" s="167"/>
      <c r="M819" s="531"/>
      <c r="N819" s="542"/>
      <c r="O819" s="398"/>
      <c r="R819" s="510"/>
      <c r="T819" s="50"/>
      <c r="U819" s="544"/>
      <c r="V819" s="1307" t="s">
        <v>46</v>
      </c>
      <c r="W819" s="903">
        <v>737.40857142857124</v>
      </c>
      <c r="X819" s="236">
        <v>737.40857142857124</v>
      </c>
      <c r="Y819" s="208">
        <v>737.41</v>
      </c>
      <c r="Z819" s="208">
        <v>737.41</v>
      </c>
      <c r="AA819" s="208">
        <v>737.41</v>
      </c>
      <c r="AB819" s="960">
        <v>737.41</v>
      </c>
      <c r="AC819" s="210">
        <v>1117.29</v>
      </c>
      <c r="AD819" s="210">
        <v>687.08</v>
      </c>
      <c r="AE819" s="210">
        <v>559.23</v>
      </c>
      <c r="AF819" s="253">
        <v>614.66</v>
      </c>
      <c r="AG819" s="253">
        <f t="shared" si="181"/>
        <v>614.66</v>
      </c>
      <c r="AH819" s="114"/>
      <c r="AK819" s="904"/>
      <c r="DF819" s="1434" t="str">
        <f t="shared" si="179"/>
        <v>ASHP-SEER20_ER2_SF</v>
      </c>
      <c r="DG819" s="1023"/>
      <c r="DH819" s="1265" t="str">
        <f t="shared" si="184"/>
        <v>Cooling Res ER2 12 Year EUL</v>
      </c>
      <c r="DI819" s="1020">
        <f>(INDEX('Avoided Cost Benefits'!$B$4:$B$866,MATCH(DH819,'Avoided Cost Benefits'!$A$4:$A$866,0)))*F819</f>
        <v>795.32136035198289</v>
      </c>
      <c r="DJ819" s="2051">
        <f t="shared" si="177"/>
        <v>0</v>
      </c>
      <c r="DM819" s="234"/>
    </row>
    <row r="820" spans="1:117" x14ac:dyDescent="0.25">
      <c r="A820" s="2146" t="s">
        <v>607</v>
      </c>
      <c r="B820" s="1318">
        <f t="shared" si="176"/>
        <v>354550</v>
      </c>
      <c r="C820" s="18" t="s">
        <v>1255</v>
      </c>
      <c r="D820" s="1974" t="s">
        <v>863</v>
      </c>
      <c r="E820" s="1241" t="s">
        <v>1257</v>
      </c>
      <c r="F820" s="208">
        <f>ROUND(((K958*K1062*(1/K1165-1/K1268)*K1783)/1000)*$K$1800,2)</f>
        <v>955.07</v>
      </c>
      <c r="G820" s="540" t="s">
        <v>1118</v>
      </c>
      <c r="H820" s="66">
        <f>VLOOKUP(G820,'CP FACTORS'!$A$3:$B$38, 2, FALSE)</f>
        <v>0</v>
      </c>
      <c r="I820" s="1070">
        <f t="shared" si="183"/>
        <v>0</v>
      </c>
      <c r="J820" s="57">
        <f t="shared" si="180"/>
        <v>12</v>
      </c>
      <c r="K820" s="152">
        <f t="shared" si="182"/>
        <v>0</v>
      </c>
      <c r="L820" s="167"/>
      <c r="M820" s="531"/>
      <c r="N820" s="542"/>
      <c r="O820" s="398"/>
      <c r="R820" s="510"/>
      <c r="T820" s="50"/>
      <c r="U820" s="544"/>
      <c r="V820" s="1307" t="s">
        <v>46</v>
      </c>
      <c r="W820" s="903">
        <v>1327.6421052631592</v>
      </c>
      <c r="X820" s="233">
        <v>988.62747111681745</v>
      </c>
      <c r="Y820" s="208">
        <v>988.63</v>
      </c>
      <c r="Z820" s="208">
        <v>988.63</v>
      </c>
      <c r="AA820" s="208">
        <v>988.63</v>
      </c>
      <c r="AB820" s="960">
        <v>988.63</v>
      </c>
      <c r="AC820" s="210">
        <v>2397.77</v>
      </c>
      <c r="AD820" s="210">
        <v>1163.03</v>
      </c>
      <c r="AE820" s="210">
        <v>917.04</v>
      </c>
      <c r="AF820" s="253">
        <v>1707.96</v>
      </c>
      <c r="AG820" s="253">
        <f t="shared" si="181"/>
        <v>955.07</v>
      </c>
      <c r="AH820" s="114"/>
      <c r="AK820" s="904"/>
      <c r="DF820" s="1434" t="str">
        <f t="shared" si="179"/>
        <v>ASHP-SEER20_ER2_SF</v>
      </c>
      <c r="DG820" s="1023"/>
      <c r="DH820" s="1241" t="str">
        <f t="shared" si="184"/>
        <v>Heating Res ER2 12 Year EUL</v>
      </c>
      <c r="DI820" s="1020">
        <f>(INDEX('Avoided Cost Benefits'!$B$4:$B$866,MATCH(DH820,'Avoided Cost Benefits'!$A$4:$A$866,0)))*F820</f>
        <v>322.71435685224918</v>
      </c>
      <c r="DJ820" s="2051">
        <f t="shared" si="177"/>
        <v>0</v>
      </c>
      <c r="DM820" s="234"/>
    </row>
    <row r="821" spans="1:117" x14ac:dyDescent="0.25">
      <c r="A821" s="2146" t="s">
        <v>607</v>
      </c>
      <c r="B821" s="1318">
        <f t="shared" si="176"/>
        <v>354600</v>
      </c>
      <c r="C821" s="18" t="s">
        <v>1258</v>
      </c>
      <c r="D821" s="1974" t="s">
        <v>863</v>
      </c>
      <c r="E821" s="198" t="s">
        <v>1259</v>
      </c>
      <c r="F821" s="208">
        <f>ROUND(((K1372*K1475*(1/K1578-1/K1681)*K1784)/1000)*$K$1800,2)</f>
        <v>667.97</v>
      </c>
      <c r="G821" s="540" t="s">
        <v>1030</v>
      </c>
      <c r="H821" s="66">
        <f>VLOOKUP(G821,'CP FACTORS'!$A$3:$B$38, 2, FALSE)</f>
        <v>9.4741810000000004E-4</v>
      </c>
      <c r="I821" s="1070">
        <f t="shared" si="183"/>
        <v>0.63284700000000005</v>
      </c>
      <c r="J821" s="57">
        <f t="shared" si="180"/>
        <v>18</v>
      </c>
      <c r="K821" s="152">
        <f t="shared" si="182"/>
        <v>1081</v>
      </c>
      <c r="L821" s="167">
        <f>L959</f>
        <v>2.8870833333333334</v>
      </c>
      <c r="M821" s="531"/>
      <c r="N821" s="542"/>
      <c r="O821" s="398"/>
      <c r="R821" s="510"/>
      <c r="T821" s="50"/>
      <c r="U821" s="544"/>
      <c r="V821" s="1307" t="s">
        <v>46</v>
      </c>
      <c r="W821" s="903">
        <v>737.40857142857124</v>
      </c>
      <c r="X821" s="236">
        <v>737.40857142857124</v>
      </c>
      <c r="Y821" s="208">
        <v>737.41</v>
      </c>
      <c r="Z821" s="208">
        <v>737.41</v>
      </c>
      <c r="AA821" s="208">
        <v>737.41</v>
      </c>
      <c r="AB821" s="960">
        <v>737.41</v>
      </c>
      <c r="AC821" s="210">
        <v>675.57</v>
      </c>
      <c r="AD821" s="210">
        <v>717.64</v>
      </c>
      <c r="AE821" s="210">
        <v>559.79999999999995</v>
      </c>
      <c r="AF821" s="253">
        <v>667.97</v>
      </c>
      <c r="AG821" s="253">
        <f t="shared" si="181"/>
        <v>667.97</v>
      </c>
      <c r="AH821" s="114"/>
      <c r="AK821" s="904"/>
      <c r="DF821" s="1434" t="str">
        <f t="shared" si="179"/>
        <v>ASHP-SEER20_ROF_SF</v>
      </c>
      <c r="DG821" s="1019">
        <f>(DI821+DI822)/(DJ821+DJ822)</f>
        <v>2.0133125883412872</v>
      </c>
      <c r="DH821" s="198" t="str">
        <f t="shared" si="184"/>
        <v>Cooling Res 18 Year EUL</v>
      </c>
      <c r="DI821" s="1020">
        <f>(INDEX('Avoided Cost Benefits'!$B$4:$B$866,MATCH(DH821,'Avoided Cost Benefits'!$A$4:$A$866,0)))*F821</f>
        <v>1529.4969318930594</v>
      </c>
      <c r="DJ821" s="2051">
        <f t="shared" si="177"/>
        <v>1081</v>
      </c>
      <c r="DM821" s="234"/>
    </row>
    <row r="822" spans="1:117" x14ac:dyDescent="0.25">
      <c r="A822" s="2146" t="s">
        <v>607</v>
      </c>
      <c r="B822" s="1318">
        <f t="shared" si="176"/>
        <v>354600</v>
      </c>
      <c r="C822" s="18" t="s">
        <v>1258</v>
      </c>
      <c r="D822" s="1974" t="s">
        <v>863</v>
      </c>
      <c r="E822" s="235" t="s">
        <v>1259</v>
      </c>
      <c r="F822" s="208">
        <f>ROUND(((K959*K1063*(1/K1166-1/K1269)*K1784)/1000)*$K$1800,2)</f>
        <v>1067.3499999999999</v>
      </c>
      <c r="G822" s="540" t="s">
        <v>1031</v>
      </c>
      <c r="H822" s="66">
        <f>VLOOKUP(G822,'CP FACTORS'!$A$3:$B$38, 2, FALSE)</f>
        <v>0</v>
      </c>
      <c r="I822" s="1070">
        <f t="shared" si="183"/>
        <v>0</v>
      </c>
      <c r="J822" s="57">
        <f t="shared" si="180"/>
        <v>18</v>
      </c>
      <c r="K822" s="152">
        <f t="shared" si="182"/>
        <v>0</v>
      </c>
      <c r="L822" s="167"/>
      <c r="M822" s="531"/>
      <c r="N822" s="542"/>
      <c r="O822" s="398"/>
      <c r="R822" s="510"/>
      <c r="T822" s="50"/>
      <c r="U822" s="544"/>
      <c r="V822" s="1307" t="s">
        <v>46</v>
      </c>
      <c r="W822" s="903">
        <v>1584.0000000000018</v>
      </c>
      <c r="X822" s="233">
        <v>1179.5241413638641</v>
      </c>
      <c r="Y822" s="208">
        <v>1179.52</v>
      </c>
      <c r="Z822" s="208">
        <v>1179.52</v>
      </c>
      <c r="AA822" s="208">
        <v>1179.52</v>
      </c>
      <c r="AB822" s="960">
        <v>1179.52</v>
      </c>
      <c r="AC822" s="210">
        <v>1611.73</v>
      </c>
      <c r="AD822" s="210">
        <v>1338.76</v>
      </c>
      <c r="AE822" s="210">
        <v>1044.78</v>
      </c>
      <c r="AF822" s="253">
        <v>1928.68</v>
      </c>
      <c r="AG822" s="253">
        <f t="shared" si="181"/>
        <v>1067.3499999999999</v>
      </c>
      <c r="AH822" s="114"/>
      <c r="AK822" s="904"/>
      <c r="DF822" s="1434" t="str">
        <f t="shared" si="179"/>
        <v>ASHP-SEER20_ROF_SF</v>
      </c>
      <c r="DG822" s="1021"/>
      <c r="DH822" s="235" t="str">
        <f t="shared" si="184"/>
        <v>Heating Res 18 Year EUL</v>
      </c>
      <c r="DI822" s="1020">
        <f>(INDEX('Avoided Cost Benefits'!$B$4:$B$866,MATCH(DH822,'Avoided Cost Benefits'!$A$4:$A$866,0)))*F822</f>
        <v>646.89397610387232</v>
      </c>
      <c r="DJ822" s="2051">
        <f t="shared" si="177"/>
        <v>0</v>
      </c>
      <c r="DM822" s="234"/>
    </row>
    <row r="823" spans="1:117" x14ac:dyDescent="0.25">
      <c r="A823" s="2146" t="s">
        <v>602</v>
      </c>
      <c r="B823" s="1318">
        <f t="shared" ref="B823:B852" si="185">VALUE(LEFT(C823,6))</f>
        <v>354650</v>
      </c>
      <c r="C823" s="18" t="s">
        <v>1260</v>
      </c>
      <c r="D823" s="1974" t="s">
        <v>810</v>
      </c>
      <c r="E823" s="1240" t="s">
        <v>1261</v>
      </c>
      <c r="F823" s="208">
        <f>ROUND(((K1373*K1476*(1/K1579-1/K1682)*K1785)/1000)*$K$1800,2)</f>
        <v>1471.88</v>
      </c>
      <c r="G823" s="540" t="s">
        <v>1030</v>
      </c>
      <c r="H823" s="66">
        <f>VLOOKUP(G823,'CP FACTORS'!$A$3:$B$38, 2, FALSE)</f>
        <v>9.4741810000000004E-4</v>
      </c>
      <c r="I823" s="1070">
        <f t="shared" si="183"/>
        <v>1.3944859999999999</v>
      </c>
      <c r="J823" s="57">
        <f t="shared" si="180"/>
        <v>6</v>
      </c>
      <c r="K823" s="152">
        <f t="shared" si="182"/>
        <v>3847.7316315552043</v>
      </c>
      <c r="L823" s="167">
        <f>L960</f>
        <v>3.1</v>
      </c>
      <c r="M823" s="531"/>
      <c r="N823" s="542"/>
      <c r="O823" s="398"/>
      <c r="R823" s="510"/>
      <c r="T823" s="50"/>
      <c r="U823" s="544"/>
      <c r="V823" s="1307" t="s">
        <v>46</v>
      </c>
      <c r="W823" s="903">
        <v>2039.4407647058827</v>
      </c>
      <c r="X823" s="233">
        <v>1471.8783997599039</v>
      </c>
      <c r="Y823" s="208">
        <v>1471.88</v>
      </c>
      <c r="Z823" s="208">
        <v>1471.88</v>
      </c>
      <c r="AA823" s="208">
        <v>1471.88</v>
      </c>
      <c r="AB823" s="960">
        <v>1471.88</v>
      </c>
      <c r="AC823" s="901">
        <v>1471.88</v>
      </c>
      <c r="AD823" s="208">
        <v>1471.88</v>
      </c>
      <c r="AE823" s="208">
        <v>1471.88</v>
      </c>
      <c r="AF823" s="253">
        <v>1471.88</v>
      </c>
      <c r="AG823" s="253">
        <f t="shared" si="181"/>
        <v>1471.88</v>
      </c>
      <c r="AH823" s="114"/>
      <c r="AK823" s="904"/>
      <c r="DF823" s="1434" t="str">
        <f t="shared" si="179"/>
        <v>ASHP-SEER20-Replace_CAC_ElectricHeat_ER1_MF</v>
      </c>
      <c r="DG823" s="1019">
        <f>(DI823+DI824+DI825+DI826)/(DJ823+DJ824+DJ825+DJ826)</f>
        <v>1.1427553188890349</v>
      </c>
      <c r="DH823" s="1240" t="str">
        <f t="shared" si="184"/>
        <v>Cooling Res 6 Year EUL</v>
      </c>
      <c r="DI823" s="1020">
        <f>(INDEX('Avoided Cost Benefits'!$B$4:$B$866,MATCH(DH823,'Avoided Cost Benefits'!$A$4:$A$866,0)))*F823</f>
        <v>1465.7688974893831</v>
      </c>
      <c r="DJ823" s="2051">
        <f t="shared" ref="DJ823:DJ852" si="186">IFERROR(K823/((1+DiscountRate)^(CurrentYear-DiscountYear)),0)</f>
        <v>3847.7316315552043</v>
      </c>
      <c r="DM823" s="234"/>
    </row>
    <row r="824" spans="1:117" x14ac:dyDescent="0.25">
      <c r="A824" s="2146" t="s">
        <v>602</v>
      </c>
      <c r="B824" s="1318">
        <f t="shared" si="185"/>
        <v>354650</v>
      </c>
      <c r="C824" s="18" t="s">
        <v>1260</v>
      </c>
      <c r="D824" s="1974" t="s">
        <v>810</v>
      </c>
      <c r="E824" s="1265" t="s">
        <v>1261</v>
      </c>
      <c r="F824" s="208">
        <f>ROUND(((K960*K1064*(1/K1167-1/K1270)*K1785)/1000)*$K$1800,2)</f>
        <v>6529.84</v>
      </c>
      <c r="G824" s="540" t="s">
        <v>1031</v>
      </c>
      <c r="H824" s="66">
        <f>VLOOKUP(G824,'CP FACTORS'!$A$3:$B$38, 2, FALSE)</f>
        <v>0</v>
      </c>
      <c r="I824" s="1070">
        <f t="shared" si="183"/>
        <v>0</v>
      </c>
      <c r="J824" s="57">
        <f t="shared" ref="J824:J826" si="187">K1978</f>
        <v>6</v>
      </c>
      <c r="K824" s="152">
        <f t="shared" si="182"/>
        <v>0</v>
      </c>
      <c r="L824" s="167"/>
      <c r="M824" s="531"/>
      <c r="N824" s="542"/>
      <c r="O824" s="398"/>
      <c r="R824" s="510"/>
      <c r="T824" s="50"/>
      <c r="U824" s="544"/>
      <c r="V824" s="1307" t="s">
        <v>46</v>
      </c>
      <c r="W824" s="903">
        <v>9077.8044487427451</v>
      </c>
      <c r="X824" s="233">
        <v>6759.7787234042544</v>
      </c>
      <c r="Y824" s="208">
        <v>6759.78</v>
      </c>
      <c r="Z824" s="208">
        <v>6759.78</v>
      </c>
      <c r="AA824" s="208">
        <v>6759.78</v>
      </c>
      <c r="AB824" s="960">
        <v>6759.78</v>
      </c>
      <c r="AC824" s="901">
        <v>6759.78</v>
      </c>
      <c r="AD824" s="208">
        <v>6759.78</v>
      </c>
      <c r="AE824" s="208">
        <v>6759.78</v>
      </c>
      <c r="AF824" s="253">
        <v>6759.78</v>
      </c>
      <c r="AG824" s="253">
        <f t="shared" si="181"/>
        <v>6529.84</v>
      </c>
      <c r="AH824" s="114"/>
      <c r="AK824" s="904"/>
      <c r="DF824" s="1434" t="str">
        <f t="shared" ref="DF824:DF852" si="188">E824</f>
        <v>ASHP-SEER20-Replace_CAC_ElectricHeat_ER1_MF</v>
      </c>
      <c r="DG824" s="1023"/>
      <c r="DH824" s="1265" t="str">
        <f t="shared" si="184"/>
        <v>Heating Res 6 Year EUL</v>
      </c>
      <c r="DI824" s="1020">
        <f>(INDEX('Avoided Cost Benefits'!$B$4:$B$866,MATCH(DH824,'Avoided Cost Benefits'!$A$4:$A$866,0)))*F824</f>
        <v>1751.1647248571526</v>
      </c>
      <c r="DJ824" s="2051">
        <f t="shared" si="186"/>
        <v>0</v>
      </c>
      <c r="DM824" s="234"/>
    </row>
    <row r="825" spans="1:117" x14ac:dyDescent="0.25">
      <c r="A825" s="2146" t="s">
        <v>602</v>
      </c>
      <c r="B825" s="1318">
        <f t="shared" si="185"/>
        <v>354650</v>
      </c>
      <c r="C825" s="18" t="s">
        <v>1260</v>
      </c>
      <c r="D825" s="1974" t="s">
        <v>810</v>
      </c>
      <c r="E825" s="1265" t="s">
        <v>1262</v>
      </c>
      <c r="F825" s="208">
        <f>ROUND(((K1374*K1477*(1/K1580-1/K1683)*K1786)/1000)*$K$1800,2)</f>
        <v>517.47</v>
      </c>
      <c r="G825" s="540" t="s">
        <v>1083</v>
      </c>
      <c r="H825" s="66">
        <f>VLOOKUP(G825,'CP FACTORS'!$A$3:$B$38, 2, FALSE)</f>
        <v>9.4741810000000004E-4</v>
      </c>
      <c r="I825" s="1070">
        <f t="shared" si="183"/>
        <v>0.49025999999999997</v>
      </c>
      <c r="J825" s="57">
        <f t="shared" si="187"/>
        <v>12</v>
      </c>
      <c r="K825" s="152">
        <f t="shared" si="182"/>
        <v>0</v>
      </c>
      <c r="L825" s="167"/>
      <c r="M825" s="531"/>
      <c r="N825" s="542"/>
      <c r="O825" s="398"/>
      <c r="R825" s="510"/>
      <c r="T825" s="50"/>
      <c r="U825" s="544"/>
      <c r="V825" s="1307" t="s">
        <v>46</v>
      </c>
      <c r="W825" s="903">
        <v>565.71900000000005</v>
      </c>
      <c r="X825" s="236">
        <v>565.71900000000005</v>
      </c>
      <c r="Y825" s="208">
        <v>565.72</v>
      </c>
      <c r="Z825" s="208">
        <v>565.72</v>
      </c>
      <c r="AA825" s="208">
        <v>565.72</v>
      </c>
      <c r="AB825" s="960">
        <v>565.72</v>
      </c>
      <c r="AC825" s="901">
        <v>565.72</v>
      </c>
      <c r="AD825" s="208">
        <v>565.72</v>
      </c>
      <c r="AE825" s="210">
        <v>450.27</v>
      </c>
      <c r="AF825" s="253">
        <v>517.47</v>
      </c>
      <c r="AG825" s="253">
        <f t="shared" si="181"/>
        <v>517.47</v>
      </c>
      <c r="AH825" s="114"/>
      <c r="AK825" s="904"/>
      <c r="DF825" s="1434" t="str">
        <f t="shared" si="188"/>
        <v>ASHP-SEER20-Replace_CAC_ElectricHeat_ER2_MF</v>
      </c>
      <c r="DG825" s="1023"/>
      <c r="DH825" s="1265" t="str">
        <f t="shared" si="184"/>
        <v>Cooling Res ER2 12 Year EUL</v>
      </c>
      <c r="DI825" s="1020">
        <f>(INDEX('Avoided Cost Benefits'!$B$4:$B$866,MATCH(DH825,'Avoided Cost Benefits'!$A$4:$A$866,0)))*F825</f>
        <v>669.56519757482283</v>
      </c>
      <c r="DJ825" s="2051">
        <f t="shared" si="186"/>
        <v>0</v>
      </c>
      <c r="DM825" s="234"/>
    </row>
    <row r="826" spans="1:117" x14ac:dyDescent="0.25">
      <c r="A826" s="2146" t="s">
        <v>602</v>
      </c>
      <c r="B826" s="1318">
        <f t="shared" si="185"/>
        <v>354650</v>
      </c>
      <c r="C826" s="18" t="s">
        <v>1260</v>
      </c>
      <c r="D826" s="1974" t="s">
        <v>810</v>
      </c>
      <c r="E826" s="1241" t="s">
        <v>1262</v>
      </c>
      <c r="F826" s="208">
        <f>ROUND(((K962*K1066*(1/K1169-1/K1272)*K1787)/1000)*$K$1800,2)</f>
        <v>1510.87</v>
      </c>
      <c r="G826" s="540" t="s">
        <v>1118</v>
      </c>
      <c r="H826" s="66">
        <f>VLOOKUP(G826,'CP FACTORS'!$A$3:$B$38, 2, FALSE)</f>
        <v>0</v>
      </c>
      <c r="I826" s="1070">
        <f t="shared" si="183"/>
        <v>0</v>
      </c>
      <c r="J826" s="57">
        <f t="shared" si="187"/>
        <v>12</v>
      </c>
      <c r="K826" s="152">
        <f t="shared" si="182"/>
        <v>0</v>
      </c>
      <c r="L826" s="167"/>
      <c r="M826" s="531"/>
      <c r="N826" s="542"/>
      <c r="O826" s="398"/>
      <c r="R826" s="510"/>
      <c r="T826" s="50"/>
      <c r="U826" s="544"/>
      <c r="V826" s="1307" t="s">
        <v>46</v>
      </c>
      <c r="W826" s="903">
        <v>9077.8044487427451</v>
      </c>
      <c r="X826" s="233">
        <v>6759.7787234042544</v>
      </c>
      <c r="Y826" s="208">
        <v>6759.78</v>
      </c>
      <c r="Z826" s="208">
        <v>6759.78</v>
      </c>
      <c r="AA826" s="208">
        <v>6759.78</v>
      </c>
      <c r="AB826" s="960">
        <v>6759.78</v>
      </c>
      <c r="AC826" s="901">
        <v>6759.78</v>
      </c>
      <c r="AD826" s="208">
        <v>6759.78</v>
      </c>
      <c r="AE826" s="208">
        <v>6759.78</v>
      </c>
      <c r="AF826" s="253">
        <v>1798.76</v>
      </c>
      <c r="AG826" s="253">
        <f t="shared" si="181"/>
        <v>1510.87</v>
      </c>
      <c r="AH826" s="114"/>
      <c r="AK826" s="904"/>
      <c r="DF826" s="1434" t="str">
        <f t="shared" si="188"/>
        <v>ASHP-SEER20-Replace_CAC_ElectricHeat_ER2_MF</v>
      </c>
      <c r="DG826" s="1023"/>
      <c r="DH826" s="1241" t="str">
        <f t="shared" si="184"/>
        <v>Heating Res ER2 12 Year EUL</v>
      </c>
      <c r="DI826" s="1020">
        <f>(INDEX('Avoided Cost Benefits'!$B$4:$B$866,MATCH(DH826,'Avoided Cost Benefits'!$A$4:$A$866,0)))*F826</f>
        <v>510.51696769593605</v>
      </c>
      <c r="DJ826" s="2051">
        <f t="shared" si="186"/>
        <v>0</v>
      </c>
      <c r="DM826" s="234"/>
    </row>
    <row r="827" spans="1:117" x14ac:dyDescent="0.25">
      <c r="A827" s="2146" t="s">
        <v>602</v>
      </c>
      <c r="B827" s="1318">
        <f t="shared" si="185"/>
        <v>354700</v>
      </c>
      <c r="C827" s="18" t="s">
        <v>1263</v>
      </c>
      <c r="D827" s="1974" t="s">
        <v>810</v>
      </c>
      <c r="E827" s="1240" t="s">
        <v>1264</v>
      </c>
      <c r="F827" s="208">
        <f>ROUND(((K1375*K1478*(1/K1581-1/K1684)*K1787)/1000)*$K$1800,2)</f>
        <v>1566.84</v>
      </c>
      <c r="G827" s="540" t="s">
        <v>1030</v>
      </c>
      <c r="H827" s="66">
        <f>VLOOKUP(G827,'CP FACTORS'!$A$3:$B$38, 2, FALSE)</f>
        <v>9.4741810000000004E-4</v>
      </c>
      <c r="I827" s="1070">
        <f t="shared" si="183"/>
        <v>1.484453</v>
      </c>
      <c r="J827" s="57">
        <f t="shared" ref="J827:J842" si="189">K1981</f>
        <v>6</v>
      </c>
      <c r="K827" s="152">
        <f t="shared" si="182"/>
        <v>1077.5183641564863</v>
      </c>
      <c r="L827" s="167">
        <f>L962</f>
        <v>3.3</v>
      </c>
      <c r="M827" s="531"/>
      <c r="N827" s="542"/>
      <c r="O827" s="398"/>
      <c r="R827" s="510"/>
      <c r="T827" s="50"/>
      <c r="U827" s="544"/>
      <c r="V827" s="1307" t="s">
        <v>46</v>
      </c>
      <c r="W827" s="903">
        <v>1988.2719999999999</v>
      </c>
      <c r="X827" s="233">
        <v>1566.8382965186074</v>
      </c>
      <c r="Y827" s="208">
        <v>1566.84</v>
      </c>
      <c r="Z827" s="208">
        <v>1566.84</v>
      </c>
      <c r="AA827" s="208">
        <v>1566.84</v>
      </c>
      <c r="AB827" s="960">
        <v>1566.84</v>
      </c>
      <c r="AC827" s="901">
        <v>1566.84</v>
      </c>
      <c r="AD827" s="208">
        <v>1566.84</v>
      </c>
      <c r="AE827" s="208">
        <v>1566.84</v>
      </c>
      <c r="AF827" s="253">
        <v>1566.84</v>
      </c>
      <c r="AG827" s="253">
        <f t="shared" si="181"/>
        <v>1566.84</v>
      </c>
      <c r="AH827" s="114"/>
      <c r="AK827" s="904"/>
      <c r="DF827" s="1434" t="str">
        <f t="shared" si="188"/>
        <v>ASHP-SEER20_ER1_MF</v>
      </c>
      <c r="DG827" s="1019">
        <f>(DI827+DI828+DI829+DI830)/(DJ827+DJ828+DJ829+DJ830)</f>
        <v>2.6081220400823453</v>
      </c>
      <c r="DH827" s="1240" t="str">
        <f t="shared" si="184"/>
        <v>Cooling Res 6 Year EUL</v>
      </c>
      <c r="DI827" s="1020">
        <f>(INDEX('Avoided Cost Benefits'!$B$4:$B$866,MATCH(DH827,'Avoided Cost Benefits'!$A$4:$A$866,0)))*F827</f>
        <v>1560.3346328112787</v>
      </c>
      <c r="DJ827" s="2051">
        <f t="shared" si="186"/>
        <v>1077.5183641564863</v>
      </c>
      <c r="DM827" s="234"/>
    </row>
    <row r="828" spans="1:117" x14ac:dyDescent="0.25">
      <c r="A828" s="2146" t="s">
        <v>602</v>
      </c>
      <c r="B828" s="1318">
        <f t="shared" si="185"/>
        <v>354700</v>
      </c>
      <c r="C828" s="18" t="s">
        <v>1263</v>
      </c>
      <c r="D828" s="1974" t="s">
        <v>810</v>
      </c>
      <c r="E828" s="1265" t="s">
        <v>1264</v>
      </c>
      <c r="F828" s="208">
        <f>ROUND(((K962*K1066*(1/K1169-1/K1272)*K1787)/1000)*$K$1800,2)</f>
        <v>1510.87</v>
      </c>
      <c r="G828" s="540" t="s">
        <v>1031</v>
      </c>
      <c r="H828" s="66">
        <f>VLOOKUP(G828,'CP FACTORS'!$A$3:$B$38, 2, FALSE)</f>
        <v>0</v>
      </c>
      <c r="I828" s="1070">
        <f t="shared" si="183"/>
        <v>0</v>
      </c>
      <c r="J828" s="57">
        <f t="shared" si="189"/>
        <v>6</v>
      </c>
      <c r="K828" s="152">
        <f t="shared" si="182"/>
        <v>0</v>
      </c>
      <c r="L828" s="167"/>
      <c r="M828" s="531"/>
      <c r="N828" s="542"/>
      <c r="O828" s="398"/>
      <c r="R828" s="510"/>
      <c r="T828" s="50"/>
      <c r="U828" s="544"/>
      <c r="V828" s="1307" t="s">
        <v>46</v>
      </c>
      <c r="W828" s="903">
        <v>4062.4872213622284</v>
      </c>
      <c r="X828" s="233">
        <v>1798.7611070228763</v>
      </c>
      <c r="Y828" s="208">
        <v>1798.76</v>
      </c>
      <c r="Z828" s="208">
        <v>1798.76</v>
      </c>
      <c r="AA828" s="208">
        <v>1798.76</v>
      </c>
      <c r="AB828" s="960">
        <v>1798.76</v>
      </c>
      <c r="AC828" s="901">
        <v>1798.76</v>
      </c>
      <c r="AD828" s="208">
        <v>1798.76</v>
      </c>
      <c r="AE828" s="208">
        <v>1798.76</v>
      </c>
      <c r="AF828" s="253">
        <v>1798.76</v>
      </c>
      <c r="AG828" s="253">
        <f t="shared" si="181"/>
        <v>1510.87</v>
      </c>
      <c r="AH828" s="114"/>
      <c r="AK828" s="904"/>
      <c r="DF828" s="1434" t="str">
        <f t="shared" si="188"/>
        <v>ASHP-SEER20_ER1_MF</v>
      </c>
      <c r="DG828" s="1023"/>
      <c r="DH828" s="1265" t="str">
        <f t="shared" si="184"/>
        <v>Heating Res 6 Year EUL</v>
      </c>
      <c r="DI828" s="1020">
        <f>(INDEX('Avoided Cost Benefits'!$B$4:$B$866,MATCH(DH828,'Avoided Cost Benefits'!$A$4:$A$866,0)))*F828</f>
        <v>405.1833196288004</v>
      </c>
      <c r="DJ828" s="2051">
        <f t="shared" si="186"/>
        <v>0</v>
      </c>
      <c r="DM828" s="234"/>
    </row>
    <row r="829" spans="1:117" x14ac:dyDescent="0.25">
      <c r="A829" s="2146" t="s">
        <v>602</v>
      </c>
      <c r="B829" s="1318">
        <f t="shared" si="185"/>
        <v>354700</v>
      </c>
      <c r="C829" s="18" t="s">
        <v>1263</v>
      </c>
      <c r="D829" s="1974" t="s">
        <v>810</v>
      </c>
      <c r="E829" s="1265" t="s">
        <v>1265</v>
      </c>
      <c r="F829" s="208">
        <f>ROUND(((K1376*K1479*(1/K1582-1/K1685)*K1788)/1000)*$K$1800,2)</f>
        <v>445.8</v>
      </c>
      <c r="G829" s="540" t="s">
        <v>1083</v>
      </c>
      <c r="H829" s="66">
        <f>VLOOKUP(G829,'CP FACTORS'!$A$3:$B$38, 2, FALSE)</f>
        <v>9.4741810000000004E-4</v>
      </c>
      <c r="I829" s="1070">
        <f t="shared" si="183"/>
        <v>0.42235899999999998</v>
      </c>
      <c r="J829" s="57">
        <f t="shared" si="189"/>
        <v>12</v>
      </c>
      <c r="K829" s="152">
        <f t="shared" si="182"/>
        <v>0</v>
      </c>
      <c r="L829" s="167"/>
      <c r="M829" s="531"/>
      <c r="N829" s="542"/>
      <c r="O829" s="398"/>
      <c r="R829" s="510"/>
      <c r="T829" s="50"/>
      <c r="U829" s="544"/>
      <c r="V829" s="1307" t="s">
        <v>46</v>
      </c>
      <c r="W829" s="903">
        <v>479.31557142857133</v>
      </c>
      <c r="X829" s="236">
        <v>479.31557142857133</v>
      </c>
      <c r="Y829" s="208">
        <v>479.32</v>
      </c>
      <c r="Z829" s="208">
        <v>479.32</v>
      </c>
      <c r="AA829" s="208">
        <v>479.32</v>
      </c>
      <c r="AB829" s="960">
        <v>479.32</v>
      </c>
      <c r="AC829" s="901">
        <v>479.32</v>
      </c>
      <c r="AD829" s="208">
        <v>479.32</v>
      </c>
      <c r="AE829" s="210">
        <v>372.8</v>
      </c>
      <c r="AF829" s="253">
        <v>445.8</v>
      </c>
      <c r="AG829" s="253">
        <f t="shared" si="181"/>
        <v>445.8</v>
      </c>
      <c r="AH829" s="114"/>
      <c r="AK829" s="904"/>
      <c r="DF829" s="1434" t="str">
        <f t="shared" si="188"/>
        <v>ASHP-SEER20_ER2_MF</v>
      </c>
      <c r="DG829" s="1023"/>
      <c r="DH829" s="1265" t="str">
        <f t="shared" si="184"/>
        <v>Cooling Res ER2 12 Year EUL</v>
      </c>
      <c r="DI829" s="1020">
        <f>(INDEX('Avoided Cost Benefits'!$B$4:$B$866,MATCH(DH829,'Avoided Cost Benefits'!$A$4:$A$866,0)))*F829</f>
        <v>576.82989367278492</v>
      </c>
      <c r="DJ829" s="2051">
        <f t="shared" si="186"/>
        <v>0</v>
      </c>
      <c r="DM829" s="234"/>
    </row>
    <row r="830" spans="1:117" x14ac:dyDescent="0.25">
      <c r="A830" s="2146" t="s">
        <v>602</v>
      </c>
      <c r="B830" s="1318">
        <f t="shared" si="185"/>
        <v>354700</v>
      </c>
      <c r="C830" s="18" t="s">
        <v>1263</v>
      </c>
      <c r="D830" s="1974" t="s">
        <v>810</v>
      </c>
      <c r="E830" s="1241" t="s">
        <v>1265</v>
      </c>
      <c r="F830" s="208">
        <f>ROUND(((K963*K1067*(1/K1170-1/K1273)*K1788)/1000)*$K$1800,2)</f>
        <v>793</v>
      </c>
      <c r="G830" s="540" t="s">
        <v>1118</v>
      </c>
      <c r="H830" s="66">
        <f>VLOOKUP(G830,'CP FACTORS'!$A$3:$B$38, 2, FALSE)</f>
        <v>0</v>
      </c>
      <c r="I830" s="1070">
        <f t="shared" si="183"/>
        <v>0</v>
      </c>
      <c r="J830" s="57">
        <f t="shared" si="189"/>
        <v>12</v>
      </c>
      <c r="K830" s="152">
        <f t="shared" si="182"/>
        <v>0</v>
      </c>
      <c r="L830" s="167"/>
      <c r="M830" s="531"/>
      <c r="N830" s="542"/>
      <c r="O830" s="398"/>
      <c r="R830" s="510"/>
      <c r="T830" s="50"/>
      <c r="U830" s="544"/>
      <c r="V830" s="1307" t="s">
        <v>46</v>
      </c>
      <c r="W830" s="903">
        <v>862.96736842105349</v>
      </c>
      <c r="X830" s="233">
        <v>642.6078562259313</v>
      </c>
      <c r="Y830" s="208">
        <v>642.61</v>
      </c>
      <c r="Z830" s="208">
        <v>642.61</v>
      </c>
      <c r="AA830" s="208">
        <v>642.61</v>
      </c>
      <c r="AB830" s="960">
        <v>642.61</v>
      </c>
      <c r="AC830" s="901">
        <v>642.61</v>
      </c>
      <c r="AD830" s="208">
        <v>642.61</v>
      </c>
      <c r="AE830" s="210">
        <v>424.19</v>
      </c>
      <c r="AF830" s="253">
        <v>1080.9000000000001</v>
      </c>
      <c r="AG830" s="253">
        <f t="shared" si="181"/>
        <v>793</v>
      </c>
      <c r="AH830" s="114"/>
      <c r="AK830" s="904"/>
      <c r="DF830" s="1434" t="str">
        <f t="shared" si="188"/>
        <v>ASHP-SEER20_ER2_MF</v>
      </c>
      <c r="DG830" s="1023"/>
      <c r="DH830" s="1241" t="str">
        <f t="shared" si="184"/>
        <v>Heating Res ER2 12 Year EUL</v>
      </c>
      <c r="DI830" s="1020">
        <f>(INDEX('Avoided Cost Benefits'!$B$4:$B$866,MATCH(DH830,'Avoided Cost Benefits'!$A$4:$A$866,0)))*F830</f>
        <v>267.9515480371424</v>
      </c>
      <c r="DJ830" s="2051">
        <f t="shared" si="186"/>
        <v>0</v>
      </c>
      <c r="DM830" s="234"/>
    </row>
    <row r="831" spans="1:117" x14ac:dyDescent="0.25">
      <c r="A831" s="2146" t="s">
        <v>607</v>
      </c>
      <c r="B831" s="1318">
        <f t="shared" si="185"/>
        <v>354750</v>
      </c>
      <c r="C831" s="18" t="s">
        <v>1266</v>
      </c>
      <c r="D831" s="1974" t="s">
        <v>863</v>
      </c>
      <c r="E831" s="1240" t="s">
        <v>1267</v>
      </c>
      <c r="F831" s="208">
        <f>ROUND(((K1377*K1480*(1/K1583-1/K1686)*K1789)/1000)*$K$1800,2)</f>
        <v>2498.89</v>
      </c>
      <c r="G831" s="540" t="s">
        <v>1030</v>
      </c>
      <c r="H831" s="66">
        <f>VLOOKUP(G831,'CP FACTORS'!$A$3:$B$38, 2, FALSE)</f>
        <v>9.4741810000000004E-4</v>
      </c>
      <c r="I831" s="1070">
        <f t="shared" si="183"/>
        <v>2.3674940000000002</v>
      </c>
      <c r="J831" s="57">
        <f t="shared" si="189"/>
        <v>6</v>
      </c>
      <c r="K831" s="152">
        <f t="shared" si="182"/>
        <v>1078.0210431568885</v>
      </c>
      <c r="L831" s="167">
        <f>L964</f>
        <v>3.3440561485431846</v>
      </c>
      <c r="M831" s="531"/>
      <c r="N831" s="542"/>
      <c r="O831" s="398"/>
      <c r="R831" s="510"/>
      <c r="T831" s="50"/>
      <c r="U831" s="544"/>
      <c r="V831" s="1307" t="s">
        <v>46</v>
      </c>
      <c r="W831" s="903">
        <v>3140.8142857142857</v>
      </c>
      <c r="X831" s="233">
        <v>2492.4547418967586</v>
      </c>
      <c r="Y831" s="208">
        <v>2492.4499999999998</v>
      </c>
      <c r="Z831" s="208">
        <v>2492.4499999999998</v>
      </c>
      <c r="AA831" s="208">
        <v>2492.4499999999998</v>
      </c>
      <c r="AB831" s="960">
        <v>2492.4499999999998</v>
      </c>
      <c r="AC831" s="210">
        <v>2550</v>
      </c>
      <c r="AD831" s="210">
        <v>2958.13</v>
      </c>
      <c r="AE831" s="210">
        <v>2702.24</v>
      </c>
      <c r="AF831" s="253">
        <v>2498.89</v>
      </c>
      <c r="AG831" s="253">
        <f t="shared" si="181"/>
        <v>2498.89</v>
      </c>
      <c r="AH831" s="114"/>
      <c r="AK831" s="904"/>
      <c r="DF831" s="1434" t="str">
        <f t="shared" si="188"/>
        <v>ASHP-SEER21_ER1_SF</v>
      </c>
      <c r="DG831" s="1019">
        <f>(DI831+DI832+DI833+DI834)/(DJ831+DJ832+DJ833+DJ834)</f>
        <v>4.2892583687798336</v>
      </c>
      <c r="DH831" s="1240" t="str">
        <f t="shared" si="184"/>
        <v>Cooling Res 6 Year EUL</v>
      </c>
      <c r="DI831" s="1020">
        <f>(INDEX('Avoided Cost Benefits'!$B$4:$B$866,MATCH(DH831,'Avoided Cost Benefits'!$A$4:$A$866,0)))*F831</f>
        <v>2488.5148519221975</v>
      </c>
      <c r="DJ831" s="2051">
        <f t="shared" si="186"/>
        <v>1078.0210431568885</v>
      </c>
      <c r="DM831" s="234"/>
    </row>
    <row r="832" spans="1:117" x14ac:dyDescent="0.25">
      <c r="A832" s="2146" t="s">
        <v>607</v>
      </c>
      <c r="B832" s="1318">
        <f t="shared" si="185"/>
        <v>354750</v>
      </c>
      <c r="C832" s="18" t="s">
        <v>1266</v>
      </c>
      <c r="D832" s="1974" t="s">
        <v>863</v>
      </c>
      <c r="E832" s="1265" t="s">
        <v>1267</v>
      </c>
      <c r="F832" s="208">
        <f>ROUND(((K964*K1068*(1/K1171-1/K1274)*K1789)/1000)*$K$1800,2)</f>
        <v>2430.89</v>
      </c>
      <c r="G832" s="540" t="s">
        <v>1031</v>
      </c>
      <c r="H832" s="66">
        <f>VLOOKUP(G832,'CP FACTORS'!$A$3:$B$38, 2, FALSE)</f>
        <v>0</v>
      </c>
      <c r="I832" s="1070">
        <f t="shared" si="183"/>
        <v>0</v>
      </c>
      <c r="J832" s="57">
        <f t="shared" si="189"/>
        <v>6</v>
      </c>
      <c r="K832" s="152">
        <f t="shared" si="182"/>
        <v>0</v>
      </c>
      <c r="L832" s="167"/>
      <c r="M832" s="531"/>
      <c r="N832" s="542"/>
      <c r="O832" s="398"/>
      <c r="R832" s="510"/>
      <c r="T832" s="50"/>
      <c r="U832" s="544"/>
      <c r="V832" s="1307" t="s">
        <v>46</v>
      </c>
      <c r="W832" s="903">
        <v>6249.9803405572748</v>
      </c>
      <c r="X832" s="233">
        <v>2767.3247800351946</v>
      </c>
      <c r="Y832" s="208">
        <v>2767.32</v>
      </c>
      <c r="Z832" s="208">
        <v>2767.32</v>
      </c>
      <c r="AA832" s="208">
        <v>2767.32</v>
      </c>
      <c r="AB832" s="960">
        <v>2767.32</v>
      </c>
      <c r="AC832" s="210">
        <v>3612.16</v>
      </c>
      <c r="AD832" s="210">
        <v>3535.71</v>
      </c>
      <c r="AE832" s="210">
        <v>3540.79</v>
      </c>
      <c r="AF832" s="253">
        <v>3540.79</v>
      </c>
      <c r="AG832" s="253">
        <f t="shared" si="181"/>
        <v>2430.89</v>
      </c>
      <c r="AH832" s="114"/>
      <c r="AK832" s="904"/>
      <c r="DF832" s="1434" t="str">
        <f t="shared" si="188"/>
        <v>ASHP-SEER21_ER1_SF</v>
      </c>
      <c r="DG832" s="1023"/>
      <c r="DH832" s="1265" t="str">
        <f t="shared" si="184"/>
        <v>Heating Res 6 Year EUL</v>
      </c>
      <c r="DI832" s="1020">
        <f>(INDEX('Avoided Cost Benefits'!$B$4:$B$866,MATCH(DH832,'Avoided Cost Benefits'!$A$4:$A$866,0)))*F832</f>
        <v>651.91318899207386</v>
      </c>
      <c r="DJ832" s="2051">
        <f t="shared" si="186"/>
        <v>0</v>
      </c>
      <c r="DM832" s="234"/>
    </row>
    <row r="833" spans="1:117" x14ac:dyDescent="0.25">
      <c r="A833" s="2146" t="s">
        <v>607</v>
      </c>
      <c r="B833" s="1318">
        <f t="shared" si="185"/>
        <v>354750</v>
      </c>
      <c r="C833" s="18" t="s">
        <v>1266</v>
      </c>
      <c r="D833" s="1974" t="s">
        <v>863</v>
      </c>
      <c r="E833" s="1265" t="s">
        <v>1268</v>
      </c>
      <c r="F833" s="208">
        <f>ROUND(((K1378*K1481*(1/K1584-1/K1687)*K1790)/1000)*$K$1800,2)</f>
        <v>803.95</v>
      </c>
      <c r="G833" s="540" t="s">
        <v>1083</v>
      </c>
      <c r="H833" s="66">
        <f>VLOOKUP(G833,'CP FACTORS'!$A$3:$B$38, 2, FALSE)</f>
        <v>9.4741810000000004E-4</v>
      </c>
      <c r="I833" s="1070">
        <f t="shared" si="183"/>
        <v>0.76167700000000005</v>
      </c>
      <c r="J833" s="57">
        <f t="shared" si="189"/>
        <v>12</v>
      </c>
      <c r="K833" s="152">
        <f t="shared" si="182"/>
        <v>0</v>
      </c>
      <c r="L833" s="167"/>
      <c r="M833" s="531"/>
      <c r="N833" s="542"/>
      <c r="O833" s="398"/>
      <c r="R833" s="510"/>
      <c r="T833" s="50"/>
      <c r="U833" s="544"/>
      <c r="V833" s="1307" t="s">
        <v>46</v>
      </c>
      <c r="W833" s="903">
        <v>819.34285714285704</v>
      </c>
      <c r="X833" s="236">
        <v>819.34285714285704</v>
      </c>
      <c r="Y833" s="208">
        <v>819.34</v>
      </c>
      <c r="Z833" s="208">
        <v>819.34</v>
      </c>
      <c r="AA833" s="208">
        <v>819.34</v>
      </c>
      <c r="AB833" s="960">
        <v>819.34</v>
      </c>
      <c r="AC833" s="210">
        <v>905.45</v>
      </c>
      <c r="AD833" s="210">
        <v>877.41</v>
      </c>
      <c r="AE833" s="210">
        <v>723.75</v>
      </c>
      <c r="AF833" s="253">
        <v>803.95</v>
      </c>
      <c r="AG833" s="253">
        <f t="shared" si="181"/>
        <v>803.95</v>
      </c>
      <c r="AH833" s="114"/>
      <c r="AK833" s="904"/>
      <c r="DF833" s="1434" t="str">
        <f t="shared" si="188"/>
        <v>ASHP-SEER21_ER2_SF</v>
      </c>
      <c r="DG833" s="1023"/>
      <c r="DH833" s="1265" t="str">
        <f t="shared" si="184"/>
        <v>Cooling Res ER2 12 Year EUL</v>
      </c>
      <c r="DI833" s="1020">
        <f>(INDEX('Avoided Cost Benefits'!$B$4:$B$866,MATCH(DH833,'Avoided Cost Benefits'!$A$4:$A$866,0)))*F833</f>
        <v>1040.2476290225111</v>
      </c>
      <c r="DJ833" s="2051">
        <f t="shared" si="186"/>
        <v>0</v>
      </c>
      <c r="DM833" s="234"/>
    </row>
    <row r="834" spans="1:117" x14ac:dyDescent="0.25">
      <c r="A834" s="2146" t="s">
        <v>607</v>
      </c>
      <c r="B834" s="1318">
        <f t="shared" si="185"/>
        <v>354750</v>
      </c>
      <c r="C834" s="18" t="s">
        <v>1266</v>
      </c>
      <c r="D834" s="1974" t="s">
        <v>863</v>
      </c>
      <c r="E834" s="1241" t="s">
        <v>1268</v>
      </c>
      <c r="F834" s="208">
        <f>ROUND(((K965*K1069*(1/K1172-1/K1275)*K1790)/1000)*$K$1800,2)</f>
        <v>1311.75</v>
      </c>
      <c r="G834" s="540" t="s">
        <v>1118</v>
      </c>
      <c r="H834" s="66">
        <f>VLOOKUP(G834,'CP FACTORS'!$A$3:$B$38, 2, FALSE)</f>
        <v>0</v>
      </c>
      <c r="I834" s="1070">
        <f t="shared" si="183"/>
        <v>0</v>
      </c>
      <c r="J834" s="57">
        <f t="shared" si="189"/>
        <v>12</v>
      </c>
      <c r="K834" s="152">
        <f t="shared" si="182"/>
        <v>0</v>
      </c>
      <c r="L834" s="167"/>
      <c r="M834" s="531"/>
      <c r="N834" s="542"/>
      <c r="O834" s="398"/>
      <c r="R834" s="510"/>
      <c r="T834" s="50"/>
      <c r="U834" s="544"/>
      <c r="V834" s="1307" t="s">
        <v>46</v>
      </c>
      <c r="W834" s="903">
        <v>1327.6421052631592</v>
      </c>
      <c r="X834" s="233">
        <v>988.62747111681745</v>
      </c>
      <c r="Y834" s="208">
        <v>988.63</v>
      </c>
      <c r="Z834" s="208">
        <v>988.63</v>
      </c>
      <c r="AA834" s="208">
        <v>988.63</v>
      </c>
      <c r="AB834" s="960">
        <v>988.63</v>
      </c>
      <c r="AC834" s="210">
        <v>1787.85</v>
      </c>
      <c r="AD834" s="210">
        <v>1728.93</v>
      </c>
      <c r="AE834" s="210">
        <v>1397.84</v>
      </c>
      <c r="AF834" s="253">
        <v>2421.65</v>
      </c>
      <c r="AG834" s="253">
        <f t="shared" si="181"/>
        <v>1311.75</v>
      </c>
      <c r="AH834" s="114"/>
      <c r="AK834" s="904"/>
      <c r="DF834" s="1434" t="str">
        <f t="shared" si="188"/>
        <v>ASHP-SEER21_ER2_SF</v>
      </c>
      <c r="DG834" s="1023"/>
      <c r="DH834" s="1241" t="str">
        <f t="shared" si="184"/>
        <v>Heating Res ER2 12 Year EUL</v>
      </c>
      <c r="DI834" s="1020">
        <f>(INDEX('Avoided Cost Benefits'!$B$4:$B$866,MATCH(DH834,'Avoided Cost Benefits'!$A$4:$A$866,0)))*F834</f>
        <v>443.23511114466777</v>
      </c>
      <c r="DJ834" s="2051">
        <f t="shared" si="186"/>
        <v>0</v>
      </c>
      <c r="DM834" s="234"/>
    </row>
    <row r="835" spans="1:117" x14ac:dyDescent="0.25">
      <c r="A835" s="2146" t="s">
        <v>607</v>
      </c>
      <c r="B835" s="1318">
        <f t="shared" si="185"/>
        <v>354800</v>
      </c>
      <c r="C835" s="18" t="s">
        <v>1269</v>
      </c>
      <c r="D835" s="1974" t="s">
        <v>863</v>
      </c>
      <c r="E835" s="198" t="s">
        <v>1270</v>
      </c>
      <c r="F835" s="208">
        <f>ROUND(((K1379*K1482*(1/K1585-1/K1688)*K1791)/1000)*$K$1800,2)</f>
        <v>820</v>
      </c>
      <c r="G835" s="540" t="s">
        <v>1030</v>
      </c>
      <c r="H835" s="66">
        <f>VLOOKUP(G835,'CP FACTORS'!$A$3:$B$38, 2, FALSE)</f>
        <v>9.4741810000000004E-4</v>
      </c>
      <c r="I835" s="1070">
        <f t="shared" si="183"/>
        <v>0.77688299999999999</v>
      </c>
      <c r="J835" s="57">
        <f t="shared" si="189"/>
        <v>18</v>
      </c>
      <c r="K835" s="152">
        <f t="shared" si="182"/>
        <v>1081</v>
      </c>
      <c r="L835" s="167">
        <f>L966</f>
        <v>3.4699494950520831</v>
      </c>
      <c r="M835" s="531"/>
      <c r="N835" s="542"/>
      <c r="O835" s="398"/>
      <c r="R835" s="510"/>
      <c r="T835" s="50"/>
      <c r="U835" s="544"/>
      <c r="V835" s="1307" t="s">
        <v>46</v>
      </c>
      <c r="W835" s="903">
        <v>819.34285714285704</v>
      </c>
      <c r="X835" s="236">
        <v>819.34285714285704</v>
      </c>
      <c r="Y835" s="208">
        <v>819.34</v>
      </c>
      <c r="Z835" s="208">
        <v>819.34</v>
      </c>
      <c r="AA835" s="208">
        <v>819.34</v>
      </c>
      <c r="AB835" s="960">
        <v>819.34</v>
      </c>
      <c r="AC835" s="210">
        <v>995.87</v>
      </c>
      <c r="AD835" s="210">
        <v>924.97</v>
      </c>
      <c r="AE835" s="210">
        <v>812.08</v>
      </c>
      <c r="AF835" s="253">
        <v>820</v>
      </c>
      <c r="AG835" s="253">
        <f t="shared" si="181"/>
        <v>820</v>
      </c>
      <c r="AH835" s="114"/>
      <c r="AK835" s="904"/>
      <c r="DF835" s="1434" t="str">
        <f t="shared" si="188"/>
        <v>ASHP-SEER21_ROF_SF</v>
      </c>
      <c r="DG835" s="1019">
        <f>(DI835+DI836)/(DJ835+DJ836)</f>
        <v>2.5000528576333734</v>
      </c>
      <c r="DH835" s="198" t="str">
        <f t="shared" si="184"/>
        <v>Cooling Res 18 Year EUL</v>
      </c>
      <c r="DI835" s="1020">
        <f>(INDEX('Avoided Cost Benefits'!$B$4:$B$866,MATCH(DH835,'Avoided Cost Benefits'!$A$4:$A$866,0)))*F835</f>
        <v>1877.6104977054488</v>
      </c>
      <c r="DJ835" s="2051">
        <f t="shared" si="186"/>
        <v>1081</v>
      </c>
      <c r="DM835" s="234"/>
    </row>
    <row r="836" spans="1:117" x14ac:dyDescent="0.25">
      <c r="A836" s="2146" t="s">
        <v>607</v>
      </c>
      <c r="B836" s="1318">
        <f t="shared" si="185"/>
        <v>354800</v>
      </c>
      <c r="C836" s="18" t="s">
        <v>1269</v>
      </c>
      <c r="D836" s="1974" t="s">
        <v>863</v>
      </c>
      <c r="E836" s="235" t="s">
        <v>1270</v>
      </c>
      <c r="F836" s="208">
        <f>ROUND(((K966*K1070*(1/K1173-1/K1276)*K1791)/1000)*$K$1800,2)</f>
        <v>1361.13</v>
      </c>
      <c r="G836" s="540" t="s">
        <v>1031</v>
      </c>
      <c r="H836" s="66">
        <f>VLOOKUP(G836,'CP FACTORS'!$A$3:$B$38, 2, FALSE)</f>
        <v>0</v>
      </c>
      <c r="I836" s="1070">
        <f t="shared" si="183"/>
        <v>0</v>
      </c>
      <c r="J836" s="57">
        <f t="shared" si="189"/>
        <v>18</v>
      </c>
      <c r="K836" s="152">
        <f t="shared" si="182"/>
        <v>0</v>
      </c>
      <c r="L836" s="167"/>
      <c r="M836" s="531"/>
      <c r="N836" s="542"/>
      <c r="O836" s="398"/>
      <c r="R836" s="510"/>
      <c r="T836" s="50"/>
      <c r="U836" s="544"/>
      <c r="V836" s="1307" t="s">
        <v>46</v>
      </c>
      <c r="W836" s="903">
        <v>1584.0000000000018</v>
      </c>
      <c r="X836" s="233">
        <v>1179.5241413638641</v>
      </c>
      <c r="Y836" s="208">
        <v>1179.52</v>
      </c>
      <c r="Z836" s="208">
        <v>1179.52</v>
      </c>
      <c r="AA836" s="208">
        <v>1179.52</v>
      </c>
      <c r="AB836" s="960">
        <v>1179.52</v>
      </c>
      <c r="AC836" s="210">
        <v>2086.7199999999998</v>
      </c>
      <c r="AD836" s="210">
        <v>1933.69</v>
      </c>
      <c r="AE836" s="210">
        <v>1371.7</v>
      </c>
      <c r="AF836" s="253">
        <v>2434.0500000000002</v>
      </c>
      <c r="AG836" s="253">
        <f t="shared" si="181"/>
        <v>1361.13</v>
      </c>
      <c r="AH836" s="114"/>
      <c r="AK836" s="904"/>
      <c r="DF836" s="1434" t="str">
        <f t="shared" si="188"/>
        <v>ASHP-SEER21_ROF_SF</v>
      </c>
      <c r="DG836" s="1021"/>
      <c r="DH836" s="235" t="str">
        <f t="shared" si="184"/>
        <v>Heating Res 18 Year EUL</v>
      </c>
      <c r="DI836" s="1020">
        <f>(INDEX('Avoided Cost Benefits'!$B$4:$B$866,MATCH(DH836,'Avoided Cost Benefits'!$A$4:$A$866,0)))*F836</f>
        <v>824.94664139622785</v>
      </c>
      <c r="DJ836" s="2051">
        <f t="shared" si="186"/>
        <v>0</v>
      </c>
      <c r="DM836" s="234"/>
    </row>
    <row r="837" spans="1:117" x14ac:dyDescent="0.25">
      <c r="A837" s="2143" t="s">
        <v>602</v>
      </c>
      <c r="B837" s="1318">
        <f t="shared" si="185"/>
        <v>354850</v>
      </c>
      <c r="C837" s="18" t="s">
        <v>1271</v>
      </c>
      <c r="D837" s="1974" t="s">
        <v>810</v>
      </c>
      <c r="E837" s="198" t="s">
        <v>1272</v>
      </c>
      <c r="F837" s="208">
        <f>ROUND((($K$1380*$K$1483*(1/$K$1586-1/$K$1689)*$K$1792)/1000)*$K$1800,2)</f>
        <v>512.58000000000004</v>
      </c>
      <c r="G837" s="540" t="s">
        <v>1030</v>
      </c>
      <c r="H837" s="66">
        <f>VLOOKUP(G837,'CP FACTORS'!$A$3:$B$38, 2, FALSE)</f>
        <v>9.4741810000000004E-4</v>
      </c>
      <c r="I837" s="1070">
        <f t="shared" si="183"/>
        <v>0.485628</v>
      </c>
      <c r="J837" s="57">
        <f t="shared" si="189"/>
        <v>18</v>
      </c>
      <c r="K837" s="152">
        <f t="shared" si="182"/>
        <v>3689</v>
      </c>
      <c r="L837" s="167">
        <f>L967</f>
        <v>2.8</v>
      </c>
      <c r="M837" s="531"/>
      <c r="N837" s="542"/>
      <c r="O837" s="398"/>
      <c r="R837" s="510"/>
      <c r="T837" s="50"/>
      <c r="U837" s="544"/>
      <c r="V837" s="1307" t="s">
        <v>46</v>
      </c>
      <c r="W837" s="903">
        <v>556.1600000000002</v>
      </c>
      <c r="X837" s="236">
        <v>556.1600000000002</v>
      </c>
      <c r="Y837" s="208">
        <v>556.16</v>
      </c>
      <c r="Z837" s="208">
        <v>556.16</v>
      </c>
      <c r="AA837" s="208">
        <v>556.16</v>
      </c>
      <c r="AB837" s="960">
        <v>556.16</v>
      </c>
      <c r="AC837" s="901">
        <v>556.16</v>
      </c>
      <c r="AD837" s="208">
        <v>556.16</v>
      </c>
      <c r="AE837" s="210">
        <v>451.88</v>
      </c>
      <c r="AF837" s="253">
        <v>512.58000000000004</v>
      </c>
      <c r="AG837" s="253">
        <f t="shared" si="181"/>
        <v>512.58000000000004</v>
      </c>
      <c r="AH837" s="114"/>
      <c r="AK837" s="904"/>
      <c r="DF837" s="1434" t="str">
        <f t="shared" si="188"/>
        <v>ASHP-SEER21-Replace_CAC_ElectricHeat_ROF_MF</v>
      </c>
      <c r="DG837" s="1019">
        <f>(DI837+DI838)/(DJ837+DJ838)</f>
        <v>1.2938888781579521</v>
      </c>
      <c r="DH837" s="198" t="str">
        <f t="shared" si="184"/>
        <v>Cooling Res 18 Year EUL</v>
      </c>
      <c r="DI837" s="1020">
        <f>(INDEX('Avoided Cost Benefits'!$B$4:$B$866,MATCH(DH837,'Avoided Cost Benefits'!$A$4:$A$866,0)))*F837</f>
        <v>1173.6897425778768</v>
      </c>
      <c r="DJ837" s="2051">
        <f t="shared" si="186"/>
        <v>3689</v>
      </c>
      <c r="DM837" s="234"/>
    </row>
    <row r="838" spans="1:117" x14ac:dyDescent="0.25">
      <c r="A838" s="2143" t="s">
        <v>602</v>
      </c>
      <c r="B838" s="1318">
        <f t="shared" si="185"/>
        <v>354850</v>
      </c>
      <c r="C838" s="18" t="s">
        <v>1271</v>
      </c>
      <c r="D838" s="1974" t="s">
        <v>810</v>
      </c>
      <c r="E838" s="235" t="s">
        <v>1272</v>
      </c>
      <c r="F838" s="208">
        <f>ROUND((($K$967*$K$1071*(1/$K$1174-1/$K$1277)*$K$1792)/1000)*$K$1800,2)</f>
        <v>5938.98</v>
      </c>
      <c r="G838" s="540" t="s">
        <v>1031</v>
      </c>
      <c r="H838" s="66">
        <f>VLOOKUP(G838,'CP FACTORS'!$A$3:$B$38, 2, FALSE)</f>
        <v>0</v>
      </c>
      <c r="I838" s="1070">
        <f t="shared" si="183"/>
        <v>0</v>
      </c>
      <c r="J838" s="57">
        <f t="shared" si="189"/>
        <v>18</v>
      </c>
      <c r="K838" s="152">
        <f t="shared" si="182"/>
        <v>0</v>
      </c>
      <c r="L838" s="167"/>
      <c r="M838" s="531"/>
      <c r="N838" s="542"/>
      <c r="O838" s="398"/>
      <c r="R838" s="510"/>
      <c r="T838" s="50"/>
      <c r="U838" s="544"/>
      <c r="V838" s="1307" t="s">
        <v>46</v>
      </c>
      <c r="W838" s="903">
        <v>8343.6696919309452</v>
      </c>
      <c r="X838" s="233">
        <v>6213.105952776853</v>
      </c>
      <c r="Y838" s="208">
        <v>6213.11</v>
      </c>
      <c r="Z838" s="208">
        <v>6213.11</v>
      </c>
      <c r="AA838" s="208">
        <v>6213.11</v>
      </c>
      <c r="AB838" s="960">
        <v>6213.11</v>
      </c>
      <c r="AC838" s="901">
        <v>6213.11</v>
      </c>
      <c r="AD838" s="208">
        <v>6213.11</v>
      </c>
      <c r="AE838" s="208">
        <v>6213.11</v>
      </c>
      <c r="AF838" s="253">
        <v>6213.11</v>
      </c>
      <c r="AG838" s="253">
        <f t="shared" si="181"/>
        <v>5938.98</v>
      </c>
      <c r="AH838" s="114"/>
      <c r="AK838" s="904"/>
      <c r="DF838" s="1434" t="str">
        <f t="shared" si="188"/>
        <v>ASHP-SEER21-Replace_CAC_ElectricHeat_ROF_MF</v>
      </c>
      <c r="DG838" s="1021"/>
      <c r="DH838" s="235" t="str">
        <f t="shared" si="184"/>
        <v>Heating Res 18 Year EUL</v>
      </c>
      <c r="DI838" s="1020">
        <f>(INDEX('Avoided Cost Benefits'!$B$4:$B$866,MATCH(DH838,'Avoided Cost Benefits'!$A$4:$A$866,0)))*F838</f>
        <v>3599.4663289468081</v>
      </c>
      <c r="DJ838" s="2051">
        <f t="shared" si="186"/>
        <v>0</v>
      </c>
      <c r="DM838" s="234"/>
    </row>
    <row r="839" spans="1:117" x14ac:dyDescent="0.25">
      <c r="A839" s="2143" t="s">
        <v>602</v>
      </c>
      <c r="B839" s="1318">
        <f t="shared" si="185"/>
        <v>354900</v>
      </c>
      <c r="C839" s="18" t="s">
        <v>1273</v>
      </c>
      <c r="D839" s="1974" t="s">
        <v>810</v>
      </c>
      <c r="E839" s="1240" t="s">
        <v>1274</v>
      </c>
      <c r="F839" s="167">
        <f>ROUND(((K1381*K1484*(1/K1587-1/K1690)*K1793)/1000)*$K$1800,2)</f>
        <v>1620.1</v>
      </c>
      <c r="G839" s="540" t="s">
        <v>1030</v>
      </c>
      <c r="H839" s="66">
        <f>VLOOKUP(G839,'CP FACTORS'!$A$3:$B$38, 2, FALSE)</f>
        <v>9.4741810000000004E-4</v>
      </c>
      <c r="I839" s="1070">
        <f t="shared" ref="I839:I852" si="190">ROUND(F839*H839,6)</f>
        <v>1.5349120000000001</v>
      </c>
      <c r="J839" s="57">
        <f t="shared" si="189"/>
        <v>6</v>
      </c>
      <c r="K839" s="152">
        <f t="shared" si="182"/>
        <v>1077.5183641564863</v>
      </c>
      <c r="L839" s="167">
        <f>L968</f>
        <v>3.3</v>
      </c>
      <c r="M839" s="531"/>
      <c r="N839" s="542"/>
      <c r="O839" s="398"/>
      <c r="R839" s="510"/>
      <c r="T839" s="50"/>
      <c r="U839" s="544"/>
      <c r="V839" s="1307" t="s">
        <v>46</v>
      </c>
      <c r="W839" s="903">
        <v>2041.5292857142858</v>
      </c>
      <c r="X839" s="233">
        <v>1620.0955822328933</v>
      </c>
      <c r="Y839" s="208">
        <v>1620.1</v>
      </c>
      <c r="Z839" s="208">
        <v>1620.1</v>
      </c>
      <c r="AA839" s="208">
        <v>1620.1</v>
      </c>
      <c r="AB839" s="960">
        <v>1620.1</v>
      </c>
      <c r="AC839" s="901">
        <v>1620.1</v>
      </c>
      <c r="AD839" s="208">
        <v>1620.1</v>
      </c>
      <c r="AE839" s="208">
        <v>1620.1</v>
      </c>
      <c r="AF839" s="253">
        <v>1620.1</v>
      </c>
      <c r="AG839" s="253">
        <f t="shared" si="181"/>
        <v>1620.1</v>
      </c>
      <c r="AH839" s="114"/>
      <c r="AK839" s="904"/>
      <c r="DF839" s="1434" t="str">
        <f t="shared" si="188"/>
        <v>ASHP-SEER21_ER1_MF</v>
      </c>
      <c r="DG839" s="1019">
        <f>(DI839+DI840+DI841+DI842)/(DJ839+DJ840+DJ841+DJ842)</f>
        <v>2.7485108238735068</v>
      </c>
      <c r="DH839" s="1240" t="str">
        <f t="shared" ref="DH839:DH842" si="191">CONCATENATE(G839," ",J839," Year EUL")</f>
        <v>Cooling Res 6 Year EUL</v>
      </c>
      <c r="DI839" s="1020">
        <f>(INDEX('Avoided Cost Benefits'!$B$4:$B$866,MATCH(DH839,'Avoided Cost Benefits'!$A$4:$A$866,0)))*F839</f>
        <v>1613.3735024747598</v>
      </c>
      <c r="DJ839" s="2051">
        <f t="shared" si="186"/>
        <v>1077.5183641564863</v>
      </c>
      <c r="DM839" s="234"/>
    </row>
    <row r="840" spans="1:117" x14ac:dyDescent="0.25">
      <c r="A840" s="2143" t="s">
        <v>602</v>
      </c>
      <c r="B840" s="1318">
        <f t="shared" si="185"/>
        <v>354900</v>
      </c>
      <c r="C840" s="18" t="s">
        <v>1273</v>
      </c>
      <c r="D840" s="1974" t="s">
        <v>810</v>
      </c>
      <c r="E840" s="1265" t="s">
        <v>1274</v>
      </c>
      <c r="F840" s="208">
        <f>ROUND(((K968*K1072*(1/K1175-1/K1278)*K1793)/1000)*$K$1800,2)</f>
        <v>1559.26</v>
      </c>
      <c r="G840" s="540" t="s">
        <v>1031</v>
      </c>
      <c r="H840" s="66">
        <f>VLOOKUP(G840,'CP FACTORS'!$A$3:$B$38, 2, FALSE)</f>
        <v>0</v>
      </c>
      <c r="I840" s="1070">
        <f t="shared" si="190"/>
        <v>0</v>
      </c>
      <c r="J840" s="57">
        <f t="shared" si="189"/>
        <v>6</v>
      </c>
      <c r="K840" s="152">
        <f t="shared" si="182"/>
        <v>0</v>
      </c>
      <c r="L840" s="167"/>
      <c r="M840" s="531"/>
      <c r="N840" s="542"/>
      <c r="O840" s="398"/>
      <c r="R840" s="510"/>
      <c r="T840" s="50"/>
      <c r="U840" s="544"/>
      <c r="V840" s="1307" t="s">
        <v>46</v>
      </c>
      <c r="W840" s="903">
        <v>4062.4872213622284</v>
      </c>
      <c r="X840" s="233">
        <v>1798.7611070228763</v>
      </c>
      <c r="Y840" s="208">
        <v>1798.76</v>
      </c>
      <c r="Z840" s="208">
        <v>1798.76</v>
      </c>
      <c r="AA840" s="208">
        <v>1798.76</v>
      </c>
      <c r="AB840" s="960">
        <v>1798.76</v>
      </c>
      <c r="AC840" s="901">
        <v>1798.76</v>
      </c>
      <c r="AD840" s="208">
        <v>1798.76</v>
      </c>
      <c r="AE840" s="208">
        <v>1798.76</v>
      </c>
      <c r="AF840" s="253">
        <v>1798.76</v>
      </c>
      <c r="AG840" s="253">
        <f t="shared" si="181"/>
        <v>1559.26</v>
      </c>
      <c r="AH840" s="114"/>
      <c r="AK840" s="904"/>
      <c r="DF840" s="1434" t="str">
        <f t="shared" si="188"/>
        <v>ASHP-SEER21_ER1_MF</v>
      </c>
      <c r="DG840" s="1023"/>
      <c r="DH840" s="1265" t="str">
        <f t="shared" si="191"/>
        <v>Heating Res 6 Year EUL</v>
      </c>
      <c r="DI840" s="1020">
        <f>(INDEX('Avoided Cost Benefits'!$B$4:$B$866,MATCH(DH840,'Avoided Cost Benefits'!$A$4:$A$866,0)))*F840</f>
        <v>418.16049227557852</v>
      </c>
      <c r="DJ840" s="2051">
        <f t="shared" si="186"/>
        <v>0</v>
      </c>
      <c r="DM840" s="234"/>
    </row>
    <row r="841" spans="1:117" x14ac:dyDescent="0.25">
      <c r="A841" s="2143" t="s">
        <v>602</v>
      </c>
      <c r="B841" s="1318">
        <f t="shared" si="185"/>
        <v>354900</v>
      </c>
      <c r="C841" s="18" t="s">
        <v>1273</v>
      </c>
      <c r="D841" s="1974" t="s">
        <v>810</v>
      </c>
      <c r="E841" s="1265" t="s">
        <v>1275</v>
      </c>
      <c r="F841" s="167">
        <f>ROUND(((K1382*K1485*(1/K1588-1/K1691)*K1794)/1000)*$K$1800,2)</f>
        <v>499.05</v>
      </c>
      <c r="G841" s="540" t="s">
        <v>1083</v>
      </c>
      <c r="H841" s="66">
        <f>VLOOKUP(G841,'CP FACTORS'!$A$3:$B$38, 2, FALSE)</f>
        <v>9.4741810000000004E-4</v>
      </c>
      <c r="I841" s="1070">
        <f t="shared" si="190"/>
        <v>0.47280899999999998</v>
      </c>
      <c r="J841" s="57">
        <f t="shared" si="189"/>
        <v>12</v>
      </c>
      <c r="K841" s="152">
        <f t="shared" ref="K841:K852" si="192">IF(C841&lt;&gt;C840,VLOOKUP(C841,$J$2007:$K$2218,2,FALSE),0)</f>
        <v>0</v>
      </c>
      <c r="L841" s="167"/>
      <c r="M841" s="531"/>
      <c r="N841" s="542"/>
      <c r="O841" s="398"/>
      <c r="R841" s="510"/>
      <c r="T841" s="50"/>
      <c r="U841" s="544"/>
      <c r="V841" s="1307" t="s">
        <v>46</v>
      </c>
      <c r="W841" s="903">
        <v>532.57285714285706</v>
      </c>
      <c r="X841" s="236">
        <v>532.57285714285706</v>
      </c>
      <c r="Y841" s="208">
        <v>532.57000000000005</v>
      </c>
      <c r="Z841" s="208">
        <v>532.57000000000005</v>
      </c>
      <c r="AA841" s="208">
        <v>532.57000000000005</v>
      </c>
      <c r="AB841" s="960">
        <v>532.57000000000005</v>
      </c>
      <c r="AC841" s="901">
        <v>532.57000000000005</v>
      </c>
      <c r="AD841" s="208">
        <v>532.57000000000005</v>
      </c>
      <c r="AE841" s="210">
        <v>426.06</v>
      </c>
      <c r="AF841" s="253">
        <v>499.05</v>
      </c>
      <c r="AG841" s="253">
        <f t="shared" si="181"/>
        <v>499.05</v>
      </c>
      <c r="AH841" s="114"/>
      <c r="AK841" s="904"/>
      <c r="DF841" s="1434" t="str">
        <f t="shared" si="188"/>
        <v>ASHP-SEER21_ER2_MF</v>
      </c>
      <c r="DG841" s="1023"/>
      <c r="DH841" s="1265" t="str">
        <f t="shared" si="191"/>
        <v>Cooling Res ER2 12 Year EUL</v>
      </c>
      <c r="DI841" s="1020">
        <f>(INDEX('Avoided Cost Benefits'!$B$4:$B$866,MATCH(DH841,'Avoided Cost Benefits'!$A$4:$A$866,0)))*F841</f>
        <v>645.73117639614918</v>
      </c>
      <c r="DJ841" s="2051">
        <f t="shared" si="186"/>
        <v>0</v>
      </c>
      <c r="DM841" s="234"/>
    </row>
    <row r="842" spans="1:117" x14ac:dyDescent="0.25">
      <c r="A842" s="2143" t="s">
        <v>602</v>
      </c>
      <c r="B842" s="1318">
        <f t="shared" si="185"/>
        <v>354900</v>
      </c>
      <c r="C842" s="18" t="s">
        <v>1273</v>
      </c>
      <c r="D842" s="1974" t="s">
        <v>810</v>
      </c>
      <c r="E842" s="1241" t="s">
        <v>1275</v>
      </c>
      <c r="F842" s="208">
        <f>ROUND(((K969*K1073*(1/K1176-1/K1279)*K1794)/1000)*$K$1800,2)</f>
        <v>841.4</v>
      </c>
      <c r="G842" s="540" t="s">
        <v>1118</v>
      </c>
      <c r="H842" s="66">
        <f>VLOOKUP(G842,'CP FACTORS'!$A$3:$B$38, 2, FALSE)</f>
        <v>0</v>
      </c>
      <c r="I842" s="1070">
        <f t="shared" si="190"/>
        <v>0</v>
      </c>
      <c r="J842" s="57">
        <f t="shared" si="189"/>
        <v>12</v>
      </c>
      <c r="K842" s="152">
        <f t="shared" si="192"/>
        <v>0</v>
      </c>
      <c r="L842" s="167"/>
      <c r="M842" s="531"/>
      <c r="N842" s="542"/>
      <c r="O842" s="398"/>
      <c r="R842" s="510"/>
      <c r="T842" s="50"/>
      <c r="U842" s="544"/>
      <c r="V842" s="1307" t="s">
        <v>46</v>
      </c>
      <c r="W842" s="903">
        <v>862.96736842105349</v>
      </c>
      <c r="X842" s="233">
        <v>642.6078562259313</v>
      </c>
      <c r="Y842" s="208">
        <v>642.61</v>
      </c>
      <c r="Z842" s="208">
        <v>642.61</v>
      </c>
      <c r="AA842" s="208">
        <v>642.61</v>
      </c>
      <c r="AB842" s="960">
        <v>642.61</v>
      </c>
      <c r="AC842" s="901">
        <v>642.61</v>
      </c>
      <c r="AD842" s="208">
        <v>642.61</v>
      </c>
      <c r="AE842" s="210">
        <v>424.19</v>
      </c>
      <c r="AF842" s="253">
        <v>1080.9000000000001</v>
      </c>
      <c r="AG842" s="253">
        <f t="shared" si="181"/>
        <v>841.4</v>
      </c>
      <c r="AH842" s="114"/>
      <c r="AK842" s="904"/>
      <c r="DF842" s="1434" t="str">
        <f t="shared" si="188"/>
        <v>ASHP-SEER21_ER2_MF</v>
      </c>
      <c r="DG842" s="1023"/>
      <c r="DH842" s="1241" t="str">
        <f t="shared" si="191"/>
        <v>Heating Res ER2 12 Year EUL</v>
      </c>
      <c r="DI842" s="1020">
        <f>(INDEX('Avoided Cost Benefits'!$B$4:$B$866,MATCH(DH842,'Avoided Cost Benefits'!$A$4:$A$866,0)))*F842</f>
        <v>284.3057156600903</v>
      </c>
      <c r="DJ842" s="2051">
        <f t="shared" si="186"/>
        <v>0</v>
      </c>
      <c r="DM842" s="234"/>
    </row>
    <row r="843" spans="1:117" x14ac:dyDescent="0.25">
      <c r="A843" s="2143" t="s">
        <v>602</v>
      </c>
      <c r="B843" s="1318">
        <f t="shared" si="185"/>
        <v>354950</v>
      </c>
      <c r="C843" s="18" t="s">
        <v>1276</v>
      </c>
      <c r="D843" s="1974" t="s">
        <v>810</v>
      </c>
      <c r="E843" s="198" t="s">
        <v>1277</v>
      </c>
      <c r="F843" s="208">
        <f>ROUND(((K1383*K1486*(1/K1589-1/K1692)*K1795)/1000)*$K$1800,2)</f>
        <v>248.43</v>
      </c>
      <c r="G843" s="540" t="s">
        <v>1030</v>
      </c>
      <c r="H843" s="66">
        <f>VLOOKUP(G843,'CP FACTORS'!$A$3:$B$38, 2, FALSE)</f>
        <v>9.4741810000000004E-4</v>
      </c>
      <c r="I843" s="961">
        <f t="shared" si="190"/>
        <v>0.23536699999999999</v>
      </c>
      <c r="J843" s="57">
        <f t="shared" ref="J843:J844" si="193">K1997</f>
        <v>18</v>
      </c>
      <c r="K843" s="152">
        <f t="shared" si="192"/>
        <v>630</v>
      </c>
      <c r="L843" s="167">
        <f>L970</f>
        <v>3.3</v>
      </c>
      <c r="M843" s="531"/>
      <c r="N843" s="542"/>
      <c r="O843" s="398"/>
      <c r="R843" s="510"/>
      <c r="T843" s="50"/>
      <c r="U843" s="544"/>
      <c r="V843" s="1307" t="s">
        <v>46</v>
      </c>
      <c r="W843" s="903">
        <v>281.95033613445372</v>
      </c>
      <c r="X843" s="236">
        <v>281.95033613445372</v>
      </c>
      <c r="Y843" s="208">
        <v>281.95</v>
      </c>
      <c r="Z843" s="208">
        <v>281.95</v>
      </c>
      <c r="AA843" s="208">
        <v>281.95</v>
      </c>
      <c r="AB843" s="960">
        <v>281.95</v>
      </c>
      <c r="AC843" s="901">
        <v>281.95</v>
      </c>
      <c r="AD843" s="208">
        <v>281.95</v>
      </c>
      <c r="AE843" s="210">
        <v>175.44</v>
      </c>
      <c r="AF843" s="253">
        <v>248.43</v>
      </c>
      <c r="AG843" s="253">
        <f t="shared" si="181"/>
        <v>248.43</v>
      </c>
      <c r="AH843" s="114"/>
      <c r="AK843" s="904"/>
      <c r="DF843" s="1434" t="str">
        <f t="shared" si="188"/>
        <v>ASHP-SEER17_ROF_MF</v>
      </c>
      <c r="DG843" s="1019">
        <f>(DI843+DI844)/(DJ843+DJ844)</f>
        <v>1.4582410559802661</v>
      </c>
      <c r="DH843" s="198" t="str">
        <f t="shared" ref="DH843:DH852" si="194">CONCATENATE(G843," ",J843," Year EUL")</f>
        <v>Cooling Res 18 Year EUL</v>
      </c>
      <c r="DI843" s="1020">
        <f>(INDEX('Avoided Cost Benefits'!$B$4:$B$866,MATCH(DH843,'Avoided Cost Benefits'!$A$4:$A$866,0)))*F843</f>
        <v>568.8472877377618</v>
      </c>
      <c r="DJ843" s="2051">
        <f t="shared" si="186"/>
        <v>630</v>
      </c>
      <c r="DM843" s="234"/>
    </row>
    <row r="844" spans="1:117" x14ac:dyDescent="0.25">
      <c r="A844" s="2143" t="s">
        <v>602</v>
      </c>
      <c r="B844" s="1318">
        <f t="shared" si="185"/>
        <v>354950</v>
      </c>
      <c r="C844" s="18" t="s">
        <v>1276</v>
      </c>
      <c r="D844" s="1974" t="s">
        <v>810</v>
      </c>
      <c r="E844" s="235" t="s">
        <v>1277</v>
      </c>
      <c r="F844" s="208">
        <f>ROUND(((K970*K1074*(1/K1177-1/K1280)*K1795)/1000)*$K$1800,2)</f>
        <v>577.23</v>
      </c>
      <c r="G844" s="540" t="s">
        <v>1031</v>
      </c>
      <c r="H844" s="66">
        <f>VLOOKUP(G844,'CP FACTORS'!$A$3:$B$38, 2, FALSE)</f>
        <v>0</v>
      </c>
      <c r="I844" s="961">
        <f t="shared" si="190"/>
        <v>0</v>
      </c>
      <c r="J844" s="57">
        <f t="shared" si="193"/>
        <v>18</v>
      </c>
      <c r="K844" s="152">
        <f t="shared" si="192"/>
        <v>0</v>
      </c>
      <c r="L844" s="167"/>
      <c r="M844" s="531"/>
      <c r="N844" s="542"/>
      <c r="O844" s="398"/>
      <c r="R844" s="510"/>
      <c r="T844" s="50"/>
      <c r="U844" s="544"/>
      <c r="V844" s="1307" t="s">
        <v>46</v>
      </c>
      <c r="W844" s="903">
        <v>1029.6000000000013</v>
      </c>
      <c r="X844" s="233">
        <v>766.69069188651167</v>
      </c>
      <c r="Y844" s="208">
        <v>766.69</v>
      </c>
      <c r="Z844" s="208">
        <v>766.69</v>
      </c>
      <c r="AA844" s="208">
        <v>766.69</v>
      </c>
      <c r="AB844" s="960">
        <v>766.69</v>
      </c>
      <c r="AC844" s="901">
        <v>766.69</v>
      </c>
      <c r="AD844" s="208">
        <v>766.69</v>
      </c>
      <c r="AE844" s="210">
        <v>548.27</v>
      </c>
      <c r="AF844" s="253">
        <v>1204.98</v>
      </c>
      <c r="AG844" s="253">
        <f t="shared" si="181"/>
        <v>577.23</v>
      </c>
      <c r="AH844" s="114"/>
      <c r="AK844" s="904"/>
      <c r="DF844" s="1434" t="str">
        <f t="shared" si="188"/>
        <v>ASHP-SEER17_ROF_MF</v>
      </c>
      <c r="DG844" s="1021"/>
      <c r="DH844" s="235" t="str">
        <f t="shared" si="194"/>
        <v>Heating Res 18 Year EUL</v>
      </c>
      <c r="DI844" s="1020">
        <f>(INDEX('Avoided Cost Benefits'!$B$4:$B$866,MATCH(DH844,'Avoided Cost Benefits'!$A$4:$A$866,0)))*F844</f>
        <v>349.8445775298058</v>
      </c>
      <c r="DJ844" s="2051">
        <f t="shared" si="186"/>
        <v>0</v>
      </c>
      <c r="DM844" s="234"/>
    </row>
    <row r="845" spans="1:117" x14ac:dyDescent="0.25">
      <c r="A845" s="2143" t="s">
        <v>602</v>
      </c>
      <c r="B845" s="1318">
        <f t="shared" si="185"/>
        <v>355000</v>
      </c>
      <c r="C845" s="18" t="s">
        <v>1278</v>
      </c>
      <c r="D845" s="1974" t="s">
        <v>810</v>
      </c>
      <c r="E845" s="198" t="s">
        <v>1279</v>
      </c>
      <c r="F845" s="208">
        <f>ROUND(((K1384*K1487*(1/K1590-1/K1693)*K1796)/1000)*$K$1800,2)</f>
        <v>321.52999999999997</v>
      </c>
      <c r="G845" s="540" t="s">
        <v>1030</v>
      </c>
      <c r="H845" s="66">
        <f>VLOOKUP(G845,'CP FACTORS'!$A$3:$B$38, 2, FALSE)</f>
        <v>9.4741810000000004E-4</v>
      </c>
      <c r="I845" s="961">
        <f t="shared" si="190"/>
        <v>0.30462299999999998</v>
      </c>
      <c r="J845" s="57">
        <f t="shared" ref="J845:J852" si="195">K1999</f>
        <v>18</v>
      </c>
      <c r="K845" s="152">
        <f t="shared" si="192"/>
        <v>855</v>
      </c>
      <c r="L845" s="167">
        <f>L971</f>
        <v>3.3</v>
      </c>
      <c r="M845" s="531"/>
      <c r="N845" s="542"/>
      <c r="O845" s="398"/>
      <c r="R845" s="510"/>
      <c r="T845" s="50"/>
      <c r="U845" s="544"/>
      <c r="V845" s="1307" t="s">
        <v>46</v>
      </c>
      <c r="W845" s="903">
        <v>355.04857142857139</v>
      </c>
      <c r="X845" s="236">
        <v>355.04857142857139</v>
      </c>
      <c r="Y845" s="208">
        <v>355.05</v>
      </c>
      <c r="Z845" s="208">
        <v>355.05</v>
      </c>
      <c r="AA845" s="208">
        <v>355.05</v>
      </c>
      <c r="AB845" s="960">
        <v>355.05</v>
      </c>
      <c r="AC845" s="901">
        <v>355.05</v>
      </c>
      <c r="AD845" s="208">
        <v>355.05</v>
      </c>
      <c r="AE845" s="210">
        <v>248.53</v>
      </c>
      <c r="AF845" s="253">
        <v>321.52999999999997</v>
      </c>
      <c r="AG845" s="253">
        <f t="shared" si="181"/>
        <v>321.52999999999997</v>
      </c>
      <c r="AH845" s="114"/>
      <c r="AK845" s="904"/>
      <c r="DF845" s="1434" t="str">
        <f t="shared" si="188"/>
        <v>ASHP-SEER18_ROF_MF</v>
      </c>
      <c r="DG845" s="1019">
        <f>(DI845+DI846)/(DJ845+DJ846)</f>
        <v>1.2892593888112049</v>
      </c>
      <c r="DH845" s="198" t="str">
        <f t="shared" si="194"/>
        <v>Cooling Res 18 Year EUL</v>
      </c>
      <c r="DI845" s="1020">
        <f>(INDEX('Avoided Cost Benefits'!$B$4:$B$866,MATCH(DH845,'Avoided Cost Benefits'!$A$4:$A$866,0)))*F845</f>
        <v>736.22939430150359</v>
      </c>
      <c r="DJ845" s="2051">
        <f t="shared" si="186"/>
        <v>855</v>
      </c>
      <c r="DM845" s="234"/>
    </row>
    <row r="846" spans="1:117" x14ac:dyDescent="0.25">
      <c r="A846" s="2143" t="s">
        <v>602</v>
      </c>
      <c r="B846" s="1318">
        <f t="shared" si="185"/>
        <v>355000</v>
      </c>
      <c r="C846" s="18" t="s">
        <v>1278</v>
      </c>
      <c r="D846" s="1974" t="s">
        <v>810</v>
      </c>
      <c r="E846" s="235" t="s">
        <v>1279</v>
      </c>
      <c r="F846" s="208">
        <f>ROUND(((K971*K1075*(1/K1178-1/K1281)*K1796)/1000)*$K$1800,2)</f>
        <v>604.03</v>
      </c>
      <c r="G846" s="540" t="s">
        <v>1031</v>
      </c>
      <c r="H846" s="66">
        <f>VLOOKUP(G846,'CP FACTORS'!$A$3:$B$38, 2, FALSE)</f>
        <v>0</v>
      </c>
      <c r="I846" s="961">
        <f t="shared" si="190"/>
        <v>0</v>
      </c>
      <c r="J846" s="57">
        <f t="shared" si="195"/>
        <v>18</v>
      </c>
      <c r="K846" s="152">
        <f t="shared" si="192"/>
        <v>0</v>
      </c>
      <c r="L846" s="167"/>
      <c r="M846" s="531"/>
      <c r="N846" s="542"/>
      <c r="O846" s="398"/>
      <c r="R846" s="510"/>
      <c r="T846" s="50"/>
      <c r="U846" s="544"/>
      <c r="V846" s="1307" t="s">
        <v>46</v>
      </c>
      <c r="W846" s="903">
        <v>1029.6000000000013</v>
      </c>
      <c r="X846" s="233">
        <v>766.69069188651167</v>
      </c>
      <c r="Y846" s="208">
        <v>766.69</v>
      </c>
      <c r="Z846" s="208">
        <v>766.69</v>
      </c>
      <c r="AA846" s="208">
        <v>766.69</v>
      </c>
      <c r="AB846" s="960">
        <v>766.69</v>
      </c>
      <c r="AC846" s="901">
        <v>766.69</v>
      </c>
      <c r="AD846" s="208">
        <v>766.69</v>
      </c>
      <c r="AE846" s="210">
        <v>548.27</v>
      </c>
      <c r="AF846" s="253">
        <v>1204.98</v>
      </c>
      <c r="AG846" s="253">
        <f t="shared" si="181"/>
        <v>604.03</v>
      </c>
      <c r="AH846" s="114"/>
      <c r="AK846" s="904"/>
      <c r="DF846" s="1434" t="str">
        <f t="shared" si="188"/>
        <v>ASHP-SEER18_ROF_MF</v>
      </c>
      <c r="DG846" s="1021"/>
      <c r="DH846" s="235" t="str">
        <f t="shared" si="194"/>
        <v>Heating Res 18 Year EUL</v>
      </c>
      <c r="DI846" s="1020">
        <f>(INDEX('Avoided Cost Benefits'!$B$4:$B$866,MATCH(DH846,'Avoided Cost Benefits'!$A$4:$A$866,0)))*F846</f>
        <v>366.08738313207664</v>
      </c>
      <c r="DJ846" s="2051">
        <f t="shared" si="186"/>
        <v>0</v>
      </c>
      <c r="DM846" s="234"/>
    </row>
    <row r="847" spans="1:117" x14ac:dyDescent="0.25">
      <c r="A847" s="2143" t="s">
        <v>602</v>
      </c>
      <c r="B847" s="1318">
        <f t="shared" si="185"/>
        <v>355050</v>
      </c>
      <c r="C847" s="18" t="s">
        <v>1280</v>
      </c>
      <c r="D847" s="1974" t="s">
        <v>810</v>
      </c>
      <c r="E847" s="198" t="s">
        <v>1281</v>
      </c>
      <c r="F847" s="208">
        <f>ROUND(((K1385*K1488*(1/K1591-1/K1694)*K1797)/1000)*$K$1800,2)</f>
        <v>386.93</v>
      </c>
      <c r="G847" s="540" t="s">
        <v>1030</v>
      </c>
      <c r="H847" s="66">
        <f>VLOOKUP(G847,'CP FACTORS'!$A$3:$B$38, 2, FALSE)</f>
        <v>9.4741810000000004E-4</v>
      </c>
      <c r="I847" s="961">
        <f t="shared" si="190"/>
        <v>0.36658400000000002</v>
      </c>
      <c r="J847" s="57">
        <f t="shared" si="195"/>
        <v>18</v>
      </c>
      <c r="K847" s="152">
        <f t="shared" si="192"/>
        <v>1081</v>
      </c>
      <c r="L847" s="167">
        <f>L972</f>
        <v>3.3</v>
      </c>
      <c r="M847" s="531"/>
      <c r="N847" s="542"/>
      <c r="O847" s="398"/>
      <c r="R847" s="510"/>
      <c r="T847" s="50"/>
      <c r="U847" s="544"/>
      <c r="V847" s="1307" t="s">
        <v>46</v>
      </c>
      <c r="W847" s="903">
        <v>420.45225563909776</v>
      </c>
      <c r="X847" s="236">
        <v>420.45225563909776</v>
      </c>
      <c r="Y847" s="208">
        <v>420.45</v>
      </c>
      <c r="Z847" s="208">
        <v>420.45</v>
      </c>
      <c r="AA847" s="208">
        <v>420.45</v>
      </c>
      <c r="AB847" s="960">
        <v>420.45</v>
      </c>
      <c r="AC847" s="901">
        <v>420.45</v>
      </c>
      <c r="AD847" s="208">
        <v>420.45</v>
      </c>
      <c r="AE847" s="210">
        <v>313.94</v>
      </c>
      <c r="AF847" s="253">
        <v>386.93</v>
      </c>
      <c r="AG847" s="253">
        <f t="shared" si="181"/>
        <v>386.93</v>
      </c>
      <c r="AH847" s="114"/>
      <c r="AK847" s="904"/>
      <c r="DF847" s="1434" t="str">
        <f t="shared" si="188"/>
        <v>ASHP-SEER19_ROF_MF</v>
      </c>
      <c r="DG847" s="1019">
        <f>(DI847+DI848)/(DJ847+DJ848)</f>
        <v>1.196508982675567</v>
      </c>
      <c r="DH847" s="198" t="str">
        <f t="shared" si="194"/>
        <v>Cooling Res 18 Year EUL</v>
      </c>
      <c r="DI847" s="1020">
        <f>(INDEX('Avoided Cost Benefits'!$B$4:$B$866,MATCH(DH847,'Avoided Cost Benefits'!$A$4:$A$866,0)))*F847</f>
        <v>885.98028033801131</v>
      </c>
      <c r="DJ847" s="2051">
        <f t="shared" si="186"/>
        <v>1081</v>
      </c>
      <c r="DM847" s="234"/>
    </row>
    <row r="848" spans="1:117" x14ac:dyDescent="0.25">
      <c r="A848" s="2143" t="s">
        <v>602</v>
      </c>
      <c r="B848" s="1318">
        <f t="shared" si="185"/>
        <v>355050</v>
      </c>
      <c r="C848" s="18" t="s">
        <v>1280</v>
      </c>
      <c r="D848" s="1974" t="s">
        <v>810</v>
      </c>
      <c r="E848" s="235" t="s">
        <v>1281</v>
      </c>
      <c r="F848" s="208">
        <f>ROUND(((K972*K1076*(1/K1179-1/K1282)*K1797)/1000)*$K$1800,2)</f>
        <v>672.27</v>
      </c>
      <c r="G848" s="540" t="s">
        <v>1031</v>
      </c>
      <c r="H848" s="66">
        <f>VLOOKUP(G848,'CP FACTORS'!$A$3:$B$38, 2, FALSE)</f>
        <v>0</v>
      </c>
      <c r="I848" s="961">
        <f t="shared" si="190"/>
        <v>0</v>
      </c>
      <c r="J848" s="57">
        <f t="shared" si="195"/>
        <v>18</v>
      </c>
      <c r="K848" s="152">
        <f t="shared" si="192"/>
        <v>0</v>
      </c>
      <c r="L848" s="167"/>
      <c r="M848" s="531"/>
      <c r="N848" s="542"/>
      <c r="O848" s="398"/>
      <c r="R848" s="510"/>
      <c r="T848" s="50"/>
      <c r="U848" s="544"/>
      <c r="V848" s="1307" t="s">
        <v>46</v>
      </c>
      <c r="W848" s="903">
        <v>1029.6000000000013</v>
      </c>
      <c r="X848" s="233">
        <v>766.69069188651167</v>
      </c>
      <c r="Y848" s="208">
        <v>766.69</v>
      </c>
      <c r="Z848" s="208">
        <v>766.69</v>
      </c>
      <c r="AA848" s="208">
        <v>766.69</v>
      </c>
      <c r="AB848" s="960">
        <v>766.69</v>
      </c>
      <c r="AC848" s="901">
        <v>766.69</v>
      </c>
      <c r="AD848" s="208">
        <v>766.69</v>
      </c>
      <c r="AE848" s="210">
        <v>548.27</v>
      </c>
      <c r="AF848" s="253">
        <v>1204.98</v>
      </c>
      <c r="AG848" s="253">
        <f t="shared" si="181"/>
        <v>672.27</v>
      </c>
      <c r="AH848" s="114"/>
      <c r="AK848" s="904"/>
      <c r="DF848" s="1434" t="str">
        <f t="shared" si="188"/>
        <v>ASHP-SEER19_ROF_MF</v>
      </c>
      <c r="DG848" s="1021"/>
      <c r="DH848" s="235" t="str">
        <f t="shared" si="194"/>
        <v>Heating Res 18 Year EUL</v>
      </c>
      <c r="DI848" s="1020">
        <f>(INDEX('Avoided Cost Benefits'!$B$4:$B$866,MATCH(DH848,'Avoided Cost Benefits'!$A$4:$A$866,0)))*F848</f>
        <v>407.44592993427671</v>
      </c>
      <c r="DJ848" s="2051">
        <f t="shared" si="186"/>
        <v>0</v>
      </c>
      <c r="DM848" s="234"/>
    </row>
    <row r="849" spans="1:117" x14ac:dyDescent="0.25">
      <c r="A849" s="2143" t="s">
        <v>602</v>
      </c>
      <c r="B849" s="1318">
        <f t="shared" si="185"/>
        <v>355100</v>
      </c>
      <c r="C849" s="18" t="s">
        <v>1282</v>
      </c>
      <c r="D849" s="1974" t="s">
        <v>810</v>
      </c>
      <c r="E849" s="198" t="s">
        <v>1283</v>
      </c>
      <c r="F849" s="208">
        <f>ROUND(((K1386*K1489*(1/K1592-1/K1695)*K1798)/1000)*$K$1800,2)</f>
        <v>445.8</v>
      </c>
      <c r="G849" s="540" t="s">
        <v>1030</v>
      </c>
      <c r="H849" s="66">
        <f>VLOOKUP(G849,'CP FACTORS'!$A$3:$B$38, 2, FALSE)</f>
        <v>9.4741810000000004E-4</v>
      </c>
      <c r="I849" s="961">
        <f t="shared" si="190"/>
        <v>0.42235899999999998</v>
      </c>
      <c r="J849" s="57">
        <f t="shared" si="195"/>
        <v>18</v>
      </c>
      <c r="K849" s="152">
        <f t="shared" si="192"/>
        <v>1081</v>
      </c>
      <c r="L849" s="167">
        <f>L973</f>
        <v>3.3</v>
      </c>
      <c r="M849" s="531"/>
      <c r="N849" s="542"/>
      <c r="O849" s="398"/>
      <c r="R849" s="510"/>
      <c r="T849" s="50"/>
      <c r="U849" s="544"/>
      <c r="V849" s="1307" t="s">
        <v>46</v>
      </c>
      <c r="W849" s="903">
        <v>479.31557142857133</v>
      </c>
      <c r="X849" s="236">
        <v>479.31557142857133</v>
      </c>
      <c r="Y849" s="208">
        <v>479.32</v>
      </c>
      <c r="Z849" s="208">
        <v>479.32</v>
      </c>
      <c r="AA849" s="208">
        <v>479.32</v>
      </c>
      <c r="AB849" s="960">
        <v>479.32</v>
      </c>
      <c r="AC849" s="901">
        <v>479.32</v>
      </c>
      <c r="AD849" s="208">
        <v>479.32</v>
      </c>
      <c r="AE849" s="210">
        <v>372.8</v>
      </c>
      <c r="AF849" s="253">
        <v>445.8</v>
      </c>
      <c r="AG849" s="253">
        <f t="shared" si="181"/>
        <v>445.8</v>
      </c>
      <c r="AH849" s="114"/>
      <c r="AK849" s="904"/>
      <c r="DF849" s="1434" t="str">
        <f t="shared" si="188"/>
        <v>ASHP-SEER20_ROF_MF</v>
      </c>
      <c r="DG849" s="1019">
        <f>(DI849+DI850)/(DJ849+DJ850)</f>
        <v>1.3888957634903127</v>
      </c>
      <c r="DH849" s="198" t="str">
        <f t="shared" si="194"/>
        <v>Cooling Res 18 Year EUL</v>
      </c>
      <c r="DI849" s="1020">
        <f>(INDEX('Avoided Cost Benefits'!$B$4:$B$866,MATCH(DH849,'Avoided Cost Benefits'!$A$4:$A$866,0)))*F849</f>
        <v>1020.7789754598648</v>
      </c>
      <c r="DJ849" s="2051">
        <f t="shared" si="186"/>
        <v>1081</v>
      </c>
      <c r="DM849" s="234"/>
    </row>
    <row r="850" spans="1:117" x14ac:dyDescent="0.25">
      <c r="A850" s="2143" t="s">
        <v>602</v>
      </c>
      <c r="B850" s="1318">
        <f t="shared" si="185"/>
        <v>355100</v>
      </c>
      <c r="C850" s="18" t="s">
        <v>1282</v>
      </c>
      <c r="D850" s="1974" t="s">
        <v>810</v>
      </c>
      <c r="E850" s="235" t="s">
        <v>1283</v>
      </c>
      <c r="F850" s="208">
        <f>ROUND(((K973*K1077*(1/K1180-1/K1283)*K1798)/1000)*$K$1800,2)</f>
        <v>793</v>
      </c>
      <c r="G850" s="540" t="s">
        <v>1031</v>
      </c>
      <c r="H850" s="66">
        <f>VLOOKUP(G850,'CP FACTORS'!$A$3:$B$38, 2, FALSE)</f>
        <v>0</v>
      </c>
      <c r="I850" s="961">
        <f t="shared" si="190"/>
        <v>0</v>
      </c>
      <c r="J850" s="57">
        <f t="shared" si="195"/>
        <v>18</v>
      </c>
      <c r="K850" s="152">
        <f t="shared" si="192"/>
        <v>0</v>
      </c>
      <c r="L850" s="167"/>
      <c r="M850" s="531"/>
      <c r="N850" s="542"/>
      <c r="O850" s="398"/>
      <c r="R850" s="510"/>
      <c r="T850" s="50"/>
      <c r="U850" s="544"/>
      <c r="V850" s="1307" t="s">
        <v>46</v>
      </c>
      <c r="W850" s="903">
        <v>1029.6000000000013</v>
      </c>
      <c r="X850" s="233">
        <v>766.69069188651167</v>
      </c>
      <c r="Y850" s="208">
        <v>766.69</v>
      </c>
      <c r="Z850" s="208">
        <v>766.69</v>
      </c>
      <c r="AA850" s="208">
        <v>766.69</v>
      </c>
      <c r="AB850" s="960">
        <v>766.69</v>
      </c>
      <c r="AC850" s="901">
        <v>766.69</v>
      </c>
      <c r="AD850" s="208">
        <v>766.69</v>
      </c>
      <c r="AE850" s="210">
        <v>548.27</v>
      </c>
      <c r="AF850" s="253">
        <v>1204.98</v>
      </c>
      <c r="AG850" s="253">
        <f t="shared" si="181"/>
        <v>793</v>
      </c>
      <c r="AH850" s="114"/>
      <c r="AK850" s="904"/>
      <c r="DF850" s="1434" t="str">
        <f t="shared" si="188"/>
        <v>ASHP-SEER20_ROF_MF</v>
      </c>
      <c r="DG850" s="1021"/>
      <c r="DH850" s="235" t="str">
        <f t="shared" si="194"/>
        <v>Heating Res 18 Year EUL</v>
      </c>
      <c r="DI850" s="1020">
        <f>(INDEX('Avoided Cost Benefits'!$B$4:$B$866,MATCH(DH850,'Avoided Cost Benefits'!$A$4:$A$866,0)))*F850</f>
        <v>480.61734487316323</v>
      </c>
      <c r="DJ850" s="2051">
        <f t="shared" si="186"/>
        <v>0</v>
      </c>
      <c r="DM850" s="234"/>
    </row>
    <row r="851" spans="1:117" ht="15.75" customHeight="1" x14ac:dyDescent="0.25">
      <c r="A851" s="2143" t="s">
        <v>602</v>
      </c>
      <c r="B851" s="1318">
        <f t="shared" si="185"/>
        <v>355150</v>
      </c>
      <c r="C851" s="18" t="s">
        <v>1284</v>
      </c>
      <c r="D851" s="1974" t="s">
        <v>810</v>
      </c>
      <c r="E851" s="198" t="s">
        <v>1285</v>
      </c>
      <c r="F851" s="208">
        <f>ROUND(((K1387*K1490*(1/K1593-1/K1696)*K1799)/1000)*$K$1800,2)</f>
        <v>499.05</v>
      </c>
      <c r="G851" s="540" t="s">
        <v>1030</v>
      </c>
      <c r="H851" s="66">
        <f>VLOOKUP(G851,'CP FACTORS'!$A$3:$B$38, 2, FALSE)</f>
        <v>9.4741810000000004E-4</v>
      </c>
      <c r="I851" s="961">
        <f t="shared" si="190"/>
        <v>0.47280899999999998</v>
      </c>
      <c r="J851" s="57">
        <f t="shared" si="195"/>
        <v>18</v>
      </c>
      <c r="K851" s="152">
        <f t="shared" si="192"/>
        <v>1081</v>
      </c>
      <c r="L851" s="167">
        <f>L974</f>
        <v>3.3</v>
      </c>
      <c r="M851" s="531"/>
      <c r="N851" s="542"/>
      <c r="O851" s="398"/>
      <c r="R851" s="510"/>
      <c r="T851" s="50"/>
      <c r="U851" s="544"/>
      <c r="V851" s="1307" t="s">
        <v>46</v>
      </c>
      <c r="W851" s="903">
        <v>532.57285714285706</v>
      </c>
      <c r="X851" s="236">
        <v>532.57285714285706</v>
      </c>
      <c r="Y851" s="208">
        <v>532.57000000000005</v>
      </c>
      <c r="Z851" s="208">
        <v>532.57000000000005</v>
      </c>
      <c r="AA851" s="208">
        <v>532.57000000000005</v>
      </c>
      <c r="AB851" s="960">
        <v>532.57000000000005</v>
      </c>
      <c r="AC851" s="901">
        <v>532.57000000000005</v>
      </c>
      <c r="AD851" s="208">
        <v>532.57000000000005</v>
      </c>
      <c r="AE851" s="210">
        <v>426.06</v>
      </c>
      <c r="AF851" s="253">
        <v>499.05</v>
      </c>
      <c r="AG851" s="253">
        <f t="shared" si="181"/>
        <v>499.05</v>
      </c>
      <c r="AH851" s="114"/>
      <c r="AK851" s="904"/>
      <c r="DF851" s="1434" t="str">
        <f t="shared" si="188"/>
        <v>ASHP-SEER21_ROF_MF</v>
      </c>
      <c r="DG851" s="1019">
        <f>(DI851+DI852)/(DJ851+DJ852)</f>
        <v>1.5288256579988275</v>
      </c>
      <c r="DH851" s="198" t="str">
        <f t="shared" si="194"/>
        <v>Cooling Res 18 Year EUL</v>
      </c>
      <c r="DI851" s="1020">
        <f>(INDEX('Avoided Cost Benefits'!$B$4:$B$866,MATCH(DH851,'Avoided Cost Benefits'!$A$4:$A$866,0)))*F851</f>
        <v>1142.7091693657369</v>
      </c>
      <c r="DJ851" s="2051">
        <f t="shared" si="186"/>
        <v>1081</v>
      </c>
      <c r="DM851" s="234"/>
    </row>
    <row r="852" spans="1:117" x14ac:dyDescent="0.25">
      <c r="A852" s="2143" t="s">
        <v>602</v>
      </c>
      <c r="B852" s="1318">
        <f t="shared" si="185"/>
        <v>355150</v>
      </c>
      <c r="C852" s="18" t="s">
        <v>1284</v>
      </c>
      <c r="D852" s="1974" t="s">
        <v>810</v>
      </c>
      <c r="E852" s="235" t="s">
        <v>1285</v>
      </c>
      <c r="F852" s="208">
        <f>ROUND(((K974*K1078*(1/K1181-1/K1284)*K1799)/1000)*$K$1800,2)</f>
        <v>841.4</v>
      </c>
      <c r="G852" s="540" t="s">
        <v>1031</v>
      </c>
      <c r="H852" s="66">
        <f>VLOOKUP(G852,'CP FACTORS'!$A$3:$B$38, 2, FALSE)</f>
        <v>0</v>
      </c>
      <c r="I852" s="961">
        <f t="shared" si="190"/>
        <v>0</v>
      </c>
      <c r="J852" s="57">
        <f t="shared" si="195"/>
        <v>18</v>
      </c>
      <c r="K852" s="152">
        <f t="shared" si="192"/>
        <v>0</v>
      </c>
      <c r="L852" s="167"/>
      <c r="M852" s="531"/>
      <c r="N852" s="542"/>
      <c r="O852" s="398"/>
      <c r="R852" s="510"/>
      <c r="T852" s="50"/>
      <c r="U852" s="544"/>
      <c r="V852" s="1307" t="s">
        <v>46</v>
      </c>
      <c r="W852" s="903">
        <v>1029.6000000000013</v>
      </c>
      <c r="X852" s="233">
        <v>766.69069188651167</v>
      </c>
      <c r="Y852" s="208">
        <v>766.69</v>
      </c>
      <c r="Z852" s="208">
        <v>766.69</v>
      </c>
      <c r="AA852" s="208">
        <v>766.69</v>
      </c>
      <c r="AB852" s="960">
        <v>766.69</v>
      </c>
      <c r="AC852" s="901">
        <v>766.69</v>
      </c>
      <c r="AD852" s="208">
        <v>766.69</v>
      </c>
      <c r="AE852" s="210">
        <v>548.27</v>
      </c>
      <c r="AF852" s="253">
        <v>1204.98</v>
      </c>
      <c r="AG852" s="253">
        <f t="shared" si="181"/>
        <v>841.4</v>
      </c>
      <c r="AH852" s="114"/>
      <c r="AK852" s="904"/>
      <c r="DF852" s="1434" t="str">
        <f t="shared" si="188"/>
        <v>ASHP-SEER21_ROF_MF</v>
      </c>
      <c r="DG852" s="1021"/>
      <c r="DH852" s="235" t="str">
        <f t="shared" si="194"/>
        <v>Heating Res 18 Year EUL</v>
      </c>
      <c r="DI852" s="1020">
        <f>(INDEX('Avoided Cost Benefits'!$B$4:$B$866,MATCH(DH852,'Avoided Cost Benefits'!$A$4:$A$866,0)))*F852</f>
        <v>509.95136693099562</v>
      </c>
      <c r="DJ852" s="2051">
        <f t="shared" si="186"/>
        <v>0</v>
      </c>
      <c r="DM852" s="234"/>
    </row>
    <row r="853" spans="1:117" outlineLevel="1" x14ac:dyDescent="0.25">
      <c r="A853" s="2143"/>
      <c r="C853" s="49"/>
      <c r="D853" s="74" t="s">
        <v>95</v>
      </c>
      <c r="E853" s="50" t="s">
        <v>1036</v>
      </c>
      <c r="F853" s="100"/>
      <c r="G853" s="539"/>
      <c r="H853" s="100" t="s">
        <v>1021</v>
      </c>
      <c r="I853" s="49"/>
      <c r="J853" s="49"/>
      <c r="K853" s="49"/>
      <c r="L853" s="49"/>
      <c r="M853" s="531"/>
      <c r="N853" s="49"/>
      <c r="Q853" s="100"/>
      <c r="T853" s="50"/>
      <c r="U853" s="50"/>
      <c r="V853" s="50"/>
      <c r="DG853" s="543"/>
      <c r="DH853" s="238"/>
      <c r="DI853" s="1020"/>
      <c r="DJ853" s="2045"/>
    </row>
    <row r="854" spans="1:117" outlineLevel="1" x14ac:dyDescent="0.25">
      <c r="A854" s="2143"/>
      <c r="C854" s="49"/>
      <c r="D854" s="71" t="s">
        <v>609</v>
      </c>
      <c r="E854" s="100" t="s">
        <v>1038</v>
      </c>
      <c r="F854" s="100"/>
      <c r="G854" s="539"/>
      <c r="H854" s="100" t="s">
        <v>1286</v>
      </c>
      <c r="I854" s="49"/>
      <c r="J854" s="49"/>
      <c r="K854" s="49"/>
      <c r="L854" s="49"/>
      <c r="M854" s="531"/>
      <c r="N854" s="49"/>
      <c r="Q854" s="100"/>
      <c r="T854" s="50"/>
      <c r="U854" s="50"/>
      <c r="V854" s="50"/>
      <c r="DG854" s="543"/>
      <c r="DH854" s="149"/>
      <c r="DI854" s="1020"/>
      <c r="DJ854" s="2045"/>
    </row>
    <row r="855" spans="1:117" outlineLevel="1" x14ac:dyDescent="0.25">
      <c r="A855" s="2143"/>
      <c r="C855" s="49"/>
      <c r="D855" s="71"/>
      <c r="E855" s="100" t="s">
        <v>1039</v>
      </c>
      <c r="G855" s="100"/>
      <c r="M855" s="531"/>
      <c r="T855" s="50"/>
      <c r="U855" s="50"/>
      <c r="V855" s="50"/>
      <c r="DG855" s="543"/>
      <c r="DH855" s="149"/>
      <c r="DI855" s="1020"/>
      <c r="DJ855" s="2045"/>
    </row>
    <row r="856" spans="1:117" outlineLevel="1" x14ac:dyDescent="0.25">
      <c r="A856" s="2143"/>
      <c r="C856" s="49"/>
      <c r="D856" s="100"/>
      <c r="E856" s="100" t="s">
        <v>1040</v>
      </c>
      <c r="G856" s="100"/>
      <c r="H856" s="49"/>
      <c r="M856" s="531"/>
      <c r="T856" s="50"/>
      <c r="U856" s="50"/>
      <c r="V856" s="50"/>
      <c r="DG856" s="543"/>
      <c r="DH856" s="149"/>
      <c r="DI856" s="1020"/>
      <c r="DJ856" s="2045"/>
    </row>
    <row r="857" spans="1:117" outlineLevel="1" x14ac:dyDescent="0.25">
      <c r="A857" s="2143"/>
      <c r="C857" s="49"/>
      <c r="D857" s="100"/>
      <c r="E857" s="100" t="s">
        <v>1041</v>
      </c>
      <c r="G857" s="100"/>
      <c r="H857" s="49"/>
      <c r="M857" s="531"/>
      <c r="T857" s="50"/>
      <c r="U857" s="50"/>
      <c r="V857" s="50"/>
      <c r="DG857" s="543"/>
      <c r="DH857" s="149"/>
      <c r="DI857" s="1020"/>
      <c r="DJ857" s="2045"/>
    </row>
    <row r="858" spans="1:117" outlineLevel="1" x14ac:dyDescent="0.25">
      <c r="A858" s="2143"/>
      <c r="C858" s="49"/>
      <c r="D858" s="100"/>
      <c r="E858" s="100"/>
      <c r="G858" s="100"/>
      <c r="H858" s="49"/>
      <c r="M858" s="531"/>
      <c r="T858" s="50"/>
      <c r="U858" s="50"/>
      <c r="V858" s="50"/>
      <c r="DG858" s="543"/>
      <c r="DH858" s="149"/>
      <c r="DI858" s="1020"/>
      <c r="DJ858" s="2045"/>
    </row>
    <row r="859" spans="1:117" outlineLevel="1" x14ac:dyDescent="0.25">
      <c r="A859" s="2143"/>
      <c r="C859" s="49"/>
      <c r="D859" s="100"/>
      <c r="E859" s="100" t="s">
        <v>1042</v>
      </c>
      <c r="G859" s="100"/>
      <c r="H859" s="49"/>
      <c r="M859" s="531"/>
      <c r="T859" s="50"/>
      <c r="U859" s="50"/>
      <c r="V859" s="50"/>
      <c r="DG859" s="543"/>
      <c r="DH859" s="149"/>
      <c r="DI859" s="1020"/>
      <c r="DJ859" s="2045"/>
    </row>
    <row r="860" spans="1:117" outlineLevel="1" x14ac:dyDescent="0.25">
      <c r="A860" s="2143"/>
      <c r="C860" s="49"/>
      <c r="D860" s="100"/>
      <c r="E860" s="100" t="s">
        <v>1043</v>
      </c>
      <c r="G860" s="100"/>
      <c r="H860" s="49"/>
      <c r="M860" s="531"/>
      <c r="T860" s="50"/>
      <c r="U860" s="50"/>
      <c r="V860" s="50"/>
      <c r="DG860" s="543"/>
      <c r="DH860" s="149"/>
      <c r="DI860" s="1020"/>
      <c r="DJ860" s="2045"/>
    </row>
    <row r="861" spans="1:117" outlineLevel="1" x14ac:dyDescent="0.25">
      <c r="A861" s="2143"/>
      <c r="C861" s="49"/>
      <c r="D861" s="100"/>
      <c r="E861" s="100" t="s">
        <v>1044</v>
      </c>
      <c r="G861" s="100"/>
      <c r="H861" s="49"/>
      <c r="M861" s="531"/>
      <c r="T861" s="50"/>
      <c r="U861" s="50"/>
      <c r="V861" s="50"/>
      <c r="DG861" s="543"/>
      <c r="DH861" s="149"/>
      <c r="DI861" s="1020"/>
      <c r="DJ861" s="2045"/>
    </row>
    <row r="862" spans="1:117" outlineLevel="1" x14ac:dyDescent="0.25">
      <c r="A862" s="2143"/>
      <c r="C862" s="49"/>
      <c r="D862" s="100"/>
      <c r="E862" s="100" t="s">
        <v>1040</v>
      </c>
      <c r="G862" s="100"/>
      <c r="H862" s="49"/>
      <c r="M862" s="531"/>
      <c r="T862" s="50"/>
      <c r="U862" s="50"/>
      <c r="V862" s="50"/>
      <c r="DG862" s="543"/>
      <c r="DH862" s="149"/>
      <c r="DI862" s="1020"/>
      <c r="DJ862" s="2045"/>
    </row>
    <row r="863" spans="1:117" outlineLevel="1" x14ac:dyDescent="0.25">
      <c r="A863" s="2143"/>
      <c r="C863" s="49"/>
      <c r="D863" s="100"/>
      <c r="E863" s="100" t="s">
        <v>1045</v>
      </c>
      <c r="G863" s="100"/>
      <c r="H863" s="49"/>
      <c r="M863" s="531"/>
      <c r="T863" s="50"/>
      <c r="U863" s="50"/>
      <c r="V863" s="50"/>
      <c r="DG863" s="543"/>
      <c r="DH863" s="149"/>
      <c r="DI863" s="1020"/>
      <c r="DJ863" s="2045"/>
    </row>
    <row r="864" spans="1:117" outlineLevel="1" x14ac:dyDescent="0.25">
      <c r="A864" s="2143"/>
      <c r="C864" s="49"/>
      <c r="D864" s="100"/>
      <c r="E864" s="100" t="s">
        <v>1046</v>
      </c>
      <c r="G864" s="100"/>
      <c r="H864" s="49"/>
      <c r="M864" s="531"/>
      <c r="T864" s="50"/>
      <c r="U864" s="50"/>
      <c r="V864" s="50"/>
      <c r="DG864" s="543"/>
      <c r="DH864" s="149"/>
      <c r="DI864" s="1020"/>
      <c r="DJ864" s="2045"/>
    </row>
    <row r="865" spans="1:114" outlineLevel="1" x14ac:dyDescent="0.25">
      <c r="A865" s="2143"/>
      <c r="C865" s="49"/>
      <c r="D865" s="100"/>
      <c r="E865" s="100" t="s">
        <v>1047</v>
      </c>
      <c r="G865" s="100"/>
      <c r="H865" s="49"/>
      <c r="M865" s="531"/>
      <c r="T865" s="50"/>
      <c r="U865" s="50"/>
      <c r="V865" s="50"/>
      <c r="DG865" s="543"/>
      <c r="DH865" s="149"/>
      <c r="DI865" s="1020"/>
      <c r="DJ865" s="2045"/>
    </row>
    <row r="866" spans="1:114" outlineLevel="1" x14ac:dyDescent="0.25">
      <c r="A866" s="2143"/>
      <c r="C866" s="49"/>
      <c r="D866" s="100"/>
      <c r="E866" s="100" t="s">
        <v>1040</v>
      </c>
      <c r="G866" s="100"/>
      <c r="J866" s="100"/>
      <c r="M866" s="531"/>
      <c r="T866" s="50"/>
      <c r="U866" s="50"/>
      <c r="V866" s="754"/>
      <c r="DG866" s="543"/>
      <c r="DH866" s="149"/>
      <c r="DI866" s="1020"/>
      <c r="DJ866" s="2045"/>
    </row>
    <row r="867" spans="1:114" outlineLevel="1" x14ac:dyDescent="0.25">
      <c r="A867" s="2143"/>
      <c r="C867" s="49"/>
      <c r="D867" s="100"/>
      <c r="E867" s="100" t="s">
        <v>1041</v>
      </c>
      <c r="G867" s="100"/>
      <c r="M867" s="531"/>
      <c r="T867" s="50"/>
      <c r="U867" s="50"/>
      <c r="V867" s="50"/>
      <c r="DG867" s="543"/>
      <c r="DH867" s="149"/>
      <c r="DI867" s="1020"/>
      <c r="DJ867" s="2045"/>
    </row>
    <row r="868" spans="1:114" outlineLevel="1" x14ac:dyDescent="0.25">
      <c r="A868" s="2143"/>
      <c r="C868" s="49"/>
      <c r="D868" s="100"/>
      <c r="E868" s="100"/>
      <c r="G868" s="100"/>
      <c r="H868" s="49"/>
      <c r="M868" s="531"/>
      <c r="T868" s="50"/>
      <c r="U868" s="50"/>
      <c r="V868" s="50"/>
      <c r="W868" s="905"/>
      <c r="DG868" s="543"/>
      <c r="DH868" s="149"/>
      <c r="DI868" s="1020"/>
      <c r="DJ868" s="2045"/>
    </row>
    <row r="869" spans="1:114" outlineLevel="1" x14ac:dyDescent="0.25">
      <c r="A869" s="2143"/>
      <c r="C869" s="49"/>
      <c r="D869" s="100"/>
      <c r="E869" s="50" t="s">
        <v>717</v>
      </c>
      <c r="M869" s="531"/>
      <c r="T869" s="50"/>
      <c r="U869" s="50"/>
      <c r="V869" s="50"/>
      <c r="DG869" s="543"/>
      <c r="DH869" s="149"/>
      <c r="DI869" s="1020"/>
      <c r="DJ869" s="2045"/>
    </row>
    <row r="870" spans="1:114" outlineLevel="1" x14ac:dyDescent="0.25">
      <c r="A870" s="2145"/>
      <c r="C870" s="49"/>
      <c r="D870" s="100"/>
      <c r="E870" s="100"/>
      <c r="Q870" s="1578" t="str">
        <f>B644</f>
        <v>Air Source Heat Pumps</v>
      </c>
      <c r="T870" s="50"/>
      <c r="U870" s="50"/>
      <c r="V870" s="50"/>
      <c r="DG870" s="543"/>
      <c r="DH870" s="149"/>
      <c r="DI870" s="1020"/>
      <c r="DJ870" s="2045"/>
    </row>
    <row r="871" spans="1:114" outlineLevel="1" x14ac:dyDescent="0.25">
      <c r="A871" s="2145"/>
      <c r="C871" s="49"/>
      <c r="D871" s="100"/>
      <c r="E871" s="100"/>
      <c r="K871" s="49"/>
      <c r="L871" s="49"/>
      <c r="M871" s="49"/>
      <c r="Q871" s="192"/>
      <c r="T871" s="50"/>
      <c r="U871" s="50"/>
      <c r="V871" s="50"/>
      <c r="DG871" s="543"/>
      <c r="DH871" s="149"/>
      <c r="DI871" s="1020"/>
      <c r="DJ871" s="2045"/>
    </row>
    <row r="872" spans="1:114" ht="30" customHeight="1" outlineLevel="1" x14ac:dyDescent="0.25">
      <c r="A872" s="2145"/>
      <c r="C872" s="49"/>
      <c r="D872" s="1309" t="s">
        <v>720</v>
      </c>
      <c r="E872" s="1309" t="s">
        <v>613</v>
      </c>
      <c r="F872" s="2406" t="s">
        <v>614</v>
      </c>
      <c r="G872" s="2406"/>
      <c r="H872" s="2406"/>
      <c r="I872" s="2406"/>
      <c r="J872" s="1242" t="s">
        <v>43</v>
      </c>
      <c r="K872" s="1242" t="s">
        <v>615</v>
      </c>
      <c r="L872" s="1242" t="s">
        <v>909</v>
      </c>
      <c r="M872" s="1309" t="s">
        <v>910</v>
      </c>
      <c r="S872" s="2432" t="s">
        <v>1048</v>
      </c>
      <c r="T872" s="2432"/>
      <c r="U872" s="50"/>
      <c r="V872" s="749" t="s">
        <v>53</v>
      </c>
      <c r="W872" s="637">
        <f>W$7</f>
        <v>43252</v>
      </c>
      <c r="X872" s="637">
        <f t="shared" ref="X872:AG872" si="196">X$7</f>
        <v>43800</v>
      </c>
      <c r="Y872" s="637">
        <f t="shared" si="196"/>
        <v>43800</v>
      </c>
      <c r="Z872" s="637">
        <f t="shared" si="196"/>
        <v>43862</v>
      </c>
      <c r="AA872" s="637">
        <f t="shared" si="196"/>
        <v>44013</v>
      </c>
      <c r="AB872" s="637">
        <f t="shared" si="196"/>
        <v>44166</v>
      </c>
      <c r="AC872" s="637">
        <f t="shared" si="196"/>
        <v>44531</v>
      </c>
      <c r="AD872" s="637">
        <f t="shared" si="196"/>
        <v>44774</v>
      </c>
      <c r="AE872" s="637">
        <f t="shared" si="196"/>
        <v>45139</v>
      </c>
      <c r="AF872" s="637">
        <f t="shared" si="196"/>
        <v>45672</v>
      </c>
      <c r="AG872" s="110">
        <f t="shared" si="196"/>
        <v>45931</v>
      </c>
      <c r="DG872" s="543"/>
      <c r="DH872" s="149"/>
      <c r="DI872" s="1020"/>
      <c r="DJ872" s="2045"/>
    </row>
    <row r="873" spans="1:114" ht="15" customHeight="1" outlineLevel="1" x14ac:dyDescent="0.25">
      <c r="A873" s="2145"/>
      <c r="C873" s="49"/>
      <c r="D873" s="2393" t="s">
        <v>1049</v>
      </c>
      <c r="E873" s="2393" t="s">
        <v>1050</v>
      </c>
      <c r="F873" s="2404" t="str">
        <f>$E$647</f>
        <v>ASHP-SEER15-Replace_CAC_ElectricHeat_ER1_SF</v>
      </c>
      <c r="G873" s="2404"/>
      <c r="H873" s="2404"/>
      <c r="I873" s="2404"/>
      <c r="J873" s="962" t="str">
        <f>$C$647</f>
        <v>352300_2024_12_</v>
      </c>
      <c r="K873" s="1515">
        <v>30871.809203867651</v>
      </c>
      <c r="L873" s="964">
        <f t="shared" ref="L873:L904" si="197">K873/12000</f>
        <v>2.5726507669889709</v>
      </c>
      <c r="M873" s="857" t="s">
        <v>929</v>
      </c>
      <c r="R873" s="1806" t="s">
        <v>915</v>
      </c>
      <c r="S873" s="1806" t="s">
        <v>991</v>
      </c>
      <c r="T873" s="1431" t="s">
        <v>992</v>
      </c>
      <c r="U873" s="50"/>
      <c r="V873" s="2393" t="s">
        <v>1049</v>
      </c>
      <c r="W873" s="1268">
        <v>33600</v>
      </c>
      <c r="X873" s="779">
        <f>3.06*12000</f>
        <v>36720</v>
      </c>
      <c r="Y873" s="779">
        <v>34800</v>
      </c>
      <c r="Z873" s="1268">
        <v>34800</v>
      </c>
      <c r="AA873" s="1268">
        <v>34800</v>
      </c>
      <c r="AB873" s="775">
        <v>34457.142857142855</v>
      </c>
      <c r="AC873" s="775">
        <v>34555.932203389835</v>
      </c>
      <c r="AD873" s="775">
        <v>32616.186021300451</v>
      </c>
      <c r="AE873" s="908">
        <v>30871.809203867651</v>
      </c>
      <c r="AF873" s="253">
        <v>30871.809203867651</v>
      </c>
      <c r="AG873" s="253">
        <f>IF(K873&lt;&gt;"",K873,"")</f>
        <v>30871.809203867651</v>
      </c>
      <c r="DG873" s="543"/>
      <c r="DH873" s="149"/>
      <c r="DI873" s="1020"/>
      <c r="DJ873" s="2045"/>
    </row>
    <row r="874" spans="1:114" ht="15" customHeight="1" outlineLevel="1" x14ac:dyDescent="0.25">
      <c r="A874" s="2145"/>
      <c r="C874" s="49"/>
      <c r="D874" s="2394"/>
      <c r="E874" s="2394"/>
      <c r="F874" s="2404" t="str">
        <f>$E$649</f>
        <v>ASHP-SEER15-Replace_CAC_ElectricHeat_ER2_SF</v>
      </c>
      <c r="G874" s="2404"/>
      <c r="H874" s="2404"/>
      <c r="I874" s="2404"/>
      <c r="J874" s="962" t="str">
        <f>$C$649</f>
        <v>352300_2024_12_</v>
      </c>
      <c r="K874" s="1515">
        <v>30871.809203867651</v>
      </c>
      <c r="L874" s="964">
        <f t="shared" si="197"/>
        <v>2.5726507669889709</v>
      </c>
      <c r="M874" s="857" t="s">
        <v>929</v>
      </c>
      <c r="R874" s="1805">
        <v>15.2</v>
      </c>
      <c r="S874" s="1805">
        <v>7000</v>
      </c>
      <c r="T874" s="68">
        <v>600</v>
      </c>
      <c r="U874" s="149"/>
      <c r="V874" s="2394"/>
      <c r="W874" s="1268">
        <v>33600</v>
      </c>
      <c r="X874" s="779">
        <f t="shared" ref="X874:X895" si="198">3.06*12000</f>
        <v>36720</v>
      </c>
      <c r="Y874" s="779">
        <v>34800</v>
      </c>
      <c r="Z874" s="1268">
        <v>34800</v>
      </c>
      <c r="AA874" s="1268">
        <v>34800</v>
      </c>
      <c r="AB874" s="775">
        <v>34457.142857142855</v>
      </c>
      <c r="AC874" s="775">
        <f>AC873</f>
        <v>34555.932203389835</v>
      </c>
      <c r="AD874" s="775">
        <v>32616.186021300451</v>
      </c>
      <c r="AE874" s="908">
        <v>30871.809203867651</v>
      </c>
      <c r="AF874" s="253">
        <v>30871.809203867651</v>
      </c>
      <c r="AG874" s="253">
        <f t="shared" ref="AG874:AG949" si="199">IF(K874&lt;&gt;"",K874,"")</f>
        <v>30871.809203867651</v>
      </c>
      <c r="DG874" s="543"/>
      <c r="DH874" s="149"/>
      <c r="DI874" s="1020"/>
      <c r="DJ874" s="2045"/>
    </row>
    <row r="875" spans="1:114" ht="15" customHeight="1" outlineLevel="1" x14ac:dyDescent="0.25">
      <c r="A875" s="2145"/>
      <c r="C875" s="49"/>
      <c r="D875" s="2394"/>
      <c r="E875" s="2394"/>
      <c r="F875" s="2404" t="str">
        <f>$E$651</f>
        <v>ASHP-SEER15-Replace_CAC_NonElectricHeat_ER1_SF</v>
      </c>
      <c r="G875" s="2404"/>
      <c r="H875" s="2404"/>
      <c r="I875" s="2404"/>
      <c r="J875" s="1506" t="str">
        <f>$C$651</f>
        <v>352310_2024_12_</v>
      </c>
      <c r="K875" s="1515">
        <v>30871.809203867651</v>
      </c>
      <c r="L875" s="964">
        <f t="shared" si="197"/>
        <v>2.5726507669889709</v>
      </c>
      <c r="M875" s="857" t="s">
        <v>929</v>
      </c>
      <c r="R875" s="1805">
        <v>16.2</v>
      </c>
      <c r="S875" s="1805">
        <v>7286</v>
      </c>
      <c r="T875" s="68">
        <v>600</v>
      </c>
      <c r="U875" s="149"/>
      <c r="V875" s="2394"/>
      <c r="W875" s="1268"/>
      <c r="X875" s="779"/>
      <c r="Y875" s="779"/>
      <c r="Z875" s="1268"/>
      <c r="AA875" s="1268"/>
      <c r="AB875" s="775"/>
      <c r="AC875" s="775">
        <v>34555.932203389835</v>
      </c>
      <c r="AD875" s="908">
        <v>32616.186021300451</v>
      </c>
      <c r="AE875" s="908">
        <v>30871.809203867651</v>
      </c>
      <c r="AF875" s="253">
        <v>30871.809203867651</v>
      </c>
      <c r="AG875" s="253">
        <f t="shared" si="199"/>
        <v>30871.809203867651</v>
      </c>
      <c r="DG875" s="543"/>
      <c r="DH875" s="149"/>
      <c r="DI875" s="1020"/>
      <c r="DJ875" s="2045"/>
    </row>
    <row r="876" spans="1:114" ht="15" customHeight="1" outlineLevel="1" x14ac:dyDescent="0.25">
      <c r="A876" s="2145"/>
      <c r="C876" s="49"/>
      <c r="D876" s="2394"/>
      <c r="E876" s="2394"/>
      <c r="F876" s="2404" t="str">
        <f>$E$653</f>
        <v>ASHP-SEER15-Replace_CAC_NonElectricHeat_ER2_SF</v>
      </c>
      <c r="G876" s="2404"/>
      <c r="H876" s="2404"/>
      <c r="I876" s="2404"/>
      <c r="J876" s="962" t="str">
        <f>$C$653</f>
        <v>352310_2024_12_</v>
      </c>
      <c r="K876" s="1515">
        <v>30871.809203867651</v>
      </c>
      <c r="L876" s="964">
        <f t="shared" si="197"/>
        <v>2.5726507669889709</v>
      </c>
      <c r="M876" s="857" t="s">
        <v>929</v>
      </c>
      <c r="R876" s="1805">
        <v>17.100000000000001</v>
      </c>
      <c r="S876" s="1805">
        <v>7495</v>
      </c>
      <c r="T876" s="68">
        <v>600</v>
      </c>
      <c r="U876" s="149"/>
      <c r="V876" s="2394"/>
      <c r="W876" s="1268"/>
      <c r="X876" s="779"/>
      <c r="Y876" s="779"/>
      <c r="Z876" s="1268"/>
      <c r="AA876" s="1268"/>
      <c r="AB876" s="775"/>
      <c r="AC876" s="775">
        <f>AC875</f>
        <v>34555.932203389835</v>
      </c>
      <c r="AD876" s="908">
        <v>32616.186021300451</v>
      </c>
      <c r="AE876" s="908">
        <v>30871.809203867651</v>
      </c>
      <c r="AF876" s="253">
        <v>30871.809203867651</v>
      </c>
      <c r="AG876" s="253">
        <f t="shared" si="199"/>
        <v>30871.809203867651</v>
      </c>
      <c r="DG876" s="543"/>
      <c r="DH876" s="149"/>
      <c r="DI876" s="1020"/>
      <c r="DJ876" s="2045"/>
    </row>
    <row r="877" spans="1:114" ht="15" customHeight="1" outlineLevel="1" x14ac:dyDescent="0.25">
      <c r="A877" s="2145"/>
      <c r="C877" s="49"/>
      <c r="D877" s="2394"/>
      <c r="E877" s="2394"/>
      <c r="F877" s="2404" t="str">
        <f>$E$655</f>
        <v>ASHP-SEER15_ER1_SF</v>
      </c>
      <c r="G877" s="2404"/>
      <c r="H877" s="2404"/>
      <c r="I877" s="2404"/>
      <c r="J877" s="962" t="str">
        <f>$C$655</f>
        <v>352350_2024_12_</v>
      </c>
      <c r="K877" s="1515">
        <v>30871.809203867651</v>
      </c>
      <c r="L877" s="964">
        <f t="shared" si="197"/>
        <v>2.5726507669889709</v>
      </c>
      <c r="M877" s="857" t="s">
        <v>929</v>
      </c>
      <c r="R877" s="1805">
        <v>18.100000000000001</v>
      </c>
      <c r="S877" s="1805">
        <v>7720</v>
      </c>
      <c r="T877" s="68">
        <v>600</v>
      </c>
      <c r="U877" s="149"/>
      <c r="V877" s="2394"/>
      <c r="W877" s="1268">
        <v>37200</v>
      </c>
      <c r="X877" s="779">
        <f t="shared" si="198"/>
        <v>36720</v>
      </c>
      <c r="Y877" s="779">
        <v>35160</v>
      </c>
      <c r="Z877" s="1268">
        <v>35160</v>
      </c>
      <c r="AA877" s="1268">
        <v>35160</v>
      </c>
      <c r="AB877" s="775">
        <v>37222.222222222219</v>
      </c>
      <c r="AC877" s="775">
        <v>37480.519480519484</v>
      </c>
      <c r="AD877" s="908">
        <v>32616.186021300451</v>
      </c>
      <c r="AE877" s="908">
        <v>30871.809203867651</v>
      </c>
      <c r="AF877" s="253">
        <v>30871.809203867651</v>
      </c>
      <c r="AG877" s="253">
        <f t="shared" si="199"/>
        <v>30871.809203867651</v>
      </c>
      <c r="DG877" s="543"/>
      <c r="DH877" s="149"/>
      <c r="DI877" s="1020"/>
      <c r="DJ877" s="2045"/>
    </row>
    <row r="878" spans="1:114" ht="15" customHeight="1" outlineLevel="1" x14ac:dyDescent="0.25">
      <c r="A878" s="2145"/>
      <c r="C878" s="49"/>
      <c r="D878" s="2394"/>
      <c r="E878" s="2394"/>
      <c r="F878" s="2404" t="str">
        <f>$E$657</f>
        <v>ASHP-SEER15_ER2_SF</v>
      </c>
      <c r="G878" s="2404"/>
      <c r="H878" s="2404"/>
      <c r="I878" s="2404"/>
      <c r="J878" s="962" t="str">
        <f>$C$657</f>
        <v>352350_2024_12_</v>
      </c>
      <c r="K878" s="1515">
        <v>30871.809203867651</v>
      </c>
      <c r="L878" s="964">
        <f t="shared" si="197"/>
        <v>2.5726507669889709</v>
      </c>
      <c r="M878" s="857" t="s">
        <v>929</v>
      </c>
      <c r="R878" s="1805">
        <v>19</v>
      </c>
      <c r="S878" s="1805">
        <v>7946</v>
      </c>
      <c r="T878" s="68">
        <v>600</v>
      </c>
      <c r="U878" s="149"/>
      <c r="V878" s="2394"/>
      <c r="W878" s="1268">
        <v>37200</v>
      </c>
      <c r="X878" s="779">
        <f t="shared" si="198"/>
        <v>36720</v>
      </c>
      <c r="Y878" s="779">
        <v>35160</v>
      </c>
      <c r="Z878" s="1268">
        <v>35160</v>
      </c>
      <c r="AA878" s="1268">
        <v>35160</v>
      </c>
      <c r="AB878" s="775">
        <v>37222.222222222219</v>
      </c>
      <c r="AC878" s="775">
        <f>AC877</f>
        <v>37480.519480519484</v>
      </c>
      <c r="AD878" s="908">
        <v>32616.186021300451</v>
      </c>
      <c r="AE878" s="908">
        <v>30871.809203867651</v>
      </c>
      <c r="AF878" s="253">
        <v>30871.809203867651</v>
      </c>
      <c r="AG878" s="253">
        <f t="shared" si="199"/>
        <v>30871.809203867651</v>
      </c>
      <c r="DG878" s="543"/>
      <c r="DH878" s="149"/>
      <c r="DI878" s="1020"/>
      <c r="DJ878" s="2045"/>
    </row>
    <row r="879" spans="1:114" ht="15" customHeight="1" outlineLevel="1" x14ac:dyDescent="0.25">
      <c r="A879" s="2145"/>
      <c r="C879" s="49"/>
      <c r="D879" s="2394"/>
      <c r="E879" s="2394"/>
      <c r="F879" s="2404" t="str">
        <f>$E$659</f>
        <v>ASHP-SEER15-Replace_CAC_ElectricHeat_ROF_SF</v>
      </c>
      <c r="G879" s="2404"/>
      <c r="H879" s="2404"/>
      <c r="I879" s="2404"/>
      <c r="J879" s="962" t="str">
        <f>$C$659</f>
        <v>352400_2024_12_</v>
      </c>
      <c r="K879" s="1515">
        <v>33671.908441765758</v>
      </c>
      <c r="L879" s="964">
        <f t="shared" si="197"/>
        <v>2.8059923701471465</v>
      </c>
      <c r="M879" s="857" t="s">
        <v>929</v>
      </c>
      <c r="T879" s="192"/>
      <c r="U879" s="149"/>
      <c r="V879" s="2394"/>
      <c r="W879" s="1268">
        <v>31200</v>
      </c>
      <c r="X879" s="779">
        <f t="shared" si="198"/>
        <v>36720</v>
      </c>
      <c r="Y879" s="779">
        <v>34320</v>
      </c>
      <c r="Z879" s="1268">
        <v>34320</v>
      </c>
      <c r="AA879" s="1268">
        <v>34320</v>
      </c>
      <c r="AB879" s="775">
        <v>35872.340425531918</v>
      </c>
      <c r="AC879" s="775">
        <v>37047.619047619046</v>
      </c>
      <c r="AD879" s="908">
        <v>33764.105504587154</v>
      </c>
      <c r="AE879" s="908">
        <v>33671.908441765758</v>
      </c>
      <c r="AF879" s="253">
        <v>33671.908441765758</v>
      </c>
      <c r="AG879" s="253">
        <f t="shared" si="199"/>
        <v>33671.908441765758</v>
      </c>
      <c r="DG879" s="543"/>
      <c r="DH879" s="149"/>
      <c r="DI879" s="1020"/>
      <c r="DJ879" s="2045"/>
    </row>
    <row r="880" spans="1:114" ht="15" customHeight="1" outlineLevel="1" x14ac:dyDescent="0.25">
      <c r="A880" s="2145"/>
      <c r="C880" s="49"/>
      <c r="D880" s="2394"/>
      <c r="E880" s="2394"/>
      <c r="F880" s="2404" t="str">
        <f>$E$661</f>
        <v>ASHP-SEER15-Replace_CAC_NonElectricHeat_ROF_SF</v>
      </c>
      <c r="G880" s="2404"/>
      <c r="H880" s="2404"/>
      <c r="I880" s="2404"/>
      <c r="J880" s="962" t="str">
        <f>$C$661</f>
        <v>352410_2024_12_</v>
      </c>
      <c r="K880" s="1515">
        <v>33671.908441765758</v>
      </c>
      <c r="L880" s="964">
        <f t="shared" si="197"/>
        <v>2.8059923701471465</v>
      </c>
      <c r="M880" s="857" t="s">
        <v>929</v>
      </c>
      <c r="S880" s="2432" t="s">
        <v>988</v>
      </c>
      <c r="T880" s="2432"/>
      <c r="U880" s="149"/>
      <c r="V880" s="2394"/>
      <c r="W880" s="1268"/>
      <c r="X880" s="779"/>
      <c r="Y880" s="779"/>
      <c r="Z880" s="1268"/>
      <c r="AA880" s="1268"/>
      <c r="AB880" s="775"/>
      <c r="AC880" s="775">
        <v>37047.619047619046</v>
      </c>
      <c r="AD880" s="908">
        <v>33764.105504587154</v>
      </c>
      <c r="AE880" s="908">
        <v>33671.908441765758</v>
      </c>
      <c r="AF880" s="253">
        <v>33671.908441765758</v>
      </c>
      <c r="AG880" s="253">
        <f t="shared" si="199"/>
        <v>33671.908441765758</v>
      </c>
      <c r="DG880" s="543"/>
      <c r="DH880" s="149"/>
      <c r="DI880" s="1020"/>
      <c r="DJ880" s="2045"/>
    </row>
    <row r="881" spans="1:114" ht="15.75" customHeight="1" outlineLevel="1" x14ac:dyDescent="0.25">
      <c r="A881" s="2145"/>
      <c r="C881" s="49"/>
      <c r="D881" s="2394"/>
      <c r="E881" s="2394"/>
      <c r="F881" s="1968" t="s">
        <v>1130</v>
      </c>
      <c r="G881" s="1969"/>
      <c r="H881" s="1969"/>
      <c r="I881" s="1970"/>
      <c r="J881" s="2095" t="str">
        <f>$C$663</f>
        <v>352420_2025_12_</v>
      </c>
      <c r="K881" s="1966">
        <v>24416.666666666664</v>
      </c>
      <c r="L881" s="1967">
        <f>K881/12000</f>
        <v>2.0347222222222219</v>
      </c>
      <c r="M881" s="1971" t="s">
        <v>932</v>
      </c>
      <c r="Q881" s="1806" t="s">
        <v>989</v>
      </c>
      <c r="R881" s="1806" t="s">
        <v>990</v>
      </c>
      <c r="S881" s="1806" t="s">
        <v>991</v>
      </c>
      <c r="T881" s="1431" t="s">
        <v>992</v>
      </c>
      <c r="U881" s="50"/>
      <c r="V881" s="2394"/>
      <c r="W881" s="1268"/>
      <c r="X881" s="1268"/>
      <c r="Y881" s="1268"/>
      <c r="Z881" s="1268"/>
      <c r="AA881" s="1268"/>
      <c r="AB881" s="1268"/>
      <c r="AC881" s="752"/>
      <c r="AD881" s="966"/>
      <c r="AE881" s="909"/>
      <c r="AF881" s="253"/>
      <c r="AG881" s="253">
        <f>IF(K881&lt;&gt;"",K881,"")</f>
        <v>24416.666666666664</v>
      </c>
      <c r="DG881" s="543"/>
      <c r="DH881" s="149"/>
      <c r="DI881" s="1020"/>
      <c r="DJ881" s="2045"/>
    </row>
    <row r="882" spans="1:114" ht="15.75" customHeight="1" outlineLevel="1" x14ac:dyDescent="0.25">
      <c r="A882" s="2145"/>
      <c r="C882" s="49"/>
      <c r="D882" s="2394"/>
      <c r="E882" s="2394"/>
      <c r="F882" s="1968" t="s">
        <v>1131</v>
      </c>
      <c r="G882" s="1969"/>
      <c r="H882" s="1969"/>
      <c r="I882" s="1970"/>
      <c r="J882" s="2095" t="str">
        <f>$C$664</f>
        <v>352420_2025_12_</v>
      </c>
      <c r="K882" s="1966">
        <v>24416.666666666664</v>
      </c>
      <c r="L882" s="1967">
        <f>K882/12000</f>
        <v>2.0347222222222219</v>
      </c>
      <c r="M882" s="1971" t="s">
        <v>932</v>
      </c>
      <c r="Q882" s="1249" t="s">
        <v>1058</v>
      </c>
      <c r="R882" s="1249" t="s">
        <v>1058</v>
      </c>
      <c r="S882" s="1249">
        <v>6865</v>
      </c>
      <c r="T882" s="68">
        <v>600</v>
      </c>
      <c r="U882" s="50"/>
      <c r="V882" s="2394"/>
      <c r="W882" s="1268"/>
      <c r="X882" s="1268"/>
      <c r="Y882" s="1268"/>
      <c r="Z882" s="1268"/>
      <c r="AA882" s="1268"/>
      <c r="AB882" s="1268"/>
      <c r="AC882" s="752"/>
      <c r="AD882" s="966"/>
      <c r="AE882" s="909"/>
      <c r="AF882" s="253"/>
      <c r="AG882" s="253">
        <f>IF(K882&lt;&gt;"",K882,"")</f>
        <v>24416.666666666664</v>
      </c>
      <c r="DG882" s="543"/>
      <c r="DH882" s="149"/>
      <c r="DI882" s="1020"/>
      <c r="DJ882" s="2045"/>
    </row>
    <row r="883" spans="1:114" ht="15.75" customHeight="1" outlineLevel="1" x14ac:dyDescent="0.25">
      <c r="A883" s="2145"/>
      <c r="C883" s="49"/>
      <c r="D883" s="2394"/>
      <c r="E883" s="2394"/>
      <c r="F883" s="1968" t="s">
        <v>1133</v>
      </c>
      <c r="G883" s="1969"/>
      <c r="H883" s="1969"/>
      <c r="I883" s="1970"/>
      <c r="J883" s="2095" t="str">
        <f>$C$667</f>
        <v>352425_2025_12_</v>
      </c>
      <c r="K883" s="1966">
        <v>34400</v>
      </c>
      <c r="L883" s="1967">
        <f>K883/12000</f>
        <v>2.8666666666666667</v>
      </c>
      <c r="M883" s="1971" t="s">
        <v>932</v>
      </c>
      <c r="Q883" s="1249" t="s">
        <v>993</v>
      </c>
      <c r="R883" s="1249" t="s">
        <v>993</v>
      </c>
      <c r="S883" s="1249">
        <f>2011+3338</f>
        <v>5349</v>
      </c>
      <c r="T883" s="68"/>
      <c r="U883" s="50"/>
      <c r="V883" s="2394"/>
      <c r="W883" s="1268"/>
      <c r="X883" s="1268"/>
      <c r="Y883" s="1268"/>
      <c r="Z883" s="1268"/>
      <c r="AA883" s="1268"/>
      <c r="AB883" s="1268"/>
      <c r="AC883" s="752"/>
      <c r="AD883" s="966"/>
      <c r="AE883" s="909"/>
      <c r="AF883" s="253"/>
      <c r="AG883" s="253">
        <f>IF(K883&lt;&gt;"",K883,"")</f>
        <v>34400</v>
      </c>
      <c r="DG883" s="543"/>
      <c r="DH883" s="149"/>
      <c r="DI883" s="1020"/>
      <c r="DJ883" s="2045"/>
    </row>
    <row r="884" spans="1:114" ht="15" customHeight="1" outlineLevel="1" x14ac:dyDescent="0.25">
      <c r="A884" s="2145"/>
      <c r="C884" s="49"/>
      <c r="D884" s="2394"/>
      <c r="E884" s="2394"/>
      <c r="F884" s="2404" t="str">
        <f>$E$669</f>
        <v>ASHP-SEER16-Replace_CAC_ElectricHeat_ER1_SF</v>
      </c>
      <c r="G884" s="2404"/>
      <c r="H884" s="2404"/>
      <c r="I884" s="2404"/>
      <c r="J884" s="962" t="str">
        <f>$C$669</f>
        <v>352500_2024_12_</v>
      </c>
      <c r="K884" s="1515">
        <v>30372.354967100247</v>
      </c>
      <c r="L884" s="964">
        <f t="shared" si="197"/>
        <v>2.5310295805916874</v>
      </c>
      <c r="M884" s="857" t="s">
        <v>929</v>
      </c>
      <c r="Q884" s="1249" t="s">
        <v>1063</v>
      </c>
      <c r="R884" s="1249" t="s">
        <v>1063</v>
      </c>
      <c r="S884" s="1249">
        <v>7722</v>
      </c>
      <c r="T884" s="68">
        <v>674</v>
      </c>
      <c r="U884" s="149"/>
      <c r="V884" s="2394"/>
      <c r="W884" s="1268">
        <v>37200</v>
      </c>
      <c r="X884" s="779">
        <f t="shared" si="198"/>
        <v>36720</v>
      </c>
      <c r="Y884" s="779">
        <v>38160</v>
      </c>
      <c r="Z884" s="1268">
        <v>38160</v>
      </c>
      <c r="AA884" s="1268">
        <v>38160</v>
      </c>
      <c r="AB884" s="775">
        <v>35375.776397515532</v>
      </c>
      <c r="AC884" s="775">
        <v>35069.908814589668</v>
      </c>
      <c r="AD884" s="908">
        <v>33051.122544058344</v>
      </c>
      <c r="AE884" s="908">
        <v>30372.354967100247</v>
      </c>
      <c r="AF884" s="253">
        <v>30372.354967100247</v>
      </c>
      <c r="AG884" s="253">
        <f t="shared" si="199"/>
        <v>30372.354967100247</v>
      </c>
      <c r="DG884" s="543"/>
      <c r="DH884" s="149"/>
      <c r="DI884" s="1020"/>
      <c r="DJ884" s="2045"/>
    </row>
    <row r="885" spans="1:114" ht="15" customHeight="1" outlineLevel="1" x14ac:dyDescent="0.25">
      <c r="A885" s="2145"/>
      <c r="C885" s="49"/>
      <c r="D885" s="2394"/>
      <c r="E885" s="2394"/>
      <c r="F885" s="2404" t="str">
        <f>$E$671</f>
        <v>ASHP-SEER16-Replace_CAC_ElectricHeat_ER2_SF</v>
      </c>
      <c r="G885" s="2404"/>
      <c r="H885" s="2404"/>
      <c r="I885" s="2404"/>
      <c r="J885" s="962" t="str">
        <f>$C$671</f>
        <v>352500_2024_12_</v>
      </c>
      <c r="K885" s="1515">
        <v>30372.354967100247</v>
      </c>
      <c r="L885" s="964">
        <f t="shared" si="197"/>
        <v>2.5310295805916874</v>
      </c>
      <c r="M885" s="857" t="s">
        <v>929</v>
      </c>
      <c r="Q885" s="1249" t="s">
        <v>998</v>
      </c>
      <c r="R885" s="1249" t="s">
        <v>998</v>
      </c>
      <c r="S885" s="1249">
        <f>2296+3670</f>
        <v>5966</v>
      </c>
      <c r="T885" s="68"/>
      <c r="U885" s="149"/>
      <c r="V885" s="2394"/>
      <c r="W885" s="1268">
        <v>37200</v>
      </c>
      <c r="X885" s="779">
        <f t="shared" si="198"/>
        <v>36720</v>
      </c>
      <c r="Y885" s="779">
        <v>38160</v>
      </c>
      <c r="Z885" s="1268">
        <v>38160</v>
      </c>
      <c r="AA885" s="1268">
        <v>38160</v>
      </c>
      <c r="AB885" s="775">
        <v>35375.776397515532</v>
      </c>
      <c r="AC885" s="775">
        <f>AC884</f>
        <v>35069.908814589668</v>
      </c>
      <c r="AD885" s="908">
        <v>33051.122544058344</v>
      </c>
      <c r="AE885" s="908">
        <v>30372.354967100247</v>
      </c>
      <c r="AF885" s="253">
        <v>30372.354967100247</v>
      </c>
      <c r="AG885" s="253">
        <f t="shared" si="199"/>
        <v>30372.354967100247</v>
      </c>
      <c r="DG885" s="543"/>
      <c r="DH885" s="149"/>
      <c r="DI885" s="1020"/>
      <c r="DJ885" s="2045"/>
    </row>
    <row r="886" spans="1:114" ht="15" customHeight="1" outlineLevel="1" x14ac:dyDescent="0.25">
      <c r="A886" s="2145"/>
      <c r="C886" s="49"/>
      <c r="D886" s="2394"/>
      <c r="E886" s="2394"/>
      <c r="F886" s="2404" t="str">
        <f>$E$673</f>
        <v>ASHP-SEER16-Replace_CAC_NonElectricHeat_ER1_SF</v>
      </c>
      <c r="G886" s="2404"/>
      <c r="H886" s="2404"/>
      <c r="I886" s="2404"/>
      <c r="J886" s="1506" t="str">
        <f>$C$673</f>
        <v>352510_2024_12_</v>
      </c>
      <c r="K886" s="1515">
        <v>30372.354967100247</v>
      </c>
      <c r="L886" s="964">
        <f t="shared" si="197"/>
        <v>2.5310295805916874</v>
      </c>
      <c r="M886" s="857" t="s">
        <v>929</v>
      </c>
      <c r="U886" s="149"/>
      <c r="V886" s="2394"/>
      <c r="W886" s="1268"/>
      <c r="X886" s="779"/>
      <c r="Y886" s="779"/>
      <c r="Z886" s="1268"/>
      <c r="AA886" s="1268"/>
      <c r="AB886" s="775"/>
      <c r="AC886" s="775">
        <v>35069.908814589668</v>
      </c>
      <c r="AD886" s="908">
        <v>33051.122544058344</v>
      </c>
      <c r="AE886" s="908">
        <v>30372.354967100247</v>
      </c>
      <c r="AF886" s="253">
        <v>30372.354967100247</v>
      </c>
      <c r="AG886" s="253">
        <f t="shared" si="199"/>
        <v>30372.354967100247</v>
      </c>
      <c r="DG886" s="543"/>
      <c r="DH886" s="149"/>
      <c r="DI886" s="1020"/>
      <c r="DJ886" s="2045"/>
    </row>
    <row r="887" spans="1:114" ht="15" customHeight="1" outlineLevel="1" x14ac:dyDescent="0.25">
      <c r="A887" s="2145"/>
      <c r="C887" s="49"/>
      <c r="D887" s="2394"/>
      <c r="E887" s="2394"/>
      <c r="F887" s="2404" t="str">
        <f>$E$675</f>
        <v>ASHP-SEER16-Replace_CAC_NonElectricHeat_ER2_SF</v>
      </c>
      <c r="G887" s="2404"/>
      <c r="H887" s="2404"/>
      <c r="I887" s="2404"/>
      <c r="J887" s="1506" t="str">
        <f>$C$675</f>
        <v>352510_2024_12_</v>
      </c>
      <c r="K887" s="1515">
        <v>30372.354967100247</v>
      </c>
      <c r="L887" s="964">
        <f t="shared" si="197"/>
        <v>2.5310295805916874</v>
      </c>
      <c r="M887" s="857" t="s">
        <v>929</v>
      </c>
      <c r="R887" s="1806" t="s">
        <v>920</v>
      </c>
      <c r="S887" s="1806" t="s">
        <v>615</v>
      </c>
      <c r="T887" s="1431" t="s">
        <v>616</v>
      </c>
      <c r="U887" s="149"/>
      <c r="V887" s="2394"/>
      <c r="W887" s="1268"/>
      <c r="X887" s="779"/>
      <c r="Y887" s="779"/>
      <c r="Z887" s="1268"/>
      <c r="AA887" s="1268"/>
      <c r="AB887" s="775"/>
      <c r="AC887" s="775">
        <f>AC886</f>
        <v>35069.908814589668</v>
      </c>
      <c r="AD887" s="908">
        <v>33051.122544058344</v>
      </c>
      <c r="AE887" s="908">
        <v>30372.354967100247</v>
      </c>
      <c r="AF887" s="253">
        <v>30372.354967100247</v>
      </c>
      <c r="AG887" s="253">
        <f t="shared" si="199"/>
        <v>30372.354967100247</v>
      </c>
      <c r="DG887" s="543"/>
      <c r="DH887" s="149"/>
      <c r="DI887" s="1020"/>
      <c r="DJ887" s="2045"/>
    </row>
    <row r="888" spans="1:114" ht="15.75" customHeight="1" outlineLevel="1" x14ac:dyDescent="0.25">
      <c r="A888" s="2145"/>
      <c r="C888" s="49"/>
      <c r="D888" s="2394"/>
      <c r="E888" s="2394"/>
      <c r="F888" s="1968" t="s">
        <v>1141</v>
      </c>
      <c r="G888" s="1969"/>
      <c r="H888" s="1969"/>
      <c r="I888" s="1970"/>
      <c r="J888" s="2095" t="s">
        <v>1140</v>
      </c>
      <c r="K888" s="1966">
        <v>24800</v>
      </c>
      <c r="L888" s="1967">
        <f>K888/12000</f>
        <v>2.0666666666666669</v>
      </c>
      <c r="M888" s="1971" t="s">
        <v>932</v>
      </c>
      <c r="R888" s="1249" t="s">
        <v>921</v>
      </c>
      <c r="S888" s="242">
        <v>2.3128228708516586E-2</v>
      </c>
      <c r="T888" s="1444" t="s">
        <v>922</v>
      </c>
      <c r="U888" s="50"/>
      <c r="V888" s="2394"/>
      <c r="W888" s="1268"/>
      <c r="X888" s="1268"/>
      <c r="Y888" s="1268"/>
      <c r="Z888" s="1268"/>
      <c r="AA888" s="1268"/>
      <c r="AB888" s="1268"/>
      <c r="AC888" s="752"/>
      <c r="AD888" s="966"/>
      <c r="AE888" s="909"/>
      <c r="AF888" s="253"/>
      <c r="AG888" s="253">
        <f>IF(K888&lt;&gt;"",K888,"")</f>
        <v>24800</v>
      </c>
      <c r="DG888" s="543"/>
      <c r="DH888" s="149"/>
      <c r="DI888" s="1020"/>
      <c r="DJ888" s="2045"/>
    </row>
    <row r="889" spans="1:114" ht="15.75" customHeight="1" outlineLevel="1" x14ac:dyDescent="0.25">
      <c r="A889" s="2145"/>
      <c r="C889" s="49"/>
      <c r="D889" s="2394"/>
      <c r="E889" s="2394"/>
      <c r="F889" s="1968" t="s">
        <v>1142</v>
      </c>
      <c r="G889" s="1969"/>
      <c r="H889" s="1969"/>
      <c r="I889" s="1970"/>
      <c r="J889" s="2095" t="s">
        <v>1140</v>
      </c>
      <c r="K889" s="1966">
        <v>24800</v>
      </c>
      <c r="L889" s="1967">
        <f>K889/12000</f>
        <v>2.0666666666666669</v>
      </c>
      <c r="M889" s="1971" t="s">
        <v>932</v>
      </c>
      <c r="R889" s="1249" t="s">
        <v>923</v>
      </c>
      <c r="S889" s="1249">
        <v>6</v>
      </c>
      <c r="T889" s="68" t="s">
        <v>924</v>
      </c>
      <c r="U889" s="50"/>
      <c r="V889" s="2394"/>
      <c r="W889" s="1268"/>
      <c r="X889" s="1268"/>
      <c r="Y889" s="1268"/>
      <c r="Z889" s="1268"/>
      <c r="AA889" s="1268"/>
      <c r="AB889" s="1268"/>
      <c r="AC889" s="752"/>
      <c r="AD889" s="966"/>
      <c r="AE889" s="909"/>
      <c r="AF889" s="253"/>
      <c r="AG889" s="253">
        <f>IF(K889&lt;&gt;"",K889,"")</f>
        <v>24800</v>
      </c>
      <c r="DG889" s="543"/>
      <c r="DH889" s="149"/>
      <c r="DI889" s="1020"/>
      <c r="DJ889" s="2045"/>
    </row>
    <row r="890" spans="1:114" ht="15" customHeight="1" outlineLevel="1" x14ac:dyDescent="0.25">
      <c r="A890" s="2145"/>
      <c r="C890" s="49"/>
      <c r="D890" s="2394"/>
      <c r="E890" s="2394"/>
      <c r="F890" s="2404" t="str">
        <f>$E$681</f>
        <v>ASHP-SEER16_ER1_SF</v>
      </c>
      <c r="G890" s="2404"/>
      <c r="H890" s="2404"/>
      <c r="I890" s="2404"/>
      <c r="J890" s="1506" t="str">
        <f>$C$681</f>
        <v>352550_2024_12_</v>
      </c>
      <c r="K890" s="1515">
        <v>30372.354967100247</v>
      </c>
      <c r="L890" s="964">
        <f t="shared" si="197"/>
        <v>2.5310295805916874</v>
      </c>
      <c r="M890" s="857" t="s">
        <v>929</v>
      </c>
      <c r="T890" s="50"/>
      <c r="U890" s="149"/>
      <c r="V890" s="2394"/>
      <c r="W890" s="1268">
        <v>39600</v>
      </c>
      <c r="X890" s="779">
        <f t="shared" si="198"/>
        <v>36720</v>
      </c>
      <c r="Y890" s="779">
        <v>37800</v>
      </c>
      <c r="Z890" s="1268">
        <v>37800</v>
      </c>
      <c r="AA890" s="1268">
        <v>37800</v>
      </c>
      <c r="AB890" s="775">
        <v>37317.757009345798</v>
      </c>
      <c r="AC890" s="775">
        <v>36536.170212765959</v>
      </c>
      <c r="AD890" s="908">
        <v>33051.122544058344</v>
      </c>
      <c r="AE890" s="908">
        <v>30372.354967100247</v>
      </c>
      <c r="AF890" s="253">
        <v>30372.354967100247</v>
      </c>
      <c r="AG890" s="253">
        <f t="shared" si="199"/>
        <v>30372.354967100247</v>
      </c>
      <c r="DG890" s="543"/>
      <c r="DH890" s="149"/>
      <c r="DI890" s="1020"/>
      <c r="DJ890" s="2045"/>
    </row>
    <row r="891" spans="1:114" ht="15" customHeight="1" outlineLevel="1" x14ac:dyDescent="0.25">
      <c r="A891" s="2145"/>
      <c r="C891" s="49"/>
      <c r="D891" s="2394"/>
      <c r="E891" s="2394"/>
      <c r="F891" s="2404" t="str">
        <f>$E$683</f>
        <v>ASHP-SEER16_ER2_SF</v>
      </c>
      <c r="G891" s="2404"/>
      <c r="H891" s="2404"/>
      <c r="I891" s="2404"/>
      <c r="J891" s="1506" t="str">
        <f>$C$683</f>
        <v>352550_2024_12_</v>
      </c>
      <c r="K891" s="1515">
        <v>30372.354967100247</v>
      </c>
      <c r="L891" s="964">
        <f t="shared" si="197"/>
        <v>2.5310295805916874</v>
      </c>
      <c r="M891" s="857" t="s">
        <v>929</v>
      </c>
      <c r="R891" s="1249" t="s">
        <v>925</v>
      </c>
      <c r="S891" s="185">
        <f>(1-S888)^(S889-1)</f>
        <v>0.88958571378558426</v>
      </c>
      <c r="T891" s="68" t="s">
        <v>926</v>
      </c>
      <c r="U891" s="149"/>
      <c r="V891" s="2394"/>
      <c r="W891" s="1268">
        <v>39600</v>
      </c>
      <c r="X891" s="779">
        <f t="shared" si="198"/>
        <v>36720</v>
      </c>
      <c r="Y891" s="779">
        <v>37800</v>
      </c>
      <c r="Z891" s="1268">
        <v>37800</v>
      </c>
      <c r="AA891" s="1268">
        <v>37800</v>
      </c>
      <c r="AB891" s="775">
        <v>37317.757009345798</v>
      </c>
      <c r="AC891" s="775">
        <f>AC890</f>
        <v>36536.170212765959</v>
      </c>
      <c r="AD891" s="908">
        <v>33051.122544058344</v>
      </c>
      <c r="AE891" s="908">
        <v>30372.354967100247</v>
      </c>
      <c r="AF891" s="253">
        <v>30372.354967100247</v>
      </c>
      <c r="AG891" s="253">
        <f t="shared" si="199"/>
        <v>30372.354967100247</v>
      </c>
      <c r="DG891" s="543"/>
      <c r="DH891" s="149"/>
      <c r="DI891" s="1020"/>
      <c r="DJ891" s="2045"/>
    </row>
    <row r="892" spans="1:114" ht="15" customHeight="1" outlineLevel="1" x14ac:dyDescent="0.25">
      <c r="A892" s="2145"/>
      <c r="C892" s="49"/>
      <c r="D892" s="2394"/>
      <c r="E892" s="2394"/>
      <c r="F892" s="2404" t="str">
        <f>$E$685</f>
        <v>ASHP-SEER16-Replace_CAC_ElectricHeat_ROF_SF</v>
      </c>
      <c r="G892" s="2404"/>
      <c r="H892" s="2404"/>
      <c r="I892" s="2404"/>
      <c r="J892" s="1506" t="str">
        <f>$C$685</f>
        <v>352600_2024_12_</v>
      </c>
      <c r="K892" s="1515">
        <v>33725.225943636367</v>
      </c>
      <c r="L892" s="964">
        <f t="shared" si="197"/>
        <v>2.8104354953030306</v>
      </c>
      <c r="M892" s="857" t="s">
        <v>929</v>
      </c>
      <c r="U892" s="50"/>
      <c r="V892" s="2394"/>
      <c r="W892" s="1268">
        <v>38400</v>
      </c>
      <c r="X892" s="779">
        <f t="shared" si="198"/>
        <v>36720</v>
      </c>
      <c r="Y892" s="779">
        <v>37320</v>
      </c>
      <c r="Z892" s="1268">
        <v>37320</v>
      </c>
      <c r="AA892" s="1268">
        <v>37320</v>
      </c>
      <c r="AB892" s="775">
        <v>35428.571428571428</v>
      </c>
      <c r="AC892" s="775">
        <v>35468.354430379746</v>
      </c>
      <c r="AD892" s="908">
        <v>35642.967406424148</v>
      </c>
      <c r="AE892" s="908">
        <v>33725.225943636367</v>
      </c>
      <c r="AF892" s="253">
        <v>33725.225943636367</v>
      </c>
      <c r="AG892" s="253">
        <f t="shared" si="199"/>
        <v>33725.225943636367</v>
      </c>
      <c r="DG892" s="543"/>
      <c r="DH892" s="149"/>
      <c r="DI892" s="1020"/>
      <c r="DJ892" s="2045"/>
    </row>
    <row r="893" spans="1:114" ht="15.75" customHeight="1" outlineLevel="1" x14ac:dyDescent="0.25">
      <c r="A893" s="2145"/>
      <c r="C893" s="49"/>
      <c r="D893" s="2394"/>
      <c r="E893" s="2394"/>
      <c r="F893" s="1968" t="s">
        <v>1149</v>
      </c>
      <c r="G893" s="1969"/>
      <c r="H893" s="1969"/>
      <c r="I893" s="1970"/>
      <c r="J893" s="2095" t="s">
        <v>1148</v>
      </c>
      <c r="K893" s="1966">
        <v>34600</v>
      </c>
      <c r="L893" s="1967">
        <f>K893/12000</f>
        <v>2.8833333333333333</v>
      </c>
      <c r="M893" s="1971" t="s">
        <v>932</v>
      </c>
      <c r="U893" s="50"/>
      <c r="V893" s="2394"/>
      <c r="W893" s="1268"/>
      <c r="X893" s="1268"/>
      <c r="Y893" s="1268"/>
      <c r="Z893" s="1268"/>
      <c r="AA893" s="1268"/>
      <c r="AB893" s="1268"/>
      <c r="AC893" s="752"/>
      <c r="AD893" s="966"/>
      <c r="AE893" s="909"/>
      <c r="AF893" s="253"/>
      <c r="AG893" s="253">
        <f>IF(K893&lt;&gt;"",K893,"")</f>
        <v>34600</v>
      </c>
      <c r="DG893" s="543"/>
      <c r="DH893" s="149"/>
      <c r="DI893" s="1020"/>
      <c r="DJ893" s="2045"/>
    </row>
    <row r="894" spans="1:114" ht="15" customHeight="1" outlineLevel="1" x14ac:dyDescent="0.25">
      <c r="A894" s="2145"/>
      <c r="C894" s="49"/>
      <c r="D894" s="2394"/>
      <c r="E894" s="2394"/>
      <c r="F894" s="2404" t="str">
        <f>$E$689</f>
        <v>ASHP-SEER16-Replace_CAC_NonElectricHeat_ROF_SF</v>
      </c>
      <c r="G894" s="2404"/>
      <c r="H894" s="2404"/>
      <c r="I894" s="2404"/>
      <c r="J894" s="1506" t="str">
        <f>$C$689</f>
        <v>352610_2024_12_</v>
      </c>
      <c r="K894" s="1515">
        <v>33725.225943636367</v>
      </c>
      <c r="L894" s="964">
        <f>K894/12000</f>
        <v>2.8104354953030306</v>
      </c>
      <c r="M894" s="857" t="s">
        <v>929</v>
      </c>
      <c r="Q894" s="192"/>
      <c r="U894" s="50"/>
      <c r="V894" s="2394"/>
      <c r="W894" s="1268"/>
      <c r="X894" s="779"/>
      <c r="Y894" s="779"/>
      <c r="Z894" s="1268"/>
      <c r="AA894" s="1268"/>
      <c r="AB894" s="775"/>
      <c r="AC894" s="775"/>
      <c r="AD894" s="908">
        <v>35642.967406424148</v>
      </c>
      <c r="AE894" s="908">
        <v>33725.225943636367</v>
      </c>
      <c r="AF894" s="253">
        <v>33725.225943636367</v>
      </c>
      <c r="AG894" s="253">
        <f t="shared" si="199"/>
        <v>33725.225943636367</v>
      </c>
      <c r="DG894" s="543"/>
      <c r="DH894" s="149"/>
      <c r="DI894" s="1020"/>
      <c r="DJ894" s="2045"/>
    </row>
    <row r="895" spans="1:114" ht="15" customHeight="1" outlineLevel="1" x14ac:dyDescent="0.25">
      <c r="A895" s="2145"/>
      <c r="C895" s="49"/>
      <c r="D895" s="2394"/>
      <c r="E895" s="2394"/>
      <c r="F895" s="2404" t="str">
        <f>$E$691</f>
        <v>ASHP-SEER16_ROF_SF</v>
      </c>
      <c r="G895" s="2404"/>
      <c r="H895" s="2404"/>
      <c r="I895" s="2404"/>
      <c r="J895" s="1506" t="str">
        <f>$C$691</f>
        <v>352650_2024_12_</v>
      </c>
      <c r="K895" s="1515">
        <v>33725.225943636367</v>
      </c>
      <c r="L895" s="964">
        <f t="shared" si="197"/>
        <v>2.8104354953030306</v>
      </c>
      <c r="M895" s="857" t="s">
        <v>929</v>
      </c>
      <c r="U895" s="50"/>
      <c r="V895" s="2394"/>
      <c r="W895" s="1268">
        <v>39600</v>
      </c>
      <c r="X895" s="779">
        <f t="shared" si="198"/>
        <v>36720</v>
      </c>
      <c r="Y895" s="779">
        <v>39000</v>
      </c>
      <c r="Z895" s="1268">
        <v>39000</v>
      </c>
      <c r="AA895" s="1268">
        <v>39000</v>
      </c>
      <c r="AB895" s="1268">
        <v>39000</v>
      </c>
      <c r="AC895" s="775">
        <v>37105.263157894733</v>
      </c>
      <c r="AD895" s="908">
        <v>35642.967406424148</v>
      </c>
      <c r="AE895" s="908">
        <v>33725.225943636367</v>
      </c>
      <c r="AF895" s="253">
        <v>33725.225943636367</v>
      </c>
      <c r="AG895" s="253">
        <f t="shared" si="199"/>
        <v>33725.225943636367</v>
      </c>
      <c r="DG895" s="543"/>
      <c r="DH895" s="149"/>
      <c r="DI895" s="1020"/>
      <c r="DJ895" s="2045"/>
    </row>
    <row r="896" spans="1:114" ht="15.75" customHeight="1" outlineLevel="1" x14ac:dyDescent="0.25">
      <c r="A896" s="2145"/>
      <c r="C896" s="49"/>
      <c r="D896" s="2394"/>
      <c r="E896" s="2394"/>
      <c r="F896" s="1968" t="s">
        <v>1155</v>
      </c>
      <c r="G896" s="1969"/>
      <c r="H896" s="1969"/>
      <c r="I896" s="1970"/>
      <c r="J896" s="2095" t="s">
        <v>1154</v>
      </c>
      <c r="K896" s="1966">
        <v>32666.666666666668</v>
      </c>
      <c r="L896" s="1967">
        <f>K896/12000</f>
        <v>2.7222222222222223</v>
      </c>
      <c r="M896" s="1971" t="s">
        <v>932</v>
      </c>
      <c r="T896" s="50"/>
      <c r="U896" s="50"/>
      <c r="V896" s="2394"/>
      <c r="W896" s="1268"/>
      <c r="X896" s="1268"/>
      <c r="Y896" s="1268"/>
      <c r="Z896" s="1268"/>
      <c r="AA896" s="1268"/>
      <c r="AB896" s="1268"/>
      <c r="AC896" s="752"/>
      <c r="AD896" s="966"/>
      <c r="AE896" s="909"/>
      <c r="AF896" s="253"/>
      <c r="AG896" s="253">
        <f>IF(K896&lt;&gt;"",K896,"")</f>
        <v>32666.666666666668</v>
      </c>
      <c r="DG896" s="543"/>
      <c r="DH896" s="149"/>
      <c r="DI896" s="1020"/>
      <c r="DJ896" s="2045"/>
    </row>
    <row r="897" spans="1:114" ht="15" customHeight="1" outlineLevel="1" x14ac:dyDescent="0.25">
      <c r="A897" s="2145"/>
      <c r="C897" s="49"/>
      <c r="D897" s="2394"/>
      <c r="E897" s="2394"/>
      <c r="F897" s="2404" t="str">
        <f>$E$695</f>
        <v>ASHP-SEER16-Replace_CAC_ElectricHeat_ER1_MF</v>
      </c>
      <c r="G897" s="2404"/>
      <c r="H897" s="2404"/>
      <c r="I897" s="2404"/>
      <c r="J897" s="1506" t="str">
        <f>$C$695</f>
        <v>353000_2024_12_</v>
      </c>
      <c r="K897" s="1515">
        <v>34066.666666666664</v>
      </c>
      <c r="L897" s="964">
        <f t="shared" si="197"/>
        <v>2.8388888888888886</v>
      </c>
      <c r="M897" s="857" t="s">
        <v>931</v>
      </c>
      <c r="P897" s="243"/>
      <c r="U897" s="50"/>
      <c r="V897" s="2394"/>
      <c r="W897" s="1268">
        <v>37200</v>
      </c>
      <c r="X897" s="1268">
        <v>37200</v>
      </c>
      <c r="Y897" s="1268">
        <v>37200</v>
      </c>
      <c r="Z897" s="1268">
        <v>37200</v>
      </c>
      <c r="AA897" s="1268">
        <v>37200</v>
      </c>
      <c r="AB897" s="779">
        <v>39600</v>
      </c>
      <c r="AC897" s="775">
        <v>24000</v>
      </c>
      <c r="AD897" s="908">
        <v>34066.666666666664</v>
      </c>
      <c r="AE897" s="966">
        <v>34066.666666666664</v>
      </c>
      <c r="AF897" s="253">
        <v>34066.666666666664</v>
      </c>
      <c r="AG897" s="253">
        <f t="shared" si="199"/>
        <v>34066.666666666664</v>
      </c>
      <c r="DG897" s="543"/>
      <c r="DH897" s="149"/>
      <c r="DI897" s="1020"/>
      <c r="DJ897" s="2045"/>
    </row>
    <row r="898" spans="1:114" ht="15" customHeight="1" outlineLevel="1" x14ac:dyDescent="0.25">
      <c r="A898" s="2145"/>
      <c r="C898" s="49"/>
      <c r="D898" s="2394"/>
      <c r="E898" s="2394"/>
      <c r="F898" s="2404" t="str">
        <f>$E$697</f>
        <v>ASHP-SEER16-Replace_CAC_ElectricHeat_ER2_MF</v>
      </c>
      <c r="G898" s="2404"/>
      <c r="H898" s="2404"/>
      <c r="I898" s="2404"/>
      <c r="J898" s="1506" t="str">
        <f>$C$697</f>
        <v>353000_2024_12_</v>
      </c>
      <c r="K898" s="1515">
        <v>34066.666666666664</v>
      </c>
      <c r="L898" s="964">
        <f t="shared" si="197"/>
        <v>2.8388888888888886</v>
      </c>
      <c r="M898" s="857" t="s">
        <v>1018</v>
      </c>
      <c r="P898" s="243"/>
      <c r="Q898" s="192"/>
      <c r="R898" s="243"/>
      <c r="T898" s="166"/>
      <c r="U898" s="50"/>
      <c r="V898" s="2394"/>
      <c r="W898" s="1268">
        <v>37200</v>
      </c>
      <c r="X898" s="1268">
        <v>37200</v>
      </c>
      <c r="Y898" s="1268">
        <v>37200</v>
      </c>
      <c r="Z898" s="1268">
        <v>37200</v>
      </c>
      <c r="AA898" s="1268">
        <v>37200</v>
      </c>
      <c r="AB898" s="779">
        <v>39600</v>
      </c>
      <c r="AC898" s="775">
        <f>AC897</f>
        <v>24000</v>
      </c>
      <c r="AD898" s="908">
        <v>34066.666666666664</v>
      </c>
      <c r="AE898" s="966">
        <v>34066.666666666664</v>
      </c>
      <c r="AF898" s="253">
        <v>34066.666666666664</v>
      </c>
      <c r="AG898" s="253">
        <f t="shared" si="199"/>
        <v>34066.666666666664</v>
      </c>
      <c r="DG898" s="543"/>
      <c r="DH898" s="149"/>
      <c r="DI898" s="1020"/>
      <c r="DJ898" s="2045"/>
    </row>
    <row r="899" spans="1:114" ht="15" customHeight="1" outlineLevel="1" x14ac:dyDescent="0.25">
      <c r="A899" s="2145"/>
      <c r="C899" s="49"/>
      <c r="D899" s="2394"/>
      <c r="E899" s="2394"/>
      <c r="F899" s="2404" t="str">
        <f>$E$699</f>
        <v>ASHP-SEER17-Replace_CAC_ElectricHeat_ROF_SF</v>
      </c>
      <c r="G899" s="2404"/>
      <c r="H899" s="2404"/>
      <c r="I899" s="2404"/>
      <c r="J899" s="1506" t="str">
        <f>$C$699</f>
        <v>353100_2024_12_</v>
      </c>
      <c r="K899" s="1515">
        <v>38543.962847058829</v>
      </c>
      <c r="L899" s="964">
        <f t="shared" si="197"/>
        <v>3.2119969039215692</v>
      </c>
      <c r="M899" s="857" t="s">
        <v>929</v>
      </c>
      <c r="P899" s="243"/>
      <c r="Q899" s="192"/>
      <c r="R899" s="243"/>
      <c r="T899" s="166"/>
      <c r="U899" s="50"/>
      <c r="V899" s="2394"/>
      <c r="W899" s="1268">
        <v>33600</v>
      </c>
      <c r="X899" s="1268">
        <v>33600</v>
      </c>
      <c r="Y899" s="1268">
        <v>33600</v>
      </c>
      <c r="Z899" s="1268">
        <v>33600</v>
      </c>
      <c r="AA899" s="1268">
        <v>33600</v>
      </c>
      <c r="AB899" s="1268">
        <v>33600</v>
      </c>
      <c r="AC899" s="775">
        <v>32400.000000000004</v>
      </c>
      <c r="AD899" s="908">
        <v>35402.476190000001</v>
      </c>
      <c r="AE899" s="908">
        <v>38543.962847058829</v>
      </c>
      <c r="AF899" s="253">
        <v>38543.962847058829</v>
      </c>
      <c r="AG899" s="253">
        <f t="shared" si="199"/>
        <v>38543.962847058829</v>
      </c>
      <c r="DG899" s="543"/>
      <c r="DH899" s="149"/>
      <c r="DI899" s="1020"/>
      <c r="DJ899" s="2045"/>
    </row>
    <row r="900" spans="1:114" ht="15.75" customHeight="1" outlineLevel="1" x14ac:dyDescent="0.25">
      <c r="A900" s="2145"/>
      <c r="C900" s="49"/>
      <c r="D900" s="2394"/>
      <c r="E900" s="2394"/>
      <c r="F900" s="1968" t="s">
        <v>1162</v>
      </c>
      <c r="G900" s="1969"/>
      <c r="H900" s="1969"/>
      <c r="I900" s="1970"/>
      <c r="J900" s="2095" t="s">
        <v>1161</v>
      </c>
      <c r="K900" s="1966">
        <v>28800</v>
      </c>
      <c r="L900" s="1967">
        <f>K900/12000</f>
        <v>2.4</v>
      </c>
      <c r="M900" s="1971" t="s">
        <v>932</v>
      </c>
      <c r="T900" s="50"/>
      <c r="U900" s="50"/>
      <c r="V900" s="2394"/>
      <c r="W900" s="1268"/>
      <c r="X900" s="1268"/>
      <c r="Y900" s="1268"/>
      <c r="Z900" s="1268"/>
      <c r="AA900" s="1268"/>
      <c r="AB900" s="1268"/>
      <c r="AC900" s="752"/>
      <c r="AD900" s="966"/>
      <c r="AE900" s="909"/>
      <c r="AF900" s="253"/>
      <c r="AG900" s="253">
        <f>IF(K900&lt;&gt;"",K900,"")</f>
        <v>28800</v>
      </c>
      <c r="DG900" s="543"/>
      <c r="DH900" s="149"/>
      <c r="DI900" s="1020"/>
      <c r="DJ900" s="2045"/>
    </row>
    <row r="901" spans="1:114" ht="15" customHeight="1" outlineLevel="1" x14ac:dyDescent="0.25">
      <c r="A901" s="2145"/>
      <c r="C901" s="49"/>
      <c r="D901" s="2394"/>
      <c r="E901" s="2394"/>
      <c r="F901" s="2404" t="str">
        <f>$E$703</f>
        <v>ASHP-SEER17-Replace_CAC_NonElectricHeat_ROF_SF</v>
      </c>
      <c r="G901" s="2404"/>
      <c r="H901" s="2404"/>
      <c r="I901" s="2404"/>
      <c r="J901" s="1506" t="str">
        <f>$C$703</f>
        <v>353110_2024_12_</v>
      </c>
      <c r="K901" s="1515">
        <v>38543.962847058829</v>
      </c>
      <c r="L901" s="964">
        <f t="shared" si="197"/>
        <v>3.2119969039215692</v>
      </c>
      <c r="M901" s="857" t="s">
        <v>929</v>
      </c>
      <c r="P901" s="243"/>
      <c r="Q901" s="192"/>
      <c r="R901" s="243"/>
      <c r="T901" s="166"/>
      <c r="U901" s="50"/>
      <c r="V901" s="2394"/>
      <c r="W901" s="1268"/>
      <c r="X901" s="779"/>
      <c r="Y901" s="779"/>
      <c r="Z901" s="1268"/>
      <c r="AA901" s="1268"/>
      <c r="AB901" s="775"/>
      <c r="AC901" s="775"/>
      <c r="AD901" s="908">
        <v>35402.476190000001</v>
      </c>
      <c r="AE901" s="908">
        <v>38543.962847058829</v>
      </c>
      <c r="AF901" s="253">
        <v>38543.962847058829</v>
      </c>
      <c r="AG901" s="253">
        <f t="shared" si="199"/>
        <v>38543.962847058829</v>
      </c>
      <c r="DG901" s="543"/>
      <c r="DH901" s="149"/>
      <c r="DI901" s="1020"/>
      <c r="DJ901" s="2045"/>
    </row>
    <row r="902" spans="1:114" ht="15" customHeight="1" outlineLevel="1" x14ac:dyDescent="0.25">
      <c r="A902" s="2145"/>
      <c r="C902" s="49"/>
      <c r="D902" s="2394"/>
      <c r="E902" s="2394"/>
      <c r="F902" s="2404" t="str">
        <f>$E$705</f>
        <v>ASHP-SEER18-Replace_CAC_ElectricHeat_ROF_SF</v>
      </c>
      <c r="G902" s="2404"/>
      <c r="H902" s="2404"/>
      <c r="I902" s="2404"/>
      <c r="J902" s="1506" t="str">
        <f>$C$705</f>
        <v>353200_2024_12_</v>
      </c>
      <c r="K902" s="1515">
        <v>36024.444439999999</v>
      </c>
      <c r="L902" s="964">
        <f t="shared" si="197"/>
        <v>3.0020370366666667</v>
      </c>
      <c r="M902" s="857" t="s">
        <v>929</v>
      </c>
      <c r="P902" s="243"/>
      <c r="Q902" s="192"/>
      <c r="R902" s="243"/>
      <c r="T902" s="166"/>
      <c r="U902" s="50"/>
      <c r="V902" s="2394"/>
      <c r="W902" s="1268">
        <v>33600</v>
      </c>
      <c r="X902" s="1268">
        <v>33600</v>
      </c>
      <c r="Y902" s="1268">
        <v>33600</v>
      </c>
      <c r="Z902" s="1268">
        <v>33600</v>
      </c>
      <c r="AA902" s="1268">
        <v>33600</v>
      </c>
      <c r="AB902" s="779">
        <v>36000</v>
      </c>
      <c r="AC902" s="775">
        <v>36486.486486486487</v>
      </c>
      <c r="AD902" s="908">
        <v>37478.667573056096</v>
      </c>
      <c r="AE902" s="908">
        <v>36024.444439999999</v>
      </c>
      <c r="AF902" s="253">
        <v>36024.444439999999</v>
      </c>
      <c r="AG902" s="253">
        <f t="shared" si="199"/>
        <v>36024.444439999999</v>
      </c>
      <c r="DG902" s="543"/>
      <c r="DH902" s="149"/>
      <c r="DI902" s="1020"/>
      <c r="DJ902" s="2045"/>
    </row>
    <row r="903" spans="1:114" ht="15" customHeight="1" outlineLevel="1" x14ac:dyDescent="0.25">
      <c r="A903" s="2145"/>
      <c r="C903" s="49"/>
      <c r="D903" s="2394"/>
      <c r="E903" s="2394"/>
      <c r="F903" s="2404" t="str">
        <f>$E$707</f>
        <v>ASHP-SEER18-Replace_CAC_NonElectricHeat_ROF_SF</v>
      </c>
      <c r="G903" s="2404"/>
      <c r="H903" s="2404"/>
      <c r="I903" s="2404"/>
      <c r="J903" s="1506" t="str">
        <f>$C$707</f>
        <v>353210_2024_12_</v>
      </c>
      <c r="K903" s="1515">
        <v>36024.444439999999</v>
      </c>
      <c r="L903" s="964">
        <f>K903/12000</f>
        <v>3.0020370366666667</v>
      </c>
      <c r="M903" s="857" t="s">
        <v>929</v>
      </c>
      <c r="P903" s="243"/>
      <c r="Q903" s="192"/>
      <c r="R903" s="243"/>
      <c r="T903" s="166"/>
      <c r="U903" s="50"/>
      <c r="V903" s="2394"/>
      <c r="W903" s="1268"/>
      <c r="X903" s="779"/>
      <c r="Y903" s="779"/>
      <c r="Z903" s="1268"/>
      <c r="AA903" s="1268"/>
      <c r="AB903" s="775"/>
      <c r="AC903" s="775"/>
      <c r="AD903" s="908">
        <v>37478.667573056096</v>
      </c>
      <c r="AE903" s="908">
        <v>36024.444439999999</v>
      </c>
      <c r="AF903" s="253">
        <v>36024.444439999999</v>
      </c>
      <c r="AG903" s="253">
        <f t="shared" si="199"/>
        <v>36024.444439999999</v>
      </c>
      <c r="DG903" s="543"/>
      <c r="DH903" s="149"/>
      <c r="DI903" s="1020"/>
      <c r="DJ903" s="2045"/>
    </row>
    <row r="904" spans="1:114" ht="15" customHeight="1" outlineLevel="1" x14ac:dyDescent="0.25">
      <c r="A904" s="2145"/>
      <c r="C904" s="49"/>
      <c r="D904" s="2394"/>
      <c r="E904" s="2394"/>
      <c r="F904" s="2404" t="str">
        <f>$E$709</f>
        <v>ASHP-SEER19-Replace_CAC_ElectricHeat_ROF_SF</v>
      </c>
      <c r="G904" s="2404"/>
      <c r="H904" s="2404"/>
      <c r="I904" s="2404"/>
      <c r="J904" s="1506" t="str">
        <f>$C$709</f>
        <v>353300_2024_12_</v>
      </c>
      <c r="K904" s="1515">
        <v>35904.395607692306</v>
      </c>
      <c r="L904" s="964">
        <f t="shared" si="197"/>
        <v>2.9920329673076922</v>
      </c>
      <c r="M904" s="857" t="s">
        <v>931</v>
      </c>
      <c r="P904" s="243"/>
      <c r="Q904" s="192"/>
      <c r="R904" s="243"/>
      <c r="T904" s="166"/>
      <c r="U904" s="50"/>
      <c r="V904" s="2394"/>
      <c r="W904" s="1268">
        <v>33600</v>
      </c>
      <c r="X904" s="1268">
        <v>33600</v>
      </c>
      <c r="Y904" s="1268">
        <v>33600</v>
      </c>
      <c r="Z904" s="1268">
        <v>33600</v>
      </c>
      <c r="AA904" s="1268">
        <v>33600</v>
      </c>
      <c r="AB904" s="1268">
        <v>33600</v>
      </c>
      <c r="AC904" s="775">
        <v>48000</v>
      </c>
      <c r="AD904" s="908">
        <v>35904.395607692306</v>
      </c>
      <c r="AE904" s="966">
        <v>35904.395607692306</v>
      </c>
      <c r="AF904" s="253">
        <v>35904.395607692306</v>
      </c>
      <c r="AG904" s="253">
        <f t="shared" si="199"/>
        <v>35904.395607692306</v>
      </c>
      <c r="DG904" s="543"/>
      <c r="DH904" s="149"/>
      <c r="DI904" s="1020"/>
      <c r="DJ904" s="2045"/>
    </row>
    <row r="905" spans="1:114" ht="15" customHeight="1" outlineLevel="1" x14ac:dyDescent="0.25">
      <c r="A905" s="2145"/>
      <c r="C905" s="49"/>
      <c r="D905" s="2394"/>
      <c r="E905" s="2394"/>
      <c r="F905" s="2404" t="str">
        <f>$E$711</f>
        <v>ASHP-SEER19-Replace_CAC_NonElectricHeat_ROF_SF</v>
      </c>
      <c r="G905" s="2404"/>
      <c r="H905" s="2404"/>
      <c r="I905" s="2404"/>
      <c r="J905" s="1506" t="str">
        <f>$C$711</f>
        <v>353310_2024_12_</v>
      </c>
      <c r="K905" s="1515">
        <v>35904.395607692306</v>
      </c>
      <c r="L905" s="964">
        <f>K905/12000</f>
        <v>2.9920329673076922</v>
      </c>
      <c r="M905" s="857" t="s">
        <v>1018</v>
      </c>
      <c r="P905" s="243"/>
      <c r="Q905" s="192"/>
      <c r="R905" s="243"/>
      <c r="T905" s="166"/>
      <c r="U905" s="50"/>
      <c r="V905" s="2394"/>
      <c r="W905" s="1268"/>
      <c r="X905" s="779"/>
      <c r="Y905" s="779"/>
      <c r="Z905" s="1268"/>
      <c r="AA905" s="1268"/>
      <c r="AB905" s="775"/>
      <c r="AC905" s="775"/>
      <c r="AD905" s="908">
        <v>35904.395607692306</v>
      </c>
      <c r="AE905" s="966">
        <v>35904.395607692306</v>
      </c>
      <c r="AF905" s="253">
        <v>35904.395607692306</v>
      </c>
      <c r="AG905" s="253">
        <f t="shared" si="199"/>
        <v>35904.395607692306</v>
      </c>
      <c r="DG905" s="543"/>
      <c r="DH905" s="149"/>
      <c r="DI905" s="1020"/>
      <c r="DJ905" s="2045"/>
    </row>
    <row r="906" spans="1:114" ht="15" customHeight="1" outlineLevel="1" x14ac:dyDescent="0.25">
      <c r="A906" s="2145"/>
      <c r="C906" s="49"/>
      <c r="D906" s="2394"/>
      <c r="E906" s="2394"/>
      <c r="F906" s="2404" t="str">
        <f>$E$713</f>
        <v>ASHP-SEER20-Replace_CAC_ElectricHeat_ER1_SF</v>
      </c>
      <c r="G906" s="2404"/>
      <c r="H906" s="2404"/>
      <c r="I906" s="2404"/>
      <c r="J906" s="1506" t="str">
        <f>$C$713</f>
        <v>353400_2024_12_</v>
      </c>
      <c r="K906" s="1515">
        <v>31000.387811634351</v>
      </c>
      <c r="L906" s="964">
        <f t="shared" ref="L906:L946" si="200">K906/12000</f>
        <v>2.5833656509695291</v>
      </c>
      <c r="M906" s="857" t="s">
        <v>929</v>
      </c>
      <c r="P906" s="243"/>
      <c r="Q906" s="192"/>
      <c r="R906" s="243"/>
      <c r="T906" s="166"/>
      <c r="U906" s="50"/>
      <c r="V906" s="2394"/>
      <c r="W906" s="1268">
        <v>37200</v>
      </c>
      <c r="X906" s="1268">
        <v>37200</v>
      </c>
      <c r="Y906" s="1268">
        <v>37200</v>
      </c>
      <c r="Z906" s="1268">
        <v>37200</v>
      </c>
      <c r="AA906" s="1268">
        <v>37200</v>
      </c>
      <c r="AB906" s="1268">
        <v>37200</v>
      </c>
      <c r="AC906" s="775">
        <v>36000</v>
      </c>
      <c r="AD906" s="908">
        <v>33382.234755555553</v>
      </c>
      <c r="AE906" s="908">
        <v>31000.387811634351</v>
      </c>
      <c r="AF906" s="253">
        <v>31000.387811634351</v>
      </c>
      <c r="AG906" s="253">
        <f t="shared" si="199"/>
        <v>31000.387811634351</v>
      </c>
      <c r="DG906" s="543"/>
      <c r="DH906" s="149"/>
      <c r="DI906" s="1020"/>
      <c r="DJ906" s="2045"/>
    </row>
    <row r="907" spans="1:114" ht="15" customHeight="1" outlineLevel="1" x14ac:dyDescent="0.25">
      <c r="A907" s="2145"/>
      <c r="C907" s="49"/>
      <c r="D907" s="2394"/>
      <c r="E907" s="2394"/>
      <c r="F907" s="2404" t="str">
        <f>$E$715</f>
        <v>ASHP-SEER20-Replace_CAC_ElectricHeat_ER2_SF</v>
      </c>
      <c r="G907" s="2404"/>
      <c r="H907" s="2404"/>
      <c r="I907" s="2404"/>
      <c r="J907" s="1506" t="str">
        <f>$C$715</f>
        <v>353400_2024_12_</v>
      </c>
      <c r="K907" s="1515">
        <v>31000.387811634351</v>
      </c>
      <c r="L907" s="964">
        <f t="shared" si="200"/>
        <v>2.5833656509695291</v>
      </c>
      <c r="M907" s="857" t="s">
        <v>929</v>
      </c>
      <c r="P907" s="243"/>
      <c r="Q907" s="192"/>
      <c r="R907" s="243"/>
      <c r="T907" s="166"/>
      <c r="U907" s="50"/>
      <c r="V907" s="2394"/>
      <c r="W907" s="1268">
        <v>37200</v>
      </c>
      <c r="X907" s="1268">
        <v>37200</v>
      </c>
      <c r="Y907" s="1268">
        <v>37200</v>
      </c>
      <c r="Z907" s="1268">
        <v>37200</v>
      </c>
      <c r="AA907" s="1268">
        <v>37200</v>
      </c>
      <c r="AB907" s="1268">
        <v>37200</v>
      </c>
      <c r="AC907" s="775">
        <f>AC906</f>
        <v>36000</v>
      </c>
      <c r="AD907" s="908">
        <v>33382.234755555553</v>
      </c>
      <c r="AE907" s="908">
        <v>31000.387811634351</v>
      </c>
      <c r="AF907" s="253">
        <v>31000.387811634351</v>
      </c>
      <c r="AG907" s="253">
        <f t="shared" si="199"/>
        <v>31000.387811634351</v>
      </c>
      <c r="DG907" s="543"/>
      <c r="DH907" s="149"/>
      <c r="DI907" s="1020"/>
      <c r="DJ907" s="2045"/>
    </row>
    <row r="908" spans="1:114" ht="15" customHeight="1" outlineLevel="1" x14ac:dyDescent="0.25">
      <c r="A908" s="2145"/>
      <c r="C908" s="49"/>
      <c r="D908" s="2394"/>
      <c r="E908" s="2394"/>
      <c r="F908" s="2404" t="str">
        <f>$E$717</f>
        <v>ASHP-SEER20-Replace_CAC_NonElectricHeat_ER1_SF</v>
      </c>
      <c r="G908" s="2404"/>
      <c r="H908" s="2404"/>
      <c r="I908" s="2404"/>
      <c r="J908" s="1506" t="str">
        <f>$C$717</f>
        <v>353410_2024_12_</v>
      </c>
      <c r="K908" s="1515">
        <v>31000.387811634351</v>
      </c>
      <c r="L908" s="964">
        <f t="shared" si="200"/>
        <v>2.5833656509695291</v>
      </c>
      <c r="M908" s="857" t="s">
        <v>929</v>
      </c>
      <c r="P908" s="243"/>
      <c r="Q908" s="192"/>
      <c r="R908" s="243"/>
      <c r="T908" s="166"/>
      <c r="U908" s="50"/>
      <c r="V908" s="2394"/>
      <c r="W908" s="1268"/>
      <c r="X908" s="1268"/>
      <c r="Y908" s="1268"/>
      <c r="Z908" s="1268"/>
      <c r="AA908" s="1268"/>
      <c r="AB908" s="1268"/>
      <c r="AC908" s="775">
        <v>36000</v>
      </c>
      <c r="AD908" s="908">
        <v>33382.234755555553</v>
      </c>
      <c r="AE908" s="908">
        <v>31000.387811634351</v>
      </c>
      <c r="AF908" s="253">
        <v>31000.387811634351</v>
      </c>
      <c r="AG908" s="253">
        <f t="shared" si="199"/>
        <v>31000.387811634351</v>
      </c>
      <c r="DG908" s="543"/>
      <c r="DH908" s="149"/>
      <c r="DI908" s="1020"/>
      <c r="DJ908" s="2045"/>
    </row>
    <row r="909" spans="1:114" ht="15" customHeight="1" outlineLevel="1" x14ac:dyDescent="0.25">
      <c r="A909" s="2145"/>
      <c r="C909" s="49"/>
      <c r="D909" s="2394"/>
      <c r="E909" s="2394"/>
      <c r="F909" s="2404" t="str">
        <f>$E$719</f>
        <v>ASHP-SEER20-Replace_CAC_NonElectricHeat_ER2_SF</v>
      </c>
      <c r="G909" s="2404"/>
      <c r="H909" s="2404"/>
      <c r="I909" s="2404"/>
      <c r="J909" s="1506" t="str">
        <f>$C$719</f>
        <v>353410_2024_12_</v>
      </c>
      <c r="K909" s="1515">
        <v>31000.387811634351</v>
      </c>
      <c r="L909" s="964">
        <f t="shared" si="200"/>
        <v>2.5833656509695291</v>
      </c>
      <c r="M909" s="857" t="s">
        <v>929</v>
      </c>
      <c r="P909" s="243"/>
      <c r="Q909" s="192"/>
      <c r="R909" s="243"/>
      <c r="T909" s="166"/>
      <c r="U909" s="50"/>
      <c r="V909" s="2394"/>
      <c r="W909" s="1268"/>
      <c r="X909" s="1268"/>
      <c r="Y909" s="1268"/>
      <c r="Z909" s="1268"/>
      <c r="AA909" s="1268"/>
      <c r="AB909" s="1268"/>
      <c r="AC909" s="775">
        <f>AC908</f>
        <v>36000</v>
      </c>
      <c r="AD909" s="908">
        <v>33382.234755555553</v>
      </c>
      <c r="AE909" s="908">
        <v>31000.387811634351</v>
      </c>
      <c r="AF909" s="253">
        <v>31000.387811634351</v>
      </c>
      <c r="AG909" s="253">
        <f t="shared" si="199"/>
        <v>31000.387811634351</v>
      </c>
      <c r="DG909" s="543"/>
      <c r="DH909" s="149"/>
      <c r="DI909" s="1020"/>
      <c r="DJ909" s="2045"/>
    </row>
    <row r="910" spans="1:114" ht="15.75" customHeight="1" outlineLevel="1" x14ac:dyDescent="0.25">
      <c r="A910" s="2145"/>
      <c r="C910" s="49"/>
      <c r="D910" s="2394"/>
      <c r="E910" s="2394"/>
      <c r="F910" s="1968" t="s">
        <v>1180</v>
      </c>
      <c r="G910" s="1969"/>
      <c r="H910" s="1969"/>
      <c r="I910" s="1970"/>
      <c r="J910" s="2095" t="s">
        <v>1179</v>
      </c>
      <c r="K910" s="1966">
        <v>26400</v>
      </c>
      <c r="L910" s="1967">
        <f>K910/12000</f>
        <v>2.2000000000000002</v>
      </c>
      <c r="M910" s="1971" t="s">
        <v>932</v>
      </c>
      <c r="T910" s="50"/>
      <c r="U910" s="50"/>
      <c r="V910" s="2394"/>
      <c r="W910" s="1268"/>
      <c r="X910" s="1268"/>
      <c r="Y910" s="1268"/>
      <c r="Z910" s="1268"/>
      <c r="AA910" s="1268"/>
      <c r="AB910" s="1268"/>
      <c r="AC910" s="752"/>
      <c r="AD910" s="966"/>
      <c r="AE910" s="909"/>
      <c r="AF910" s="253"/>
      <c r="AG910" s="253">
        <f>IF(K910&lt;&gt;"",K910,"")</f>
        <v>26400</v>
      </c>
      <c r="DG910" s="543"/>
      <c r="DH910" s="149"/>
      <c r="DI910" s="1020"/>
      <c r="DJ910" s="2045"/>
    </row>
    <row r="911" spans="1:114" ht="15.75" customHeight="1" outlineLevel="1" x14ac:dyDescent="0.25">
      <c r="A911" s="2145"/>
      <c r="C911" s="49"/>
      <c r="D911" s="2394"/>
      <c r="E911" s="2394"/>
      <c r="F911" s="1968" t="s">
        <v>1181</v>
      </c>
      <c r="G911" s="1969"/>
      <c r="H911" s="1969"/>
      <c r="I911" s="1970"/>
      <c r="J911" s="2095" t="s">
        <v>1179</v>
      </c>
      <c r="K911" s="1966">
        <v>26400</v>
      </c>
      <c r="L911" s="1967">
        <f>K911/12000</f>
        <v>2.2000000000000002</v>
      </c>
      <c r="M911" s="1971" t="s">
        <v>932</v>
      </c>
      <c r="T911" s="50"/>
      <c r="U911" s="50"/>
      <c r="V911" s="2394"/>
      <c r="W911" s="1268"/>
      <c r="X911" s="1268"/>
      <c r="Y911" s="1268"/>
      <c r="Z911" s="1268"/>
      <c r="AA911" s="1268"/>
      <c r="AB911" s="1268"/>
      <c r="AC911" s="752"/>
      <c r="AD911" s="966"/>
      <c r="AE911" s="909"/>
      <c r="AF911" s="253"/>
      <c r="AG911" s="253">
        <f>IF(K911&lt;&gt;"",K911,"")</f>
        <v>26400</v>
      </c>
      <c r="DG911" s="543"/>
      <c r="DH911" s="149"/>
      <c r="DI911" s="1020"/>
      <c r="DJ911" s="2045"/>
    </row>
    <row r="912" spans="1:114" ht="15" customHeight="1" outlineLevel="1" x14ac:dyDescent="0.25">
      <c r="A912" s="2145"/>
      <c r="C912" s="49"/>
      <c r="D912" s="2394"/>
      <c r="E912" s="2394"/>
      <c r="F912" s="2404" t="str">
        <f>$E$725</f>
        <v>ASHP-SEER20-Replace_CAC_ElectricHeat_ROF_SF</v>
      </c>
      <c r="G912" s="2404"/>
      <c r="H912" s="2404"/>
      <c r="I912" s="2404"/>
      <c r="J912" s="1506" t="str">
        <f>$C$725</f>
        <v>353450_2024_12_</v>
      </c>
      <c r="K912" s="1515">
        <v>34645</v>
      </c>
      <c r="L912" s="964">
        <f t="shared" si="200"/>
        <v>2.8870833333333334</v>
      </c>
      <c r="M912" s="857" t="s">
        <v>931</v>
      </c>
      <c r="P912" s="243"/>
      <c r="Q912" s="192"/>
      <c r="R912" s="243"/>
      <c r="T912" s="166"/>
      <c r="U912" s="50"/>
      <c r="V912" s="2394"/>
      <c r="W912" s="1268">
        <v>38400</v>
      </c>
      <c r="X912" s="1268">
        <v>38400</v>
      </c>
      <c r="Y912" s="1268">
        <v>38400</v>
      </c>
      <c r="Z912" s="1268">
        <v>38400</v>
      </c>
      <c r="AA912" s="1268">
        <v>38400</v>
      </c>
      <c r="AB912" s="1268">
        <v>38400</v>
      </c>
      <c r="AC912" s="775">
        <v>30000</v>
      </c>
      <c r="AD912" s="908">
        <v>34645</v>
      </c>
      <c r="AE912" s="966">
        <v>34645</v>
      </c>
      <c r="AF912" s="253">
        <v>34645</v>
      </c>
      <c r="AG912" s="253">
        <f t="shared" si="199"/>
        <v>34645</v>
      </c>
      <c r="DG912" s="543"/>
      <c r="DH912" s="149"/>
      <c r="DI912" s="1020"/>
      <c r="DJ912" s="2045"/>
    </row>
    <row r="913" spans="1:114" ht="15" customHeight="1" outlineLevel="1" x14ac:dyDescent="0.25">
      <c r="A913" s="2145"/>
      <c r="C913" s="49"/>
      <c r="D913" s="2394"/>
      <c r="E913" s="2394"/>
      <c r="F913" s="2404" t="str">
        <f>$E$729</f>
        <v>ASHP-SEER20-Replace_CAC_NonElectricHeat_ROF_SF</v>
      </c>
      <c r="G913" s="2404"/>
      <c r="H913" s="2404"/>
      <c r="I913" s="2404"/>
      <c r="J913" s="1506" t="str">
        <f>$C$729</f>
        <v>353460_2024_12_</v>
      </c>
      <c r="K913" s="1515">
        <v>34645</v>
      </c>
      <c r="L913" s="964">
        <f t="shared" si="200"/>
        <v>2.8870833333333334</v>
      </c>
      <c r="M913" s="857" t="s">
        <v>1018</v>
      </c>
      <c r="P913" s="243"/>
      <c r="Q913" s="192"/>
      <c r="R913" s="243"/>
      <c r="T913" s="166"/>
      <c r="U913" s="50"/>
      <c r="V913" s="2394"/>
      <c r="W913" s="1268"/>
      <c r="X913" s="779"/>
      <c r="Y913" s="779"/>
      <c r="Z913" s="1268"/>
      <c r="AA913" s="1268"/>
      <c r="AB913" s="775"/>
      <c r="AC913" s="775"/>
      <c r="AD913" s="908">
        <v>34645</v>
      </c>
      <c r="AE913" s="966">
        <v>34645</v>
      </c>
      <c r="AF913" s="253">
        <v>34645</v>
      </c>
      <c r="AG913" s="253">
        <f t="shared" si="199"/>
        <v>34645</v>
      </c>
      <c r="DG913" s="543"/>
      <c r="DH913" s="149"/>
      <c r="DI913" s="1020"/>
      <c r="DJ913" s="2045"/>
    </row>
    <row r="914" spans="1:114" ht="15" customHeight="1" outlineLevel="1" x14ac:dyDescent="0.25">
      <c r="A914" s="2145"/>
      <c r="C914" s="49"/>
      <c r="D914" s="2394"/>
      <c r="E914" s="2394"/>
      <c r="F914" s="2404" t="str">
        <f>$E$731</f>
        <v>ASHP-SEER21-Replace_CAC_ElectricHeat_ER1_SF</v>
      </c>
      <c r="G914" s="2404"/>
      <c r="H914" s="2404"/>
      <c r="I914" s="2404"/>
      <c r="J914" s="1506" t="str">
        <f>$C$731</f>
        <v>353550_2024_12_</v>
      </c>
      <c r="K914" s="1515">
        <v>40128.673782518214</v>
      </c>
      <c r="L914" s="964">
        <f t="shared" si="200"/>
        <v>3.3440561485431846</v>
      </c>
      <c r="M914" s="857" t="s">
        <v>929</v>
      </c>
      <c r="T914" s="50"/>
      <c r="U914" s="50"/>
      <c r="V914" s="2394"/>
      <c r="W914" s="1268">
        <v>37200</v>
      </c>
      <c r="X914" s="1268">
        <v>37200</v>
      </c>
      <c r="Y914" s="1268">
        <v>37200</v>
      </c>
      <c r="Z914" s="1268">
        <v>37200</v>
      </c>
      <c r="AA914" s="1268">
        <v>37200</v>
      </c>
      <c r="AB914" s="1268">
        <v>37200</v>
      </c>
      <c r="AC914" s="775">
        <v>43090.909090909088</v>
      </c>
      <c r="AD914" s="908">
        <v>40225.166612626257</v>
      </c>
      <c r="AE914" s="908">
        <v>40128.673782518214</v>
      </c>
      <c r="AF914" s="253">
        <v>40128.673782518214</v>
      </c>
      <c r="AG914" s="253">
        <f t="shared" si="199"/>
        <v>40128.673782518214</v>
      </c>
      <c r="DG914" s="543"/>
      <c r="DH914" s="149"/>
      <c r="DI914" s="1020"/>
      <c r="DJ914" s="2045"/>
    </row>
    <row r="915" spans="1:114" ht="15" customHeight="1" outlineLevel="1" x14ac:dyDescent="0.25">
      <c r="A915" s="2145"/>
      <c r="C915" s="49"/>
      <c r="D915" s="2394"/>
      <c r="E915" s="2394"/>
      <c r="F915" s="2404" t="str">
        <f>$E$733</f>
        <v>ASHP-SEER21-Replace_CAC_ElectricHeat_ER2_SF</v>
      </c>
      <c r="G915" s="2404"/>
      <c r="H915" s="2404"/>
      <c r="I915" s="2404"/>
      <c r="J915" s="1506" t="str">
        <f>$C$733</f>
        <v>353550_2024_12_</v>
      </c>
      <c r="K915" s="1515">
        <v>40128.673782518214</v>
      </c>
      <c r="L915" s="964">
        <f t="shared" si="200"/>
        <v>3.3440561485431846</v>
      </c>
      <c r="M915" s="857" t="s">
        <v>929</v>
      </c>
      <c r="T915" s="50"/>
      <c r="U915" s="50"/>
      <c r="V915" s="2394"/>
      <c r="W915" s="1268">
        <v>37200</v>
      </c>
      <c r="X915" s="1268">
        <v>37200</v>
      </c>
      <c r="Y915" s="1268">
        <v>37200</v>
      </c>
      <c r="Z915" s="1268">
        <v>37200</v>
      </c>
      <c r="AA915" s="1268">
        <v>37200</v>
      </c>
      <c r="AB915" s="1268">
        <v>37200</v>
      </c>
      <c r="AC915" s="775">
        <f>AC914</f>
        <v>43090.909090909088</v>
      </c>
      <c r="AD915" s="908">
        <v>40225.166612626257</v>
      </c>
      <c r="AE915" s="908">
        <v>40128.673782518214</v>
      </c>
      <c r="AF915" s="253">
        <v>40128.673782518214</v>
      </c>
      <c r="AG915" s="253">
        <f t="shared" si="199"/>
        <v>40128.673782518214</v>
      </c>
      <c r="DG915" s="543"/>
      <c r="DH915" s="149"/>
      <c r="DI915" s="1020"/>
      <c r="DJ915" s="2045"/>
    </row>
    <row r="916" spans="1:114" ht="15" customHeight="1" outlineLevel="1" x14ac:dyDescent="0.25">
      <c r="A916" s="2145"/>
      <c r="C916" s="49"/>
      <c r="D916" s="2394"/>
      <c r="E916" s="2394"/>
      <c r="F916" s="2404" t="str">
        <f>$E$735</f>
        <v>ASHP-SEER21-Replace_CAC_NonElectricHeat_ER1_SF</v>
      </c>
      <c r="G916" s="2404"/>
      <c r="H916" s="2404"/>
      <c r="I916" s="2404"/>
      <c r="J916" s="1506" t="str">
        <f>$C$735</f>
        <v>353560_2024_12_</v>
      </c>
      <c r="K916" s="1515">
        <v>40128.673782518214</v>
      </c>
      <c r="L916" s="964">
        <f t="shared" si="200"/>
        <v>3.3440561485431846</v>
      </c>
      <c r="M916" s="857" t="s">
        <v>929</v>
      </c>
      <c r="T916" s="50"/>
      <c r="U916" s="50"/>
      <c r="V916" s="2394"/>
      <c r="W916" s="1268"/>
      <c r="X916" s="1268"/>
      <c r="Y916" s="1268"/>
      <c r="Z916" s="1268"/>
      <c r="AA916" s="1268"/>
      <c r="AB916" s="1268"/>
      <c r="AC916" s="775">
        <v>43090.909090909088</v>
      </c>
      <c r="AD916" s="908">
        <v>40225.166612626257</v>
      </c>
      <c r="AE916" s="908">
        <v>40128.673782518214</v>
      </c>
      <c r="AF916" s="253">
        <v>40128.673782518214</v>
      </c>
      <c r="AG916" s="253">
        <f t="shared" si="199"/>
        <v>40128.673782518214</v>
      </c>
      <c r="DG916" s="543"/>
      <c r="DH916" s="149"/>
      <c r="DI916" s="1020"/>
      <c r="DJ916" s="2045"/>
    </row>
    <row r="917" spans="1:114" ht="15" customHeight="1" outlineLevel="1" x14ac:dyDescent="0.25">
      <c r="A917" s="2145"/>
      <c r="C917" s="49"/>
      <c r="D917" s="2394"/>
      <c r="E917" s="2394"/>
      <c r="F917" s="2404" t="str">
        <f>$E$737</f>
        <v>ASHP-SEER21-Replace_CAC_NonElectricHeat_ER2_SF</v>
      </c>
      <c r="G917" s="2404"/>
      <c r="H917" s="2404"/>
      <c r="I917" s="2404"/>
      <c r="J917" s="1506" t="str">
        <f>$C$737</f>
        <v>353560_2024_12_</v>
      </c>
      <c r="K917" s="1515">
        <v>40128.673782518214</v>
      </c>
      <c r="L917" s="964">
        <f t="shared" si="200"/>
        <v>3.3440561485431846</v>
      </c>
      <c r="M917" s="857" t="s">
        <v>929</v>
      </c>
      <c r="T917" s="50"/>
      <c r="U917" s="50"/>
      <c r="V917" s="2394"/>
      <c r="W917" s="1268"/>
      <c r="X917" s="1268"/>
      <c r="Y917" s="1268"/>
      <c r="Z917" s="1268"/>
      <c r="AA917" s="1268"/>
      <c r="AB917" s="1268"/>
      <c r="AC917" s="775">
        <f>AC916</f>
        <v>43090.909090909088</v>
      </c>
      <c r="AD917" s="908">
        <v>40225.166612626257</v>
      </c>
      <c r="AE917" s="908">
        <v>40128.673782518214</v>
      </c>
      <c r="AF917" s="253">
        <v>40128.673782518214</v>
      </c>
      <c r="AG917" s="253">
        <f t="shared" si="199"/>
        <v>40128.673782518214</v>
      </c>
      <c r="DG917" s="543"/>
      <c r="DH917" s="149"/>
      <c r="DI917" s="1020"/>
      <c r="DJ917" s="2045"/>
    </row>
    <row r="918" spans="1:114" ht="15" customHeight="1" outlineLevel="1" x14ac:dyDescent="0.25">
      <c r="A918" s="2145"/>
      <c r="C918" s="49"/>
      <c r="D918" s="2394"/>
      <c r="E918" s="2394"/>
      <c r="F918" s="2404" t="str">
        <f>$E$739</f>
        <v>ASHP-SEER21-Replace_CAC_ElectricHeat_ER1_MF</v>
      </c>
      <c r="G918" s="2404"/>
      <c r="H918" s="2404"/>
      <c r="I918" s="2404"/>
      <c r="J918" s="1506" t="str">
        <f>$C$739</f>
        <v>353600_2024_12_</v>
      </c>
      <c r="K918" s="1516">
        <v>37200</v>
      </c>
      <c r="L918" s="964">
        <f t="shared" si="200"/>
        <v>3.1</v>
      </c>
      <c r="M918" s="857" t="s">
        <v>1287</v>
      </c>
      <c r="T918" s="50"/>
      <c r="U918" s="50"/>
      <c r="V918" s="2394"/>
      <c r="W918" s="1268">
        <v>37200</v>
      </c>
      <c r="X918" s="1268">
        <v>37200</v>
      </c>
      <c r="Y918" s="1268">
        <v>37200</v>
      </c>
      <c r="Z918" s="1268">
        <v>37200</v>
      </c>
      <c r="AA918" s="1268">
        <v>37200</v>
      </c>
      <c r="AB918" s="1268">
        <v>37200</v>
      </c>
      <c r="AC918" s="752">
        <v>37200</v>
      </c>
      <c r="AD918" s="966">
        <v>37200</v>
      </c>
      <c r="AE918" s="909">
        <v>37200</v>
      </c>
      <c r="AF918" s="253">
        <v>37200</v>
      </c>
      <c r="AG918" s="253">
        <f t="shared" si="199"/>
        <v>37200</v>
      </c>
      <c r="DG918" s="543"/>
      <c r="DH918" s="149"/>
      <c r="DI918" s="1020"/>
      <c r="DJ918" s="2045"/>
    </row>
    <row r="919" spans="1:114" ht="15" customHeight="1" outlineLevel="1" x14ac:dyDescent="0.25">
      <c r="A919" s="2145"/>
      <c r="C919" s="49"/>
      <c r="D919" s="2394"/>
      <c r="E919" s="2394"/>
      <c r="F919" s="2404" t="str">
        <f>$E$741</f>
        <v>ASHP-SEER21-Replace_CAC_ElectricHeat_ER2_MF</v>
      </c>
      <c r="G919" s="2404"/>
      <c r="H919" s="2404"/>
      <c r="I919" s="2404"/>
      <c r="J919" s="1506" t="str">
        <f>$C$741</f>
        <v>353600_2024_12_</v>
      </c>
      <c r="K919" s="1516">
        <v>37200</v>
      </c>
      <c r="L919" s="964">
        <f t="shared" si="200"/>
        <v>3.1</v>
      </c>
      <c r="M919" s="857" t="s">
        <v>1287</v>
      </c>
      <c r="T919" s="50"/>
      <c r="U919" s="50"/>
      <c r="V919" s="2394"/>
      <c r="W919" s="1268">
        <v>37200</v>
      </c>
      <c r="X919" s="1268">
        <v>37200</v>
      </c>
      <c r="Y919" s="1268">
        <v>37200</v>
      </c>
      <c r="Z919" s="1268">
        <v>37200</v>
      </c>
      <c r="AA919" s="1268">
        <v>37200</v>
      </c>
      <c r="AB919" s="1268">
        <v>37200</v>
      </c>
      <c r="AC919" s="752">
        <v>37200</v>
      </c>
      <c r="AD919" s="966">
        <v>37200</v>
      </c>
      <c r="AE919" s="909">
        <v>37200</v>
      </c>
      <c r="AF919" s="253">
        <v>37200</v>
      </c>
      <c r="AG919" s="253">
        <f t="shared" si="199"/>
        <v>37200</v>
      </c>
      <c r="DG919" s="543"/>
      <c r="DH919" s="149"/>
      <c r="DI919" s="1020"/>
      <c r="DJ919" s="2045"/>
    </row>
    <row r="920" spans="1:114" ht="15" customHeight="1" outlineLevel="1" x14ac:dyDescent="0.25">
      <c r="A920" s="2145"/>
      <c r="C920" s="49"/>
      <c r="D920" s="2394"/>
      <c r="E920" s="2394"/>
      <c r="F920" s="2404" t="str">
        <f>$E$743</f>
        <v>ASHP-SEER21-Replace_CAC_ElectricHeat_ROF_SF</v>
      </c>
      <c r="G920" s="2404"/>
      <c r="H920" s="2404"/>
      <c r="I920" s="2404"/>
      <c r="J920" s="1506" t="str">
        <f>$C$743</f>
        <v>353650_2024_12_</v>
      </c>
      <c r="K920" s="1515">
        <v>41639.393940624999</v>
      </c>
      <c r="L920" s="964">
        <f t="shared" si="200"/>
        <v>3.4699494950520831</v>
      </c>
      <c r="M920" s="857" t="s">
        <v>931</v>
      </c>
      <c r="T920" s="50"/>
      <c r="U920" s="50"/>
      <c r="V920" s="2394"/>
      <c r="W920" s="1268">
        <v>38400</v>
      </c>
      <c r="X920" s="1268">
        <v>38400</v>
      </c>
      <c r="Y920" s="1268">
        <v>38400</v>
      </c>
      <c r="Z920" s="1268">
        <v>38400</v>
      </c>
      <c r="AA920" s="1268">
        <v>38400</v>
      </c>
      <c r="AB920" s="1268">
        <v>38400</v>
      </c>
      <c r="AC920" s="775">
        <v>42000</v>
      </c>
      <c r="AD920" s="908">
        <v>41639.393940624999</v>
      </c>
      <c r="AE920" s="966">
        <v>41639.393940624999</v>
      </c>
      <c r="AF920" s="253">
        <v>41639.393940624999</v>
      </c>
      <c r="AG920" s="253">
        <f t="shared" si="199"/>
        <v>41639.393940624999</v>
      </c>
      <c r="DG920" s="543"/>
      <c r="DH920" s="149"/>
      <c r="DI920" s="1020"/>
      <c r="DJ920" s="2045"/>
    </row>
    <row r="921" spans="1:114" ht="15" customHeight="1" outlineLevel="1" x14ac:dyDescent="0.25">
      <c r="A921" s="2145"/>
      <c r="C921" s="49"/>
      <c r="D921" s="2394"/>
      <c r="E921" s="2394"/>
      <c r="F921" s="2404" t="str">
        <f>$E$745</f>
        <v>ASHP-SEER21-Replace_CAC_NonElectricHeat_ROF_SF</v>
      </c>
      <c r="G921" s="2404"/>
      <c r="H921" s="2404"/>
      <c r="I921" s="2404"/>
      <c r="J921" s="1506" t="str">
        <f>$C$745</f>
        <v>353660_2024_12_</v>
      </c>
      <c r="K921" s="1515">
        <v>41639.393940624999</v>
      </c>
      <c r="L921" s="964">
        <f t="shared" si="200"/>
        <v>3.4699494950520831</v>
      </c>
      <c r="M921" s="857" t="s">
        <v>931</v>
      </c>
      <c r="T921" s="50"/>
      <c r="U921" s="50"/>
      <c r="V921" s="2394"/>
      <c r="W921" s="1268"/>
      <c r="X921" s="779"/>
      <c r="Y921" s="779"/>
      <c r="Z921" s="1268"/>
      <c r="AA921" s="1268"/>
      <c r="AB921" s="775"/>
      <c r="AC921" s="775"/>
      <c r="AD921" s="908">
        <v>41639.393940624999</v>
      </c>
      <c r="AE921" s="966">
        <v>41639.393940624999</v>
      </c>
      <c r="AF921" s="253">
        <v>41639.393940624999</v>
      </c>
      <c r="AG921" s="253">
        <f t="shared" si="199"/>
        <v>41639.393940624999</v>
      </c>
      <c r="DG921" s="543"/>
      <c r="DH921" s="149"/>
      <c r="DI921" s="1020"/>
      <c r="DJ921" s="2045"/>
    </row>
    <row r="922" spans="1:114" ht="15" customHeight="1" outlineLevel="1" x14ac:dyDescent="0.25">
      <c r="A922" s="2145"/>
      <c r="C922" s="49"/>
      <c r="D922" s="2394"/>
      <c r="E922" s="2394"/>
      <c r="F922" s="2404" t="str">
        <f>$E$747</f>
        <v>ASHP-SEER17_ER1_SF</v>
      </c>
      <c r="G922" s="2404"/>
      <c r="H922" s="2404"/>
      <c r="I922" s="2404"/>
      <c r="J922" s="1506" t="str">
        <f>$C$747</f>
        <v>353750_2024_12_</v>
      </c>
      <c r="K922" s="1515">
        <v>31924.430692636917</v>
      </c>
      <c r="L922" s="964">
        <f t="shared" si="200"/>
        <v>2.6603692243864097</v>
      </c>
      <c r="M922" s="857" t="s">
        <v>929</v>
      </c>
      <c r="T922" s="50"/>
      <c r="U922" s="50"/>
      <c r="V922" s="2394"/>
      <c r="W922" s="1268">
        <v>39600</v>
      </c>
      <c r="X922" s="1268">
        <v>39600</v>
      </c>
      <c r="Y922" s="1268">
        <v>39600</v>
      </c>
      <c r="Z922" s="1268">
        <v>39600</v>
      </c>
      <c r="AA922" s="1268">
        <v>39600</v>
      </c>
      <c r="AB922" s="1268">
        <v>39600</v>
      </c>
      <c r="AC922" s="775">
        <v>35142.857142857138</v>
      </c>
      <c r="AD922" s="908">
        <v>35218.736819625796</v>
      </c>
      <c r="AE922" s="908">
        <v>31924.430692636917</v>
      </c>
      <c r="AF922" s="253">
        <v>31924.430692636917</v>
      </c>
      <c r="AG922" s="253">
        <f t="shared" si="199"/>
        <v>31924.430692636917</v>
      </c>
      <c r="DG922" s="543"/>
      <c r="DH922" s="149"/>
      <c r="DI922" s="1020"/>
      <c r="DJ922" s="2045"/>
    </row>
    <row r="923" spans="1:114" ht="15" customHeight="1" outlineLevel="1" x14ac:dyDescent="0.25">
      <c r="A923" s="2145"/>
      <c r="C923" s="49"/>
      <c r="D923" s="2394"/>
      <c r="E923" s="2394"/>
      <c r="F923" s="2404" t="str">
        <f>$E$749</f>
        <v>ASHP-SEER17_ER2_SF</v>
      </c>
      <c r="G923" s="2404"/>
      <c r="H923" s="2404"/>
      <c r="I923" s="2404"/>
      <c r="J923" s="1506" t="str">
        <f>$C$749</f>
        <v>353750_2024_12_</v>
      </c>
      <c r="K923" s="1515">
        <v>31924.430692636917</v>
      </c>
      <c r="L923" s="964">
        <f t="shared" si="200"/>
        <v>2.6603692243864097</v>
      </c>
      <c r="M923" s="857" t="s">
        <v>929</v>
      </c>
      <c r="T923" s="50"/>
      <c r="U923" s="50"/>
      <c r="V923" s="2394"/>
      <c r="W923" s="1268">
        <v>39600</v>
      </c>
      <c r="X923" s="1268">
        <v>39600</v>
      </c>
      <c r="Y923" s="1268">
        <v>39600</v>
      </c>
      <c r="Z923" s="1268">
        <v>39600</v>
      </c>
      <c r="AA923" s="1268">
        <v>39600</v>
      </c>
      <c r="AB923" s="1268">
        <v>39600</v>
      </c>
      <c r="AC923" s="775">
        <f>AC922</f>
        <v>35142.857142857138</v>
      </c>
      <c r="AD923" s="908">
        <v>35218.736819625796</v>
      </c>
      <c r="AE923" s="908">
        <v>31924.430692636917</v>
      </c>
      <c r="AF923" s="253">
        <v>31924.430692636917</v>
      </c>
      <c r="AG923" s="253">
        <f t="shared" si="199"/>
        <v>31924.430692636917</v>
      </c>
      <c r="DG923" s="543"/>
      <c r="DH923" s="149"/>
      <c r="DI923" s="1020"/>
      <c r="DJ923" s="2045"/>
    </row>
    <row r="924" spans="1:114" ht="15" customHeight="1" outlineLevel="1" x14ac:dyDescent="0.25">
      <c r="A924" s="2145"/>
      <c r="C924" s="49"/>
      <c r="D924" s="2394"/>
      <c r="E924" s="2394"/>
      <c r="F924" s="2404" t="str">
        <f>$E$751</f>
        <v>ASHP-SEER17_ROF_SF</v>
      </c>
      <c r="G924" s="2404"/>
      <c r="H924" s="2404"/>
      <c r="I924" s="2404"/>
      <c r="J924" s="1506" t="str">
        <f>$C$751</f>
        <v>353800_2024_12_</v>
      </c>
      <c r="K924" s="1515">
        <v>38543.962847058829</v>
      </c>
      <c r="L924" s="964">
        <f>K924/12000</f>
        <v>3.2119969039215692</v>
      </c>
      <c r="M924" s="857" t="s">
        <v>929</v>
      </c>
      <c r="T924" s="50"/>
      <c r="U924" s="50"/>
      <c r="V924" s="2394"/>
      <c r="W924" s="1268">
        <v>39600</v>
      </c>
      <c r="X924" s="1268">
        <v>39600</v>
      </c>
      <c r="Y924" s="1268">
        <v>39600</v>
      </c>
      <c r="Z924" s="1268">
        <v>39600</v>
      </c>
      <c r="AA924" s="1268">
        <v>39600</v>
      </c>
      <c r="AB924" s="1268">
        <v>39600</v>
      </c>
      <c r="AC924" s="775">
        <v>46285.71428571429</v>
      </c>
      <c r="AD924" s="908">
        <v>35402.476190000001</v>
      </c>
      <c r="AE924" s="908">
        <v>38543.962847058829</v>
      </c>
      <c r="AF924" s="253">
        <v>38543.962847058829</v>
      </c>
      <c r="AG924" s="253">
        <f t="shared" si="199"/>
        <v>38543.962847058829</v>
      </c>
      <c r="DG924" s="543"/>
      <c r="DH924" s="149"/>
      <c r="DI924" s="1020"/>
      <c r="DJ924" s="2045"/>
    </row>
    <row r="925" spans="1:114" ht="15" customHeight="1" outlineLevel="1" x14ac:dyDescent="0.25">
      <c r="A925" s="2145"/>
      <c r="C925" s="49"/>
      <c r="D925" s="2394"/>
      <c r="E925" s="2394"/>
      <c r="F925" s="2404" t="str">
        <f>$E$753</f>
        <v>ASHP-SEER18_ER1_SF</v>
      </c>
      <c r="G925" s="2404"/>
      <c r="H925" s="2404"/>
      <c r="I925" s="2404"/>
      <c r="J925" s="1506" t="str">
        <f>$C$753</f>
        <v>353850_2024_12_</v>
      </c>
      <c r="K925" s="1515">
        <v>34705.508067129631</v>
      </c>
      <c r="L925" s="964">
        <f t="shared" si="200"/>
        <v>2.8921256722608026</v>
      </c>
      <c r="M925" s="857" t="s">
        <v>929</v>
      </c>
      <c r="T925" s="50"/>
      <c r="U925" s="50"/>
      <c r="V925" s="2394"/>
      <c r="W925" s="1268">
        <v>39600</v>
      </c>
      <c r="X925" s="1268">
        <v>39600</v>
      </c>
      <c r="Y925" s="1268">
        <v>39600</v>
      </c>
      <c r="Z925" s="1268">
        <v>39600</v>
      </c>
      <c r="AA925" s="1268">
        <v>39600</v>
      </c>
      <c r="AB925" s="779">
        <v>42600</v>
      </c>
      <c r="AC925" s="775">
        <v>38521.739130434784</v>
      </c>
      <c r="AD925" s="908">
        <v>36089.906153434065</v>
      </c>
      <c r="AE925" s="908">
        <v>34705.508067129631</v>
      </c>
      <c r="AF925" s="253">
        <v>34705.508067129631</v>
      </c>
      <c r="AG925" s="253">
        <f t="shared" si="199"/>
        <v>34705.508067129631</v>
      </c>
      <c r="DG925" s="543"/>
      <c r="DH925" s="149"/>
      <c r="DI925" s="1020"/>
      <c r="DJ925" s="2045"/>
    </row>
    <row r="926" spans="1:114" ht="15" customHeight="1" outlineLevel="1" x14ac:dyDescent="0.25">
      <c r="A926" s="2145"/>
      <c r="C926" s="49"/>
      <c r="D926" s="2394"/>
      <c r="E926" s="2394"/>
      <c r="F926" s="2404" t="str">
        <f>$E$755</f>
        <v>ASHP-SEER18_ER2_SF</v>
      </c>
      <c r="G926" s="2404"/>
      <c r="H926" s="2404"/>
      <c r="I926" s="2404"/>
      <c r="J926" s="1506" t="str">
        <f>$C$755</f>
        <v>353850_2024_12_</v>
      </c>
      <c r="K926" s="1515">
        <v>34705.508067129631</v>
      </c>
      <c r="L926" s="964">
        <f t="shared" si="200"/>
        <v>2.8921256722608026</v>
      </c>
      <c r="M926" s="857" t="s">
        <v>929</v>
      </c>
      <c r="T926" s="50"/>
      <c r="U926" s="50"/>
      <c r="V926" s="2394"/>
      <c r="W926" s="1268">
        <v>39600</v>
      </c>
      <c r="X926" s="1268">
        <v>39600</v>
      </c>
      <c r="Y926" s="1268">
        <v>39600</v>
      </c>
      <c r="Z926" s="1268">
        <v>39600</v>
      </c>
      <c r="AA926" s="1268">
        <v>39600</v>
      </c>
      <c r="AB926" s="779">
        <v>42600</v>
      </c>
      <c r="AC926" s="775">
        <f>AC925</f>
        <v>38521.739130434784</v>
      </c>
      <c r="AD926" s="908">
        <v>36089.906153434065</v>
      </c>
      <c r="AE926" s="908">
        <v>34705.508067129631</v>
      </c>
      <c r="AF926" s="253">
        <v>34705.508067129631</v>
      </c>
      <c r="AG926" s="253">
        <f t="shared" si="199"/>
        <v>34705.508067129631</v>
      </c>
      <c r="DG926" s="543"/>
      <c r="DH926" s="149"/>
      <c r="DI926" s="1020"/>
      <c r="DJ926" s="2045"/>
    </row>
    <row r="927" spans="1:114" ht="15" customHeight="1" outlineLevel="1" x14ac:dyDescent="0.25">
      <c r="A927" s="2145"/>
      <c r="C927" s="49"/>
      <c r="D927" s="2394"/>
      <c r="E927" s="2394"/>
      <c r="F927" s="2404" t="str">
        <f>$E$757</f>
        <v>ASHP-SEER18_ROF_SF</v>
      </c>
      <c r="G927" s="2404"/>
      <c r="H927" s="2404"/>
      <c r="I927" s="2404"/>
      <c r="J927" s="1506" t="str">
        <f>$C$757</f>
        <v>353950_2024_12_</v>
      </c>
      <c r="K927" s="1515">
        <v>36024.444439999999</v>
      </c>
      <c r="L927" s="964">
        <f t="shared" si="200"/>
        <v>3.0020370366666667</v>
      </c>
      <c r="M927" s="857" t="s">
        <v>929</v>
      </c>
      <c r="T927" s="50"/>
      <c r="U927" s="50"/>
      <c r="V927" s="2394"/>
      <c r="W927" s="1268">
        <v>39600</v>
      </c>
      <c r="X927" s="1268">
        <v>39600</v>
      </c>
      <c r="Y927" s="1268">
        <v>39600</v>
      </c>
      <c r="Z927" s="1268">
        <v>39600</v>
      </c>
      <c r="AA927" s="1268">
        <v>39600</v>
      </c>
      <c r="AB927" s="1268">
        <v>39600</v>
      </c>
      <c r="AC927" s="775">
        <v>41250</v>
      </c>
      <c r="AD927" s="908">
        <v>37478.667573056096</v>
      </c>
      <c r="AE927" s="908">
        <v>36024.444439999999</v>
      </c>
      <c r="AF927" s="253">
        <v>36024.444439999999</v>
      </c>
      <c r="AG927" s="253">
        <f t="shared" si="199"/>
        <v>36024.444439999999</v>
      </c>
      <c r="DG927" s="543"/>
      <c r="DH927" s="149"/>
      <c r="DI927" s="1020"/>
      <c r="DJ927" s="2045"/>
    </row>
    <row r="928" spans="1:114" ht="15" customHeight="1" outlineLevel="1" x14ac:dyDescent="0.25">
      <c r="A928" s="2145"/>
      <c r="C928" s="49"/>
      <c r="D928" s="2394"/>
      <c r="E928" s="2394"/>
      <c r="F928" s="2404" t="str">
        <f>$E$759</f>
        <v>ASHP-SEER19_ER1_SF</v>
      </c>
      <c r="G928" s="2404"/>
      <c r="H928" s="2404"/>
      <c r="I928" s="2404"/>
      <c r="J928" s="1506" t="str">
        <f>$C$759</f>
        <v>354000_2024_12_</v>
      </c>
      <c r="K928" s="1515">
        <v>45277.450979411762</v>
      </c>
      <c r="L928" s="964">
        <f t="shared" si="200"/>
        <v>3.7731209149509803</v>
      </c>
      <c r="M928" s="857" t="s">
        <v>929</v>
      </c>
      <c r="T928" s="50"/>
      <c r="U928" s="50"/>
      <c r="V928" s="2394"/>
      <c r="W928" s="1268">
        <v>39600</v>
      </c>
      <c r="X928" s="1268">
        <v>39600</v>
      </c>
      <c r="Y928" s="1268">
        <v>39600</v>
      </c>
      <c r="Z928" s="1268">
        <v>39600</v>
      </c>
      <c r="AA928" s="1268">
        <v>39600</v>
      </c>
      <c r="AB928" s="1268">
        <v>39600</v>
      </c>
      <c r="AC928" s="775">
        <v>48000</v>
      </c>
      <c r="AD928" s="908">
        <v>45277.450979411769</v>
      </c>
      <c r="AE928" s="966">
        <v>45277.450979411762</v>
      </c>
      <c r="AF928" s="253">
        <v>45277.450979411762</v>
      </c>
      <c r="AG928" s="253">
        <f t="shared" si="199"/>
        <v>45277.450979411762</v>
      </c>
      <c r="DG928" s="543"/>
      <c r="DH928" s="149"/>
      <c r="DI928" s="1020"/>
      <c r="DJ928" s="2045"/>
    </row>
    <row r="929" spans="1:114" ht="15" customHeight="1" outlineLevel="1" x14ac:dyDescent="0.25">
      <c r="A929" s="2145"/>
      <c r="C929" s="49"/>
      <c r="D929" s="2394"/>
      <c r="E929" s="2394"/>
      <c r="F929" s="2404" t="str">
        <f>$E$761</f>
        <v>ASHP-SEER19_ER2_SF</v>
      </c>
      <c r="G929" s="2404"/>
      <c r="H929" s="2404"/>
      <c r="I929" s="2404"/>
      <c r="J929" s="1506" t="str">
        <f>$C$761</f>
        <v>354000_2024_12_</v>
      </c>
      <c r="K929" s="1515">
        <v>45277.450979411762</v>
      </c>
      <c r="L929" s="964">
        <f t="shared" si="200"/>
        <v>3.7731209149509803</v>
      </c>
      <c r="M929" s="857" t="s">
        <v>929</v>
      </c>
      <c r="T929" s="50"/>
      <c r="U929" s="50"/>
      <c r="V929" s="2394"/>
      <c r="W929" s="1268">
        <v>39600</v>
      </c>
      <c r="X929" s="1268">
        <v>39600</v>
      </c>
      <c r="Y929" s="1268">
        <v>39600</v>
      </c>
      <c r="Z929" s="1268">
        <v>39600</v>
      </c>
      <c r="AA929" s="1268">
        <v>39600</v>
      </c>
      <c r="AB929" s="1268">
        <v>39600</v>
      </c>
      <c r="AC929" s="775">
        <f>AC928</f>
        <v>48000</v>
      </c>
      <c r="AD929" s="908">
        <v>45277.450979411769</v>
      </c>
      <c r="AE929" s="966">
        <v>45277.450979411762</v>
      </c>
      <c r="AF929" s="253">
        <v>45277.450979411762</v>
      </c>
      <c r="AG929" s="253">
        <f t="shared" si="199"/>
        <v>45277.450979411762</v>
      </c>
      <c r="DG929" s="543"/>
      <c r="DH929" s="149"/>
      <c r="DI929" s="1020"/>
      <c r="DJ929" s="2045"/>
    </row>
    <row r="930" spans="1:114" ht="15" customHeight="1" outlineLevel="1" x14ac:dyDescent="0.25">
      <c r="A930" s="2145"/>
      <c r="C930" s="49"/>
      <c r="D930" s="2394"/>
      <c r="E930" s="2394"/>
      <c r="F930" s="2404" t="str">
        <f>$E$763</f>
        <v>ASHP-SEER19_ROF_SF</v>
      </c>
      <c r="G930" s="2404"/>
      <c r="H930" s="2404"/>
      <c r="I930" s="2404"/>
      <c r="J930" s="1506" t="str">
        <f>$C$763</f>
        <v>354050_2024_12_</v>
      </c>
      <c r="K930" s="1515">
        <v>35904.395607692306</v>
      </c>
      <c r="L930" s="964">
        <f t="shared" si="200"/>
        <v>2.9920329673076922</v>
      </c>
      <c r="M930" s="857" t="s">
        <v>931</v>
      </c>
      <c r="T930" s="50"/>
      <c r="U930" s="50"/>
      <c r="V930" s="2394"/>
      <c r="W930" s="1268">
        <v>39600</v>
      </c>
      <c r="X930" s="1268">
        <v>39600</v>
      </c>
      <c r="Y930" s="1268">
        <v>39600</v>
      </c>
      <c r="Z930" s="1268">
        <v>39600</v>
      </c>
      <c r="AA930" s="1268">
        <v>39600</v>
      </c>
      <c r="AB930" s="1268">
        <v>39600</v>
      </c>
      <c r="AC930" s="775">
        <v>26133.333333333332</v>
      </c>
      <c r="AD930" s="908">
        <v>35904.395607692306</v>
      </c>
      <c r="AE930" s="966">
        <v>35904.395607692306</v>
      </c>
      <c r="AF930" s="253">
        <v>35904.395607692306</v>
      </c>
      <c r="AG930" s="253">
        <f t="shared" si="199"/>
        <v>35904.395607692306</v>
      </c>
      <c r="DG930" s="543"/>
      <c r="DH930" s="149"/>
      <c r="DI930" s="1020"/>
      <c r="DJ930" s="2045"/>
    </row>
    <row r="931" spans="1:114" ht="15" customHeight="1" outlineLevel="1" x14ac:dyDescent="0.25">
      <c r="A931" s="2145"/>
      <c r="C931" s="49"/>
      <c r="D931" s="2394"/>
      <c r="E931" s="2394"/>
      <c r="F931" s="2404" t="str">
        <f>$E$765</f>
        <v>ASHP-SEER17-Replace_CAC_ElectricHeat_ER1_SF</v>
      </c>
      <c r="G931" s="2404"/>
      <c r="H931" s="2404"/>
      <c r="I931" s="2404"/>
      <c r="J931" s="1506" t="str">
        <f>$C$765</f>
        <v>354100_2024_12_</v>
      </c>
      <c r="K931" s="1515">
        <v>31924.430692636917</v>
      </c>
      <c r="L931" s="964">
        <f t="shared" si="200"/>
        <v>2.6603692243864097</v>
      </c>
      <c r="M931" s="857" t="s">
        <v>929</v>
      </c>
      <c r="T931" s="50"/>
      <c r="U931" s="50"/>
      <c r="V931" s="2394"/>
      <c r="W931" s="1268">
        <v>37200</v>
      </c>
      <c r="X931" s="1268">
        <v>37200</v>
      </c>
      <c r="Y931" s="1268">
        <v>37200</v>
      </c>
      <c r="Z931" s="1268">
        <v>37200</v>
      </c>
      <c r="AA931" s="1268">
        <v>37200</v>
      </c>
      <c r="AB931" s="1268">
        <v>37200</v>
      </c>
      <c r="AC931" s="775">
        <v>34090.909090909088</v>
      </c>
      <c r="AD931" s="908">
        <v>35218.736819625796</v>
      </c>
      <c r="AE931" s="908">
        <v>31924.430692636917</v>
      </c>
      <c r="AF931" s="253">
        <v>31924.430692636917</v>
      </c>
      <c r="AG931" s="253">
        <f t="shared" si="199"/>
        <v>31924.430692636917</v>
      </c>
      <c r="DG931" s="543"/>
      <c r="DH931" s="149"/>
      <c r="DI931" s="1020"/>
      <c r="DJ931" s="2045"/>
    </row>
    <row r="932" spans="1:114" ht="15" customHeight="1" outlineLevel="1" x14ac:dyDescent="0.25">
      <c r="A932" s="2145"/>
      <c r="C932" s="49"/>
      <c r="D932" s="2394"/>
      <c r="E932" s="2394"/>
      <c r="F932" s="2404" t="str">
        <f>$E$767</f>
        <v>ASHP-SEER17-Replace_CAC_ElectricHeat_ER2_SF</v>
      </c>
      <c r="G932" s="2404"/>
      <c r="H932" s="2404"/>
      <c r="I932" s="2404"/>
      <c r="J932" s="1506" t="str">
        <f>$C$767</f>
        <v>354100_2024_12_</v>
      </c>
      <c r="K932" s="1515">
        <v>31924.430692636917</v>
      </c>
      <c r="L932" s="964">
        <f t="shared" si="200"/>
        <v>2.6603692243864097</v>
      </c>
      <c r="M932" s="857" t="s">
        <v>929</v>
      </c>
      <c r="T932" s="50"/>
      <c r="U932" s="50"/>
      <c r="V932" s="2394"/>
      <c r="W932" s="1268">
        <v>37200</v>
      </c>
      <c r="X932" s="1268">
        <v>37200</v>
      </c>
      <c r="Y932" s="1268">
        <v>37200</v>
      </c>
      <c r="Z932" s="1268">
        <v>37200</v>
      </c>
      <c r="AA932" s="1268">
        <v>37200</v>
      </c>
      <c r="AB932" s="1268">
        <v>37200</v>
      </c>
      <c r="AC932" s="775">
        <v>34090.909090909088</v>
      </c>
      <c r="AD932" s="908">
        <v>35218.736819625796</v>
      </c>
      <c r="AE932" s="908">
        <v>31924.430692636917</v>
      </c>
      <c r="AF932" s="253">
        <v>31924.430692636917</v>
      </c>
      <c r="AG932" s="253">
        <f t="shared" si="199"/>
        <v>31924.430692636917</v>
      </c>
      <c r="DG932" s="543"/>
      <c r="DH932" s="149"/>
      <c r="DI932" s="1020"/>
      <c r="DJ932" s="2045"/>
    </row>
    <row r="933" spans="1:114" ht="15" customHeight="1" outlineLevel="1" x14ac:dyDescent="0.25">
      <c r="A933" s="2145"/>
      <c r="C933" s="49"/>
      <c r="D933" s="2394"/>
      <c r="E933" s="2394"/>
      <c r="F933" s="2404" t="str">
        <f>$E$769</f>
        <v>ASHP-SEER17-Replace_CAC_NonElectricHeat_ER1_SF</v>
      </c>
      <c r="G933" s="2404"/>
      <c r="H933" s="2404"/>
      <c r="I933" s="2404"/>
      <c r="J933" s="1506" t="str">
        <f>$C$769</f>
        <v>354110_2024_12_</v>
      </c>
      <c r="K933" s="1515">
        <v>31924.430692636917</v>
      </c>
      <c r="L933" s="964">
        <f t="shared" si="200"/>
        <v>2.6603692243864097</v>
      </c>
      <c r="M933" s="857" t="s">
        <v>929</v>
      </c>
      <c r="T933" s="50"/>
      <c r="U933" s="50"/>
      <c r="V933" s="2394"/>
      <c r="W933" s="1268"/>
      <c r="X933" s="1268"/>
      <c r="Y933" s="1268"/>
      <c r="Z933" s="1268"/>
      <c r="AA933" s="1268"/>
      <c r="AB933" s="1268"/>
      <c r="AC933" s="775">
        <v>34090.909090909088</v>
      </c>
      <c r="AD933" s="908">
        <v>35218.736819625796</v>
      </c>
      <c r="AE933" s="908">
        <v>31924.430692636917</v>
      </c>
      <c r="AF933" s="253">
        <v>31924.430692636917</v>
      </c>
      <c r="AG933" s="253">
        <f t="shared" si="199"/>
        <v>31924.430692636917</v>
      </c>
      <c r="DG933" s="543"/>
      <c r="DH933" s="149"/>
      <c r="DI933" s="1020"/>
      <c r="DJ933" s="2045"/>
    </row>
    <row r="934" spans="1:114" ht="15" customHeight="1" outlineLevel="1" x14ac:dyDescent="0.25">
      <c r="A934" s="2145"/>
      <c r="C934" s="49"/>
      <c r="D934" s="2394"/>
      <c r="E934" s="2394"/>
      <c r="F934" s="2404" t="str">
        <f>$E$771</f>
        <v>ASHP-SEER17-Replace_CAC_NonElectricHeat_ER2_SF</v>
      </c>
      <c r="G934" s="2404"/>
      <c r="H934" s="2404"/>
      <c r="I934" s="2404"/>
      <c r="J934" s="1506" t="str">
        <f>$C$771</f>
        <v>354110_2024_12_</v>
      </c>
      <c r="K934" s="1515">
        <v>31924.430692636917</v>
      </c>
      <c r="L934" s="964">
        <f t="shared" si="200"/>
        <v>2.6603692243864097</v>
      </c>
      <c r="M934" s="857" t="s">
        <v>929</v>
      </c>
      <c r="T934" s="50"/>
      <c r="U934" s="50"/>
      <c r="V934" s="2394"/>
      <c r="W934" s="1268"/>
      <c r="X934" s="1268"/>
      <c r="Y934" s="1268"/>
      <c r="Z934" s="1268"/>
      <c r="AA934" s="1268"/>
      <c r="AB934" s="1268"/>
      <c r="AC934" s="775">
        <v>34090.909090909088</v>
      </c>
      <c r="AD934" s="908">
        <v>35218.736819625796</v>
      </c>
      <c r="AE934" s="908">
        <v>31924.430692636917</v>
      </c>
      <c r="AF934" s="253">
        <v>31924.430692636917</v>
      </c>
      <c r="AG934" s="253">
        <f t="shared" si="199"/>
        <v>31924.430692636917</v>
      </c>
      <c r="DG934" s="543"/>
      <c r="DH934" s="149"/>
      <c r="DI934" s="1020"/>
      <c r="DJ934" s="2045"/>
    </row>
    <row r="935" spans="1:114" ht="15.75" customHeight="1" outlineLevel="1" x14ac:dyDescent="0.25">
      <c r="A935" s="2145"/>
      <c r="C935" s="49"/>
      <c r="D935" s="2394"/>
      <c r="E935" s="2394"/>
      <c r="F935" s="1968" t="s">
        <v>1223</v>
      </c>
      <c r="G935" s="1969"/>
      <c r="H935" s="1969"/>
      <c r="I935" s="1970"/>
      <c r="J935" s="2095" t="s">
        <v>1222</v>
      </c>
      <c r="K935" s="1966">
        <v>23552.747252747253</v>
      </c>
      <c r="L935" s="1967">
        <f>K935/12000</f>
        <v>1.9627289377289376</v>
      </c>
      <c r="M935" s="1971" t="s">
        <v>932</v>
      </c>
      <c r="T935" s="50"/>
      <c r="U935" s="50"/>
      <c r="V935" s="2394"/>
      <c r="W935" s="1268"/>
      <c r="X935" s="1268"/>
      <c r="Y935" s="1268"/>
      <c r="Z935" s="1268"/>
      <c r="AA935" s="1268"/>
      <c r="AB935" s="1268"/>
      <c r="AC935" s="752"/>
      <c r="AD935" s="966"/>
      <c r="AE935" s="909"/>
      <c r="AF935" s="253"/>
      <c r="AG935" s="253">
        <f>IF(K935&lt;&gt;"",K935,"")</f>
        <v>23552.747252747253</v>
      </c>
      <c r="DG935" s="543"/>
      <c r="DH935" s="149"/>
      <c r="DI935" s="1020"/>
      <c r="DJ935" s="2045"/>
    </row>
    <row r="936" spans="1:114" ht="15" customHeight="1" outlineLevel="1" x14ac:dyDescent="0.25">
      <c r="A936" s="2145"/>
      <c r="C936" s="49"/>
      <c r="D936" s="2394"/>
      <c r="E936" s="2394"/>
      <c r="F936" s="1968" t="s">
        <v>1224</v>
      </c>
      <c r="G936" s="1969"/>
      <c r="H936" s="1969"/>
      <c r="I936" s="1970"/>
      <c r="J936" s="2095" t="s">
        <v>1222</v>
      </c>
      <c r="K936" s="1966">
        <v>23552.747252747253</v>
      </c>
      <c r="L936" s="1967">
        <f>K936/12000</f>
        <v>1.9627289377289376</v>
      </c>
      <c r="M936" s="1971" t="s">
        <v>932</v>
      </c>
      <c r="T936" s="50"/>
      <c r="U936" s="50"/>
      <c r="V936" s="2394"/>
      <c r="W936" s="1268"/>
      <c r="X936" s="1268"/>
      <c r="Y936" s="1268"/>
      <c r="Z936" s="1268"/>
      <c r="AA936" s="1268"/>
      <c r="AB936" s="1268"/>
      <c r="AC936" s="752"/>
      <c r="AD936" s="966"/>
      <c r="AE936" s="909"/>
      <c r="AF936" s="253"/>
      <c r="AG936" s="253">
        <f>IF(K936&lt;&gt;"",K936,"")</f>
        <v>23552.747252747253</v>
      </c>
      <c r="DG936" s="543"/>
      <c r="DH936" s="149"/>
      <c r="DI936" s="1020"/>
      <c r="DJ936" s="2045"/>
    </row>
    <row r="937" spans="1:114" ht="15" customHeight="1" outlineLevel="1" x14ac:dyDescent="0.25">
      <c r="A937" s="2145"/>
      <c r="C937" s="49"/>
      <c r="D937" s="2394"/>
      <c r="E937" s="2394"/>
      <c r="F937" s="2404" t="str">
        <f>$E$777</f>
        <v>ASHP-SEER17-Replace_CAC_ElectricHeat_ER1_MF</v>
      </c>
      <c r="G937" s="2404"/>
      <c r="H937" s="2404"/>
      <c r="I937" s="2404"/>
      <c r="J937" s="1506" t="str">
        <f>$C$777</f>
        <v>354150_2024_12_</v>
      </c>
      <c r="K937" s="1516">
        <v>37200</v>
      </c>
      <c r="L937" s="964">
        <f t="shared" si="200"/>
        <v>3.1</v>
      </c>
      <c r="M937" s="857" t="s">
        <v>1018</v>
      </c>
      <c r="P937" s="243"/>
      <c r="Q937" s="192"/>
      <c r="R937" s="243"/>
      <c r="T937" s="166"/>
      <c r="U937" s="50"/>
      <c r="V937" s="2394"/>
      <c r="W937" s="1268">
        <v>37200</v>
      </c>
      <c r="X937" s="1268">
        <v>37200</v>
      </c>
      <c r="Y937" s="1268">
        <v>37200</v>
      </c>
      <c r="Z937" s="1268">
        <v>37200</v>
      </c>
      <c r="AA937" s="1268">
        <v>37200</v>
      </c>
      <c r="AB937" s="1268">
        <v>37200</v>
      </c>
      <c r="AC937" s="752">
        <v>37200</v>
      </c>
      <c r="AD937" s="966">
        <v>37200</v>
      </c>
      <c r="AE937" s="909">
        <v>37200</v>
      </c>
      <c r="AF937" s="253">
        <v>37200</v>
      </c>
      <c r="AG937" s="253">
        <f t="shared" si="199"/>
        <v>37200</v>
      </c>
      <c r="DG937" s="543"/>
      <c r="DH937" s="149"/>
      <c r="DI937" s="1020"/>
      <c r="DJ937" s="2045"/>
    </row>
    <row r="938" spans="1:114" ht="15" customHeight="1" outlineLevel="1" x14ac:dyDescent="0.25">
      <c r="A938" s="2145"/>
      <c r="C938" s="49"/>
      <c r="D938" s="2394"/>
      <c r="E938" s="2394"/>
      <c r="F938" s="2404" t="str">
        <f>$E$779</f>
        <v>ASHP-SEER17-Replace_CAC_ElectricHeat_ER2_MF</v>
      </c>
      <c r="G938" s="2404"/>
      <c r="H938" s="2404"/>
      <c r="I938" s="2404"/>
      <c r="J938" s="1506" t="str">
        <f>$C$779</f>
        <v>354150_2024_12_</v>
      </c>
      <c r="K938" s="1516">
        <v>37200</v>
      </c>
      <c r="L938" s="964">
        <f t="shared" si="200"/>
        <v>3.1</v>
      </c>
      <c r="M938" s="857" t="s">
        <v>1018</v>
      </c>
      <c r="T938" s="50"/>
      <c r="U938" s="50"/>
      <c r="V938" s="2394"/>
      <c r="W938" s="1268">
        <v>37200</v>
      </c>
      <c r="X938" s="1268">
        <v>37200</v>
      </c>
      <c r="Y938" s="1268">
        <v>37200</v>
      </c>
      <c r="Z938" s="1268">
        <v>37200</v>
      </c>
      <c r="AA938" s="1268">
        <v>37200</v>
      </c>
      <c r="AB938" s="1268">
        <v>37200</v>
      </c>
      <c r="AC938" s="752">
        <v>37200</v>
      </c>
      <c r="AD938" s="966">
        <v>37200</v>
      </c>
      <c r="AE938" s="909">
        <v>37200</v>
      </c>
      <c r="AF938" s="253">
        <v>37200</v>
      </c>
      <c r="AG938" s="253">
        <f t="shared" si="199"/>
        <v>37200</v>
      </c>
      <c r="DG938" s="543"/>
      <c r="DH938" s="149"/>
      <c r="DI938" s="1020"/>
      <c r="DJ938" s="2045"/>
    </row>
    <row r="939" spans="1:114" ht="15" customHeight="1" outlineLevel="1" x14ac:dyDescent="0.25">
      <c r="A939" s="2145"/>
      <c r="C939" s="49"/>
      <c r="D939" s="2394"/>
      <c r="E939" s="2394"/>
      <c r="F939" s="2404" t="str">
        <f>$E$781</f>
        <v>ASHP-SEER17_ER1_MF</v>
      </c>
      <c r="G939" s="2404"/>
      <c r="H939" s="2404"/>
      <c r="I939" s="2404"/>
      <c r="J939" s="1506" t="str">
        <f>$C$781</f>
        <v>354200_2024_12_</v>
      </c>
      <c r="K939" s="1516">
        <v>39600</v>
      </c>
      <c r="L939" s="964">
        <f t="shared" si="200"/>
        <v>3.3</v>
      </c>
      <c r="M939" s="857" t="s">
        <v>1018</v>
      </c>
      <c r="T939" s="50"/>
      <c r="U939" s="50"/>
      <c r="V939" s="2394"/>
      <c r="W939" s="1268">
        <v>39600</v>
      </c>
      <c r="X939" s="1268">
        <v>39600</v>
      </c>
      <c r="Y939" s="1268">
        <v>39600</v>
      </c>
      <c r="Z939" s="1268">
        <v>39600</v>
      </c>
      <c r="AA939" s="1268">
        <v>39600</v>
      </c>
      <c r="AB939" s="1268">
        <v>39600</v>
      </c>
      <c r="AC939" s="752">
        <v>39600</v>
      </c>
      <c r="AD939" s="966">
        <v>39600</v>
      </c>
      <c r="AE939" s="909">
        <v>39600</v>
      </c>
      <c r="AF939" s="253">
        <v>39600</v>
      </c>
      <c r="AG939" s="253">
        <f t="shared" si="199"/>
        <v>39600</v>
      </c>
      <c r="DG939" s="543"/>
      <c r="DH939" s="149"/>
      <c r="DI939" s="1020"/>
      <c r="DJ939" s="2045"/>
    </row>
    <row r="940" spans="1:114" ht="15" customHeight="1" outlineLevel="1" x14ac:dyDescent="0.25">
      <c r="A940" s="2145"/>
      <c r="C940" s="49"/>
      <c r="D940" s="2394"/>
      <c r="E940" s="2394"/>
      <c r="F940" s="2404" t="str">
        <f>$E$783</f>
        <v>ASHP-SEER17_ER2_MF</v>
      </c>
      <c r="G940" s="2404"/>
      <c r="H940" s="2404"/>
      <c r="I940" s="2404"/>
      <c r="J940" s="1506" t="str">
        <f>$C$783</f>
        <v>354200_2024_12_</v>
      </c>
      <c r="K940" s="1516">
        <v>39600</v>
      </c>
      <c r="L940" s="964">
        <f t="shared" si="200"/>
        <v>3.3</v>
      </c>
      <c r="M940" s="857" t="s">
        <v>1018</v>
      </c>
      <c r="T940" s="50"/>
      <c r="U940" s="50"/>
      <c r="V940" s="2394"/>
      <c r="W940" s="1268">
        <v>39600</v>
      </c>
      <c r="X940" s="1268">
        <v>39600</v>
      </c>
      <c r="Y940" s="1268">
        <v>39600</v>
      </c>
      <c r="Z940" s="1268">
        <v>39600</v>
      </c>
      <c r="AA940" s="1268">
        <v>39600</v>
      </c>
      <c r="AB940" s="1268">
        <v>39600</v>
      </c>
      <c r="AC940" s="752">
        <v>39600</v>
      </c>
      <c r="AD940" s="966">
        <v>39600</v>
      </c>
      <c r="AE940" s="909">
        <v>39600</v>
      </c>
      <c r="AF940" s="253">
        <v>39600</v>
      </c>
      <c r="AG940" s="253">
        <f t="shared" si="199"/>
        <v>39600</v>
      </c>
      <c r="DG940" s="543"/>
      <c r="DH940" s="149"/>
      <c r="DI940" s="1020"/>
      <c r="DJ940" s="2045"/>
    </row>
    <row r="941" spans="1:114" ht="15" customHeight="1" outlineLevel="1" x14ac:dyDescent="0.25">
      <c r="A941" s="2145"/>
      <c r="C941" s="49"/>
      <c r="D941" s="2394"/>
      <c r="E941" s="2394"/>
      <c r="F941" s="2404" t="str">
        <f>$E$785</f>
        <v>ASHP-SEER18-Replace_CAC_ElectricHeat_ER1_SF</v>
      </c>
      <c r="G941" s="2404"/>
      <c r="H941" s="2404"/>
      <c r="I941" s="2404"/>
      <c r="J941" s="1506" t="str">
        <f>$C$785</f>
        <v>354250_2024_12_</v>
      </c>
      <c r="K941" s="1515">
        <v>34705.508067129631</v>
      </c>
      <c r="L941" s="964">
        <f t="shared" si="200"/>
        <v>2.8921256722608026</v>
      </c>
      <c r="M941" s="857" t="s">
        <v>929</v>
      </c>
      <c r="T941" s="50"/>
      <c r="U941" s="50"/>
      <c r="V941" s="2394"/>
      <c r="W941" s="1268">
        <v>37200</v>
      </c>
      <c r="X941" s="1268">
        <v>37200</v>
      </c>
      <c r="Y941" s="1268">
        <v>37200</v>
      </c>
      <c r="Z941" s="1268">
        <v>37200</v>
      </c>
      <c r="AA941" s="1268">
        <v>37200</v>
      </c>
      <c r="AB941" s="775">
        <v>40965.517241379312</v>
      </c>
      <c r="AC941" s="775">
        <v>37721.739130434784</v>
      </c>
      <c r="AD941" s="908">
        <v>36089.906153434065</v>
      </c>
      <c r="AE941" s="908">
        <v>34705.508067129631</v>
      </c>
      <c r="AF941" s="253">
        <v>34705.508067129631</v>
      </c>
      <c r="AG941" s="253">
        <f t="shared" si="199"/>
        <v>34705.508067129631</v>
      </c>
      <c r="DG941" s="543"/>
      <c r="DH941" s="149"/>
      <c r="DI941" s="1020"/>
      <c r="DJ941" s="2045"/>
    </row>
    <row r="942" spans="1:114" ht="15" customHeight="1" outlineLevel="1" x14ac:dyDescent="0.25">
      <c r="A942" s="2145"/>
      <c r="C942" s="49"/>
      <c r="D942" s="2394"/>
      <c r="E942" s="2394"/>
      <c r="F942" s="2404" t="str">
        <f>$E$787</f>
        <v>ASHP-SEER18-Replace_CAC_ElectricHeat_ER2_SF</v>
      </c>
      <c r="G942" s="2404"/>
      <c r="H942" s="2404"/>
      <c r="I942" s="2404"/>
      <c r="J942" s="1506" t="str">
        <f>$C$787</f>
        <v>354250_2024_12_</v>
      </c>
      <c r="K942" s="1515">
        <v>34705.508067129631</v>
      </c>
      <c r="L942" s="964">
        <f t="shared" si="200"/>
        <v>2.8921256722608026</v>
      </c>
      <c r="M942" s="857" t="s">
        <v>929</v>
      </c>
      <c r="T942" s="50"/>
      <c r="U942" s="50"/>
      <c r="V942" s="2394"/>
      <c r="W942" s="1268">
        <v>37200</v>
      </c>
      <c r="X942" s="1268">
        <v>37200</v>
      </c>
      <c r="Y942" s="1268">
        <v>37200</v>
      </c>
      <c r="Z942" s="1268">
        <v>37200</v>
      </c>
      <c r="AA942" s="1268">
        <v>37200</v>
      </c>
      <c r="AB942" s="775">
        <v>40965.517241379312</v>
      </c>
      <c r="AC942" s="775">
        <f>AC941</f>
        <v>37721.739130434784</v>
      </c>
      <c r="AD942" s="908">
        <v>36089.906153434065</v>
      </c>
      <c r="AE942" s="908">
        <v>34705.508067129631</v>
      </c>
      <c r="AF942" s="253">
        <v>34705.508067129631</v>
      </c>
      <c r="AG942" s="253">
        <f t="shared" si="199"/>
        <v>34705.508067129631</v>
      </c>
      <c r="DG942" s="543"/>
      <c r="DH942" s="149"/>
      <c r="DI942" s="1020"/>
      <c r="DJ942" s="2045"/>
    </row>
    <row r="943" spans="1:114" ht="15" customHeight="1" outlineLevel="1" x14ac:dyDescent="0.25">
      <c r="A943" s="2145"/>
      <c r="C943" s="49"/>
      <c r="D943" s="2394"/>
      <c r="E943" s="2394"/>
      <c r="F943" s="2404" t="str">
        <f>$E$789</f>
        <v>ASHP-SEER18-Replace_CAC_NonElectricHeat_ER1_SF</v>
      </c>
      <c r="G943" s="2404"/>
      <c r="H943" s="2404"/>
      <c r="I943" s="2404"/>
      <c r="J943" s="1506" t="str">
        <f>$C$789</f>
        <v>354260_2024_12_</v>
      </c>
      <c r="K943" s="1515">
        <v>34705.508067129631</v>
      </c>
      <c r="L943" s="964">
        <f t="shared" si="200"/>
        <v>2.8921256722608026</v>
      </c>
      <c r="M943" s="857" t="s">
        <v>929</v>
      </c>
      <c r="T943" s="50"/>
      <c r="U943" s="50"/>
      <c r="V943" s="2394"/>
      <c r="W943" s="1268"/>
      <c r="X943" s="1268"/>
      <c r="Y943" s="1268"/>
      <c r="Z943" s="1268"/>
      <c r="AA943" s="1268"/>
      <c r="AB943" s="775"/>
      <c r="AC943" s="775">
        <v>37721.739130434784</v>
      </c>
      <c r="AD943" s="908">
        <v>36089.906153434065</v>
      </c>
      <c r="AE943" s="908">
        <v>34705.508067129631</v>
      </c>
      <c r="AF943" s="253">
        <v>34705.508067129631</v>
      </c>
      <c r="AG943" s="253">
        <f t="shared" si="199"/>
        <v>34705.508067129631</v>
      </c>
      <c r="DG943" s="543"/>
      <c r="DH943" s="149"/>
      <c r="DI943" s="1020"/>
      <c r="DJ943" s="2045"/>
    </row>
    <row r="944" spans="1:114" ht="15" customHeight="1" outlineLevel="1" x14ac:dyDescent="0.25">
      <c r="A944" s="2145"/>
      <c r="C944" s="49"/>
      <c r="D944" s="2394"/>
      <c r="E944" s="2394"/>
      <c r="F944" s="2404" t="str">
        <f>$E$791</f>
        <v>ASHP-SEER18-Replace_CAC_NonElectricHeat_ER2_SF</v>
      </c>
      <c r="G944" s="2404"/>
      <c r="H944" s="2404"/>
      <c r="I944" s="2404"/>
      <c r="J944" s="1506" t="str">
        <f>$C$791</f>
        <v>354260_2024_12_</v>
      </c>
      <c r="K944" s="1515">
        <v>34705.508067129631</v>
      </c>
      <c r="L944" s="964">
        <f t="shared" si="200"/>
        <v>2.8921256722608026</v>
      </c>
      <c r="M944" s="857" t="s">
        <v>929</v>
      </c>
      <c r="T944" s="50"/>
      <c r="U944" s="50"/>
      <c r="V944" s="2394"/>
      <c r="W944" s="1268"/>
      <c r="X944" s="1268"/>
      <c r="Y944" s="1268"/>
      <c r="Z944" s="1268"/>
      <c r="AA944" s="1268"/>
      <c r="AB944" s="775"/>
      <c r="AC944" s="775">
        <f>AC943</f>
        <v>37721.739130434784</v>
      </c>
      <c r="AD944" s="908">
        <v>36089.906153434065</v>
      </c>
      <c r="AE944" s="908">
        <v>34705.508067129631</v>
      </c>
      <c r="AF944" s="253">
        <v>34705.508067129631</v>
      </c>
      <c r="AG944" s="253">
        <f t="shared" si="199"/>
        <v>34705.508067129631</v>
      </c>
      <c r="DG944" s="543"/>
      <c r="DH944" s="149"/>
      <c r="DI944" s="1020"/>
      <c r="DJ944" s="2045"/>
    </row>
    <row r="945" spans="1:114" ht="15" customHeight="1" outlineLevel="1" x14ac:dyDescent="0.25">
      <c r="A945" s="2145"/>
      <c r="C945" s="49"/>
      <c r="D945" s="2394"/>
      <c r="E945" s="2394"/>
      <c r="F945" s="2404" t="str">
        <f>$E$793</f>
        <v>ASHP-SEER18-Replace_CAC_ElectricHeat_ER1_MF</v>
      </c>
      <c r="G945" s="2404"/>
      <c r="H945" s="2404"/>
      <c r="I945" s="2404"/>
      <c r="J945" s="1506" t="str">
        <f>$C$793</f>
        <v>354300_2024_12_</v>
      </c>
      <c r="K945" s="1516">
        <v>18000</v>
      </c>
      <c r="L945" s="964">
        <f t="shared" si="200"/>
        <v>1.5</v>
      </c>
      <c r="M945" s="857" t="s">
        <v>1288</v>
      </c>
      <c r="T945" s="50"/>
      <c r="U945" s="50"/>
      <c r="V945" s="2394"/>
      <c r="W945" s="1268">
        <v>37200</v>
      </c>
      <c r="X945" s="1268">
        <v>37200</v>
      </c>
      <c r="Y945" s="1268">
        <v>37200</v>
      </c>
      <c r="Z945" s="1268">
        <v>37200</v>
      </c>
      <c r="AA945" s="1268">
        <v>37200</v>
      </c>
      <c r="AB945" s="775">
        <v>48000</v>
      </c>
      <c r="AC945" s="775">
        <v>18000</v>
      </c>
      <c r="AD945" s="966">
        <v>18000</v>
      </c>
      <c r="AE945" s="909">
        <v>18000</v>
      </c>
      <c r="AF945" s="253">
        <v>18000</v>
      </c>
      <c r="AG945" s="253">
        <f t="shared" si="199"/>
        <v>18000</v>
      </c>
      <c r="DG945" s="543"/>
      <c r="DH945" s="149"/>
      <c r="DI945" s="1020"/>
      <c r="DJ945" s="2045"/>
    </row>
    <row r="946" spans="1:114" ht="15" customHeight="1" outlineLevel="1" x14ac:dyDescent="0.25">
      <c r="A946" s="2145"/>
      <c r="C946" s="49"/>
      <c r="D946" s="2394"/>
      <c r="E946" s="2394"/>
      <c r="F946" s="2404" t="str">
        <f>$E$795</f>
        <v>ASHP-SEER18-Replace_CAC_ElectricHeat_ER2_MF</v>
      </c>
      <c r="G946" s="2404"/>
      <c r="H946" s="2404"/>
      <c r="I946" s="2404"/>
      <c r="J946" s="962" t="str">
        <f>$C$795</f>
        <v>354300_2024_12_</v>
      </c>
      <c r="K946" s="1516">
        <v>18000</v>
      </c>
      <c r="L946" s="964">
        <f t="shared" si="200"/>
        <v>1.5</v>
      </c>
      <c r="M946" s="857" t="s">
        <v>1288</v>
      </c>
      <c r="T946" s="50"/>
      <c r="U946" s="50"/>
      <c r="V946" s="2394"/>
      <c r="W946" s="1268">
        <v>37200</v>
      </c>
      <c r="X946" s="1268">
        <v>37200</v>
      </c>
      <c r="Y946" s="1268">
        <v>37200</v>
      </c>
      <c r="Z946" s="1268">
        <v>37200</v>
      </c>
      <c r="AA946" s="1268">
        <v>37200</v>
      </c>
      <c r="AB946" s="775">
        <v>48000</v>
      </c>
      <c r="AC946" s="775">
        <f>AC945</f>
        <v>18000</v>
      </c>
      <c r="AD946" s="966">
        <v>18000</v>
      </c>
      <c r="AE946" s="909">
        <v>18000</v>
      </c>
      <c r="AF946" s="253">
        <v>18000</v>
      </c>
      <c r="AG946" s="253">
        <f t="shared" si="199"/>
        <v>18000</v>
      </c>
      <c r="DG946" s="543"/>
      <c r="DH946" s="149"/>
      <c r="DI946" s="1020"/>
      <c r="DJ946" s="2045"/>
    </row>
    <row r="947" spans="1:114" ht="15" customHeight="1" outlineLevel="1" x14ac:dyDescent="0.25">
      <c r="A947" s="2145"/>
      <c r="C947" s="49"/>
      <c r="D947" s="2394"/>
      <c r="E947" s="2394"/>
      <c r="F947" s="2404" t="str">
        <f>$E$797</f>
        <v>ASHP-SEER18_ER1_MF</v>
      </c>
      <c r="G947" s="2404"/>
      <c r="H947" s="2404"/>
      <c r="I947" s="2404"/>
      <c r="J947" s="962" t="str">
        <f>$C$797</f>
        <v>354350_2024_12_</v>
      </c>
      <c r="K947" s="1515">
        <v>30000</v>
      </c>
      <c r="L947" s="964">
        <f>K947/12000</f>
        <v>2.5</v>
      </c>
      <c r="M947" s="857" t="s">
        <v>931</v>
      </c>
      <c r="T947" s="50"/>
      <c r="U947" s="50"/>
      <c r="V947" s="2394"/>
      <c r="W947" s="1268">
        <v>39600</v>
      </c>
      <c r="X947" s="1268">
        <v>39600</v>
      </c>
      <c r="Y947" s="1268">
        <v>39600</v>
      </c>
      <c r="Z947" s="1268">
        <v>39600</v>
      </c>
      <c r="AA947" s="1268">
        <v>39600</v>
      </c>
      <c r="AB947" s="1268">
        <v>39600</v>
      </c>
      <c r="AC947" s="775">
        <v>60000</v>
      </c>
      <c r="AD947" s="908">
        <v>30000</v>
      </c>
      <c r="AE947" s="966">
        <v>30000</v>
      </c>
      <c r="AF947" s="253">
        <v>30000</v>
      </c>
      <c r="AG947" s="253">
        <f t="shared" si="199"/>
        <v>30000</v>
      </c>
      <c r="DG947" s="543"/>
      <c r="DH947" s="149"/>
      <c r="DI947" s="1020"/>
      <c r="DJ947" s="2045"/>
    </row>
    <row r="948" spans="1:114" ht="15" customHeight="1" outlineLevel="1" x14ac:dyDescent="0.25">
      <c r="A948" s="2145"/>
      <c r="C948" s="49"/>
      <c r="D948" s="2394"/>
      <c r="E948" s="2394"/>
      <c r="F948" s="2404" t="str">
        <f>$E$799</f>
        <v>ASHP-SEER18_ER2_MF</v>
      </c>
      <c r="G948" s="2404"/>
      <c r="H948" s="2404"/>
      <c r="I948" s="2404"/>
      <c r="J948" s="962" t="str">
        <f>$C$799</f>
        <v>354350_2024_12_</v>
      </c>
      <c r="K948" s="1515">
        <v>30000</v>
      </c>
      <c r="L948" s="964">
        <f>K948/12000</f>
        <v>2.5</v>
      </c>
      <c r="M948" s="857" t="s">
        <v>931</v>
      </c>
      <c r="T948" s="50"/>
      <c r="U948" s="50"/>
      <c r="V948" s="2394"/>
      <c r="W948" s="1268">
        <v>39600</v>
      </c>
      <c r="X948" s="1268">
        <v>39600</v>
      </c>
      <c r="Y948" s="1268">
        <v>39600</v>
      </c>
      <c r="Z948" s="1268">
        <v>39600</v>
      </c>
      <c r="AA948" s="1268">
        <v>39600</v>
      </c>
      <c r="AB948" s="1268">
        <v>39600</v>
      </c>
      <c r="AC948" s="775">
        <f>AC947</f>
        <v>60000</v>
      </c>
      <c r="AD948" s="908">
        <v>30000</v>
      </c>
      <c r="AE948" s="966">
        <v>30000</v>
      </c>
      <c r="AF948" s="253">
        <v>30000</v>
      </c>
      <c r="AG948" s="253">
        <f t="shared" si="199"/>
        <v>30000</v>
      </c>
      <c r="DG948" s="543"/>
      <c r="DH948" s="149"/>
      <c r="DI948" s="1020"/>
      <c r="DJ948" s="2045"/>
    </row>
    <row r="949" spans="1:114" ht="15" customHeight="1" outlineLevel="1" x14ac:dyDescent="0.25">
      <c r="A949" s="2145"/>
      <c r="C949" s="49"/>
      <c r="D949" s="2394"/>
      <c r="E949" s="2394"/>
      <c r="F949" s="2404" t="str">
        <f>$E$801</f>
        <v>ASHP-SEER19-Replace_CAC_ElectricHeat_ER1_SF</v>
      </c>
      <c r="G949" s="2404"/>
      <c r="H949" s="2404"/>
      <c r="I949" s="2404"/>
      <c r="J949" s="962" t="str">
        <f>$C$801</f>
        <v>354400_2024_12_</v>
      </c>
      <c r="K949" s="1515">
        <v>45277.450979411762</v>
      </c>
      <c r="L949" s="964">
        <f t="shared" ref="L949:L975" si="201">K949/12000</f>
        <v>3.7731209149509803</v>
      </c>
      <c r="M949" s="857" t="s">
        <v>929</v>
      </c>
      <c r="T949" s="50"/>
      <c r="U949" s="50"/>
      <c r="V949" s="2394"/>
      <c r="W949" s="1268">
        <v>37200</v>
      </c>
      <c r="X949" s="1268">
        <v>37200</v>
      </c>
      <c r="Y949" s="1268">
        <v>37200</v>
      </c>
      <c r="Z949" s="1268">
        <v>37200</v>
      </c>
      <c r="AA949" s="1268">
        <v>37200</v>
      </c>
      <c r="AB949" s="1268">
        <v>37200</v>
      </c>
      <c r="AC949" s="775">
        <v>43200</v>
      </c>
      <c r="AD949" s="908">
        <v>45277.450979411769</v>
      </c>
      <c r="AE949" s="966">
        <v>45277.450979411762</v>
      </c>
      <c r="AF949" s="253">
        <v>45277.450979411762</v>
      </c>
      <c r="AG949" s="253">
        <f t="shared" si="199"/>
        <v>45277.450979411762</v>
      </c>
      <c r="DG949" s="543"/>
      <c r="DH949" s="149"/>
      <c r="DI949" s="1020"/>
      <c r="DJ949" s="2045"/>
    </row>
    <row r="950" spans="1:114" ht="15" customHeight="1" outlineLevel="1" x14ac:dyDescent="0.25">
      <c r="A950" s="2145"/>
      <c r="C950" s="49"/>
      <c r="D950" s="2394"/>
      <c r="E950" s="2394"/>
      <c r="F950" s="2404" t="str">
        <f>$E$803</f>
        <v>ASHP-SEER19-Replace_CAC_ElectricHeat_ER2_SF</v>
      </c>
      <c r="G950" s="2404"/>
      <c r="H950" s="2404"/>
      <c r="I950" s="2404"/>
      <c r="J950" s="962" t="str">
        <f>$C$803</f>
        <v>354400_2024_12_</v>
      </c>
      <c r="K950" s="1515">
        <v>45277.450979411762</v>
      </c>
      <c r="L950" s="964">
        <f t="shared" si="201"/>
        <v>3.7731209149509803</v>
      </c>
      <c r="M950" s="857" t="s">
        <v>929</v>
      </c>
      <c r="T950" s="50"/>
      <c r="U950" s="50"/>
      <c r="V950" s="2394"/>
      <c r="W950" s="1268">
        <v>37200</v>
      </c>
      <c r="X950" s="1268">
        <v>37200</v>
      </c>
      <c r="Y950" s="1268">
        <v>37200</v>
      </c>
      <c r="Z950" s="1268">
        <v>37200</v>
      </c>
      <c r="AA950" s="1268">
        <v>37200</v>
      </c>
      <c r="AB950" s="1268">
        <v>37200</v>
      </c>
      <c r="AC950" s="775">
        <f>AC949</f>
        <v>43200</v>
      </c>
      <c r="AD950" s="908">
        <v>45277.450979411769</v>
      </c>
      <c r="AE950" s="966">
        <v>45277.450979411762</v>
      </c>
      <c r="AF950" s="253">
        <v>45277.450979411762</v>
      </c>
      <c r="AG950" s="253">
        <f t="shared" ref="AG950:AG1009" si="202">IF(K950&lt;&gt;"",K950,"")</f>
        <v>45277.450979411762</v>
      </c>
      <c r="DG950" s="543"/>
      <c r="DH950" s="149"/>
      <c r="DI950" s="1020"/>
      <c r="DJ950" s="2045"/>
    </row>
    <row r="951" spans="1:114" ht="15" customHeight="1" outlineLevel="1" x14ac:dyDescent="0.25">
      <c r="A951" s="2145"/>
      <c r="C951" s="49"/>
      <c r="D951" s="2394"/>
      <c r="E951" s="2394"/>
      <c r="F951" s="2404" t="str">
        <f>$E$805</f>
        <v>ASHP-SEER19-Replace_CAC_NonElectricHeat_ER1_SF</v>
      </c>
      <c r="G951" s="2404"/>
      <c r="H951" s="2404"/>
      <c r="I951" s="2404"/>
      <c r="J951" s="962" t="str">
        <f>$C$805</f>
        <v>354410_2024_12_</v>
      </c>
      <c r="K951" s="1515">
        <v>43200</v>
      </c>
      <c r="L951" s="964">
        <f t="shared" si="201"/>
        <v>3.6</v>
      </c>
      <c r="M951" s="857" t="s">
        <v>929</v>
      </c>
      <c r="T951" s="50"/>
      <c r="U951" s="50"/>
      <c r="V951" s="2394"/>
      <c r="W951" s="1268"/>
      <c r="X951" s="1268"/>
      <c r="Y951" s="1268"/>
      <c r="Z951" s="1268"/>
      <c r="AA951" s="1268"/>
      <c r="AB951" s="1268"/>
      <c r="AC951" s="775">
        <v>43200</v>
      </c>
      <c r="AD951" s="966">
        <v>43200</v>
      </c>
      <c r="AE951" s="966">
        <v>43200</v>
      </c>
      <c r="AF951" s="253">
        <v>43200</v>
      </c>
      <c r="AG951" s="253">
        <f t="shared" si="202"/>
        <v>43200</v>
      </c>
      <c r="DG951" s="543"/>
      <c r="DH951" s="149"/>
      <c r="DI951" s="1020"/>
      <c r="DJ951" s="2045"/>
    </row>
    <row r="952" spans="1:114" ht="15" customHeight="1" outlineLevel="1" x14ac:dyDescent="0.25">
      <c r="A952" s="2145"/>
      <c r="C952" s="49"/>
      <c r="D952" s="2394"/>
      <c r="E952" s="2394"/>
      <c r="F952" s="2404" t="str">
        <f>$E$807</f>
        <v>ASHP-SEER19-Replace_CAC_NonElectricHeat_ER2_SF</v>
      </c>
      <c r="G952" s="2404"/>
      <c r="H952" s="2404"/>
      <c r="I952" s="2404"/>
      <c r="J952" s="962" t="str">
        <f>$C$807</f>
        <v>354410_2024_12_</v>
      </c>
      <c r="K952" s="1515">
        <v>43200</v>
      </c>
      <c r="L952" s="964">
        <f t="shared" si="201"/>
        <v>3.6</v>
      </c>
      <c r="M952" s="857" t="s">
        <v>929</v>
      </c>
      <c r="T952" s="50"/>
      <c r="U952" s="50"/>
      <c r="V952" s="2394"/>
      <c r="W952" s="1268"/>
      <c r="X952" s="1268"/>
      <c r="Y952" s="1268"/>
      <c r="Z952" s="1268"/>
      <c r="AA952" s="1268"/>
      <c r="AB952" s="1268"/>
      <c r="AC952" s="775">
        <f>AC951</f>
        <v>43200</v>
      </c>
      <c r="AD952" s="966">
        <v>43200</v>
      </c>
      <c r="AE952" s="966">
        <v>43200</v>
      </c>
      <c r="AF952" s="253">
        <v>43200</v>
      </c>
      <c r="AG952" s="253">
        <f t="shared" si="202"/>
        <v>43200</v>
      </c>
      <c r="DG952" s="543"/>
      <c r="DH952" s="149"/>
      <c r="DI952" s="1020"/>
      <c r="DJ952" s="2045"/>
    </row>
    <row r="953" spans="1:114" ht="15" customHeight="1" outlineLevel="1" x14ac:dyDescent="0.25">
      <c r="A953" s="2145"/>
      <c r="C953" s="49"/>
      <c r="D953" s="2394"/>
      <c r="E953" s="2394"/>
      <c r="F953" s="2404" t="str">
        <f>$E$809</f>
        <v>ASHP-SEER19-Replace_CAC_ElectricHeat_ER1_MF</v>
      </c>
      <c r="G953" s="2404"/>
      <c r="H953" s="2404"/>
      <c r="I953" s="2404"/>
      <c r="J953" s="962" t="str">
        <f>$C$809</f>
        <v>354450_2024_12_</v>
      </c>
      <c r="K953" s="1516">
        <v>37200</v>
      </c>
      <c r="L953" s="964">
        <f t="shared" si="201"/>
        <v>3.1</v>
      </c>
      <c r="M953" s="857" t="s">
        <v>1018</v>
      </c>
      <c r="T953" s="50"/>
      <c r="U953" s="50"/>
      <c r="V953" s="2394"/>
      <c r="W953" s="1268">
        <v>37200</v>
      </c>
      <c r="X953" s="1268">
        <v>37200</v>
      </c>
      <c r="Y953" s="1268">
        <v>37200</v>
      </c>
      <c r="Z953" s="1268">
        <v>37200</v>
      </c>
      <c r="AA953" s="1268">
        <v>37200</v>
      </c>
      <c r="AB953" s="1268">
        <v>37200</v>
      </c>
      <c r="AC953" s="752">
        <v>37200</v>
      </c>
      <c r="AD953" s="966">
        <v>37200</v>
      </c>
      <c r="AE953" s="909">
        <v>37200</v>
      </c>
      <c r="AF953" s="253">
        <v>37200</v>
      </c>
      <c r="AG953" s="253">
        <f t="shared" si="202"/>
        <v>37200</v>
      </c>
      <c r="DG953" s="543"/>
      <c r="DH953" s="149"/>
      <c r="DI953" s="1020"/>
      <c r="DJ953" s="2045"/>
    </row>
    <row r="954" spans="1:114" ht="15" customHeight="1" outlineLevel="1" x14ac:dyDescent="0.25">
      <c r="A954" s="2145"/>
      <c r="C954" s="49"/>
      <c r="D954" s="2394"/>
      <c r="E954" s="2394"/>
      <c r="F954" s="2404" t="str">
        <f>$E$811</f>
        <v>ASHP-SEER19-Replace_CAC_ElectricHeat_ER2_MF</v>
      </c>
      <c r="G954" s="2404"/>
      <c r="H954" s="2404"/>
      <c r="I954" s="2404"/>
      <c r="J954" s="962" t="str">
        <f>$C$811</f>
        <v>354450_2024_12_</v>
      </c>
      <c r="K954" s="1516">
        <v>37200</v>
      </c>
      <c r="L954" s="964">
        <f t="shared" si="201"/>
        <v>3.1</v>
      </c>
      <c r="M954" s="857" t="s">
        <v>1018</v>
      </c>
      <c r="T954" s="50"/>
      <c r="U954" s="50"/>
      <c r="V954" s="2394"/>
      <c r="W954" s="1268">
        <v>37200</v>
      </c>
      <c r="X954" s="1268">
        <v>37200</v>
      </c>
      <c r="Y954" s="1268">
        <v>37200</v>
      </c>
      <c r="Z954" s="1268">
        <v>37200</v>
      </c>
      <c r="AA954" s="1268">
        <v>37200</v>
      </c>
      <c r="AB954" s="1268">
        <v>37200</v>
      </c>
      <c r="AC954" s="752">
        <v>37200</v>
      </c>
      <c r="AD954" s="966">
        <v>37200</v>
      </c>
      <c r="AE954" s="909">
        <v>37200</v>
      </c>
      <c r="AF954" s="253">
        <v>37200</v>
      </c>
      <c r="AG954" s="253">
        <f t="shared" si="202"/>
        <v>37200</v>
      </c>
      <c r="DG954" s="543"/>
      <c r="DH954" s="149"/>
      <c r="DI954" s="1020"/>
      <c r="DJ954" s="2045"/>
    </row>
    <row r="955" spans="1:114" ht="15" customHeight="1" outlineLevel="1" x14ac:dyDescent="0.25">
      <c r="A955" s="2145"/>
      <c r="C955" s="49"/>
      <c r="D955" s="2394"/>
      <c r="E955" s="2394"/>
      <c r="F955" s="2404" t="str">
        <f>$E$813</f>
        <v>ASHP-SEER19_ER1_MF</v>
      </c>
      <c r="G955" s="2404"/>
      <c r="H955" s="2404"/>
      <c r="I955" s="2404"/>
      <c r="J955" s="962" t="str">
        <f>$C$813</f>
        <v>354500_2024_12_</v>
      </c>
      <c r="K955" s="1516">
        <v>39600</v>
      </c>
      <c r="L955" s="964">
        <f t="shared" si="201"/>
        <v>3.3</v>
      </c>
      <c r="M955" s="857" t="s">
        <v>1018</v>
      </c>
      <c r="T955" s="50"/>
      <c r="U955" s="50"/>
      <c r="V955" s="2394"/>
      <c r="W955" s="1268">
        <v>39600</v>
      </c>
      <c r="X955" s="1268">
        <v>39600</v>
      </c>
      <c r="Y955" s="1268">
        <v>39600</v>
      </c>
      <c r="Z955" s="1268">
        <v>39600</v>
      </c>
      <c r="AA955" s="1268">
        <v>39600</v>
      </c>
      <c r="AB955" s="1268">
        <v>39600</v>
      </c>
      <c r="AC955" s="752">
        <v>39600</v>
      </c>
      <c r="AD955" s="966">
        <v>39600</v>
      </c>
      <c r="AE955" s="909">
        <v>39600</v>
      </c>
      <c r="AF955" s="253">
        <v>39600</v>
      </c>
      <c r="AG955" s="253">
        <f t="shared" si="202"/>
        <v>39600</v>
      </c>
      <c r="DG955" s="543"/>
      <c r="DH955" s="149"/>
      <c r="DI955" s="1020"/>
      <c r="DJ955" s="2045"/>
    </row>
    <row r="956" spans="1:114" ht="15" customHeight="1" outlineLevel="1" x14ac:dyDescent="0.25">
      <c r="A956" s="2145"/>
      <c r="C956" s="49"/>
      <c r="D956" s="2394"/>
      <c r="E956" s="2394"/>
      <c r="F956" s="2404" t="str">
        <f>$E$815</f>
        <v>ASHP-SEER19_ER2_MF</v>
      </c>
      <c r="G956" s="2404"/>
      <c r="H956" s="2404"/>
      <c r="I956" s="2404"/>
      <c r="J956" s="962" t="str">
        <f>$C$815</f>
        <v>354500_2024_12_</v>
      </c>
      <c r="K956" s="1516">
        <v>39600</v>
      </c>
      <c r="L956" s="964">
        <f t="shared" si="201"/>
        <v>3.3</v>
      </c>
      <c r="M956" s="857" t="s">
        <v>1018</v>
      </c>
      <c r="T956" s="50"/>
      <c r="U956" s="50"/>
      <c r="V956" s="2394"/>
      <c r="W956" s="1268">
        <v>39600</v>
      </c>
      <c r="X956" s="1268">
        <v>39600</v>
      </c>
      <c r="Y956" s="1268">
        <v>39600</v>
      </c>
      <c r="Z956" s="1268">
        <v>39600</v>
      </c>
      <c r="AA956" s="1268">
        <v>39600</v>
      </c>
      <c r="AB956" s="1268">
        <v>39600</v>
      </c>
      <c r="AC956" s="752">
        <v>39600</v>
      </c>
      <c r="AD956" s="966">
        <v>39600</v>
      </c>
      <c r="AE956" s="909">
        <v>39600</v>
      </c>
      <c r="AF956" s="253">
        <v>39600</v>
      </c>
      <c r="AG956" s="253">
        <f t="shared" si="202"/>
        <v>39600</v>
      </c>
      <c r="DG956" s="543"/>
      <c r="DH956" s="149"/>
      <c r="DI956" s="1020"/>
      <c r="DJ956" s="2045"/>
    </row>
    <row r="957" spans="1:114" ht="15" customHeight="1" outlineLevel="1" x14ac:dyDescent="0.25">
      <c r="A957" s="2145"/>
      <c r="C957" s="49"/>
      <c r="D957" s="2394"/>
      <c r="E957" s="2394"/>
      <c r="F957" s="2404" t="str">
        <f>$E$817</f>
        <v>ASHP-SEER20_ER1_SF</v>
      </c>
      <c r="G957" s="2404"/>
      <c r="H957" s="2404"/>
      <c r="I957" s="2404"/>
      <c r="J957" s="962" t="str">
        <f>$C$817</f>
        <v>354550_2024_12_</v>
      </c>
      <c r="K957" s="1515">
        <v>31000.387811634351</v>
      </c>
      <c r="L957" s="964">
        <f t="shared" si="201"/>
        <v>2.5833656509695291</v>
      </c>
      <c r="M957" s="857" t="s">
        <v>929</v>
      </c>
      <c r="T957" s="50"/>
      <c r="U957" s="50"/>
      <c r="V957" s="2394"/>
      <c r="W957" s="1268">
        <v>39600</v>
      </c>
      <c r="X957" s="1268">
        <v>39600</v>
      </c>
      <c r="Y957" s="1268">
        <v>39600</v>
      </c>
      <c r="Z957" s="1268">
        <v>39600</v>
      </c>
      <c r="AA957" s="1268">
        <v>39600</v>
      </c>
      <c r="AB957" s="1268">
        <v>39600</v>
      </c>
      <c r="AC957" s="775">
        <v>60000</v>
      </c>
      <c r="AD957" s="908">
        <v>33382.234755555553</v>
      </c>
      <c r="AE957" s="908">
        <v>31000.387811634351</v>
      </c>
      <c r="AF957" s="253">
        <v>31000.387811634351</v>
      </c>
      <c r="AG957" s="253">
        <f t="shared" si="202"/>
        <v>31000.387811634351</v>
      </c>
      <c r="DG957" s="543"/>
      <c r="DH957" s="149"/>
      <c r="DI957" s="1020"/>
      <c r="DJ957" s="2045"/>
    </row>
    <row r="958" spans="1:114" ht="15" customHeight="1" outlineLevel="1" x14ac:dyDescent="0.25">
      <c r="A958" s="2145"/>
      <c r="C958" s="49"/>
      <c r="D958" s="2394"/>
      <c r="E958" s="2394"/>
      <c r="F958" s="2404" t="str">
        <f>$E$819</f>
        <v>ASHP-SEER20_ER2_SF</v>
      </c>
      <c r="G958" s="2404"/>
      <c r="H958" s="2404"/>
      <c r="I958" s="2404"/>
      <c r="J958" s="962" t="str">
        <f>$C$819</f>
        <v>354550_2024_12_</v>
      </c>
      <c r="K958" s="1515">
        <v>31000.387811634351</v>
      </c>
      <c r="L958" s="964">
        <f t="shared" si="201"/>
        <v>2.5833656509695291</v>
      </c>
      <c r="M958" s="857" t="s">
        <v>929</v>
      </c>
      <c r="T958" s="50"/>
      <c r="U958" s="50"/>
      <c r="V958" s="2394"/>
      <c r="W958" s="1268">
        <v>39600</v>
      </c>
      <c r="X958" s="1268">
        <v>39600</v>
      </c>
      <c r="Y958" s="1268">
        <v>39600</v>
      </c>
      <c r="Z958" s="1268">
        <v>39600</v>
      </c>
      <c r="AA958" s="1268">
        <v>39600</v>
      </c>
      <c r="AB958" s="1268">
        <v>39600</v>
      </c>
      <c r="AC958" s="775">
        <f>AC957</f>
        <v>60000</v>
      </c>
      <c r="AD958" s="908">
        <v>33382.234755555553</v>
      </c>
      <c r="AE958" s="908">
        <v>31000.387811634351</v>
      </c>
      <c r="AF958" s="253">
        <v>31000.387811634351</v>
      </c>
      <c r="AG958" s="253">
        <f t="shared" si="202"/>
        <v>31000.387811634351</v>
      </c>
      <c r="DG958" s="543"/>
      <c r="DH958" s="149"/>
      <c r="DI958" s="1020"/>
      <c r="DJ958" s="2045"/>
    </row>
    <row r="959" spans="1:114" ht="15" customHeight="1" outlineLevel="1" x14ac:dyDescent="0.25">
      <c r="A959" s="2145"/>
      <c r="C959" s="49"/>
      <c r="D959" s="2394"/>
      <c r="E959" s="2394"/>
      <c r="F959" s="2404" t="str">
        <f>$E$821</f>
        <v>ASHP-SEER20_ROF_SF</v>
      </c>
      <c r="G959" s="2404"/>
      <c r="H959" s="2404"/>
      <c r="I959" s="2404"/>
      <c r="J959" s="962" t="str">
        <f>$C$821</f>
        <v>354600_2024_12_</v>
      </c>
      <c r="K959" s="1515">
        <v>34645</v>
      </c>
      <c r="L959" s="964">
        <f t="shared" si="201"/>
        <v>2.8870833333333334</v>
      </c>
      <c r="M959" s="857" t="s">
        <v>931</v>
      </c>
      <c r="T959" s="50"/>
      <c r="U959" s="50"/>
      <c r="V959" s="2394"/>
      <c r="W959" s="1268">
        <v>39600</v>
      </c>
      <c r="X959" s="1268">
        <v>39600</v>
      </c>
      <c r="Y959" s="1268">
        <v>39600</v>
      </c>
      <c r="Z959" s="1268">
        <v>39600</v>
      </c>
      <c r="AA959" s="1268">
        <v>39600</v>
      </c>
      <c r="AB959" s="1268">
        <v>39600</v>
      </c>
      <c r="AC959" s="775">
        <v>36000</v>
      </c>
      <c r="AD959" s="908">
        <v>34645</v>
      </c>
      <c r="AE959" s="966">
        <v>34645</v>
      </c>
      <c r="AF959" s="253">
        <v>34645</v>
      </c>
      <c r="AG959" s="253">
        <f t="shared" si="202"/>
        <v>34645</v>
      </c>
      <c r="DG959" s="543"/>
      <c r="DH959" s="149"/>
      <c r="DI959" s="1020"/>
      <c r="DJ959" s="2045"/>
    </row>
    <row r="960" spans="1:114" ht="15" customHeight="1" outlineLevel="1" x14ac:dyDescent="0.25">
      <c r="A960" s="2145"/>
      <c r="C960" s="49"/>
      <c r="D960" s="2394"/>
      <c r="E960" s="2394"/>
      <c r="F960" s="2404" t="str">
        <f>$E$823</f>
        <v>ASHP-SEER20-Replace_CAC_ElectricHeat_ER1_MF</v>
      </c>
      <c r="G960" s="2404"/>
      <c r="H960" s="2404"/>
      <c r="I960" s="2404"/>
      <c r="J960" s="962" t="str">
        <f>$C$823</f>
        <v>354650_2024_12_</v>
      </c>
      <c r="K960" s="1516">
        <v>37200</v>
      </c>
      <c r="L960" s="964">
        <f t="shared" si="201"/>
        <v>3.1</v>
      </c>
      <c r="M960" s="857" t="s">
        <v>1018</v>
      </c>
      <c r="T960" s="50"/>
      <c r="U960" s="50"/>
      <c r="V960" s="2394"/>
      <c r="W960" s="1268">
        <v>37200</v>
      </c>
      <c r="X960" s="1268">
        <v>37200</v>
      </c>
      <c r="Y960" s="1268">
        <v>37200</v>
      </c>
      <c r="Z960" s="1268">
        <v>37200</v>
      </c>
      <c r="AA960" s="1268">
        <v>37200</v>
      </c>
      <c r="AB960" s="1268">
        <v>37200</v>
      </c>
      <c r="AC960" s="752">
        <v>37200</v>
      </c>
      <c r="AD960" s="966">
        <v>37200</v>
      </c>
      <c r="AE960" s="909">
        <v>37200</v>
      </c>
      <c r="AF960" s="253">
        <v>37200</v>
      </c>
      <c r="AG960" s="253">
        <f t="shared" si="202"/>
        <v>37200</v>
      </c>
      <c r="DG960" s="543"/>
      <c r="DH960" s="149"/>
      <c r="DI960" s="1020"/>
      <c r="DJ960" s="2045"/>
    </row>
    <row r="961" spans="1:114" ht="15" customHeight="1" outlineLevel="1" x14ac:dyDescent="0.25">
      <c r="A961" s="2145"/>
      <c r="C961" s="49"/>
      <c r="D961" s="2394"/>
      <c r="E961" s="2394"/>
      <c r="F961" s="2404" t="str">
        <f>$E$825</f>
        <v>ASHP-SEER20-Replace_CAC_ElectricHeat_ER2_MF</v>
      </c>
      <c r="G961" s="2404"/>
      <c r="H961" s="2404"/>
      <c r="I961" s="2404"/>
      <c r="J961" s="962" t="str">
        <f>$C$825</f>
        <v>354650_2024_12_</v>
      </c>
      <c r="K961" s="1516">
        <v>37200</v>
      </c>
      <c r="L961" s="964">
        <f t="shared" si="201"/>
        <v>3.1</v>
      </c>
      <c r="M961" s="857" t="s">
        <v>1018</v>
      </c>
      <c r="T961" s="50"/>
      <c r="U961" s="50"/>
      <c r="V961" s="2394"/>
      <c r="W961" s="1268">
        <v>37200</v>
      </c>
      <c r="X961" s="1268">
        <v>37200</v>
      </c>
      <c r="Y961" s="1268">
        <v>37200</v>
      </c>
      <c r="Z961" s="1268">
        <v>37200</v>
      </c>
      <c r="AA961" s="1268">
        <v>37200</v>
      </c>
      <c r="AB961" s="1268">
        <v>37200</v>
      </c>
      <c r="AC961" s="752">
        <v>37200</v>
      </c>
      <c r="AD961" s="966">
        <v>37200</v>
      </c>
      <c r="AE961" s="909">
        <v>37200</v>
      </c>
      <c r="AF961" s="253">
        <v>37200</v>
      </c>
      <c r="AG961" s="253">
        <f t="shared" si="202"/>
        <v>37200</v>
      </c>
      <c r="DG961" s="543"/>
      <c r="DH961" s="149"/>
      <c r="DI961" s="1020"/>
      <c r="DJ961" s="2045"/>
    </row>
    <row r="962" spans="1:114" ht="15" customHeight="1" outlineLevel="1" x14ac:dyDescent="0.25">
      <c r="A962" s="2145"/>
      <c r="C962" s="49"/>
      <c r="D962" s="2394"/>
      <c r="E962" s="2394"/>
      <c r="F962" s="2404" t="str">
        <f>$E$827</f>
        <v>ASHP-SEER20_ER1_MF</v>
      </c>
      <c r="G962" s="2404"/>
      <c r="H962" s="2404"/>
      <c r="I962" s="2404"/>
      <c r="J962" s="962" t="str">
        <f>$C$827</f>
        <v>354700_2024_12_</v>
      </c>
      <c r="K962" s="1516">
        <v>39600</v>
      </c>
      <c r="L962" s="964">
        <f t="shared" si="201"/>
        <v>3.3</v>
      </c>
      <c r="M962" s="857" t="s">
        <v>1018</v>
      </c>
      <c r="T962" s="50"/>
      <c r="U962" s="50"/>
      <c r="V962" s="2394"/>
      <c r="W962" s="1268">
        <v>39600</v>
      </c>
      <c r="X962" s="1268">
        <v>39600</v>
      </c>
      <c r="Y962" s="1268">
        <v>39600</v>
      </c>
      <c r="Z962" s="1268">
        <v>39600</v>
      </c>
      <c r="AA962" s="1268">
        <v>39600</v>
      </c>
      <c r="AB962" s="1268">
        <v>39600</v>
      </c>
      <c r="AC962" s="752">
        <v>39600</v>
      </c>
      <c r="AD962" s="966">
        <v>39600</v>
      </c>
      <c r="AE962" s="909">
        <v>39600</v>
      </c>
      <c r="AF962" s="253">
        <v>39600</v>
      </c>
      <c r="AG962" s="253">
        <f t="shared" si="202"/>
        <v>39600</v>
      </c>
      <c r="DG962" s="543"/>
      <c r="DH962" s="149"/>
      <c r="DI962" s="1020"/>
      <c r="DJ962" s="2045"/>
    </row>
    <row r="963" spans="1:114" ht="15" customHeight="1" outlineLevel="1" x14ac:dyDescent="0.25">
      <c r="A963" s="2145"/>
      <c r="C963" s="49"/>
      <c r="D963" s="2394"/>
      <c r="E963" s="2394"/>
      <c r="F963" s="2404" t="str">
        <f>$E$829</f>
        <v>ASHP-SEER20_ER2_MF</v>
      </c>
      <c r="G963" s="2404"/>
      <c r="H963" s="2404"/>
      <c r="I963" s="2404"/>
      <c r="J963" s="962" t="str">
        <f>$C$829</f>
        <v>354700_2024_12_</v>
      </c>
      <c r="K963" s="1516">
        <v>39600</v>
      </c>
      <c r="L963" s="964">
        <f t="shared" si="201"/>
        <v>3.3</v>
      </c>
      <c r="M963" s="857" t="s">
        <v>1018</v>
      </c>
      <c r="T963" s="50"/>
      <c r="U963" s="50"/>
      <c r="V963" s="2394"/>
      <c r="W963" s="1268">
        <v>39600</v>
      </c>
      <c r="X963" s="1268">
        <v>39600</v>
      </c>
      <c r="Y963" s="1268">
        <v>39600</v>
      </c>
      <c r="Z963" s="1268">
        <v>39600</v>
      </c>
      <c r="AA963" s="1268">
        <v>39600</v>
      </c>
      <c r="AB963" s="1268">
        <v>39600</v>
      </c>
      <c r="AC963" s="752">
        <v>39600</v>
      </c>
      <c r="AD963" s="966">
        <v>39600</v>
      </c>
      <c r="AE963" s="909">
        <v>39600</v>
      </c>
      <c r="AF963" s="253">
        <v>39600</v>
      </c>
      <c r="AG963" s="253">
        <f t="shared" si="202"/>
        <v>39600</v>
      </c>
      <c r="DG963" s="543"/>
      <c r="DH963" s="149"/>
      <c r="DI963" s="1020"/>
      <c r="DJ963" s="2045"/>
    </row>
    <row r="964" spans="1:114" ht="15" customHeight="1" outlineLevel="1" x14ac:dyDescent="0.25">
      <c r="A964" s="2145"/>
      <c r="C964" s="49"/>
      <c r="D964" s="2394"/>
      <c r="E964" s="2394"/>
      <c r="F964" s="2404" t="str">
        <f>$E$831</f>
        <v>ASHP-SEER21_ER1_SF</v>
      </c>
      <c r="G964" s="2404"/>
      <c r="H964" s="2404"/>
      <c r="I964" s="2404"/>
      <c r="J964" s="962" t="str">
        <f>$C$831</f>
        <v>354750_2024_12_</v>
      </c>
      <c r="K964" s="1515">
        <v>40128.673782518214</v>
      </c>
      <c r="L964" s="964">
        <f t="shared" si="201"/>
        <v>3.3440561485431846</v>
      </c>
      <c r="M964" s="857" t="s">
        <v>929</v>
      </c>
      <c r="T964" s="50"/>
      <c r="U964" s="50"/>
      <c r="V964" s="2394"/>
      <c r="W964" s="1268">
        <v>39600</v>
      </c>
      <c r="X964" s="1268">
        <v>39600</v>
      </c>
      <c r="Y964" s="1268">
        <v>39600</v>
      </c>
      <c r="Z964" s="1268">
        <v>39600</v>
      </c>
      <c r="AA964" s="1268">
        <v>39600</v>
      </c>
      <c r="AB964" s="1268">
        <v>39600</v>
      </c>
      <c r="AC964" s="775">
        <v>40615.384615384617</v>
      </c>
      <c r="AD964" s="908">
        <v>40225.166612626257</v>
      </c>
      <c r="AE964" s="908">
        <v>40128.673782518214</v>
      </c>
      <c r="AF964" s="253">
        <v>40128.673782518214</v>
      </c>
      <c r="AG964" s="253">
        <f t="shared" si="202"/>
        <v>40128.673782518214</v>
      </c>
      <c r="DG964" s="543"/>
      <c r="DH964" s="149"/>
      <c r="DI964" s="1020"/>
      <c r="DJ964" s="2045"/>
    </row>
    <row r="965" spans="1:114" ht="15" customHeight="1" outlineLevel="1" x14ac:dyDescent="0.25">
      <c r="A965" s="2145"/>
      <c r="C965" s="49"/>
      <c r="D965" s="2394"/>
      <c r="E965" s="2394"/>
      <c r="F965" s="2404" t="str">
        <f>$E$833</f>
        <v>ASHP-SEER21_ER2_SF</v>
      </c>
      <c r="G965" s="2404"/>
      <c r="H965" s="2404"/>
      <c r="I965" s="2404"/>
      <c r="J965" s="962" t="str">
        <f>$C$833</f>
        <v>354750_2024_12_</v>
      </c>
      <c r="K965" s="1515">
        <v>40128.673782518214</v>
      </c>
      <c r="L965" s="964">
        <f t="shared" si="201"/>
        <v>3.3440561485431846</v>
      </c>
      <c r="M965" s="857" t="s">
        <v>929</v>
      </c>
      <c r="T965" s="50"/>
      <c r="U965" s="50"/>
      <c r="V965" s="2394"/>
      <c r="W965" s="1268">
        <v>39600</v>
      </c>
      <c r="X965" s="1268">
        <v>39600</v>
      </c>
      <c r="Y965" s="1268">
        <v>39600</v>
      </c>
      <c r="Z965" s="1268">
        <v>39600</v>
      </c>
      <c r="AA965" s="1268">
        <v>39600</v>
      </c>
      <c r="AB965" s="1268">
        <v>39600</v>
      </c>
      <c r="AC965" s="775">
        <f>AC964</f>
        <v>40615.384615384617</v>
      </c>
      <c r="AD965" s="908">
        <v>40225.166612626257</v>
      </c>
      <c r="AE965" s="908">
        <v>40128.673782518214</v>
      </c>
      <c r="AF965" s="253">
        <v>40128.673782518214</v>
      </c>
      <c r="AG965" s="253">
        <f t="shared" si="202"/>
        <v>40128.673782518214</v>
      </c>
      <c r="DG965" s="543"/>
      <c r="DH965" s="149"/>
      <c r="DI965" s="1020"/>
      <c r="DJ965" s="2045"/>
    </row>
    <row r="966" spans="1:114" ht="15" customHeight="1" outlineLevel="1" x14ac:dyDescent="0.25">
      <c r="A966" s="2145"/>
      <c r="C966" s="49"/>
      <c r="D966" s="2394"/>
      <c r="E966" s="2394"/>
      <c r="F966" s="2404" t="str">
        <f>$E$835</f>
        <v>ASHP-SEER21_ROF_SF</v>
      </c>
      <c r="G966" s="2404"/>
      <c r="H966" s="2404"/>
      <c r="I966" s="2404"/>
      <c r="J966" s="962" t="str">
        <f>$C$835</f>
        <v>354800_2024_12_</v>
      </c>
      <c r="K966" s="1515">
        <v>41639.393940624999</v>
      </c>
      <c r="L966" s="964">
        <f t="shared" si="201"/>
        <v>3.4699494950520831</v>
      </c>
      <c r="M966" s="857" t="s">
        <v>931</v>
      </c>
      <c r="T966" s="50"/>
      <c r="U966" s="50"/>
      <c r="V966" s="2394"/>
      <c r="W966" s="1268">
        <v>39600</v>
      </c>
      <c r="X966" s="1268">
        <v>39600</v>
      </c>
      <c r="Y966" s="1268">
        <v>39600</v>
      </c>
      <c r="Z966" s="1268">
        <v>39600</v>
      </c>
      <c r="AA966" s="1268">
        <v>39600</v>
      </c>
      <c r="AB966" s="1268">
        <v>39600</v>
      </c>
      <c r="AC966" s="775">
        <v>46500</v>
      </c>
      <c r="AD966" s="908">
        <v>41639.393940624999</v>
      </c>
      <c r="AE966" s="966">
        <v>41639.393940624999</v>
      </c>
      <c r="AF966" s="253">
        <v>41639.393940624999</v>
      </c>
      <c r="AG966" s="253">
        <f t="shared" si="202"/>
        <v>41639.393940624999</v>
      </c>
      <c r="DG966" s="543"/>
      <c r="DH966" s="149"/>
      <c r="DI966" s="1020"/>
      <c r="DJ966" s="2045"/>
    </row>
    <row r="967" spans="1:114" ht="15" customHeight="1" outlineLevel="1" x14ac:dyDescent="0.25">
      <c r="A967" s="2145"/>
      <c r="C967" s="49"/>
      <c r="D967" s="2394"/>
      <c r="E967" s="2394"/>
      <c r="F967" s="2404" t="str">
        <f>$E$837</f>
        <v>ASHP-SEER21-Replace_CAC_ElectricHeat_ROF_MF</v>
      </c>
      <c r="G967" s="2404"/>
      <c r="H967" s="2404"/>
      <c r="I967" s="2404"/>
      <c r="J967" s="962" t="str">
        <f>$C$837</f>
        <v>354850_2024_12_</v>
      </c>
      <c r="K967" s="1516">
        <v>33600</v>
      </c>
      <c r="L967" s="964">
        <f t="shared" si="201"/>
        <v>2.8</v>
      </c>
      <c r="M967" s="857" t="s">
        <v>1018</v>
      </c>
      <c r="T967" s="50"/>
      <c r="U967" s="50"/>
      <c r="V967" s="2394"/>
      <c r="W967" s="1268">
        <v>33600</v>
      </c>
      <c r="X967" s="1268">
        <v>33600</v>
      </c>
      <c r="Y967" s="1268">
        <v>33600</v>
      </c>
      <c r="Z967" s="1268">
        <v>33600</v>
      </c>
      <c r="AA967" s="1268">
        <v>33600</v>
      </c>
      <c r="AB967" s="1268">
        <v>33600</v>
      </c>
      <c r="AC967" s="752">
        <v>33600</v>
      </c>
      <c r="AD967" s="966">
        <v>33600</v>
      </c>
      <c r="AE967" s="909">
        <v>33600</v>
      </c>
      <c r="AF967" s="253">
        <v>33600</v>
      </c>
      <c r="AG967" s="253">
        <f t="shared" si="202"/>
        <v>33600</v>
      </c>
      <c r="DG967" s="543"/>
      <c r="DH967" s="149"/>
      <c r="DI967" s="1020"/>
      <c r="DJ967" s="2045"/>
    </row>
    <row r="968" spans="1:114" ht="15" customHeight="1" outlineLevel="1" x14ac:dyDescent="0.25">
      <c r="A968" s="2145"/>
      <c r="C968" s="49"/>
      <c r="D968" s="2394"/>
      <c r="E968" s="2394"/>
      <c r="F968" s="2404" t="str">
        <f>$E$839</f>
        <v>ASHP-SEER21_ER1_MF</v>
      </c>
      <c r="G968" s="2404"/>
      <c r="H968" s="2404"/>
      <c r="I968" s="2404"/>
      <c r="J968" s="962" t="str">
        <f>$C$839</f>
        <v>354900_2024_12_</v>
      </c>
      <c r="K968" s="1516">
        <v>39600</v>
      </c>
      <c r="L968" s="964">
        <f t="shared" si="201"/>
        <v>3.3</v>
      </c>
      <c r="M968" s="857" t="s">
        <v>1018</v>
      </c>
      <c r="T968" s="50"/>
      <c r="U968" s="50"/>
      <c r="V968" s="2394"/>
      <c r="W968" s="1268">
        <v>39600</v>
      </c>
      <c r="X968" s="1268">
        <v>39600</v>
      </c>
      <c r="Y968" s="1268">
        <v>39600</v>
      </c>
      <c r="Z968" s="1268">
        <v>39600</v>
      </c>
      <c r="AA968" s="1268">
        <v>39600</v>
      </c>
      <c r="AB968" s="1268">
        <v>39600</v>
      </c>
      <c r="AC968" s="752">
        <v>39600</v>
      </c>
      <c r="AD968" s="966">
        <v>39600</v>
      </c>
      <c r="AE968" s="909">
        <v>39600</v>
      </c>
      <c r="AF968" s="253">
        <v>39600</v>
      </c>
      <c r="AG968" s="253">
        <f t="shared" si="202"/>
        <v>39600</v>
      </c>
      <c r="DG968" s="543"/>
      <c r="DH968" s="149"/>
      <c r="DI968" s="1020"/>
      <c r="DJ968" s="2045"/>
    </row>
    <row r="969" spans="1:114" ht="15" customHeight="1" outlineLevel="1" x14ac:dyDescent="0.25">
      <c r="A969" s="2145"/>
      <c r="C969" s="49"/>
      <c r="D969" s="2394"/>
      <c r="E969" s="2394"/>
      <c r="F969" s="2404" t="str">
        <f>$E$841</f>
        <v>ASHP-SEER21_ER2_MF</v>
      </c>
      <c r="G969" s="2404"/>
      <c r="H969" s="2404"/>
      <c r="I969" s="2404"/>
      <c r="J969" s="962" t="str">
        <f>$C$841</f>
        <v>354900_2024_12_</v>
      </c>
      <c r="K969" s="1516">
        <v>39600</v>
      </c>
      <c r="L969" s="964">
        <f t="shared" si="201"/>
        <v>3.3</v>
      </c>
      <c r="M969" s="857" t="s">
        <v>1018</v>
      </c>
      <c r="T969" s="50"/>
      <c r="U969" s="50"/>
      <c r="V969" s="2394"/>
      <c r="W969" s="1268">
        <v>39600</v>
      </c>
      <c r="X969" s="1268">
        <v>39600</v>
      </c>
      <c r="Y969" s="1268">
        <v>39600</v>
      </c>
      <c r="Z969" s="1268">
        <v>39600</v>
      </c>
      <c r="AA969" s="1268">
        <v>39600</v>
      </c>
      <c r="AB969" s="1268">
        <v>39600</v>
      </c>
      <c r="AC969" s="752">
        <v>39600</v>
      </c>
      <c r="AD969" s="966">
        <v>39600</v>
      </c>
      <c r="AE969" s="909">
        <v>39600</v>
      </c>
      <c r="AF969" s="253">
        <v>39600</v>
      </c>
      <c r="AG969" s="253">
        <f t="shared" si="202"/>
        <v>39600</v>
      </c>
      <c r="DG969" s="543"/>
      <c r="DH969" s="149"/>
      <c r="DI969" s="1020"/>
      <c r="DJ969" s="2045"/>
    </row>
    <row r="970" spans="1:114" ht="15" customHeight="1" outlineLevel="1" x14ac:dyDescent="0.25">
      <c r="A970" s="2145"/>
      <c r="C970" s="49"/>
      <c r="D970" s="2394"/>
      <c r="E970" s="2394"/>
      <c r="F970" s="2404" t="str">
        <f>$E$843</f>
        <v>ASHP-SEER17_ROF_MF</v>
      </c>
      <c r="G970" s="2404"/>
      <c r="H970" s="2404"/>
      <c r="I970" s="2404"/>
      <c r="J970" s="962" t="str">
        <f>$C$843</f>
        <v>354950_2024_12_</v>
      </c>
      <c r="K970" s="1516">
        <v>39600</v>
      </c>
      <c r="L970" s="964">
        <f t="shared" si="201"/>
        <v>3.3</v>
      </c>
      <c r="M970" s="857" t="s">
        <v>1018</v>
      </c>
      <c r="T970" s="50"/>
      <c r="U970" s="50"/>
      <c r="V970" s="2394"/>
      <c r="W970" s="1268">
        <v>39600</v>
      </c>
      <c r="X970" s="1268">
        <v>39600</v>
      </c>
      <c r="Y970" s="1268">
        <v>39600</v>
      </c>
      <c r="Z970" s="1268">
        <v>39600</v>
      </c>
      <c r="AA970" s="1268">
        <v>39600</v>
      </c>
      <c r="AB970" s="1268">
        <v>39600</v>
      </c>
      <c r="AC970" s="752">
        <v>39600</v>
      </c>
      <c r="AD970" s="966">
        <v>39600</v>
      </c>
      <c r="AE970" s="909">
        <v>39600</v>
      </c>
      <c r="AF970" s="253">
        <v>39600</v>
      </c>
      <c r="AG970" s="253">
        <f t="shared" si="202"/>
        <v>39600</v>
      </c>
      <c r="DG970" s="543"/>
      <c r="DH970" s="149"/>
      <c r="DI970" s="1020"/>
      <c r="DJ970" s="2045"/>
    </row>
    <row r="971" spans="1:114" ht="15" customHeight="1" outlineLevel="1" x14ac:dyDescent="0.25">
      <c r="A971" s="2145"/>
      <c r="C971" s="49"/>
      <c r="D971" s="2394"/>
      <c r="E971" s="2394"/>
      <c r="F971" s="2404" t="str">
        <f>$E$845</f>
        <v>ASHP-SEER18_ROF_MF</v>
      </c>
      <c r="G971" s="2404"/>
      <c r="H971" s="2404"/>
      <c r="I971" s="2404"/>
      <c r="J971" s="962" t="str">
        <f>$C$845</f>
        <v>355000_2024_12_</v>
      </c>
      <c r="K971" s="1516">
        <v>39600</v>
      </c>
      <c r="L971" s="964">
        <f t="shared" si="201"/>
        <v>3.3</v>
      </c>
      <c r="M971" s="857" t="s">
        <v>1018</v>
      </c>
      <c r="P971" s="243"/>
      <c r="Q971" s="192"/>
      <c r="R971" s="243"/>
      <c r="T971" s="166"/>
      <c r="U971" s="50"/>
      <c r="V971" s="2394"/>
      <c r="W971" s="1268">
        <v>39600</v>
      </c>
      <c r="X971" s="1268">
        <v>39600</v>
      </c>
      <c r="Y971" s="1268">
        <v>39600</v>
      </c>
      <c r="Z971" s="1268">
        <v>39600</v>
      </c>
      <c r="AA971" s="1268">
        <v>39600</v>
      </c>
      <c r="AB971" s="1268">
        <v>39600</v>
      </c>
      <c r="AC971" s="752">
        <v>39600</v>
      </c>
      <c r="AD971" s="966">
        <v>39600</v>
      </c>
      <c r="AE971" s="909">
        <v>39600</v>
      </c>
      <c r="AF971" s="253">
        <v>39600</v>
      </c>
      <c r="AG971" s="253">
        <f t="shared" si="202"/>
        <v>39600</v>
      </c>
      <c r="DG971" s="543"/>
      <c r="DH971" s="149"/>
      <c r="DI971" s="1020"/>
      <c r="DJ971" s="2045"/>
    </row>
    <row r="972" spans="1:114" ht="15" customHeight="1" outlineLevel="1" x14ac:dyDescent="0.25">
      <c r="A972" s="2145"/>
      <c r="C972" s="49"/>
      <c r="D972" s="2394"/>
      <c r="E972" s="2394"/>
      <c r="F972" s="2404" t="str">
        <f>$E$847</f>
        <v>ASHP-SEER19_ROF_MF</v>
      </c>
      <c r="G972" s="2404"/>
      <c r="H972" s="2404"/>
      <c r="I972" s="2404"/>
      <c r="J972" s="962" t="str">
        <f>$C$847</f>
        <v>355050_2024_12_</v>
      </c>
      <c r="K972" s="1516">
        <v>39600</v>
      </c>
      <c r="L972" s="964">
        <f t="shared" si="201"/>
        <v>3.3</v>
      </c>
      <c r="M972" s="857" t="s">
        <v>1018</v>
      </c>
      <c r="P972" s="243"/>
      <c r="Q972" s="192"/>
      <c r="R972" s="243"/>
      <c r="T972" s="166"/>
      <c r="U972" s="50"/>
      <c r="V972" s="2394"/>
      <c r="W972" s="1268">
        <v>39600</v>
      </c>
      <c r="X972" s="1268">
        <v>39600</v>
      </c>
      <c r="Y972" s="1268">
        <v>39600</v>
      </c>
      <c r="Z972" s="1268">
        <v>39600</v>
      </c>
      <c r="AA972" s="1268">
        <v>39600</v>
      </c>
      <c r="AB972" s="1268">
        <v>39600</v>
      </c>
      <c r="AC972" s="752">
        <v>39600</v>
      </c>
      <c r="AD972" s="966">
        <v>39600</v>
      </c>
      <c r="AE972" s="909">
        <v>39600</v>
      </c>
      <c r="AF972" s="253">
        <v>39600</v>
      </c>
      <c r="AG972" s="253">
        <f t="shared" si="202"/>
        <v>39600</v>
      </c>
      <c r="DG972" s="543"/>
      <c r="DH972" s="149"/>
      <c r="DI972" s="1020"/>
      <c r="DJ972" s="2045"/>
    </row>
    <row r="973" spans="1:114" ht="15" customHeight="1" outlineLevel="1" x14ac:dyDescent="0.25">
      <c r="A973" s="2145"/>
      <c r="C973" s="49"/>
      <c r="D973" s="2394"/>
      <c r="E973" s="2394"/>
      <c r="F973" s="2408" t="str">
        <f>$E$849</f>
        <v>ASHP-SEER20_ROF_MF</v>
      </c>
      <c r="G973" s="2409"/>
      <c r="H973" s="2409"/>
      <c r="I973" s="2410"/>
      <c r="J973" s="962" t="str">
        <f>$C$849</f>
        <v>355100_2024_12_</v>
      </c>
      <c r="K973" s="1516">
        <v>39600</v>
      </c>
      <c r="L973" s="964">
        <f t="shared" si="201"/>
        <v>3.3</v>
      </c>
      <c r="M973" s="857" t="s">
        <v>1018</v>
      </c>
      <c r="T973" s="50"/>
      <c r="U973" s="50"/>
      <c r="V973" s="2394"/>
      <c r="W973" s="1268">
        <v>39600</v>
      </c>
      <c r="X973" s="1268">
        <v>39600</v>
      </c>
      <c r="Y973" s="1268">
        <v>39600</v>
      </c>
      <c r="Z973" s="1268">
        <v>39600</v>
      </c>
      <c r="AA973" s="1268">
        <v>39600</v>
      </c>
      <c r="AB973" s="1268">
        <v>39600</v>
      </c>
      <c r="AC973" s="752">
        <v>39600</v>
      </c>
      <c r="AD973" s="966">
        <v>39600</v>
      </c>
      <c r="AE973" s="909">
        <v>39600</v>
      </c>
      <c r="AF973" s="253">
        <v>39600</v>
      </c>
      <c r="AG973" s="253">
        <f t="shared" si="202"/>
        <v>39600</v>
      </c>
      <c r="DG973" s="543"/>
      <c r="DH973" s="149"/>
      <c r="DI973" s="1020"/>
      <c r="DJ973" s="2045"/>
    </row>
    <row r="974" spans="1:114" ht="15.75" customHeight="1" outlineLevel="1" x14ac:dyDescent="0.25">
      <c r="A974" s="2145"/>
      <c r="C974" s="49"/>
      <c r="D974" s="2394"/>
      <c r="E974" s="2394"/>
      <c r="F974" s="2408" t="str">
        <f>$E$851</f>
        <v>ASHP-SEER21_ROF_MF</v>
      </c>
      <c r="G974" s="2409"/>
      <c r="H974" s="2409"/>
      <c r="I974" s="2410"/>
      <c r="J974" s="962" t="str">
        <f>$C$851</f>
        <v>355150_2024_12_</v>
      </c>
      <c r="K974" s="1516">
        <v>39600</v>
      </c>
      <c r="L974" s="964">
        <f t="shared" si="201"/>
        <v>3.3</v>
      </c>
      <c r="M974" s="857" t="s">
        <v>1018</v>
      </c>
      <c r="T974" s="50"/>
      <c r="U974" s="50"/>
      <c r="V974" s="2394"/>
      <c r="W974" s="1268">
        <v>39600</v>
      </c>
      <c r="X974" s="1268">
        <v>39600</v>
      </c>
      <c r="Y974" s="1268">
        <v>39600</v>
      </c>
      <c r="Z974" s="1268">
        <v>39600</v>
      </c>
      <c r="AA974" s="1268">
        <v>39600</v>
      </c>
      <c r="AB974" s="1268">
        <v>39600</v>
      </c>
      <c r="AC974" s="752">
        <v>39600</v>
      </c>
      <c r="AD974" s="966">
        <v>39600</v>
      </c>
      <c r="AE974" s="909">
        <v>39600</v>
      </c>
      <c r="AF974" s="253">
        <v>39600</v>
      </c>
      <c r="AG974" s="253">
        <f t="shared" si="202"/>
        <v>39600</v>
      </c>
      <c r="DG974" s="543"/>
      <c r="DH974" s="149"/>
      <c r="DI974" s="1020"/>
      <c r="DJ974" s="2045"/>
    </row>
    <row r="975" spans="1:114" ht="15.75" customHeight="1" outlineLevel="1" x14ac:dyDescent="0.25">
      <c r="A975" s="2145"/>
      <c r="C975" s="49"/>
      <c r="D975" s="2078"/>
      <c r="E975" s="2078"/>
      <c r="F975" s="1968" t="s">
        <v>1185</v>
      </c>
      <c r="G975" s="1969"/>
      <c r="H975" s="1969"/>
      <c r="I975" s="1970"/>
      <c r="J975" s="2095" t="s">
        <v>1184</v>
      </c>
      <c r="K975" s="1966">
        <v>23400</v>
      </c>
      <c r="L975" s="1967">
        <f t="shared" si="201"/>
        <v>1.95</v>
      </c>
      <c r="M975" s="1971" t="s">
        <v>932</v>
      </c>
      <c r="T975" s="50"/>
      <c r="U975" s="50"/>
      <c r="V975" s="1265" t="s">
        <v>1049</v>
      </c>
      <c r="W975" s="1268"/>
      <c r="X975" s="1268"/>
      <c r="Y975" s="1268"/>
      <c r="Z975" s="1268"/>
      <c r="AA975" s="1268"/>
      <c r="AB975" s="1268"/>
      <c r="AC975" s="752"/>
      <c r="AD975" s="966"/>
      <c r="AE975" s="909"/>
      <c r="AF975" s="253"/>
      <c r="AG975" s="253">
        <f t="shared" si="202"/>
        <v>23400</v>
      </c>
      <c r="DG975" s="543"/>
      <c r="DH975" s="149"/>
      <c r="DI975" s="1020"/>
      <c r="DJ975" s="2045"/>
    </row>
    <row r="976" spans="1:114" ht="15" customHeight="1" outlineLevel="1" x14ac:dyDescent="0.25">
      <c r="A976" s="2145"/>
      <c r="C976" s="49"/>
      <c r="D976" s="2393" t="s">
        <v>1052</v>
      </c>
      <c r="E976" s="2393" t="s">
        <v>1053</v>
      </c>
      <c r="F976" s="2408" t="str">
        <f>$E$647</f>
        <v>ASHP-SEER15-Replace_CAC_ElectricHeat_ER1_SF</v>
      </c>
      <c r="G976" s="2411"/>
      <c r="H976" s="2411"/>
      <c r="I976" s="2412"/>
      <c r="J976" s="962" t="str">
        <f>$C$647</f>
        <v>352300_2024_12_</v>
      </c>
      <c r="K976" s="1534">
        <v>1496</v>
      </c>
      <c r="L976" s="12"/>
      <c r="M976" s="731" t="s">
        <v>1289</v>
      </c>
      <c r="T976" s="50"/>
      <c r="U976" s="50"/>
      <c r="V976" s="2393" t="s">
        <v>1052</v>
      </c>
      <c r="W976" s="1268">
        <v>2009</v>
      </c>
      <c r="X976" s="779">
        <v>1496</v>
      </c>
      <c r="Y976" s="1268">
        <v>1496</v>
      </c>
      <c r="Z976" s="1268">
        <v>1496</v>
      </c>
      <c r="AA976" s="1268">
        <v>1496</v>
      </c>
      <c r="AB976" s="1268">
        <v>1496</v>
      </c>
      <c r="AC976" s="1268">
        <v>1496</v>
      </c>
      <c r="AD976" s="1268">
        <v>1496</v>
      </c>
      <c r="AE976" s="1268">
        <v>1496</v>
      </c>
      <c r="AF976" s="253">
        <v>1496</v>
      </c>
      <c r="AG976" s="253">
        <f t="shared" si="202"/>
        <v>1496</v>
      </c>
      <c r="DG976" s="543"/>
      <c r="DH976" s="149"/>
      <c r="DI976" s="1020"/>
      <c r="DJ976" s="2045"/>
    </row>
    <row r="977" spans="1:114" ht="15" customHeight="1" outlineLevel="1" x14ac:dyDescent="0.25">
      <c r="A977" s="2145"/>
      <c r="C977" s="49"/>
      <c r="D977" s="2394"/>
      <c r="E977" s="2394"/>
      <c r="F977" s="2408" t="str">
        <f>$E$649</f>
        <v>ASHP-SEER15-Replace_CAC_ElectricHeat_ER2_SF</v>
      </c>
      <c r="G977" s="2411"/>
      <c r="H977" s="2411"/>
      <c r="I977" s="2412"/>
      <c r="J977" s="962" t="str">
        <f>$C$649</f>
        <v>352300_2024_12_</v>
      </c>
      <c r="K977" s="1534">
        <v>1496</v>
      </c>
      <c r="L977" s="12"/>
      <c r="M977" s="731" t="s">
        <v>1289</v>
      </c>
      <c r="T977" s="50"/>
      <c r="U977" s="50"/>
      <c r="V977" s="2394"/>
      <c r="W977" s="1268">
        <v>2009</v>
      </c>
      <c r="X977" s="779">
        <v>1496</v>
      </c>
      <c r="Y977" s="1268">
        <v>1496</v>
      </c>
      <c r="Z977" s="1268">
        <v>1496</v>
      </c>
      <c r="AA977" s="1268">
        <v>1496</v>
      </c>
      <c r="AB977" s="1268">
        <v>1496</v>
      </c>
      <c r="AC977" s="1268">
        <v>1496</v>
      </c>
      <c r="AD977" s="1268">
        <v>1496</v>
      </c>
      <c r="AE977" s="1268">
        <v>1496</v>
      </c>
      <c r="AF977" s="253">
        <v>1496</v>
      </c>
      <c r="AG977" s="253">
        <f t="shared" si="202"/>
        <v>1496</v>
      </c>
      <c r="DG977" s="543"/>
      <c r="DH977" s="149"/>
      <c r="DI977" s="1020"/>
      <c r="DJ977" s="2045"/>
    </row>
    <row r="978" spans="1:114" ht="15" customHeight="1" outlineLevel="1" x14ac:dyDescent="0.25">
      <c r="A978" s="2145"/>
      <c r="C978" s="49"/>
      <c r="D978" s="2394"/>
      <c r="E978" s="2394"/>
      <c r="F978" s="2408" t="str">
        <f>$E$651</f>
        <v>ASHP-SEER15-Replace_CAC_NonElectricHeat_ER1_SF</v>
      </c>
      <c r="G978" s="2411"/>
      <c r="H978" s="2411"/>
      <c r="I978" s="2412"/>
      <c r="J978" s="962" t="str">
        <f>$C$651</f>
        <v>352310_2024_12_</v>
      </c>
      <c r="K978" s="1536">
        <v>1496</v>
      </c>
      <c r="L978" s="12"/>
      <c r="M978" s="731" t="s">
        <v>1289</v>
      </c>
      <c r="T978" s="50"/>
      <c r="U978" s="50"/>
      <c r="V978" s="2394"/>
      <c r="W978" s="1268"/>
      <c r="X978" s="779"/>
      <c r="Y978" s="1268"/>
      <c r="Z978" s="1268"/>
      <c r="AA978" s="1268"/>
      <c r="AB978" s="1268"/>
      <c r="AC978" s="775">
        <v>1496</v>
      </c>
      <c r="AD978" s="752">
        <v>1496</v>
      </c>
      <c r="AE978" s="752">
        <v>1496</v>
      </c>
      <c r="AF978" s="253">
        <v>1496</v>
      </c>
      <c r="AG978" s="253">
        <f t="shared" si="202"/>
        <v>1496</v>
      </c>
      <c r="DG978" s="543"/>
      <c r="DH978" s="149"/>
      <c r="DI978" s="1020"/>
      <c r="DJ978" s="2045"/>
    </row>
    <row r="979" spans="1:114" ht="15" customHeight="1" outlineLevel="1" x14ac:dyDescent="0.25">
      <c r="A979" s="2145"/>
      <c r="C979" s="49"/>
      <c r="D979" s="2394"/>
      <c r="E979" s="2394"/>
      <c r="F979" s="2408" t="str">
        <f>$E$653</f>
        <v>ASHP-SEER15-Replace_CAC_NonElectricHeat_ER2_SF</v>
      </c>
      <c r="G979" s="2411"/>
      <c r="H979" s="2411"/>
      <c r="I979" s="2412"/>
      <c r="J979" s="962" t="str">
        <f>$C$653</f>
        <v>352310_2024_12_</v>
      </c>
      <c r="K979" s="1536">
        <v>1496</v>
      </c>
      <c r="L979" s="12"/>
      <c r="M979" s="731" t="s">
        <v>1289</v>
      </c>
      <c r="T979" s="50"/>
      <c r="U979" s="50"/>
      <c r="V979" s="2394"/>
      <c r="W979" s="1268"/>
      <c r="X979" s="779"/>
      <c r="Y979" s="1268"/>
      <c r="Z979" s="1268"/>
      <c r="AA979" s="1268"/>
      <c r="AB979" s="1268"/>
      <c r="AC979" s="775">
        <v>1496</v>
      </c>
      <c r="AD979" s="752">
        <v>1496</v>
      </c>
      <c r="AE979" s="752">
        <v>1496</v>
      </c>
      <c r="AF979" s="253">
        <v>1496</v>
      </c>
      <c r="AG979" s="253">
        <f t="shared" si="202"/>
        <v>1496</v>
      </c>
      <c r="DG979" s="543"/>
      <c r="DH979" s="149"/>
      <c r="DI979" s="1020"/>
      <c r="DJ979" s="2045"/>
    </row>
    <row r="980" spans="1:114" ht="15" customHeight="1" outlineLevel="1" x14ac:dyDescent="0.25">
      <c r="A980" s="2145"/>
      <c r="C980" s="49"/>
      <c r="D980" s="2394"/>
      <c r="E980" s="2394"/>
      <c r="F980" s="2408" t="str">
        <f>$E$655</f>
        <v>ASHP-SEER15_ER1_SF</v>
      </c>
      <c r="G980" s="2411"/>
      <c r="H980" s="2411"/>
      <c r="I980" s="2412"/>
      <c r="J980" s="962" t="str">
        <f>$C$655</f>
        <v>352350_2024_12_</v>
      </c>
      <c r="K980" s="1534">
        <v>1496</v>
      </c>
      <c r="L980" s="12"/>
      <c r="M980" s="731" t="s">
        <v>1289</v>
      </c>
      <c r="T980" s="50"/>
      <c r="U980" s="50"/>
      <c r="V980" s="2394"/>
      <c r="W980" s="1268">
        <v>2009</v>
      </c>
      <c r="X980" s="779">
        <v>1496</v>
      </c>
      <c r="Y980" s="1268">
        <v>1496</v>
      </c>
      <c r="Z980" s="1268">
        <v>1496</v>
      </c>
      <c r="AA980" s="1268">
        <v>1496</v>
      </c>
      <c r="AB980" s="1268">
        <v>1496</v>
      </c>
      <c r="AC980" s="1268">
        <v>1496</v>
      </c>
      <c r="AD980" s="1268">
        <v>1496</v>
      </c>
      <c r="AE980" s="1268">
        <v>1496</v>
      </c>
      <c r="AF980" s="253">
        <v>1496</v>
      </c>
      <c r="AG980" s="253">
        <f t="shared" si="202"/>
        <v>1496</v>
      </c>
      <c r="DG980" s="543"/>
      <c r="DH980" s="149"/>
      <c r="DI980" s="1020"/>
      <c r="DJ980" s="2045"/>
    </row>
    <row r="981" spans="1:114" ht="15" customHeight="1" outlineLevel="1" x14ac:dyDescent="0.25">
      <c r="A981" s="2145"/>
      <c r="C981" s="49"/>
      <c r="D981" s="2394"/>
      <c r="E981" s="2394"/>
      <c r="F981" s="2408" t="str">
        <f>$E$657</f>
        <v>ASHP-SEER15_ER2_SF</v>
      </c>
      <c r="G981" s="2411"/>
      <c r="H981" s="2411"/>
      <c r="I981" s="2412"/>
      <c r="J981" s="962" t="str">
        <f>$C$657</f>
        <v>352350_2024_12_</v>
      </c>
      <c r="K981" s="1534">
        <v>1496</v>
      </c>
      <c r="L981" s="12"/>
      <c r="M981" s="731" t="s">
        <v>1289</v>
      </c>
      <c r="P981" s="243"/>
      <c r="Q981" s="243"/>
      <c r="R981" s="243"/>
      <c r="T981" s="166"/>
      <c r="U981" s="50"/>
      <c r="V981" s="2394"/>
      <c r="W981" s="1268">
        <v>2009</v>
      </c>
      <c r="X981" s="779">
        <v>1496</v>
      </c>
      <c r="Y981" s="1268">
        <v>1496</v>
      </c>
      <c r="Z981" s="1268">
        <v>1496</v>
      </c>
      <c r="AA981" s="1268">
        <v>1496</v>
      </c>
      <c r="AB981" s="1268">
        <v>1496</v>
      </c>
      <c r="AC981" s="1268">
        <v>1496</v>
      </c>
      <c r="AD981" s="1268">
        <v>1496</v>
      </c>
      <c r="AE981" s="1268">
        <v>1496</v>
      </c>
      <c r="AF981" s="253">
        <v>1496</v>
      </c>
      <c r="AG981" s="253">
        <f t="shared" si="202"/>
        <v>1496</v>
      </c>
      <c r="DG981" s="543"/>
      <c r="DH981" s="149"/>
      <c r="DI981" s="1020"/>
      <c r="DJ981" s="2045"/>
    </row>
    <row r="982" spans="1:114" ht="15" customHeight="1" outlineLevel="1" x14ac:dyDescent="0.25">
      <c r="A982" s="2145"/>
      <c r="C982" s="49"/>
      <c r="D982" s="2394"/>
      <c r="E982" s="2394"/>
      <c r="F982" s="2408" t="str">
        <f>$E$659</f>
        <v>ASHP-SEER15-Replace_CAC_ElectricHeat_ROF_SF</v>
      </c>
      <c r="G982" s="2411"/>
      <c r="H982" s="2411"/>
      <c r="I982" s="2412"/>
      <c r="J982" s="962" t="str">
        <f>$C$659</f>
        <v>352400_2024_12_</v>
      </c>
      <c r="K982" s="1534">
        <v>1496</v>
      </c>
      <c r="L982" s="12"/>
      <c r="M982" s="731" t="s">
        <v>1289</v>
      </c>
      <c r="P982" s="243"/>
      <c r="Q982" s="243"/>
      <c r="R982" s="243"/>
      <c r="T982" s="166"/>
      <c r="U982" s="50"/>
      <c r="V982" s="2394"/>
      <c r="W982" s="1268">
        <v>2009</v>
      </c>
      <c r="X982" s="779">
        <v>1496</v>
      </c>
      <c r="Y982" s="1268">
        <v>1496</v>
      </c>
      <c r="Z982" s="1268">
        <v>1496</v>
      </c>
      <c r="AA982" s="1268">
        <v>1496</v>
      </c>
      <c r="AB982" s="1268">
        <v>1496</v>
      </c>
      <c r="AC982" s="1268">
        <v>1496</v>
      </c>
      <c r="AD982" s="1268">
        <v>1496</v>
      </c>
      <c r="AE982" s="1268">
        <v>1496</v>
      </c>
      <c r="AF982" s="253">
        <v>1496</v>
      </c>
      <c r="AG982" s="253">
        <f t="shared" si="202"/>
        <v>1496</v>
      </c>
      <c r="DG982" s="543"/>
      <c r="DH982" s="149"/>
      <c r="DI982" s="1020"/>
      <c r="DJ982" s="2045"/>
    </row>
    <row r="983" spans="1:114" ht="15" customHeight="1" outlineLevel="1" x14ac:dyDescent="0.25">
      <c r="A983" s="2145"/>
      <c r="C983" s="49"/>
      <c r="D983" s="2394"/>
      <c r="E983" s="2394"/>
      <c r="F983" s="2408" t="str">
        <f>$E$661</f>
        <v>ASHP-SEER15-Replace_CAC_NonElectricHeat_ROF_SF</v>
      </c>
      <c r="G983" s="2411"/>
      <c r="H983" s="2411"/>
      <c r="I983" s="2412"/>
      <c r="J983" s="962" t="str">
        <f>$C$661</f>
        <v>352410_2024_12_</v>
      </c>
      <c r="K983" s="1536">
        <v>1496</v>
      </c>
      <c r="L983" s="12"/>
      <c r="M983" s="731" t="s">
        <v>1289</v>
      </c>
      <c r="P983" s="243"/>
      <c r="Q983" s="243"/>
      <c r="R983" s="243"/>
      <c r="T983" s="166"/>
      <c r="U983" s="50"/>
      <c r="V983" s="2394"/>
      <c r="W983" s="1268"/>
      <c r="X983" s="779"/>
      <c r="Y983" s="1268"/>
      <c r="Z983" s="1268"/>
      <c r="AA983" s="1268"/>
      <c r="AB983" s="1268"/>
      <c r="AC983" s="775">
        <v>1496</v>
      </c>
      <c r="AD983" s="752">
        <v>1496</v>
      </c>
      <c r="AE983" s="752">
        <v>1496</v>
      </c>
      <c r="AF983" s="253">
        <v>1496</v>
      </c>
      <c r="AG983" s="253">
        <f t="shared" si="202"/>
        <v>1496</v>
      </c>
      <c r="DG983" s="543"/>
      <c r="DH983" s="149"/>
      <c r="DI983" s="1020"/>
      <c r="DJ983" s="2045"/>
    </row>
    <row r="984" spans="1:114" ht="15.75" customHeight="1" outlineLevel="1" x14ac:dyDescent="0.25">
      <c r="A984" s="2145"/>
      <c r="C984" s="49"/>
      <c r="D984" s="2394"/>
      <c r="E984" s="2394"/>
      <c r="F984" s="1968" t="s">
        <v>1130</v>
      </c>
      <c r="G984" s="1969"/>
      <c r="H984" s="1969"/>
      <c r="I984" s="1970"/>
      <c r="J984" s="2095" t="str">
        <f>$C$663</f>
        <v>352420_2025_12_</v>
      </c>
      <c r="K984" s="1975">
        <v>1496</v>
      </c>
      <c r="L984" s="244"/>
      <c r="M984" s="1976" t="s">
        <v>1289</v>
      </c>
      <c r="T984" s="50"/>
      <c r="U984" s="50"/>
      <c r="V984" s="2394"/>
      <c r="W984" s="1268"/>
      <c r="X984" s="1268"/>
      <c r="Y984" s="1268"/>
      <c r="Z984" s="1268"/>
      <c r="AA984" s="1268"/>
      <c r="AB984" s="1268"/>
      <c r="AC984" s="752"/>
      <c r="AD984" s="966"/>
      <c r="AE984" s="909"/>
      <c r="AF984" s="253"/>
      <c r="AG984" s="253">
        <f>IF(K984&lt;&gt;"",K984,"")</f>
        <v>1496</v>
      </c>
      <c r="DG984" s="543"/>
      <c r="DH984" s="149"/>
      <c r="DI984" s="1020"/>
      <c r="DJ984" s="2045"/>
    </row>
    <row r="985" spans="1:114" ht="15.75" customHeight="1" outlineLevel="1" x14ac:dyDescent="0.25">
      <c r="A985" s="2145"/>
      <c r="C985" s="49"/>
      <c r="D985" s="2394"/>
      <c r="E985" s="2394"/>
      <c r="F985" s="1968" t="s">
        <v>1131</v>
      </c>
      <c r="G985" s="1969"/>
      <c r="H985" s="1969"/>
      <c r="I985" s="1970"/>
      <c r="J985" s="2095" t="str">
        <f>$C$664</f>
        <v>352420_2025_12_</v>
      </c>
      <c r="K985" s="1975">
        <v>1496</v>
      </c>
      <c r="L985" s="244"/>
      <c r="M985" s="1976" t="s">
        <v>1289</v>
      </c>
      <c r="T985" s="50"/>
      <c r="U985" s="50"/>
      <c r="V985" s="2394"/>
      <c r="W985" s="1268"/>
      <c r="X985" s="1268"/>
      <c r="Y985" s="1268"/>
      <c r="Z985" s="1268"/>
      <c r="AA985" s="1268"/>
      <c r="AB985" s="1268"/>
      <c r="AC985" s="752"/>
      <c r="AD985" s="966"/>
      <c r="AE985" s="909"/>
      <c r="AF985" s="253"/>
      <c r="AG985" s="253">
        <f>IF(K985&lt;&gt;"",K985,"")</f>
        <v>1496</v>
      </c>
      <c r="DG985" s="543"/>
      <c r="DH985" s="149"/>
      <c r="DI985" s="1020"/>
      <c r="DJ985" s="2045"/>
    </row>
    <row r="986" spans="1:114" ht="15.75" customHeight="1" outlineLevel="1" x14ac:dyDescent="0.25">
      <c r="A986" s="2145"/>
      <c r="C986" s="49"/>
      <c r="D986" s="2394"/>
      <c r="E986" s="2394"/>
      <c r="F986" s="1968" t="s">
        <v>1133</v>
      </c>
      <c r="G986" s="1969"/>
      <c r="H986" s="1969"/>
      <c r="I986" s="1970"/>
      <c r="J986" s="2095" t="str">
        <f>$C$667</f>
        <v>352425_2025_12_</v>
      </c>
      <c r="K986" s="1975">
        <v>1496</v>
      </c>
      <c r="L986" s="244"/>
      <c r="M986" s="731" t="s">
        <v>1289</v>
      </c>
      <c r="T986" s="50"/>
      <c r="U986" s="50"/>
      <c r="V986" s="2394"/>
      <c r="W986" s="1268"/>
      <c r="X986" s="1268"/>
      <c r="Y986" s="1268"/>
      <c r="Z986" s="1268"/>
      <c r="AA986" s="1268"/>
      <c r="AB986" s="1268"/>
      <c r="AC986" s="752"/>
      <c r="AD986" s="966"/>
      <c r="AE986" s="909"/>
      <c r="AF986" s="253"/>
      <c r="AG986" s="253">
        <f>IF(K986&lt;&gt;"",K986,"")</f>
        <v>1496</v>
      </c>
      <c r="DG986" s="543"/>
      <c r="DH986" s="149"/>
      <c r="DI986" s="1020"/>
      <c r="DJ986" s="2045"/>
    </row>
    <row r="987" spans="1:114" ht="15" customHeight="1" outlineLevel="1" x14ac:dyDescent="0.25">
      <c r="A987" s="2145"/>
      <c r="C987" s="49"/>
      <c r="D987" s="2394"/>
      <c r="E987" s="2394"/>
      <c r="F987" s="2408" t="str">
        <f>$E$669</f>
        <v>ASHP-SEER16-Replace_CAC_ElectricHeat_ER1_SF</v>
      </c>
      <c r="G987" s="2411"/>
      <c r="H987" s="2411"/>
      <c r="I987" s="2412"/>
      <c r="J987" s="962" t="str">
        <f>$C$669</f>
        <v>352500_2024_12_</v>
      </c>
      <c r="K987" s="1534">
        <v>1496</v>
      </c>
      <c r="L987" s="12"/>
      <c r="M987" s="731" t="s">
        <v>1289</v>
      </c>
      <c r="P987" s="243"/>
      <c r="Q987" s="243"/>
      <c r="R987" s="243"/>
      <c r="T987" s="166"/>
      <c r="U987" s="50"/>
      <c r="V987" s="2394"/>
      <c r="W987" s="1268">
        <v>2009</v>
      </c>
      <c r="X987" s="779">
        <v>1496</v>
      </c>
      <c r="Y987" s="1268">
        <v>1496</v>
      </c>
      <c r="Z987" s="1268">
        <v>1496</v>
      </c>
      <c r="AA987" s="1268">
        <v>1496</v>
      </c>
      <c r="AB987" s="1268">
        <v>1496</v>
      </c>
      <c r="AC987" s="1268">
        <v>1496</v>
      </c>
      <c r="AD987" s="1268">
        <v>1496</v>
      </c>
      <c r="AE987" s="1268">
        <v>1496</v>
      </c>
      <c r="AF987" s="253">
        <v>1496</v>
      </c>
      <c r="AG987" s="253">
        <f t="shared" si="202"/>
        <v>1496</v>
      </c>
      <c r="DG987" s="543"/>
      <c r="DH987" s="149"/>
      <c r="DI987" s="1020"/>
      <c r="DJ987" s="2045"/>
    </row>
    <row r="988" spans="1:114" ht="15" customHeight="1" outlineLevel="1" x14ac:dyDescent="0.25">
      <c r="A988" s="2145"/>
      <c r="C988" s="49"/>
      <c r="D988" s="2394"/>
      <c r="E988" s="2394"/>
      <c r="F988" s="2408" t="str">
        <f>$E$671</f>
        <v>ASHP-SEER16-Replace_CAC_ElectricHeat_ER2_SF</v>
      </c>
      <c r="G988" s="2411"/>
      <c r="H988" s="2411"/>
      <c r="I988" s="2412"/>
      <c r="J988" s="962" t="str">
        <f>$C$671</f>
        <v>352500_2024_12_</v>
      </c>
      <c r="K988" s="1534">
        <v>1496</v>
      </c>
      <c r="L988" s="12"/>
      <c r="M988" s="731" t="s">
        <v>1289</v>
      </c>
      <c r="T988" s="50"/>
      <c r="U988" s="50"/>
      <c r="V988" s="2394"/>
      <c r="W988" s="1268">
        <v>2009</v>
      </c>
      <c r="X988" s="779">
        <v>1496</v>
      </c>
      <c r="Y988" s="1268">
        <v>1496</v>
      </c>
      <c r="Z988" s="1268">
        <v>1496</v>
      </c>
      <c r="AA988" s="1268">
        <v>1496</v>
      </c>
      <c r="AB988" s="1268">
        <v>1496</v>
      </c>
      <c r="AC988" s="1268">
        <v>1496</v>
      </c>
      <c r="AD988" s="1268">
        <v>1496</v>
      </c>
      <c r="AE988" s="1268">
        <v>1496</v>
      </c>
      <c r="AF988" s="253">
        <v>1496</v>
      </c>
      <c r="AG988" s="253">
        <f t="shared" si="202"/>
        <v>1496</v>
      </c>
      <c r="DG988" s="543"/>
      <c r="DH988" s="149"/>
      <c r="DI988" s="1020"/>
      <c r="DJ988" s="2045"/>
    </row>
    <row r="989" spans="1:114" ht="15" customHeight="1" outlineLevel="1" x14ac:dyDescent="0.25">
      <c r="A989" s="2145"/>
      <c r="C989" s="49"/>
      <c r="D989" s="2394"/>
      <c r="E989" s="2394"/>
      <c r="F989" s="2408" t="str">
        <f>$E$673</f>
        <v>ASHP-SEER16-Replace_CAC_NonElectricHeat_ER1_SF</v>
      </c>
      <c r="G989" s="2411"/>
      <c r="H989" s="2411"/>
      <c r="I989" s="2412"/>
      <c r="J989" s="1506" t="str">
        <f>$C$673</f>
        <v>352510_2024_12_</v>
      </c>
      <c r="K989" s="1536">
        <v>1496</v>
      </c>
      <c r="L989" s="12"/>
      <c r="M989" s="731" t="s">
        <v>1289</v>
      </c>
      <c r="T989" s="50"/>
      <c r="U989" s="50"/>
      <c r="V989" s="2394"/>
      <c r="W989" s="1268"/>
      <c r="X989" s="779"/>
      <c r="Y989" s="1268"/>
      <c r="Z989" s="1268"/>
      <c r="AA989" s="1268"/>
      <c r="AB989" s="1268"/>
      <c r="AC989" s="775">
        <v>1496</v>
      </c>
      <c r="AD989" s="752">
        <v>1496</v>
      </c>
      <c r="AE989" s="752">
        <v>1496</v>
      </c>
      <c r="AF989" s="253">
        <v>1496</v>
      </c>
      <c r="AG989" s="253">
        <f t="shared" si="202"/>
        <v>1496</v>
      </c>
      <c r="DG989" s="543"/>
      <c r="DH989" s="149"/>
      <c r="DI989" s="1020"/>
      <c r="DJ989" s="2045"/>
    </row>
    <row r="990" spans="1:114" ht="15" customHeight="1" outlineLevel="1" x14ac:dyDescent="0.25">
      <c r="A990" s="2145"/>
      <c r="C990" s="49"/>
      <c r="D990" s="2394"/>
      <c r="E990" s="2394"/>
      <c r="F990" s="2408" t="str">
        <f>$E$675</f>
        <v>ASHP-SEER16-Replace_CAC_NonElectricHeat_ER2_SF</v>
      </c>
      <c r="G990" s="2411"/>
      <c r="H990" s="2411"/>
      <c r="I990" s="2412"/>
      <c r="J990" s="1506" t="str">
        <f>$C$675</f>
        <v>352510_2024_12_</v>
      </c>
      <c r="K990" s="1536">
        <v>1496</v>
      </c>
      <c r="L990" s="12"/>
      <c r="M990" s="731" t="s">
        <v>1289</v>
      </c>
      <c r="T990" s="50"/>
      <c r="U990" s="50"/>
      <c r="V990" s="2394"/>
      <c r="W990" s="1268"/>
      <c r="X990" s="779"/>
      <c r="Y990" s="1268"/>
      <c r="Z990" s="1268"/>
      <c r="AA990" s="1268"/>
      <c r="AB990" s="1268"/>
      <c r="AC990" s="775">
        <v>1496</v>
      </c>
      <c r="AD990" s="752">
        <v>1496</v>
      </c>
      <c r="AE990" s="752">
        <v>1496</v>
      </c>
      <c r="AF990" s="253">
        <v>1496</v>
      </c>
      <c r="AG990" s="253">
        <f t="shared" si="202"/>
        <v>1496</v>
      </c>
      <c r="DG990" s="543"/>
      <c r="DH990" s="149"/>
      <c r="DI990" s="1020"/>
      <c r="DJ990" s="2045"/>
    </row>
    <row r="991" spans="1:114" ht="15.75" customHeight="1" outlineLevel="1" x14ac:dyDescent="0.25">
      <c r="A991" s="2145"/>
      <c r="C991" s="49"/>
      <c r="D991" s="2394"/>
      <c r="E991" s="2394"/>
      <c r="F991" s="1968" t="s">
        <v>1141</v>
      </c>
      <c r="G991" s="1969"/>
      <c r="H991" s="1969"/>
      <c r="I991" s="1970"/>
      <c r="J991" s="2095" t="s">
        <v>1140</v>
      </c>
      <c r="K991" s="1975">
        <v>1496</v>
      </c>
      <c r="L991" s="244"/>
      <c r="M991" s="731" t="s">
        <v>1289</v>
      </c>
      <c r="T991" s="50"/>
      <c r="U991" s="50"/>
      <c r="V991" s="2394"/>
      <c r="W991" s="1268"/>
      <c r="X991" s="1268"/>
      <c r="Y991" s="1268"/>
      <c r="Z991" s="1268"/>
      <c r="AA991" s="1268"/>
      <c r="AB991" s="1268"/>
      <c r="AC991" s="752"/>
      <c r="AD991" s="966"/>
      <c r="AE991" s="909"/>
      <c r="AF991" s="253"/>
      <c r="AG991" s="253">
        <f>IF(K991&lt;&gt;"",K991,"")</f>
        <v>1496</v>
      </c>
      <c r="DG991" s="543"/>
      <c r="DH991" s="149"/>
      <c r="DI991" s="1020"/>
      <c r="DJ991" s="2045"/>
    </row>
    <row r="992" spans="1:114" ht="15.75" customHeight="1" outlineLevel="1" x14ac:dyDescent="0.25">
      <c r="A992" s="2145"/>
      <c r="C992" s="49"/>
      <c r="D992" s="2394"/>
      <c r="E992" s="2394"/>
      <c r="F992" s="1968" t="s">
        <v>1142</v>
      </c>
      <c r="G992" s="1969"/>
      <c r="H992" s="1969"/>
      <c r="I992" s="1970"/>
      <c r="J992" s="2095" t="s">
        <v>1140</v>
      </c>
      <c r="K992" s="1975">
        <v>1496</v>
      </c>
      <c r="L992" s="244"/>
      <c r="M992" s="731" t="s">
        <v>1289</v>
      </c>
      <c r="T992" s="50"/>
      <c r="U992" s="50"/>
      <c r="V992" s="2394"/>
      <c r="W992" s="1268"/>
      <c r="X992" s="1268"/>
      <c r="Y992" s="1268"/>
      <c r="Z992" s="1268"/>
      <c r="AA992" s="1268"/>
      <c r="AB992" s="1268"/>
      <c r="AC992" s="752"/>
      <c r="AD992" s="966"/>
      <c r="AE992" s="909"/>
      <c r="AF992" s="253"/>
      <c r="AG992" s="253">
        <f>IF(K992&lt;&gt;"",K992,"")</f>
        <v>1496</v>
      </c>
      <c r="DG992" s="543"/>
      <c r="DH992" s="149"/>
      <c r="DI992" s="1020"/>
      <c r="DJ992" s="2045"/>
    </row>
    <row r="993" spans="1:114" ht="15" customHeight="1" outlineLevel="1" x14ac:dyDescent="0.25">
      <c r="A993" s="2145"/>
      <c r="C993" s="49"/>
      <c r="D993" s="2394"/>
      <c r="E993" s="2394"/>
      <c r="F993" s="2408" t="str">
        <f>$E$681</f>
        <v>ASHP-SEER16_ER1_SF</v>
      </c>
      <c r="G993" s="2411"/>
      <c r="H993" s="2411"/>
      <c r="I993" s="2412"/>
      <c r="J993" s="1506" t="str">
        <f>$C$681</f>
        <v>352550_2024_12_</v>
      </c>
      <c r="K993" s="1534">
        <v>1496</v>
      </c>
      <c r="L993" s="12"/>
      <c r="M993" s="731" t="s">
        <v>1289</v>
      </c>
      <c r="T993" s="50"/>
      <c r="U993" s="50"/>
      <c r="V993" s="2394"/>
      <c r="W993" s="1268">
        <v>2009</v>
      </c>
      <c r="X993" s="779">
        <v>1496</v>
      </c>
      <c r="Y993" s="1268">
        <v>1496</v>
      </c>
      <c r="Z993" s="1268">
        <v>1496</v>
      </c>
      <c r="AA993" s="1268">
        <v>1496</v>
      </c>
      <c r="AB993" s="1268">
        <v>1496</v>
      </c>
      <c r="AC993" s="1268">
        <v>1496</v>
      </c>
      <c r="AD993" s="1268">
        <v>1496</v>
      </c>
      <c r="AE993" s="1268">
        <v>1496</v>
      </c>
      <c r="AF993" s="253">
        <v>1496</v>
      </c>
      <c r="AG993" s="253">
        <f t="shared" si="202"/>
        <v>1496</v>
      </c>
      <c r="DG993" s="543"/>
      <c r="DH993" s="149"/>
      <c r="DI993" s="1020"/>
      <c r="DJ993" s="2045"/>
    </row>
    <row r="994" spans="1:114" ht="15" customHeight="1" outlineLevel="1" x14ac:dyDescent="0.25">
      <c r="A994" s="2145"/>
      <c r="C994" s="49"/>
      <c r="D994" s="2394"/>
      <c r="E994" s="2394"/>
      <c r="F994" s="2408" t="str">
        <f>$E$683</f>
        <v>ASHP-SEER16_ER2_SF</v>
      </c>
      <c r="G994" s="2411"/>
      <c r="H994" s="2411"/>
      <c r="I994" s="2412"/>
      <c r="J994" s="1506" t="str">
        <f>$C$683</f>
        <v>352550_2024_12_</v>
      </c>
      <c r="K994" s="1534">
        <v>1496</v>
      </c>
      <c r="L994" s="244"/>
      <c r="M994" s="731" t="s">
        <v>1289</v>
      </c>
      <c r="T994" s="50"/>
      <c r="U994" s="50"/>
      <c r="V994" s="2394"/>
      <c r="W994" s="1268">
        <v>2009</v>
      </c>
      <c r="X994" s="779">
        <v>1496</v>
      </c>
      <c r="Y994" s="1268">
        <v>1496</v>
      </c>
      <c r="Z994" s="1268">
        <v>1496</v>
      </c>
      <c r="AA994" s="1268">
        <v>1496</v>
      </c>
      <c r="AB994" s="1268">
        <v>1496</v>
      </c>
      <c r="AC994" s="1268">
        <v>1496</v>
      </c>
      <c r="AD994" s="1268">
        <v>1496</v>
      </c>
      <c r="AE994" s="1268">
        <v>1496</v>
      </c>
      <c r="AF994" s="253">
        <v>1496</v>
      </c>
      <c r="AG994" s="253">
        <f t="shared" si="202"/>
        <v>1496</v>
      </c>
      <c r="DG994" s="543"/>
      <c r="DH994" s="149"/>
      <c r="DI994" s="1020"/>
      <c r="DJ994" s="2045"/>
    </row>
    <row r="995" spans="1:114" ht="15" customHeight="1" outlineLevel="1" x14ac:dyDescent="0.25">
      <c r="A995" s="2145"/>
      <c r="C995" s="49"/>
      <c r="D995" s="2394"/>
      <c r="E995" s="2394"/>
      <c r="F995" s="2408" t="str">
        <f>$E$685</f>
        <v>ASHP-SEER16-Replace_CAC_ElectricHeat_ROF_SF</v>
      </c>
      <c r="G995" s="2411"/>
      <c r="H995" s="2411"/>
      <c r="I995" s="2412"/>
      <c r="J995" s="1506" t="str">
        <f>$C$685</f>
        <v>352600_2024_12_</v>
      </c>
      <c r="K995" s="1534">
        <v>1496</v>
      </c>
      <c r="L995" s="244"/>
      <c r="M995" s="731" t="s">
        <v>1289</v>
      </c>
      <c r="T995" s="50"/>
      <c r="U995" s="50"/>
      <c r="V995" s="2394"/>
      <c r="W995" s="1268">
        <v>2009</v>
      </c>
      <c r="X995" s="779">
        <v>1496</v>
      </c>
      <c r="Y995" s="1268">
        <v>1496</v>
      </c>
      <c r="Z995" s="1268">
        <v>1496</v>
      </c>
      <c r="AA995" s="1268">
        <v>1496</v>
      </c>
      <c r="AB995" s="1268">
        <v>1496</v>
      </c>
      <c r="AC995" s="1268">
        <v>1496</v>
      </c>
      <c r="AD995" s="1268">
        <v>1496</v>
      </c>
      <c r="AE995" s="1268">
        <v>1496</v>
      </c>
      <c r="AF995" s="253">
        <v>1496</v>
      </c>
      <c r="AG995" s="253">
        <f t="shared" si="202"/>
        <v>1496</v>
      </c>
      <c r="DG995" s="543"/>
      <c r="DH995" s="149"/>
      <c r="DI995" s="1020"/>
      <c r="DJ995" s="2045"/>
    </row>
    <row r="996" spans="1:114" ht="15.75" customHeight="1" outlineLevel="1" x14ac:dyDescent="0.25">
      <c r="A996" s="2145"/>
      <c r="C996" s="49"/>
      <c r="D996" s="2394"/>
      <c r="E996" s="2394"/>
      <c r="F996" s="1968" t="s">
        <v>1149</v>
      </c>
      <c r="G996" s="1969"/>
      <c r="H996" s="1969"/>
      <c r="I996" s="1970"/>
      <c r="J996" s="2095" t="s">
        <v>1148</v>
      </c>
      <c r="K996" s="1975">
        <v>1496</v>
      </c>
      <c r="L996" s="2111"/>
      <c r="M996" s="1976" t="s">
        <v>1289</v>
      </c>
      <c r="N996" s="39"/>
      <c r="O996" s="39"/>
      <c r="T996" s="50"/>
      <c r="U996" s="50"/>
      <c r="V996" s="2394"/>
      <c r="W996" s="1268"/>
      <c r="X996" s="1268"/>
      <c r="Y996" s="1268"/>
      <c r="Z996" s="1268"/>
      <c r="AA996" s="1268"/>
      <c r="AB996" s="1268"/>
      <c r="AC996" s="752"/>
      <c r="AD996" s="966"/>
      <c r="AE996" s="909"/>
      <c r="AF996" s="253"/>
      <c r="AG996" s="253">
        <f>IF(K996&lt;&gt;"",K996,"")</f>
        <v>1496</v>
      </c>
      <c r="DG996" s="543"/>
      <c r="DH996" s="149"/>
      <c r="DI996" s="1020"/>
      <c r="DJ996" s="2045"/>
    </row>
    <row r="997" spans="1:114" ht="15" customHeight="1" outlineLevel="1" x14ac:dyDescent="0.25">
      <c r="A997" s="2145"/>
      <c r="C997" s="49"/>
      <c r="D997" s="2394"/>
      <c r="E997" s="2394"/>
      <c r="F997" s="2408" t="str">
        <f>$E$689</f>
        <v>ASHP-SEER16-Replace_CAC_NonElectricHeat_ROF_SF</v>
      </c>
      <c r="G997" s="2411"/>
      <c r="H997" s="2411"/>
      <c r="I997" s="2412"/>
      <c r="J997" s="1506" t="str">
        <f>$C$689</f>
        <v>352610_2024_12_</v>
      </c>
      <c r="K997" s="1534">
        <v>1496</v>
      </c>
      <c r="L997" s="244"/>
      <c r="M997" s="731" t="s">
        <v>1289</v>
      </c>
      <c r="T997" s="50"/>
      <c r="U997" s="50"/>
      <c r="V997" s="2394"/>
      <c r="W997" s="1268"/>
      <c r="X997" s="779"/>
      <c r="Y997" s="1268"/>
      <c r="Z997" s="1268"/>
      <c r="AA997" s="1268"/>
      <c r="AB997" s="1268"/>
      <c r="AC997" s="1268"/>
      <c r="AD997" s="779">
        <v>1496</v>
      </c>
      <c r="AE997" s="1268">
        <v>1496</v>
      </c>
      <c r="AF997" s="253">
        <v>1496</v>
      </c>
      <c r="AG997" s="253">
        <f t="shared" si="202"/>
        <v>1496</v>
      </c>
      <c r="DG997" s="543"/>
      <c r="DH997" s="149"/>
      <c r="DI997" s="1020"/>
      <c r="DJ997" s="2045"/>
    </row>
    <row r="998" spans="1:114" ht="15" customHeight="1" outlineLevel="1" x14ac:dyDescent="0.25">
      <c r="A998" s="2145"/>
      <c r="C998" s="49"/>
      <c r="D998" s="2394"/>
      <c r="E998" s="2394"/>
      <c r="F998" s="2408" t="str">
        <f>$E$691</f>
        <v>ASHP-SEER16_ROF_SF</v>
      </c>
      <c r="G998" s="2411"/>
      <c r="H998" s="2411"/>
      <c r="I998" s="2412"/>
      <c r="J998" s="1506" t="str">
        <f>$C$691</f>
        <v>352650_2024_12_</v>
      </c>
      <c r="K998" s="1534">
        <v>1496</v>
      </c>
      <c r="L998" s="244"/>
      <c r="M998" s="731" t="s">
        <v>1289</v>
      </c>
      <c r="T998" s="50"/>
      <c r="U998" s="50"/>
      <c r="V998" s="2394"/>
      <c r="W998" s="1268">
        <v>2009</v>
      </c>
      <c r="X998" s="779">
        <v>1496</v>
      </c>
      <c r="Y998" s="1268">
        <v>1496</v>
      </c>
      <c r="Z998" s="1268">
        <v>1496</v>
      </c>
      <c r="AA998" s="1268">
        <v>1496</v>
      </c>
      <c r="AB998" s="1268">
        <v>1496</v>
      </c>
      <c r="AC998" s="1268">
        <v>1496</v>
      </c>
      <c r="AD998" s="1268">
        <v>1496</v>
      </c>
      <c r="AE998" s="1268">
        <v>1496</v>
      </c>
      <c r="AF998" s="253">
        <v>1496</v>
      </c>
      <c r="AG998" s="253">
        <f t="shared" si="202"/>
        <v>1496</v>
      </c>
      <c r="DG998" s="543"/>
      <c r="DH998" s="149"/>
      <c r="DI998" s="1020"/>
      <c r="DJ998" s="2045"/>
    </row>
    <row r="999" spans="1:114" ht="15.75" customHeight="1" outlineLevel="1" x14ac:dyDescent="0.25">
      <c r="A999" s="2145"/>
      <c r="C999" s="49"/>
      <c r="D999" s="2394"/>
      <c r="E999" s="2394"/>
      <c r="F999" s="1968" t="s">
        <v>1155</v>
      </c>
      <c r="G999" s="1969"/>
      <c r="H999" s="1969"/>
      <c r="I999" s="1970"/>
      <c r="J999" s="2095" t="s">
        <v>1154</v>
      </c>
      <c r="K999" s="1975">
        <v>1496</v>
      </c>
      <c r="L999" s="2111"/>
      <c r="M999" s="1976" t="s">
        <v>1289</v>
      </c>
      <c r="N999" s="39"/>
      <c r="O999" s="39"/>
      <c r="T999" s="50"/>
      <c r="U999" s="50"/>
      <c r="V999" s="2394"/>
      <c r="W999" s="1268"/>
      <c r="X999" s="1268"/>
      <c r="Y999" s="1268"/>
      <c r="Z999" s="1268"/>
      <c r="AA999" s="1268"/>
      <c r="AB999" s="1268"/>
      <c r="AC999" s="752"/>
      <c r="AD999" s="966"/>
      <c r="AE999" s="909"/>
      <c r="AF999" s="253"/>
      <c r="AG999" s="253">
        <f>IF(K999&lt;&gt;"",K999,"")</f>
        <v>1496</v>
      </c>
      <c r="DG999" s="543"/>
      <c r="DH999" s="149"/>
      <c r="DI999" s="1020"/>
      <c r="DJ999" s="2045"/>
    </row>
    <row r="1000" spans="1:114" ht="15" customHeight="1" outlineLevel="1" x14ac:dyDescent="0.25">
      <c r="A1000" s="2145"/>
      <c r="C1000" s="49"/>
      <c r="D1000" s="2394"/>
      <c r="E1000" s="2394"/>
      <c r="F1000" s="2404" t="str">
        <f>$E$695</f>
        <v>ASHP-SEER16-Replace_CAC_ElectricHeat_ER1_MF</v>
      </c>
      <c r="G1000" s="2404"/>
      <c r="H1000" s="2404"/>
      <c r="I1000" s="2404"/>
      <c r="J1000" s="1506" t="str">
        <f>$C$695</f>
        <v>353000_2024_12_</v>
      </c>
      <c r="K1000" s="1534">
        <v>1496</v>
      </c>
      <c r="L1000" s="244"/>
      <c r="M1000" s="731" t="s">
        <v>1289</v>
      </c>
      <c r="P1000" s="243"/>
      <c r="Q1000" s="243"/>
      <c r="R1000" s="243"/>
      <c r="T1000" s="166"/>
      <c r="U1000" s="50"/>
      <c r="V1000" s="2394"/>
      <c r="W1000" s="1268">
        <v>2009</v>
      </c>
      <c r="X1000" s="779">
        <v>1496</v>
      </c>
      <c r="Y1000" s="1268">
        <v>1496</v>
      </c>
      <c r="Z1000" s="1268">
        <v>1496</v>
      </c>
      <c r="AA1000" s="1268">
        <v>1496</v>
      </c>
      <c r="AB1000" s="1268">
        <v>1496</v>
      </c>
      <c r="AC1000" s="1268">
        <v>1496</v>
      </c>
      <c r="AD1000" s="1268">
        <v>1496</v>
      </c>
      <c r="AE1000" s="1268">
        <v>1496</v>
      </c>
      <c r="AF1000" s="253">
        <v>1496</v>
      </c>
      <c r="AG1000" s="253">
        <f t="shared" si="202"/>
        <v>1496</v>
      </c>
      <c r="DG1000" s="543"/>
      <c r="DH1000" s="149"/>
      <c r="DI1000" s="1020"/>
      <c r="DJ1000" s="2045"/>
    </row>
    <row r="1001" spans="1:114" ht="15" customHeight="1" outlineLevel="1" x14ac:dyDescent="0.25">
      <c r="A1001" s="2145"/>
      <c r="C1001" s="49"/>
      <c r="D1001" s="2394"/>
      <c r="E1001" s="2394"/>
      <c r="F1001" s="2404" t="str">
        <f>$E$697</f>
        <v>ASHP-SEER16-Replace_CAC_ElectricHeat_ER2_MF</v>
      </c>
      <c r="G1001" s="2404"/>
      <c r="H1001" s="2404"/>
      <c r="I1001" s="2404"/>
      <c r="J1001" s="1506" t="str">
        <f>$C$697</f>
        <v>353000_2024_12_</v>
      </c>
      <c r="K1001" s="1534">
        <v>1496</v>
      </c>
      <c r="L1001" s="244"/>
      <c r="M1001" s="731" t="s">
        <v>1289</v>
      </c>
      <c r="P1001" s="243"/>
      <c r="Q1001" s="243"/>
      <c r="R1001" s="243"/>
      <c r="T1001" s="166"/>
      <c r="U1001" s="50"/>
      <c r="V1001" s="2394"/>
      <c r="W1001" s="1268">
        <v>2009</v>
      </c>
      <c r="X1001" s="779">
        <v>1496</v>
      </c>
      <c r="Y1001" s="1268">
        <v>1496</v>
      </c>
      <c r="Z1001" s="1268">
        <v>1496</v>
      </c>
      <c r="AA1001" s="1268">
        <v>1496</v>
      </c>
      <c r="AB1001" s="1268">
        <v>1496</v>
      </c>
      <c r="AC1001" s="1268">
        <v>1496</v>
      </c>
      <c r="AD1001" s="1268">
        <v>1496</v>
      </c>
      <c r="AE1001" s="1268">
        <v>1496</v>
      </c>
      <c r="AF1001" s="253">
        <v>1496</v>
      </c>
      <c r="AG1001" s="253">
        <f t="shared" si="202"/>
        <v>1496</v>
      </c>
      <c r="DG1001" s="543"/>
      <c r="DH1001" s="149"/>
      <c r="DI1001" s="1020"/>
      <c r="DJ1001" s="2045"/>
    </row>
    <row r="1002" spans="1:114" ht="15" customHeight="1" outlineLevel="1" x14ac:dyDescent="0.25">
      <c r="A1002" s="2145"/>
      <c r="C1002" s="49"/>
      <c r="D1002" s="2394"/>
      <c r="E1002" s="2394"/>
      <c r="F1002" s="2404" t="str">
        <f>$E$699</f>
        <v>ASHP-SEER17-Replace_CAC_ElectricHeat_ROF_SF</v>
      </c>
      <c r="G1002" s="2404"/>
      <c r="H1002" s="2404"/>
      <c r="I1002" s="2404"/>
      <c r="J1002" s="1506" t="str">
        <f>$C$699</f>
        <v>353100_2024_12_</v>
      </c>
      <c r="K1002" s="1534">
        <v>1496</v>
      </c>
      <c r="L1002" s="244"/>
      <c r="M1002" s="731" t="s">
        <v>1289</v>
      </c>
      <c r="P1002" s="243"/>
      <c r="Q1002" s="243"/>
      <c r="R1002" s="243"/>
      <c r="T1002" s="166"/>
      <c r="U1002" s="50"/>
      <c r="V1002" s="2394"/>
      <c r="W1002" s="1268">
        <v>2009</v>
      </c>
      <c r="X1002" s="779">
        <v>1496</v>
      </c>
      <c r="Y1002" s="1268">
        <v>1496</v>
      </c>
      <c r="Z1002" s="1268">
        <v>1496</v>
      </c>
      <c r="AA1002" s="1268">
        <v>1496</v>
      </c>
      <c r="AB1002" s="1268">
        <v>1496</v>
      </c>
      <c r="AC1002" s="1268">
        <v>1496</v>
      </c>
      <c r="AD1002" s="1268">
        <v>1496</v>
      </c>
      <c r="AE1002" s="1268">
        <v>1496</v>
      </c>
      <c r="AF1002" s="253">
        <v>1496</v>
      </c>
      <c r="AG1002" s="253">
        <f t="shared" si="202"/>
        <v>1496</v>
      </c>
      <c r="DG1002" s="543"/>
      <c r="DH1002" s="149"/>
      <c r="DI1002" s="1020"/>
      <c r="DJ1002" s="2045"/>
    </row>
    <row r="1003" spans="1:114" ht="15.75" customHeight="1" outlineLevel="1" x14ac:dyDescent="0.25">
      <c r="A1003" s="2145"/>
      <c r="C1003" s="49"/>
      <c r="D1003" s="2394"/>
      <c r="E1003" s="2394"/>
      <c r="F1003" s="1968" t="s">
        <v>1162</v>
      </c>
      <c r="G1003" s="1969"/>
      <c r="H1003" s="1969"/>
      <c r="I1003" s="1970"/>
      <c r="J1003" s="2095" t="s">
        <v>1161</v>
      </c>
      <c r="K1003" s="1975">
        <v>1496</v>
      </c>
      <c r="L1003" s="2111"/>
      <c r="M1003" s="1976" t="s">
        <v>1289</v>
      </c>
      <c r="N1003" s="39"/>
      <c r="O1003" s="39"/>
      <c r="T1003" s="50"/>
      <c r="U1003" s="50"/>
      <c r="V1003" s="2394"/>
      <c r="W1003" s="1268"/>
      <c r="X1003" s="1268"/>
      <c r="Y1003" s="1268"/>
      <c r="Z1003" s="1268"/>
      <c r="AA1003" s="1268"/>
      <c r="AB1003" s="1268"/>
      <c r="AC1003" s="752"/>
      <c r="AD1003" s="966"/>
      <c r="AE1003" s="909"/>
      <c r="AF1003" s="253"/>
      <c r="AG1003" s="253">
        <f>IF(K1003&lt;&gt;"",K1003,"")</f>
        <v>1496</v>
      </c>
      <c r="DG1003" s="543"/>
      <c r="DH1003" s="149"/>
      <c r="DI1003" s="1020"/>
      <c r="DJ1003" s="2045"/>
    </row>
    <row r="1004" spans="1:114" ht="15" customHeight="1" outlineLevel="1" x14ac:dyDescent="0.25">
      <c r="A1004" s="2145"/>
      <c r="C1004" s="49"/>
      <c r="D1004" s="2394"/>
      <c r="E1004" s="2394"/>
      <c r="F1004" s="2404" t="str">
        <f>$E$703</f>
        <v>ASHP-SEER17-Replace_CAC_NonElectricHeat_ROF_SF</v>
      </c>
      <c r="G1004" s="2404"/>
      <c r="H1004" s="2404"/>
      <c r="I1004" s="2404"/>
      <c r="J1004" s="1506" t="str">
        <f>$C$703</f>
        <v>353110_2024_12_</v>
      </c>
      <c r="K1004" s="1534">
        <v>1496</v>
      </c>
      <c r="L1004" s="244"/>
      <c r="M1004" s="731" t="s">
        <v>1289</v>
      </c>
      <c r="P1004" s="243"/>
      <c r="Q1004" s="243"/>
      <c r="R1004" s="243"/>
      <c r="T1004" s="166"/>
      <c r="U1004" s="50"/>
      <c r="V1004" s="2394"/>
      <c r="W1004" s="1268"/>
      <c r="X1004" s="779"/>
      <c r="Y1004" s="1268"/>
      <c r="Z1004" s="1268"/>
      <c r="AA1004" s="1268"/>
      <c r="AB1004" s="1268"/>
      <c r="AC1004" s="1268"/>
      <c r="AD1004" s="779">
        <v>1496</v>
      </c>
      <c r="AE1004" s="1268">
        <v>1496</v>
      </c>
      <c r="AF1004" s="253">
        <v>1496</v>
      </c>
      <c r="AG1004" s="253">
        <f t="shared" si="202"/>
        <v>1496</v>
      </c>
      <c r="DG1004" s="543"/>
      <c r="DH1004" s="149"/>
      <c r="DI1004" s="1020"/>
      <c r="DJ1004" s="2045"/>
    </row>
    <row r="1005" spans="1:114" ht="15" customHeight="1" outlineLevel="1" x14ac:dyDescent="0.25">
      <c r="A1005" s="2145"/>
      <c r="C1005" s="49"/>
      <c r="D1005" s="2394"/>
      <c r="E1005" s="2394"/>
      <c r="F1005" s="2404" t="str">
        <f>$E$705</f>
        <v>ASHP-SEER18-Replace_CAC_ElectricHeat_ROF_SF</v>
      </c>
      <c r="G1005" s="2404"/>
      <c r="H1005" s="2404"/>
      <c r="I1005" s="2404"/>
      <c r="J1005" s="1506" t="str">
        <f>$C$705</f>
        <v>353200_2024_12_</v>
      </c>
      <c r="K1005" s="1534">
        <v>1496</v>
      </c>
      <c r="L1005" s="244"/>
      <c r="M1005" s="731" t="s">
        <v>1289</v>
      </c>
      <c r="P1005" s="243"/>
      <c r="Q1005" s="243"/>
      <c r="R1005" s="243"/>
      <c r="T1005" s="166"/>
      <c r="U1005" s="50"/>
      <c r="V1005" s="2394"/>
      <c r="W1005" s="1268">
        <v>2009</v>
      </c>
      <c r="X1005" s="779">
        <v>1496</v>
      </c>
      <c r="Y1005" s="1268">
        <v>1496</v>
      </c>
      <c r="Z1005" s="1268">
        <v>1496</v>
      </c>
      <c r="AA1005" s="1268">
        <v>1496</v>
      </c>
      <c r="AB1005" s="1268">
        <v>1496</v>
      </c>
      <c r="AC1005" s="1268">
        <v>1496</v>
      </c>
      <c r="AD1005" s="1268">
        <v>1496</v>
      </c>
      <c r="AE1005" s="1268">
        <v>1496</v>
      </c>
      <c r="AF1005" s="253">
        <v>1496</v>
      </c>
      <c r="AG1005" s="253">
        <f t="shared" si="202"/>
        <v>1496</v>
      </c>
      <c r="DG1005" s="543"/>
      <c r="DH1005" s="149"/>
      <c r="DI1005" s="1020"/>
      <c r="DJ1005" s="2045"/>
    </row>
    <row r="1006" spans="1:114" ht="15" customHeight="1" outlineLevel="1" x14ac:dyDescent="0.25">
      <c r="A1006" s="2145"/>
      <c r="C1006" s="49"/>
      <c r="D1006" s="2394"/>
      <c r="E1006" s="2394"/>
      <c r="F1006" s="2404" t="str">
        <f>$E$707</f>
        <v>ASHP-SEER18-Replace_CAC_NonElectricHeat_ROF_SF</v>
      </c>
      <c r="G1006" s="2404"/>
      <c r="H1006" s="2404"/>
      <c r="I1006" s="2404"/>
      <c r="J1006" s="1506" t="str">
        <f>$C$707</f>
        <v>353210_2024_12_</v>
      </c>
      <c r="K1006" s="1534">
        <v>1496</v>
      </c>
      <c r="L1006" s="244"/>
      <c r="M1006" s="731" t="s">
        <v>1289</v>
      </c>
      <c r="P1006" s="243"/>
      <c r="Q1006" s="243"/>
      <c r="R1006" s="243"/>
      <c r="T1006" s="166"/>
      <c r="U1006" s="50"/>
      <c r="V1006" s="2394"/>
      <c r="W1006" s="1268"/>
      <c r="X1006" s="779"/>
      <c r="Y1006" s="1268"/>
      <c r="Z1006" s="1268"/>
      <c r="AA1006" s="1268"/>
      <c r="AB1006" s="1268"/>
      <c r="AC1006" s="1268"/>
      <c r="AD1006" s="779">
        <v>1496</v>
      </c>
      <c r="AE1006" s="1268">
        <v>1496</v>
      </c>
      <c r="AF1006" s="253">
        <v>1496</v>
      </c>
      <c r="AG1006" s="253">
        <f t="shared" si="202"/>
        <v>1496</v>
      </c>
      <c r="DG1006" s="543"/>
      <c r="DH1006" s="149"/>
      <c r="DI1006" s="1020"/>
      <c r="DJ1006" s="2045"/>
    </row>
    <row r="1007" spans="1:114" ht="15" customHeight="1" outlineLevel="1" x14ac:dyDescent="0.25">
      <c r="A1007" s="2145"/>
      <c r="C1007" s="49"/>
      <c r="D1007" s="2394"/>
      <c r="E1007" s="2394"/>
      <c r="F1007" s="2404" t="str">
        <f>$E$709</f>
        <v>ASHP-SEER19-Replace_CAC_ElectricHeat_ROF_SF</v>
      </c>
      <c r="G1007" s="2404"/>
      <c r="H1007" s="2404"/>
      <c r="I1007" s="2404"/>
      <c r="J1007" s="1506" t="str">
        <f>$C$709</f>
        <v>353300_2024_12_</v>
      </c>
      <c r="K1007" s="1534">
        <v>1496</v>
      </c>
      <c r="L1007" s="244"/>
      <c r="M1007" s="731" t="s">
        <v>1289</v>
      </c>
      <c r="P1007" s="243"/>
      <c r="Q1007" s="243"/>
      <c r="R1007" s="243"/>
      <c r="T1007" s="166"/>
      <c r="U1007" s="50"/>
      <c r="V1007" s="2394"/>
      <c r="W1007" s="1268">
        <v>2009</v>
      </c>
      <c r="X1007" s="779">
        <v>1496</v>
      </c>
      <c r="Y1007" s="1268">
        <v>1496</v>
      </c>
      <c r="Z1007" s="1268">
        <v>1496</v>
      </c>
      <c r="AA1007" s="1268">
        <v>1496</v>
      </c>
      <c r="AB1007" s="1268">
        <v>1496</v>
      </c>
      <c r="AC1007" s="1268">
        <v>1496</v>
      </c>
      <c r="AD1007" s="1268">
        <v>1496</v>
      </c>
      <c r="AE1007" s="1268">
        <v>1496</v>
      </c>
      <c r="AF1007" s="253">
        <v>1496</v>
      </c>
      <c r="AG1007" s="253">
        <f t="shared" si="202"/>
        <v>1496</v>
      </c>
      <c r="DG1007" s="543"/>
      <c r="DH1007" s="149"/>
      <c r="DI1007" s="1020"/>
      <c r="DJ1007" s="2045"/>
    </row>
    <row r="1008" spans="1:114" ht="15" customHeight="1" outlineLevel="1" x14ac:dyDescent="0.25">
      <c r="A1008" s="2145"/>
      <c r="C1008" s="49"/>
      <c r="D1008" s="2394"/>
      <c r="E1008" s="2394"/>
      <c r="F1008" s="2404" t="str">
        <f>$E$711</f>
        <v>ASHP-SEER19-Replace_CAC_NonElectricHeat_ROF_SF</v>
      </c>
      <c r="G1008" s="2404"/>
      <c r="H1008" s="2404"/>
      <c r="I1008" s="2404"/>
      <c r="J1008" s="1506" t="str">
        <f>$C$711</f>
        <v>353310_2024_12_</v>
      </c>
      <c r="K1008" s="1534">
        <v>1496</v>
      </c>
      <c r="L1008" s="244"/>
      <c r="M1008" s="731" t="s">
        <v>1289</v>
      </c>
      <c r="P1008" s="243"/>
      <c r="Q1008" s="243"/>
      <c r="R1008" s="243"/>
      <c r="T1008" s="166"/>
      <c r="U1008" s="50"/>
      <c r="V1008" s="2394"/>
      <c r="W1008" s="1268"/>
      <c r="X1008" s="779"/>
      <c r="Y1008" s="1268"/>
      <c r="Z1008" s="1268"/>
      <c r="AA1008" s="1268"/>
      <c r="AB1008" s="1268"/>
      <c r="AC1008" s="1268"/>
      <c r="AD1008" s="779">
        <v>1496</v>
      </c>
      <c r="AE1008" s="1268">
        <v>1496</v>
      </c>
      <c r="AF1008" s="253">
        <v>1496</v>
      </c>
      <c r="AG1008" s="253">
        <f t="shared" si="202"/>
        <v>1496</v>
      </c>
      <c r="DG1008" s="543"/>
      <c r="DH1008" s="149"/>
      <c r="DI1008" s="1020"/>
      <c r="DJ1008" s="2045"/>
    </row>
    <row r="1009" spans="1:114" ht="15" customHeight="1" outlineLevel="1" x14ac:dyDescent="0.25">
      <c r="A1009" s="2145"/>
      <c r="C1009" s="49"/>
      <c r="D1009" s="2394"/>
      <c r="E1009" s="2394"/>
      <c r="F1009" s="2404" t="str">
        <f>$E$713</f>
        <v>ASHP-SEER20-Replace_CAC_ElectricHeat_ER1_SF</v>
      </c>
      <c r="G1009" s="2404"/>
      <c r="H1009" s="2404"/>
      <c r="I1009" s="2404"/>
      <c r="J1009" s="1506" t="str">
        <f>$C$713</f>
        <v>353400_2024_12_</v>
      </c>
      <c r="K1009" s="1534">
        <v>1496</v>
      </c>
      <c r="L1009" s="244"/>
      <c r="M1009" s="731" t="s">
        <v>1289</v>
      </c>
      <c r="P1009" s="243"/>
      <c r="Q1009" s="243"/>
      <c r="R1009" s="243"/>
      <c r="T1009" s="166"/>
      <c r="U1009" s="50"/>
      <c r="V1009" s="2394"/>
      <c r="W1009" s="1268">
        <v>2009</v>
      </c>
      <c r="X1009" s="779">
        <v>1496</v>
      </c>
      <c r="Y1009" s="1268">
        <v>1496</v>
      </c>
      <c r="Z1009" s="1268">
        <v>1496</v>
      </c>
      <c r="AA1009" s="1268">
        <v>1496</v>
      </c>
      <c r="AB1009" s="1268">
        <v>1496</v>
      </c>
      <c r="AC1009" s="1268">
        <v>1496</v>
      </c>
      <c r="AD1009" s="1268">
        <v>1496</v>
      </c>
      <c r="AE1009" s="1268">
        <v>1496</v>
      </c>
      <c r="AF1009" s="253">
        <v>1496</v>
      </c>
      <c r="AG1009" s="253">
        <f t="shared" si="202"/>
        <v>1496</v>
      </c>
      <c r="DG1009" s="543"/>
      <c r="DH1009" s="149"/>
      <c r="DI1009" s="1020"/>
      <c r="DJ1009" s="2045"/>
    </row>
    <row r="1010" spans="1:114" ht="15" customHeight="1" outlineLevel="1" x14ac:dyDescent="0.25">
      <c r="A1010" s="2145"/>
      <c r="C1010" s="49"/>
      <c r="D1010" s="2394"/>
      <c r="E1010" s="2394"/>
      <c r="F1010" s="2404" t="str">
        <f>$E$715</f>
        <v>ASHP-SEER20-Replace_CAC_ElectricHeat_ER2_SF</v>
      </c>
      <c r="G1010" s="2404"/>
      <c r="H1010" s="2404"/>
      <c r="I1010" s="2404"/>
      <c r="J1010" s="1506" t="str">
        <f>$C$715</f>
        <v>353400_2024_12_</v>
      </c>
      <c r="K1010" s="1534">
        <v>1496</v>
      </c>
      <c r="L1010" s="244"/>
      <c r="M1010" s="731" t="s">
        <v>1289</v>
      </c>
      <c r="P1010" s="243"/>
      <c r="Q1010" s="243"/>
      <c r="R1010" s="243"/>
      <c r="T1010" s="166"/>
      <c r="U1010" s="50"/>
      <c r="V1010" s="2394"/>
      <c r="W1010" s="1268">
        <v>2009</v>
      </c>
      <c r="X1010" s="779">
        <v>1496</v>
      </c>
      <c r="Y1010" s="1268">
        <v>1496</v>
      </c>
      <c r="Z1010" s="1268">
        <v>1496</v>
      </c>
      <c r="AA1010" s="1268">
        <v>1496</v>
      </c>
      <c r="AB1010" s="1268">
        <v>1496</v>
      </c>
      <c r="AC1010" s="1268">
        <v>1496</v>
      </c>
      <c r="AD1010" s="1268">
        <v>1496</v>
      </c>
      <c r="AE1010" s="1268">
        <v>1496</v>
      </c>
      <c r="AF1010" s="253">
        <v>1496</v>
      </c>
      <c r="AG1010" s="253">
        <f t="shared" ref="AG1010:AG1078" si="203">IF(K1010&lt;&gt;"",K1010,"")</f>
        <v>1496</v>
      </c>
      <c r="DG1010" s="543"/>
      <c r="DH1010" s="149"/>
      <c r="DI1010" s="1020"/>
      <c r="DJ1010" s="2045"/>
    </row>
    <row r="1011" spans="1:114" ht="15" customHeight="1" outlineLevel="1" x14ac:dyDescent="0.25">
      <c r="A1011" s="2145"/>
      <c r="C1011" s="49"/>
      <c r="D1011" s="2394"/>
      <c r="E1011" s="2394"/>
      <c r="F1011" s="2404" t="str">
        <f>$E$717</f>
        <v>ASHP-SEER20-Replace_CAC_NonElectricHeat_ER1_SF</v>
      </c>
      <c r="G1011" s="2404"/>
      <c r="H1011" s="2404"/>
      <c r="I1011" s="2404"/>
      <c r="J1011" s="1506" t="str">
        <f>$C$717</f>
        <v>353410_2024_12_</v>
      </c>
      <c r="K1011" s="1536">
        <v>1496</v>
      </c>
      <c r="L1011" s="244"/>
      <c r="M1011" s="731" t="s">
        <v>1289</v>
      </c>
      <c r="P1011" s="243"/>
      <c r="Q1011" s="243"/>
      <c r="R1011" s="243"/>
      <c r="T1011" s="166"/>
      <c r="U1011" s="50"/>
      <c r="V1011" s="2394"/>
      <c r="W1011" s="1268"/>
      <c r="X1011" s="779"/>
      <c r="Y1011" s="1268"/>
      <c r="Z1011" s="1268"/>
      <c r="AA1011" s="1268"/>
      <c r="AB1011" s="1268"/>
      <c r="AC1011" s="775">
        <v>1496</v>
      </c>
      <c r="AD1011" s="752">
        <v>1496</v>
      </c>
      <c r="AE1011" s="752">
        <v>1496</v>
      </c>
      <c r="AF1011" s="253">
        <v>1496</v>
      </c>
      <c r="AG1011" s="253">
        <f t="shared" si="203"/>
        <v>1496</v>
      </c>
      <c r="DG1011" s="543"/>
      <c r="DH1011" s="149"/>
      <c r="DI1011" s="1020"/>
      <c r="DJ1011" s="2045"/>
    </row>
    <row r="1012" spans="1:114" ht="15" customHeight="1" outlineLevel="1" x14ac:dyDescent="0.25">
      <c r="A1012" s="2145"/>
      <c r="C1012" s="49"/>
      <c r="D1012" s="2394"/>
      <c r="E1012" s="2394"/>
      <c r="F1012" s="2404" t="str">
        <f>$E$719</f>
        <v>ASHP-SEER20-Replace_CAC_NonElectricHeat_ER2_SF</v>
      </c>
      <c r="G1012" s="2404"/>
      <c r="H1012" s="2404"/>
      <c r="I1012" s="2404"/>
      <c r="J1012" s="1506" t="str">
        <f>$C$719</f>
        <v>353410_2024_12_</v>
      </c>
      <c r="K1012" s="1536">
        <v>1496</v>
      </c>
      <c r="L1012" s="244"/>
      <c r="M1012" s="731" t="s">
        <v>1289</v>
      </c>
      <c r="P1012" s="243"/>
      <c r="Q1012" s="243"/>
      <c r="R1012" s="243"/>
      <c r="T1012" s="166"/>
      <c r="U1012" s="50"/>
      <c r="V1012" s="2394"/>
      <c r="W1012" s="1268"/>
      <c r="X1012" s="779"/>
      <c r="Y1012" s="1268"/>
      <c r="Z1012" s="1268"/>
      <c r="AA1012" s="1268"/>
      <c r="AB1012" s="1268"/>
      <c r="AC1012" s="775">
        <v>1496</v>
      </c>
      <c r="AD1012" s="752">
        <v>1496</v>
      </c>
      <c r="AE1012" s="752">
        <v>1496</v>
      </c>
      <c r="AF1012" s="253">
        <v>1496</v>
      </c>
      <c r="AG1012" s="253">
        <f t="shared" si="203"/>
        <v>1496</v>
      </c>
      <c r="DG1012" s="543"/>
      <c r="DH1012" s="149"/>
      <c r="DI1012" s="1020"/>
      <c r="DJ1012" s="2045"/>
    </row>
    <row r="1013" spans="1:114" ht="15.75" customHeight="1" outlineLevel="1" x14ac:dyDescent="0.25">
      <c r="A1013" s="2145"/>
      <c r="C1013" s="49"/>
      <c r="D1013" s="2394"/>
      <c r="E1013" s="2394"/>
      <c r="F1013" s="1968" t="s">
        <v>1180</v>
      </c>
      <c r="G1013" s="1969"/>
      <c r="H1013" s="1969"/>
      <c r="I1013" s="1970"/>
      <c r="J1013" s="2095" t="s">
        <v>1179</v>
      </c>
      <c r="K1013" s="1975">
        <v>1496</v>
      </c>
      <c r="L1013" s="244"/>
      <c r="M1013" s="731" t="s">
        <v>1289</v>
      </c>
      <c r="T1013" s="50"/>
      <c r="U1013" s="50"/>
      <c r="V1013" s="2394"/>
      <c r="W1013" s="1268"/>
      <c r="X1013" s="1268"/>
      <c r="Y1013" s="1268"/>
      <c r="Z1013" s="1268"/>
      <c r="AA1013" s="1268"/>
      <c r="AB1013" s="1268"/>
      <c r="AC1013" s="752"/>
      <c r="AD1013" s="966"/>
      <c r="AE1013" s="909"/>
      <c r="AF1013" s="253"/>
      <c r="AG1013" s="253">
        <f>IF(K1013&lt;&gt;"",K1013,"")</f>
        <v>1496</v>
      </c>
      <c r="DG1013" s="543"/>
      <c r="DH1013" s="149"/>
      <c r="DI1013" s="1020"/>
      <c r="DJ1013" s="2045"/>
    </row>
    <row r="1014" spans="1:114" ht="15.75" customHeight="1" outlineLevel="1" x14ac:dyDescent="0.25">
      <c r="A1014" s="2145"/>
      <c r="C1014" s="49"/>
      <c r="D1014" s="2394"/>
      <c r="E1014" s="2394"/>
      <c r="F1014" s="1968" t="s">
        <v>1181</v>
      </c>
      <c r="G1014" s="1969"/>
      <c r="H1014" s="1969"/>
      <c r="I1014" s="1970"/>
      <c r="J1014" s="2095" t="s">
        <v>1179</v>
      </c>
      <c r="K1014" s="1975">
        <v>1496</v>
      </c>
      <c r="L1014" s="244"/>
      <c r="M1014" s="731" t="s">
        <v>1289</v>
      </c>
      <c r="T1014" s="50"/>
      <c r="U1014" s="50"/>
      <c r="V1014" s="2394"/>
      <c r="W1014" s="1268"/>
      <c r="X1014" s="1268"/>
      <c r="Y1014" s="1268"/>
      <c r="Z1014" s="1268"/>
      <c r="AA1014" s="1268"/>
      <c r="AB1014" s="1268"/>
      <c r="AC1014" s="752"/>
      <c r="AD1014" s="966"/>
      <c r="AE1014" s="909"/>
      <c r="AF1014" s="253"/>
      <c r="AG1014" s="253">
        <f>IF(K1014&lt;&gt;"",K1014,"")</f>
        <v>1496</v>
      </c>
      <c r="DG1014" s="543"/>
      <c r="DH1014" s="149"/>
      <c r="DI1014" s="1020"/>
      <c r="DJ1014" s="2045"/>
    </row>
    <row r="1015" spans="1:114" ht="15" customHeight="1" outlineLevel="1" x14ac:dyDescent="0.25">
      <c r="A1015" s="2145"/>
      <c r="C1015" s="49"/>
      <c r="D1015" s="2394"/>
      <c r="E1015" s="2394"/>
      <c r="F1015" s="2404" t="str">
        <f>$E$725</f>
        <v>ASHP-SEER20-Replace_CAC_ElectricHeat_ROF_SF</v>
      </c>
      <c r="G1015" s="2404"/>
      <c r="H1015" s="2404"/>
      <c r="I1015" s="2404"/>
      <c r="J1015" s="1506" t="str">
        <f>$C$725</f>
        <v>353450_2024_12_</v>
      </c>
      <c r="K1015" s="1534">
        <v>1496</v>
      </c>
      <c r="L1015" s="244"/>
      <c r="M1015" s="731" t="s">
        <v>1289</v>
      </c>
      <c r="P1015" s="243"/>
      <c r="Q1015" s="243"/>
      <c r="R1015" s="243"/>
      <c r="T1015" s="166"/>
      <c r="U1015" s="50"/>
      <c r="V1015" s="2394"/>
      <c r="W1015" s="1268">
        <v>2009</v>
      </c>
      <c r="X1015" s="779">
        <v>1496</v>
      </c>
      <c r="Y1015" s="1268">
        <v>1496</v>
      </c>
      <c r="Z1015" s="1268">
        <v>1496</v>
      </c>
      <c r="AA1015" s="1268">
        <v>1496</v>
      </c>
      <c r="AB1015" s="1268">
        <v>1496</v>
      </c>
      <c r="AC1015" s="1268">
        <v>1496</v>
      </c>
      <c r="AD1015" s="1268">
        <v>1496</v>
      </c>
      <c r="AE1015" s="1268">
        <v>1496</v>
      </c>
      <c r="AF1015" s="253">
        <v>1496</v>
      </c>
      <c r="AG1015" s="253">
        <f t="shared" si="203"/>
        <v>1496</v>
      </c>
      <c r="DG1015" s="543"/>
      <c r="DH1015" s="149"/>
      <c r="DI1015" s="1020"/>
      <c r="DJ1015" s="2045"/>
    </row>
    <row r="1016" spans="1:114" ht="15.75" customHeight="1" outlineLevel="1" x14ac:dyDescent="0.25">
      <c r="A1016" s="2145"/>
      <c r="C1016" s="49"/>
      <c r="D1016" s="2394"/>
      <c r="E1016" s="2394"/>
      <c r="F1016" s="1968" t="s">
        <v>1185</v>
      </c>
      <c r="G1016" s="1969"/>
      <c r="H1016" s="1969"/>
      <c r="I1016" s="1970"/>
      <c r="J1016" s="2095" t="s">
        <v>1184</v>
      </c>
      <c r="K1016" s="1975">
        <v>1496</v>
      </c>
      <c r="L1016" s="244"/>
      <c r="M1016" s="731" t="s">
        <v>1289</v>
      </c>
      <c r="T1016" s="50"/>
      <c r="U1016" s="50"/>
      <c r="V1016" s="2394"/>
      <c r="W1016" s="1268"/>
      <c r="X1016" s="1268"/>
      <c r="Y1016" s="1268"/>
      <c r="Z1016" s="1268"/>
      <c r="AA1016" s="1268"/>
      <c r="AB1016" s="1268"/>
      <c r="AC1016" s="752"/>
      <c r="AD1016" s="966"/>
      <c r="AE1016" s="909"/>
      <c r="AF1016" s="253"/>
      <c r="AG1016" s="253">
        <f>IF(K1016&lt;&gt;"",K1016,"")</f>
        <v>1496</v>
      </c>
      <c r="DG1016" s="543"/>
      <c r="DH1016" s="149"/>
      <c r="DI1016" s="1020"/>
      <c r="DJ1016" s="2045"/>
    </row>
    <row r="1017" spans="1:114" ht="15" customHeight="1" outlineLevel="1" x14ac:dyDescent="0.25">
      <c r="A1017" s="2145"/>
      <c r="C1017" s="49"/>
      <c r="D1017" s="2394"/>
      <c r="E1017" s="2394"/>
      <c r="F1017" s="2404" t="str">
        <f>$E$729</f>
        <v>ASHP-SEER20-Replace_CAC_NonElectricHeat_ROF_SF</v>
      </c>
      <c r="G1017" s="2404"/>
      <c r="H1017" s="2404"/>
      <c r="I1017" s="2404"/>
      <c r="J1017" s="1506" t="str">
        <f>$C$729</f>
        <v>353460_2024_12_</v>
      </c>
      <c r="K1017" s="1534">
        <v>1496</v>
      </c>
      <c r="L1017" s="244"/>
      <c r="M1017" s="731" t="s">
        <v>1289</v>
      </c>
      <c r="P1017" s="243"/>
      <c r="Q1017" s="243"/>
      <c r="R1017" s="243"/>
      <c r="T1017" s="166"/>
      <c r="U1017" s="50"/>
      <c r="V1017" s="2394"/>
      <c r="W1017" s="1268"/>
      <c r="X1017" s="779"/>
      <c r="Y1017" s="1268"/>
      <c r="Z1017" s="1268"/>
      <c r="AA1017" s="1268"/>
      <c r="AB1017" s="1268"/>
      <c r="AC1017" s="1268"/>
      <c r="AD1017" s="779">
        <v>1496</v>
      </c>
      <c r="AE1017" s="1268">
        <v>1496</v>
      </c>
      <c r="AF1017" s="253">
        <v>1496</v>
      </c>
      <c r="AG1017" s="253">
        <f t="shared" si="203"/>
        <v>1496</v>
      </c>
      <c r="DG1017" s="543"/>
      <c r="DH1017" s="149"/>
      <c r="DI1017" s="1020"/>
      <c r="DJ1017" s="2045"/>
    </row>
    <row r="1018" spans="1:114" ht="15" customHeight="1" outlineLevel="1" x14ac:dyDescent="0.25">
      <c r="A1018" s="2145"/>
      <c r="C1018" s="49"/>
      <c r="D1018" s="2394"/>
      <c r="E1018" s="2394"/>
      <c r="F1018" s="2404" t="str">
        <f>$E$731</f>
        <v>ASHP-SEER21-Replace_CAC_ElectricHeat_ER1_SF</v>
      </c>
      <c r="G1018" s="2404"/>
      <c r="H1018" s="2404"/>
      <c r="I1018" s="2404"/>
      <c r="J1018" s="1506" t="str">
        <f>$C$731</f>
        <v>353550_2024_12_</v>
      </c>
      <c r="K1018" s="1534">
        <v>1496</v>
      </c>
      <c r="L1018" s="244"/>
      <c r="M1018" s="731" t="s">
        <v>1289</v>
      </c>
      <c r="P1018" s="243"/>
      <c r="Q1018" s="243"/>
      <c r="R1018" s="243"/>
      <c r="T1018" s="166"/>
      <c r="U1018" s="50"/>
      <c r="V1018" s="2394"/>
      <c r="W1018" s="1268">
        <v>2009</v>
      </c>
      <c r="X1018" s="779">
        <v>1496</v>
      </c>
      <c r="Y1018" s="1268">
        <v>1496</v>
      </c>
      <c r="Z1018" s="1268">
        <v>1496</v>
      </c>
      <c r="AA1018" s="1268">
        <v>1496</v>
      </c>
      <c r="AB1018" s="1268">
        <v>1496</v>
      </c>
      <c r="AC1018" s="1268">
        <v>1496</v>
      </c>
      <c r="AD1018" s="1268">
        <v>1496</v>
      </c>
      <c r="AE1018" s="1268">
        <v>1496</v>
      </c>
      <c r="AF1018" s="253">
        <v>1496</v>
      </c>
      <c r="AG1018" s="253">
        <f t="shared" si="203"/>
        <v>1496</v>
      </c>
      <c r="DG1018" s="543"/>
      <c r="DH1018" s="149"/>
      <c r="DI1018" s="1020"/>
      <c r="DJ1018" s="2045"/>
    </row>
    <row r="1019" spans="1:114" ht="15" customHeight="1" outlineLevel="1" x14ac:dyDescent="0.25">
      <c r="A1019" s="2145"/>
      <c r="C1019" s="49"/>
      <c r="D1019" s="2394"/>
      <c r="E1019" s="2394"/>
      <c r="F1019" s="2404" t="str">
        <f>$E$733</f>
        <v>ASHP-SEER21-Replace_CAC_ElectricHeat_ER2_SF</v>
      </c>
      <c r="G1019" s="2404"/>
      <c r="H1019" s="2404"/>
      <c r="I1019" s="2404"/>
      <c r="J1019" s="1506" t="str">
        <f>$C$733</f>
        <v>353550_2024_12_</v>
      </c>
      <c r="K1019" s="1534">
        <v>1496</v>
      </c>
      <c r="L1019" s="244"/>
      <c r="M1019" s="731" t="s">
        <v>1289</v>
      </c>
      <c r="P1019" s="243"/>
      <c r="Q1019" s="192"/>
      <c r="R1019" s="243"/>
      <c r="T1019" s="166"/>
      <c r="U1019" s="50"/>
      <c r="V1019" s="2394"/>
      <c r="W1019" s="1268">
        <v>2009</v>
      </c>
      <c r="X1019" s="779">
        <v>1496</v>
      </c>
      <c r="Y1019" s="1268">
        <v>1496</v>
      </c>
      <c r="Z1019" s="1268">
        <v>1496</v>
      </c>
      <c r="AA1019" s="1268">
        <v>1496</v>
      </c>
      <c r="AB1019" s="1268">
        <v>1496</v>
      </c>
      <c r="AC1019" s="1268">
        <v>1496</v>
      </c>
      <c r="AD1019" s="1268">
        <v>1496</v>
      </c>
      <c r="AE1019" s="1268">
        <v>1496</v>
      </c>
      <c r="AF1019" s="253">
        <v>1496</v>
      </c>
      <c r="AG1019" s="253">
        <f t="shared" si="203"/>
        <v>1496</v>
      </c>
      <c r="DG1019" s="543"/>
      <c r="DH1019" s="149"/>
      <c r="DI1019" s="1020"/>
      <c r="DJ1019" s="2045"/>
    </row>
    <row r="1020" spans="1:114" ht="15" customHeight="1" outlineLevel="1" x14ac:dyDescent="0.25">
      <c r="A1020" s="2145"/>
      <c r="C1020" s="49"/>
      <c r="D1020" s="2394"/>
      <c r="E1020" s="2394"/>
      <c r="F1020" s="2404" t="str">
        <f>$E$735</f>
        <v>ASHP-SEER21-Replace_CAC_NonElectricHeat_ER1_SF</v>
      </c>
      <c r="G1020" s="2404"/>
      <c r="H1020" s="2404"/>
      <c r="I1020" s="2404"/>
      <c r="J1020" s="1506" t="str">
        <f>$C$735</f>
        <v>353560_2024_12_</v>
      </c>
      <c r="K1020" s="1536">
        <v>1496</v>
      </c>
      <c r="L1020" s="244"/>
      <c r="M1020" s="731" t="s">
        <v>1289</v>
      </c>
      <c r="P1020" s="243"/>
      <c r="Q1020" s="192"/>
      <c r="R1020" s="243"/>
      <c r="T1020" s="166"/>
      <c r="U1020" s="50"/>
      <c r="V1020" s="2394"/>
      <c r="W1020" s="1268"/>
      <c r="X1020" s="779"/>
      <c r="Y1020" s="1268"/>
      <c r="Z1020" s="1268"/>
      <c r="AA1020" s="1268"/>
      <c r="AB1020" s="1268"/>
      <c r="AC1020" s="775">
        <v>1496</v>
      </c>
      <c r="AD1020" s="752">
        <v>1496</v>
      </c>
      <c r="AE1020" s="752">
        <v>1496</v>
      </c>
      <c r="AF1020" s="253">
        <v>1496</v>
      </c>
      <c r="AG1020" s="253">
        <f t="shared" si="203"/>
        <v>1496</v>
      </c>
      <c r="DG1020" s="543"/>
      <c r="DH1020" s="149"/>
      <c r="DI1020" s="1020"/>
      <c r="DJ1020" s="2045"/>
    </row>
    <row r="1021" spans="1:114" ht="15" customHeight="1" outlineLevel="1" x14ac:dyDescent="0.25">
      <c r="A1021" s="2145"/>
      <c r="C1021" s="49"/>
      <c r="D1021" s="2394"/>
      <c r="E1021" s="2394"/>
      <c r="F1021" s="2404" t="str">
        <f>$E$737</f>
        <v>ASHP-SEER21-Replace_CAC_NonElectricHeat_ER2_SF</v>
      </c>
      <c r="G1021" s="2404"/>
      <c r="H1021" s="2404"/>
      <c r="I1021" s="2404"/>
      <c r="J1021" s="1506" t="str">
        <f>$C$737</f>
        <v>353560_2024_12_</v>
      </c>
      <c r="K1021" s="1536">
        <v>1496</v>
      </c>
      <c r="L1021" s="244"/>
      <c r="M1021" s="731" t="s">
        <v>1289</v>
      </c>
      <c r="P1021" s="243"/>
      <c r="Q1021" s="192"/>
      <c r="R1021" s="243"/>
      <c r="T1021" s="166"/>
      <c r="U1021" s="50"/>
      <c r="V1021" s="2394"/>
      <c r="W1021" s="1268"/>
      <c r="X1021" s="779"/>
      <c r="Y1021" s="1268"/>
      <c r="Z1021" s="1268"/>
      <c r="AA1021" s="1268"/>
      <c r="AB1021" s="1268"/>
      <c r="AC1021" s="775">
        <v>1496</v>
      </c>
      <c r="AD1021" s="752">
        <v>1496</v>
      </c>
      <c r="AE1021" s="752">
        <v>1496</v>
      </c>
      <c r="AF1021" s="253">
        <v>1496</v>
      </c>
      <c r="AG1021" s="253">
        <f t="shared" si="203"/>
        <v>1496</v>
      </c>
      <c r="DG1021" s="543"/>
      <c r="DH1021" s="149"/>
      <c r="DI1021" s="1020"/>
      <c r="DJ1021" s="2045"/>
    </row>
    <row r="1022" spans="1:114" ht="15" customHeight="1" outlineLevel="1" x14ac:dyDescent="0.25">
      <c r="A1022" s="2145"/>
      <c r="C1022" s="49"/>
      <c r="D1022" s="2394"/>
      <c r="E1022" s="2394"/>
      <c r="F1022" s="2404" t="str">
        <f>$E$739</f>
        <v>ASHP-SEER21-Replace_CAC_ElectricHeat_ER1_MF</v>
      </c>
      <c r="G1022" s="2404"/>
      <c r="H1022" s="2404"/>
      <c r="I1022" s="2404"/>
      <c r="J1022" s="1506" t="str">
        <f>$C$739</f>
        <v>353600_2024_12_</v>
      </c>
      <c r="K1022" s="1534">
        <v>1496</v>
      </c>
      <c r="L1022" s="244"/>
      <c r="M1022" s="731" t="s">
        <v>1289</v>
      </c>
      <c r="P1022" s="243"/>
      <c r="Q1022" s="192"/>
      <c r="R1022" s="243"/>
      <c r="T1022" s="166"/>
      <c r="U1022" s="50"/>
      <c r="V1022" s="2394"/>
      <c r="W1022" s="1268">
        <v>2009</v>
      </c>
      <c r="X1022" s="779">
        <v>1496</v>
      </c>
      <c r="Y1022" s="1268">
        <v>1496</v>
      </c>
      <c r="Z1022" s="1268">
        <v>1496</v>
      </c>
      <c r="AA1022" s="1268">
        <v>1496</v>
      </c>
      <c r="AB1022" s="1268">
        <v>1496</v>
      </c>
      <c r="AC1022" s="1268">
        <v>1496</v>
      </c>
      <c r="AD1022" s="1268">
        <v>1496</v>
      </c>
      <c r="AE1022" s="1268">
        <v>1496</v>
      </c>
      <c r="AF1022" s="253">
        <v>1496</v>
      </c>
      <c r="AG1022" s="253">
        <f t="shared" si="203"/>
        <v>1496</v>
      </c>
      <c r="DG1022" s="543"/>
      <c r="DH1022" s="149"/>
      <c r="DI1022" s="1020"/>
      <c r="DJ1022" s="2045"/>
    </row>
    <row r="1023" spans="1:114" ht="15" customHeight="1" outlineLevel="1" x14ac:dyDescent="0.25">
      <c r="A1023" s="2145"/>
      <c r="C1023" s="49"/>
      <c r="D1023" s="2394"/>
      <c r="E1023" s="2394"/>
      <c r="F1023" s="2404" t="str">
        <f>$E$741</f>
        <v>ASHP-SEER21-Replace_CAC_ElectricHeat_ER2_MF</v>
      </c>
      <c r="G1023" s="2404"/>
      <c r="H1023" s="2404"/>
      <c r="I1023" s="2404"/>
      <c r="J1023" s="1506" t="str">
        <f>$C$741</f>
        <v>353600_2024_12_</v>
      </c>
      <c r="K1023" s="1534">
        <v>1496</v>
      </c>
      <c r="L1023" s="244"/>
      <c r="M1023" s="731" t="s">
        <v>1289</v>
      </c>
      <c r="P1023" s="243"/>
      <c r="Q1023" s="192"/>
      <c r="R1023" s="243"/>
      <c r="T1023" s="166"/>
      <c r="U1023" s="50"/>
      <c r="V1023" s="2394"/>
      <c r="W1023" s="1268">
        <v>2009</v>
      </c>
      <c r="X1023" s="779">
        <v>1496</v>
      </c>
      <c r="Y1023" s="1268">
        <v>1496</v>
      </c>
      <c r="Z1023" s="1268">
        <v>1496</v>
      </c>
      <c r="AA1023" s="1268">
        <v>1496</v>
      </c>
      <c r="AB1023" s="1268">
        <v>1496</v>
      </c>
      <c r="AC1023" s="1268">
        <v>1496</v>
      </c>
      <c r="AD1023" s="1268">
        <v>1496</v>
      </c>
      <c r="AE1023" s="1268">
        <v>1496</v>
      </c>
      <c r="AF1023" s="253">
        <v>1496</v>
      </c>
      <c r="AG1023" s="253">
        <f t="shared" si="203"/>
        <v>1496</v>
      </c>
      <c r="DG1023" s="543"/>
      <c r="DH1023" s="149"/>
      <c r="DI1023" s="1020"/>
      <c r="DJ1023" s="2045"/>
    </row>
    <row r="1024" spans="1:114" ht="15" customHeight="1" outlineLevel="1" x14ac:dyDescent="0.25">
      <c r="A1024" s="2145"/>
      <c r="C1024" s="49"/>
      <c r="D1024" s="2394"/>
      <c r="E1024" s="2394"/>
      <c r="F1024" s="2404" t="str">
        <f>$E$743</f>
        <v>ASHP-SEER21-Replace_CAC_ElectricHeat_ROF_SF</v>
      </c>
      <c r="G1024" s="2404"/>
      <c r="H1024" s="2404"/>
      <c r="I1024" s="2404"/>
      <c r="J1024" s="1506" t="str">
        <f>$C$743</f>
        <v>353650_2024_12_</v>
      </c>
      <c r="K1024" s="1534">
        <v>1496</v>
      </c>
      <c r="L1024" s="244"/>
      <c r="M1024" s="731" t="s">
        <v>1289</v>
      </c>
      <c r="P1024" s="243"/>
      <c r="Q1024" s="192"/>
      <c r="R1024" s="243"/>
      <c r="T1024" s="166"/>
      <c r="U1024" s="50"/>
      <c r="V1024" s="2394"/>
      <c r="W1024" s="1268">
        <v>2009</v>
      </c>
      <c r="X1024" s="779">
        <v>1496</v>
      </c>
      <c r="Y1024" s="1268">
        <v>1496</v>
      </c>
      <c r="Z1024" s="1268">
        <v>1496</v>
      </c>
      <c r="AA1024" s="1268">
        <v>1496</v>
      </c>
      <c r="AB1024" s="1268">
        <v>1496</v>
      </c>
      <c r="AC1024" s="1268">
        <v>1496</v>
      </c>
      <c r="AD1024" s="1268">
        <v>1496</v>
      </c>
      <c r="AE1024" s="1268">
        <v>1496</v>
      </c>
      <c r="AF1024" s="253">
        <v>1496</v>
      </c>
      <c r="AG1024" s="253">
        <f t="shared" si="203"/>
        <v>1496</v>
      </c>
      <c r="DG1024" s="543"/>
      <c r="DH1024" s="149"/>
      <c r="DI1024" s="1020"/>
      <c r="DJ1024" s="2045"/>
    </row>
    <row r="1025" spans="1:114" ht="15" customHeight="1" outlineLevel="1" x14ac:dyDescent="0.25">
      <c r="A1025" s="2145"/>
      <c r="C1025" s="49"/>
      <c r="D1025" s="2394"/>
      <c r="E1025" s="2394"/>
      <c r="F1025" s="2404" t="str">
        <f>$E$745</f>
        <v>ASHP-SEER21-Replace_CAC_NonElectricHeat_ROF_SF</v>
      </c>
      <c r="G1025" s="2404"/>
      <c r="H1025" s="2404"/>
      <c r="I1025" s="2404"/>
      <c r="J1025" s="1506" t="str">
        <f>$C$745</f>
        <v>353660_2024_12_</v>
      </c>
      <c r="K1025" s="1534">
        <v>1496</v>
      </c>
      <c r="L1025" s="244"/>
      <c r="M1025" s="731" t="s">
        <v>1289</v>
      </c>
      <c r="P1025" s="243"/>
      <c r="Q1025" s="192"/>
      <c r="R1025" s="243"/>
      <c r="T1025" s="166"/>
      <c r="U1025" s="50"/>
      <c r="V1025" s="2394"/>
      <c r="W1025" s="1268"/>
      <c r="X1025" s="779"/>
      <c r="Y1025" s="1268"/>
      <c r="Z1025" s="1268"/>
      <c r="AA1025" s="1268"/>
      <c r="AB1025" s="1268"/>
      <c r="AC1025" s="1268"/>
      <c r="AD1025" s="779">
        <v>1496</v>
      </c>
      <c r="AE1025" s="1268">
        <v>1496</v>
      </c>
      <c r="AF1025" s="253">
        <v>1496</v>
      </c>
      <c r="AG1025" s="253">
        <f t="shared" si="203"/>
        <v>1496</v>
      </c>
      <c r="DG1025" s="543"/>
      <c r="DH1025" s="149"/>
      <c r="DI1025" s="1020"/>
      <c r="DJ1025" s="2045"/>
    </row>
    <row r="1026" spans="1:114" ht="15" customHeight="1" outlineLevel="1" x14ac:dyDescent="0.25">
      <c r="A1026" s="2145"/>
      <c r="C1026" s="49"/>
      <c r="D1026" s="2394"/>
      <c r="E1026" s="2394"/>
      <c r="F1026" s="2404" t="str">
        <f>$E$747</f>
        <v>ASHP-SEER17_ER1_SF</v>
      </c>
      <c r="G1026" s="2404"/>
      <c r="H1026" s="2404"/>
      <c r="I1026" s="2404"/>
      <c r="J1026" s="1506" t="str">
        <f>$C$747</f>
        <v>353750_2024_12_</v>
      </c>
      <c r="K1026" s="1534">
        <v>1496</v>
      </c>
      <c r="L1026" s="244"/>
      <c r="M1026" s="731" t="s">
        <v>1289</v>
      </c>
      <c r="P1026" s="243"/>
      <c r="Q1026" s="192"/>
      <c r="R1026" s="243"/>
      <c r="T1026" s="166"/>
      <c r="U1026" s="50"/>
      <c r="V1026" s="2394"/>
      <c r="W1026" s="1268">
        <v>2009</v>
      </c>
      <c r="X1026" s="779">
        <v>1496</v>
      </c>
      <c r="Y1026" s="1268">
        <v>1496</v>
      </c>
      <c r="Z1026" s="1268">
        <v>1496</v>
      </c>
      <c r="AA1026" s="1268">
        <v>1496</v>
      </c>
      <c r="AB1026" s="1268">
        <v>1496</v>
      </c>
      <c r="AC1026" s="1268">
        <v>1496</v>
      </c>
      <c r="AD1026" s="1268">
        <v>1496</v>
      </c>
      <c r="AE1026" s="1268">
        <v>1496</v>
      </c>
      <c r="AF1026" s="253">
        <v>1496</v>
      </c>
      <c r="AG1026" s="253">
        <f t="shared" si="203"/>
        <v>1496</v>
      </c>
      <c r="DG1026" s="543"/>
      <c r="DH1026" s="149"/>
      <c r="DI1026" s="1020"/>
      <c r="DJ1026" s="2045"/>
    </row>
    <row r="1027" spans="1:114" ht="15" customHeight="1" outlineLevel="1" x14ac:dyDescent="0.25">
      <c r="A1027" s="2145"/>
      <c r="C1027" s="49"/>
      <c r="D1027" s="2394"/>
      <c r="E1027" s="2394"/>
      <c r="F1027" s="2404" t="str">
        <f>$E$749</f>
        <v>ASHP-SEER17_ER2_SF</v>
      </c>
      <c r="G1027" s="2404"/>
      <c r="H1027" s="2404"/>
      <c r="I1027" s="2404"/>
      <c r="J1027" s="1506" t="str">
        <f>$C$749</f>
        <v>353750_2024_12_</v>
      </c>
      <c r="K1027" s="1534">
        <v>1496</v>
      </c>
      <c r="L1027" s="244"/>
      <c r="M1027" s="731" t="s">
        <v>1289</v>
      </c>
      <c r="T1027" s="50"/>
      <c r="U1027" s="50"/>
      <c r="V1027" s="2394"/>
      <c r="W1027" s="1268">
        <v>2009</v>
      </c>
      <c r="X1027" s="779">
        <v>1496</v>
      </c>
      <c r="Y1027" s="1268">
        <v>1496</v>
      </c>
      <c r="Z1027" s="1268">
        <v>1496</v>
      </c>
      <c r="AA1027" s="1268">
        <v>1496</v>
      </c>
      <c r="AB1027" s="1268">
        <v>1496</v>
      </c>
      <c r="AC1027" s="1268">
        <v>1496</v>
      </c>
      <c r="AD1027" s="1268">
        <v>1496</v>
      </c>
      <c r="AE1027" s="1268">
        <v>1496</v>
      </c>
      <c r="AF1027" s="253">
        <v>1496</v>
      </c>
      <c r="AG1027" s="253">
        <f t="shared" si="203"/>
        <v>1496</v>
      </c>
      <c r="DG1027" s="543"/>
      <c r="DH1027" s="149"/>
      <c r="DI1027" s="1020"/>
      <c r="DJ1027" s="2045"/>
    </row>
    <row r="1028" spans="1:114" ht="15" customHeight="1" outlineLevel="1" x14ac:dyDescent="0.25">
      <c r="A1028" s="2145"/>
      <c r="C1028" s="49"/>
      <c r="D1028" s="2394"/>
      <c r="E1028" s="2394"/>
      <c r="F1028" s="2404" t="str">
        <f>$E$751</f>
        <v>ASHP-SEER17_ROF_SF</v>
      </c>
      <c r="G1028" s="2404"/>
      <c r="H1028" s="2404"/>
      <c r="I1028" s="2404"/>
      <c r="J1028" s="1506" t="str">
        <f>$C$751</f>
        <v>353800_2024_12_</v>
      </c>
      <c r="K1028" s="1534">
        <v>1496</v>
      </c>
      <c r="L1028" s="244"/>
      <c r="M1028" s="731" t="s">
        <v>1289</v>
      </c>
      <c r="P1028" s="243"/>
      <c r="Q1028" s="192"/>
      <c r="R1028" s="243"/>
      <c r="T1028" s="166"/>
      <c r="U1028" s="50"/>
      <c r="V1028" s="2394"/>
      <c r="W1028" s="1268">
        <v>2009</v>
      </c>
      <c r="X1028" s="779">
        <v>1496</v>
      </c>
      <c r="Y1028" s="1268">
        <v>1496</v>
      </c>
      <c r="Z1028" s="1268">
        <v>1496</v>
      </c>
      <c r="AA1028" s="1268">
        <v>1496</v>
      </c>
      <c r="AB1028" s="1268">
        <v>1496</v>
      </c>
      <c r="AC1028" s="1268">
        <v>1496</v>
      </c>
      <c r="AD1028" s="1268">
        <v>1496</v>
      </c>
      <c r="AE1028" s="1268">
        <v>1496</v>
      </c>
      <c r="AF1028" s="253">
        <v>1496</v>
      </c>
      <c r="AG1028" s="253">
        <f t="shared" si="203"/>
        <v>1496</v>
      </c>
      <c r="DG1028" s="543"/>
      <c r="DH1028" s="149"/>
      <c r="DI1028" s="1020"/>
      <c r="DJ1028" s="2045"/>
    </row>
    <row r="1029" spans="1:114" ht="15" customHeight="1" outlineLevel="1" x14ac:dyDescent="0.25">
      <c r="A1029" s="2145"/>
      <c r="C1029" s="49"/>
      <c r="D1029" s="2394"/>
      <c r="E1029" s="2394"/>
      <c r="F1029" s="2404" t="str">
        <f>$E$753</f>
        <v>ASHP-SEER18_ER1_SF</v>
      </c>
      <c r="G1029" s="2404"/>
      <c r="H1029" s="2404"/>
      <c r="I1029" s="2404"/>
      <c r="J1029" s="1506" t="str">
        <f>$C$753</f>
        <v>353850_2024_12_</v>
      </c>
      <c r="K1029" s="1534">
        <v>1496</v>
      </c>
      <c r="L1029" s="244"/>
      <c r="M1029" s="731" t="s">
        <v>1289</v>
      </c>
      <c r="T1029" s="50"/>
      <c r="U1029" s="50"/>
      <c r="V1029" s="2394"/>
      <c r="W1029" s="1268">
        <v>2009</v>
      </c>
      <c r="X1029" s="779">
        <v>1496</v>
      </c>
      <c r="Y1029" s="1268">
        <v>1496</v>
      </c>
      <c r="Z1029" s="1268">
        <v>1496</v>
      </c>
      <c r="AA1029" s="1268">
        <v>1496</v>
      </c>
      <c r="AB1029" s="1268">
        <v>1496</v>
      </c>
      <c r="AC1029" s="1268">
        <v>1496</v>
      </c>
      <c r="AD1029" s="1268">
        <v>1496</v>
      </c>
      <c r="AE1029" s="1268">
        <v>1496</v>
      </c>
      <c r="AF1029" s="253">
        <v>1496</v>
      </c>
      <c r="AG1029" s="253">
        <f t="shared" si="203"/>
        <v>1496</v>
      </c>
      <c r="DG1029" s="543"/>
      <c r="DH1029" s="149"/>
      <c r="DI1029" s="1020"/>
      <c r="DJ1029" s="2045"/>
    </row>
    <row r="1030" spans="1:114" ht="15" customHeight="1" outlineLevel="1" x14ac:dyDescent="0.25">
      <c r="A1030" s="2145"/>
      <c r="C1030" s="49"/>
      <c r="D1030" s="2394"/>
      <c r="E1030" s="2394"/>
      <c r="F1030" s="2404" t="str">
        <f>$E$755</f>
        <v>ASHP-SEER18_ER2_SF</v>
      </c>
      <c r="G1030" s="2404"/>
      <c r="H1030" s="2404"/>
      <c r="I1030" s="2404"/>
      <c r="J1030" s="1506" t="str">
        <f>$C$755</f>
        <v>353850_2024_12_</v>
      </c>
      <c r="K1030" s="1534">
        <v>1496</v>
      </c>
      <c r="L1030" s="244"/>
      <c r="M1030" s="731" t="s">
        <v>1289</v>
      </c>
      <c r="P1030" s="243"/>
      <c r="Q1030" s="192"/>
      <c r="R1030" s="243"/>
      <c r="T1030" s="166"/>
      <c r="U1030" s="50"/>
      <c r="V1030" s="2394"/>
      <c r="W1030" s="1268">
        <v>2009</v>
      </c>
      <c r="X1030" s="779">
        <v>1496</v>
      </c>
      <c r="Y1030" s="1268">
        <v>1496</v>
      </c>
      <c r="Z1030" s="1268">
        <v>1496</v>
      </c>
      <c r="AA1030" s="1268">
        <v>1496</v>
      </c>
      <c r="AB1030" s="1268">
        <v>1496</v>
      </c>
      <c r="AC1030" s="1268">
        <v>1496</v>
      </c>
      <c r="AD1030" s="1268">
        <v>1496</v>
      </c>
      <c r="AE1030" s="1268">
        <v>1496</v>
      </c>
      <c r="AF1030" s="253">
        <v>1496</v>
      </c>
      <c r="AG1030" s="253">
        <f t="shared" si="203"/>
        <v>1496</v>
      </c>
      <c r="DG1030" s="543"/>
      <c r="DH1030" s="149"/>
      <c r="DI1030" s="1020"/>
      <c r="DJ1030" s="2045"/>
    </row>
    <row r="1031" spans="1:114" ht="15" customHeight="1" outlineLevel="1" x14ac:dyDescent="0.25">
      <c r="A1031" s="2145"/>
      <c r="C1031" s="49"/>
      <c r="D1031" s="2394"/>
      <c r="E1031" s="2394"/>
      <c r="F1031" s="2404" t="str">
        <f>$E$757</f>
        <v>ASHP-SEER18_ROF_SF</v>
      </c>
      <c r="G1031" s="2404"/>
      <c r="H1031" s="2404"/>
      <c r="I1031" s="2404"/>
      <c r="J1031" s="1506" t="str">
        <f>$C$757</f>
        <v>353950_2024_12_</v>
      </c>
      <c r="K1031" s="1534">
        <v>1496</v>
      </c>
      <c r="L1031" s="244"/>
      <c r="M1031" s="731" t="s">
        <v>1289</v>
      </c>
      <c r="T1031" s="50"/>
      <c r="U1031" s="50"/>
      <c r="V1031" s="2394"/>
      <c r="W1031" s="1268">
        <v>2009</v>
      </c>
      <c r="X1031" s="779">
        <v>1496</v>
      </c>
      <c r="Y1031" s="1268">
        <v>1496</v>
      </c>
      <c r="Z1031" s="1268">
        <v>1496</v>
      </c>
      <c r="AA1031" s="1268">
        <v>1496</v>
      </c>
      <c r="AB1031" s="1268">
        <v>1496</v>
      </c>
      <c r="AC1031" s="1268">
        <v>1496</v>
      </c>
      <c r="AD1031" s="1268">
        <v>1496</v>
      </c>
      <c r="AE1031" s="1268">
        <v>1496</v>
      </c>
      <c r="AF1031" s="253">
        <v>1496</v>
      </c>
      <c r="AG1031" s="253">
        <f t="shared" si="203"/>
        <v>1496</v>
      </c>
      <c r="DG1031" s="543"/>
      <c r="DH1031" s="149"/>
      <c r="DI1031" s="1020"/>
      <c r="DJ1031" s="2045"/>
    </row>
    <row r="1032" spans="1:114" ht="15" customHeight="1" outlineLevel="1" x14ac:dyDescent="0.25">
      <c r="A1032" s="2145"/>
      <c r="C1032" s="49"/>
      <c r="D1032" s="2394"/>
      <c r="E1032" s="2394"/>
      <c r="F1032" s="2404" t="str">
        <f>$E$759</f>
        <v>ASHP-SEER19_ER1_SF</v>
      </c>
      <c r="G1032" s="2404"/>
      <c r="H1032" s="2404"/>
      <c r="I1032" s="2404"/>
      <c r="J1032" s="1506" t="str">
        <f>$C$759</f>
        <v>354000_2024_12_</v>
      </c>
      <c r="K1032" s="1534">
        <v>1496</v>
      </c>
      <c r="L1032" s="244"/>
      <c r="M1032" s="731" t="s">
        <v>1289</v>
      </c>
      <c r="P1032" s="243"/>
      <c r="Q1032" s="192"/>
      <c r="R1032" s="243"/>
      <c r="T1032" s="166"/>
      <c r="U1032" s="50"/>
      <c r="V1032" s="2394"/>
      <c r="W1032" s="1268">
        <v>2009</v>
      </c>
      <c r="X1032" s="779">
        <v>1496</v>
      </c>
      <c r="Y1032" s="1268">
        <v>1496</v>
      </c>
      <c r="Z1032" s="1268">
        <v>1496</v>
      </c>
      <c r="AA1032" s="1268">
        <v>1496</v>
      </c>
      <c r="AB1032" s="1268">
        <v>1496</v>
      </c>
      <c r="AC1032" s="1268">
        <v>1496</v>
      </c>
      <c r="AD1032" s="1268">
        <v>1496</v>
      </c>
      <c r="AE1032" s="1268">
        <v>1496</v>
      </c>
      <c r="AF1032" s="253">
        <v>1496</v>
      </c>
      <c r="AG1032" s="253">
        <f t="shared" si="203"/>
        <v>1496</v>
      </c>
      <c r="DG1032" s="543"/>
      <c r="DH1032" s="149"/>
      <c r="DI1032" s="1020"/>
      <c r="DJ1032" s="2045"/>
    </row>
    <row r="1033" spans="1:114" ht="15" customHeight="1" outlineLevel="1" x14ac:dyDescent="0.25">
      <c r="A1033" s="2145"/>
      <c r="C1033" s="49"/>
      <c r="D1033" s="2394"/>
      <c r="E1033" s="2394"/>
      <c r="F1033" s="2404" t="str">
        <f>$E$761</f>
        <v>ASHP-SEER19_ER2_SF</v>
      </c>
      <c r="G1033" s="2404"/>
      <c r="H1033" s="2404"/>
      <c r="I1033" s="2404"/>
      <c r="J1033" s="1506" t="str">
        <f>$C$761</f>
        <v>354000_2024_12_</v>
      </c>
      <c r="K1033" s="1534">
        <v>1496</v>
      </c>
      <c r="L1033" s="244"/>
      <c r="M1033" s="731" t="s">
        <v>1289</v>
      </c>
      <c r="P1033" s="243"/>
      <c r="Q1033" s="192"/>
      <c r="R1033" s="243"/>
      <c r="T1033" s="166"/>
      <c r="U1033" s="50"/>
      <c r="V1033" s="2394"/>
      <c r="W1033" s="1268">
        <v>2009</v>
      </c>
      <c r="X1033" s="779">
        <v>1496</v>
      </c>
      <c r="Y1033" s="1268">
        <v>1496</v>
      </c>
      <c r="Z1033" s="1268">
        <v>1496</v>
      </c>
      <c r="AA1033" s="1268">
        <v>1496</v>
      </c>
      <c r="AB1033" s="1268">
        <v>1496</v>
      </c>
      <c r="AC1033" s="1268">
        <v>1496</v>
      </c>
      <c r="AD1033" s="1268">
        <v>1496</v>
      </c>
      <c r="AE1033" s="1268">
        <v>1496</v>
      </c>
      <c r="AF1033" s="253">
        <v>1496</v>
      </c>
      <c r="AG1033" s="253">
        <f t="shared" si="203"/>
        <v>1496</v>
      </c>
      <c r="DG1033" s="543"/>
      <c r="DH1033" s="149"/>
      <c r="DI1033" s="1020"/>
      <c r="DJ1033" s="2045"/>
    </row>
    <row r="1034" spans="1:114" ht="15" customHeight="1" outlineLevel="1" x14ac:dyDescent="0.25">
      <c r="A1034" s="2145"/>
      <c r="C1034" s="49"/>
      <c r="D1034" s="2394"/>
      <c r="E1034" s="2394"/>
      <c r="F1034" s="2404" t="str">
        <f>$E$763</f>
        <v>ASHP-SEER19_ROF_SF</v>
      </c>
      <c r="G1034" s="2404"/>
      <c r="H1034" s="2404"/>
      <c r="I1034" s="2404"/>
      <c r="J1034" s="1506" t="str">
        <f>$C$763</f>
        <v>354050_2024_12_</v>
      </c>
      <c r="K1034" s="1534">
        <v>1496</v>
      </c>
      <c r="L1034" s="244"/>
      <c r="M1034" s="731" t="s">
        <v>1289</v>
      </c>
      <c r="T1034" s="50"/>
      <c r="U1034" s="50"/>
      <c r="V1034" s="2394"/>
      <c r="W1034" s="1268">
        <v>2009</v>
      </c>
      <c r="X1034" s="779">
        <v>1496</v>
      </c>
      <c r="Y1034" s="1268">
        <v>1496</v>
      </c>
      <c r="Z1034" s="1268">
        <v>1496</v>
      </c>
      <c r="AA1034" s="1268">
        <v>1496</v>
      </c>
      <c r="AB1034" s="1268">
        <v>1496</v>
      </c>
      <c r="AC1034" s="1268">
        <v>1496</v>
      </c>
      <c r="AD1034" s="1268">
        <v>1496</v>
      </c>
      <c r="AE1034" s="1268">
        <v>1496</v>
      </c>
      <c r="AF1034" s="253">
        <v>1496</v>
      </c>
      <c r="AG1034" s="253">
        <f t="shared" si="203"/>
        <v>1496</v>
      </c>
      <c r="DG1034" s="543"/>
      <c r="DH1034" s="149"/>
      <c r="DI1034" s="1020"/>
      <c r="DJ1034" s="2045"/>
    </row>
    <row r="1035" spans="1:114" ht="15" customHeight="1" outlineLevel="1" x14ac:dyDescent="0.25">
      <c r="A1035" s="2145"/>
      <c r="C1035" s="49"/>
      <c r="D1035" s="2394"/>
      <c r="E1035" s="2394"/>
      <c r="F1035" s="2404" t="str">
        <f>$E$765</f>
        <v>ASHP-SEER17-Replace_CAC_ElectricHeat_ER1_SF</v>
      </c>
      <c r="G1035" s="2404"/>
      <c r="H1035" s="2404"/>
      <c r="I1035" s="2404"/>
      <c r="J1035" s="1506" t="str">
        <f>$C$765</f>
        <v>354100_2024_12_</v>
      </c>
      <c r="K1035" s="1534">
        <v>1496</v>
      </c>
      <c r="L1035" s="244"/>
      <c r="M1035" s="731" t="s">
        <v>1289</v>
      </c>
      <c r="T1035" s="50"/>
      <c r="U1035" s="50"/>
      <c r="V1035" s="2394"/>
      <c r="W1035" s="1268">
        <v>2009</v>
      </c>
      <c r="X1035" s="779">
        <v>1496</v>
      </c>
      <c r="Y1035" s="1268">
        <v>1496</v>
      </c>
      <c r="Z1035" s="1268">
        <v>1496</v>
      </c>
      <c r="AA1035" s="1268">
        <v>1496</v>
      </c>
      <c r="AB1035" s="1268">
        <v>1496</v>
      </c>
      <c r="AC1035" s="1268">
        <v>1496</v>
      </c>
      <c r="AD1035" s="1268">
        <v>1496</v>
      </c>
      <c r="AE1035" s="1268">
        <v>1496</v>
      </c>
      <c r="AF1035" s="253">
        <v>1496</v>
      </c>
      <c r="AG1035" s="253">
        <f t="shared" si="203"/>
        <v>1496</v>
      </c>
      <c r="DG1035" s="543"/>
      <c r="DH1035" s="149"/>
      <c r="DI1035" s="1020"/>
      <c r="DJ1035" s="2045"/>
    </row>
    <row r="1036" spans="1:114" ht="15" customHeight="1" outlineLevel="1" x14ac:dyDescent="0.25">
      <c r="A1036" s="2145"/>
      <c r="C1036" s="49"/>
      <c r="D1036" s="2394"/>
      <c r="E1036" s="2394"/>
      <c r="F1036" s="2404" t="str">
        <f>$E$767</f>
        <v>ASHP-SEER17-Replace_CAC_ElectricHeat_ER2_SF</v>
      </c>
      <c r="G1036" s="2404"/>
      <c r="H1036" s="2404"/>
      <c r="I1036" s="2404"/>
      <c r="J1036" s="1506" t="str">
        <f>$C$767</f>
        <v>354100_2024_12_</v>
      </c>
      <c r="K1036" s="1534">
        <v>1496</v>
      </c>
      <c r="L1036" s="244"/>
      <c r="M1036" s="731" t="s">
        <v>1289</v>
      </c>
      <c r="T1036" s="50"/>
      <c r="U1036" s="50"/>
      <c r="V1036" s="2394"/>
      <c r="W1036" s="1268">
        <v>2009</v>
      </c>
      <c r="X1036" s="779">
        <v>1496</v>
      </c>
      <c r="Y1036" s="1268">
        <v>1496</v>
      </c>
      <c r="Z1036" s="1268">
        <v>1496</v>
      </c>
      <c r="AA1036" s="1268">
        <v>1496</v>
      </c>
      <c r="AB1036" s="1268">
        <v>1496</v>
      </c>
      <c r="AC1036" s="1268">
        <v>1496</v>
      </c>
      <c r="AD1036" s="1268">
        <v>1496</v>
      </c>
      <c r="AE1036" s="1268">
        <v>1496</v>
      </c>
      <c r="AF1036" s="253">
        <v>1496</v>
      </c>
      <c r="AG1036" s="253">
        <f t="shared" si="203"/>
        <v>1496</v>
      </c>
      <c r="DG1036" s="543"/>
      <c r="DH1036" s="149"/>
      <c r="DI1036" s="1020"/>
      <c r="DJ1036" s="2045"/>
    </row>
    <row r="1037" spans="1:114" ht="15" customHeight="1" outlineLevel="1" x14ac:dyDescent="0.25">
      <c r="A1037" s="2145"/>
      <c r="C1037" s="49"/>
      <c r="D1037" s="2394"/>
      <c r="E1037" s="2394"/>
      <c r="F1037" s="2404" t="str">
        <f>$E$769</f>
        <v>ASHP-SEER17-Replace_CAC_NonElectricHeat_ER1_SF</v>
      </c>
      <c r="G1037" s="2404"/>
      <c r="H1037" s="2404"/>
      <c r="I1037" s="2404"/>
      <c r="J1037" s="1506" t="str">
        <f>$C$769</f>
        <v>354110_2024_12_</v>
      </c>
      <c r="K1037" s="1536">
        <v>1496</v>
      </c>
      <c r="L1037" s="244"/>
      <c r="M1037" s="731" t="s">
        <v>1289</v>
      </c>
      <c r="T1037" s="50"/>
      <c r="U1037" s="50"/>
      <c r="V1037" s="2394"/>
      <c r="W1037" s="1268"/>
      <c r="X1037" s="779"/>
      <c r="Y1037" s="1268"/>
      <c r="Z1037" s="1268"/>
      <c r="AA1037" s="1268"/>
      <c r="AB1037" s="1268"/>
      <c r="AC1037" s="775">
        <v>1496</v>
      </c>
      <c r="AD1037" s="752">
        <v>1496</v>
      </c>
      <c r="AE1037" s="752">
        <v>1496</v>
      </c>
      <c r="AF1037" s="253">
        <v>1496</v>
      </c>
      <c r="AG1037" s="253">
        <f t="shared" si="203"/>
        <v>1496</v>
      </c>
      <c r="DG1037" s="543"/>
      <c r="DH1037" s="149"/>
      <c r="DI1037" s="1020"/>
      <c r="DJ1037" s="2045"/>
    </row>
    <row r="1038" spans="1:114" ht="15" customHeight="1" outlineLevel="1" x14ac:dyDescent="0.25">
      <c r="A1038" s="2145"/>
      <c r="C1038" s="49"/>
      <c r="D1038" s="2394"/>
      <c r="E1038" s="2394"/>
      <c r="F1038" s="2404" t="str">
        <f>$E$771</f>
        <v>ASHP-SEER17-Replace_CAC_NonElectricHeat_ER2_SF</v>
      </c>
      <c r="G1038" s="2404"/>
      <c r="H1038" s="2404"/>
      <c r="I1038" s="2404"/>
      <c r="J1038" s="1506" t="str">
        <f>$C$771</f>
        <v>354110_2024_12_</v>
      </c>
      <c r="K1038" s="1536">
        <v>1496</v>
      </c>
      <c r="L1038" s="244"/>
      <c r="M1038" s="731" t="s">
        <v>1289</v>
      </c>
      <c r="T1038" s="50"/>
      <c r="U1038" s="50"/>
      <c r="V1038" s="2394"/>
      <c r="W1038" s="1268"/>
      <c r="X1038" s="779"/>
      <c r="Y1038" s="1268"/>
      <c r="Z1038" s="1268"/>
      <c r="AA1038" s="1268"/>
      <c r="AB1038" s="1268"/>
      <c r="AC1038" s="775">
        <v>1496</v>
      </c>
      <c r="AD1038" s="752">
        <v>1496</v>
      </c>
      <c r="AE1038" s="752">
        <v>1496</v>
      </c>
      <c r="AF1038" s="253">
        <v>1496</v>
      </c>
      <c r="AG1038" s="253">
        <f t="shared" si="203"/>
        <v>1496</v>
      </c>
      <c r="DG1038" s="543"/>
      <c r="DH1038" s="149"/>
      <c r="DI1038" s="1020"/>
      <c r="DJ1038" s="2045"/>
    </row>
    <row r="1039" spans="1:114" ht="15.75" customHeight="1" outlineLevel="1" x14ac:dyDescent="0.25">
      <c r="A1039" s="2145"/>
      <c r="C1039" s="49"/>
      <c r="D1039" s="2394"/>
      <c r="E1039" s="2394"/>
      <c r="F1039" s="1968" t="s">
        <v>1223</v>
      </c>
      <c r="G1039" s="1969"/>
      <c r="H1039" s="1969"/>
      <c r="I1039" s="1970"/>
      <c r="J1039" s="2095" t="s">
        <v>1222</v>
      </c>
      <c r="K1039" s="1975">
        <v>1496</v>
      </c>
      <c r="L1039" s="244"/>
      <c r="M1039" s="1976" t="s">
        <v>1289</v>
      </c>
      <c r="T1039" s="50"/>
      <c r="U1039" s="50"/>
      <c r="V1039" s="2394"/>
      <c r="W1039" s="1268"/>
      <c r="X1039" s="1268"/>
      <c r="Y1039" s="1268"/>
      <c r="Z1039" s="1268"/>
      <c r="AA1039" s="1268"/>
      <c r="AB1039" s="1268"/>
      <c r="AC1039" s="752"/>
      <c r="AD1039" s="966"/>
      <c r="AE1039" s="909"/>
      <c r="AF1039" s="253"/>
      <c r="AG1039" s="253">
        <f>IF(K1039&lt;&gt;"",K1039,"")</f>
        <v>1496</v>
      </c>
      <c r="DG1039" s="543"/>
      <c r="DH1039" s="149"/>
      <c r="DI1039" s="1020"/>
      <c r="DJ1039" s="2045"/>
    </row>
    <row r="1040" spans="1:114" ht="15.75" customHeight="1" outlineLevel="1" x14ac:dyDescent="0.25">
      <c r="A1040" s="2145"/>
      <c r="C1040" s="49"/>
      <c r="D1040" s="2394"/>
      <c r="E1040" s="2394"/>
      <c r="F1040" s="1968" t="s">
        <v>1224</v>
      </c>
      <c r="G1040" s="1969"/>
      <c r="H1040" s="1969"/>
      <c r="I1040" s="1970"/>
      <c r="J1040" s="2095" t="s">
        <v>1222</v>
      </c>
      <c r="K1040" s="1975">
        <v>1496</v>
      </c>
      <c r="L1040" s="244"/>
      <c r="M1040" s="1976" t="s">
        <v>1289</v>
      </c>
      <c r="T1040" s="50"/>
      <c r="U1040" s="50"/>
      <c r="V1040" s="2394"/>
      <c r="W1040" s="1268"/>
      <c r="X1040" s="1268"/>
      <c r="Y1040" s="1268"/>
      <c r="Z1040" s="1268"/>
      <c r="AA1040" s="1268"/>
      <c r="AB1040" s="1268"/>
      <c r="AC1040" s="752"/>
      <c r="AD1040" s="966"/>
      <c r="AE1040" s="909"/>
      <c r="AF1040" s="253"/>
      <c r="AG1040" s="253">
        <f>IF(K1040&lt;&gt;"",K1040,"")</f>
        <v>1496</v>
      </c>
      <c r="DG1040" s="543"/>
      <c r="DH1040" s="149"/>
      <c r="DI1040" s="1020"/>
      <c r="DJ1040" s="2045"/>
    </row>
    <row r="1041" spans="1:114" ht="15" customHeight="1" outlineLevel="1" x14ac:dyDescent="0.25">
      <c r="A1041" s="2145"/>
      <c r="C1041" s="49"/>
      <c r="D1041" s="2394"/>
      <c r="E1041" s="2394"/>
      <c r="F1041" s="2404" t="str">
        <f>$E$777</f>
        <v>ASHP-SEER17-Replace_CAC_ElectricHeat_ER1_MF</v>
      </c>
      <c r="G1041" s="2404"/>
      <c r="H1041" s="2404"/>
      <c r="I1041" s="2404"/>
      <c r="J1041" s="1506" t="str">
        <f>$C$777</f>
        <v>354150_2024_12_</v>
      </c>
      <c r="K1041" s="1534">
        <v>1496</v>
      </c>
      <c r="L1041" s="244"/>
      <c r="M1041" s="731" t="s">
        <v>1289</v>
      </c>
      <c r="T1041" s="50"/>
      <c r="U1041" s="50"/>
      <c r="V1041" s="2394"/>
      <c r="W1041" s="1268">
        <v>2009</v>
      </c>
      <c r="X1041" s="779">
        <v>1496</v>
      </c>
      <c r="Y1041" s="1268">
        <v>1496</v>
      </c>
      <c r="Z1041" s="1268">
        <v>1496</v>
      </c>
      <c r="AA1041" s="1268">
        <v>1496</v>
      </c>
      <c r="AB1041" s="1268">
        <v>1496</v>
      </c>
      <c r="AC1041" s="1268">
        <v>1496</v>
      </c>
      <c r="AD1041" s="1268">
        <v>1496</v>
      </c>
      <c r="AE1041" s="1268">
        <v>1496</v>
      </c>
      <c r="AF1041" s="253">
        <v>1496</v>
      </c>
      <c r="AG1041" s="253">
        <f t="shared" si="203"/>
        <v>1496</v>
      </c>
      <c r="DG1041" s="543"/>
      <c r="DH1041" s="149"/>
      <c r="DI1041" s="1020"/>
      <c r="DJ1041" s="2045"/>
    </row>
    <row r="1042" spans="1:114" ht="15" customHeight="1" outlineLevel="1" x14ac:dyDescent="0.25">
      <c r="A1042" s="2145"/>
      <c r="C1042" s="49"/>
      <c r="D1042" s="2394"/>
      <c r="E1042" s="2394"/>
      <c r="F1042" s="2404" t="str">
        <f>$E$779</f>
        <v>ASHP-SEER17-Replace_CAC_ElectricHeat_ER2_MF</v>
      </c>
      <c r="G1042" s="2404"/>
      <c r="H1042" s="2404"/>
      <c r="I1042" s="2404"/>
      <c r="J1042" s="1506" t="str">
        <f>$C$779</f>
        <v>354150_2024_12_</v>
      </c>
      <c r="K1042" s="1534">
        <v>1496</v>
      </c>
      <c r="L1042" s="244"/>
      <c r="M1042" s="731" t="s">
        <v>1289</v>
      </c>
      <c r="T1042" s="50"/>
      <c r="U1042" s="50"/>
      <c r="V1042" s="2394"/>
      <c r="W1042" s="1268">
        <v>2009</v>
      </c>
      <c r="X1042" s="779">
        <v>1496</v>
      </c>
      <c r="Y1042" s="1268">
        <v>1496</v>
      </c>
      <c r="Z1042" s="1268">
        <v>1496</v>
      </c>
      <c r="AA1042" s="1268">
        <v>1496</v>
      </c>
      <c r="AB1042" s="1268">
        <v>1496</v>
      </c>
      <c r="AC1042" s="1268">
        <v>1496</v>
      </c>
      <c r="AD1042" s="1268">
        <v>1496</v>
      </c>
      <c r="AE1042" s="1268">
        <v>1496</v>
      </c>
      <c r="AF1042" s="253">
        <v>1496</v>
      </c>
      <c r="AG1042" s="253">
        <f t="shared" si="203"/>
        <v>1496</v>
      </c>
      <c r="DG1042" s="543"/>
      <c r="DH1042" s="149"/>
      <c r="DI1042" s="1020"/>
      <c r="DJ1042" s="2045"/>
    </row>
    <row r="1043" spans="1:114" ht="15" customHeight="1" outlineLevel="1" x14ac:dyDescent="0.25">
      <c r="A1043" s="2145"/>
      <c r="C1043" s="49"/>
      <c r="D1043" s="2394"/>
      <c r="E1043" s="2394"/>
      <c r="F1043" s="2404" t="str">
        <f>$E$781</f>
        <v>ASHP-SEER17_ER1_MF</v>
      </c>
      <c r="G1043" s="2404"/>
      <c r="H1043" s="2404"/>
      <c r="I1043" s="2404"/>
      <c r="J1043" s="1506" t="str">
        <f>$C$781</f>
        <v>354200_2024_12_</v>
      </c>
      <c r="K1043" s="1534">
        <v>1496</v>
      </c>
      <c r="L1043" s="244"/>
      <c r="M1043" s="731" t="s">
        <v>1289</v>
      </c>
      <c r="T1043" s="50"/>
      <c r="U1043" s="50"/>
      <c r="V1043" s="2394"/>
      <c r="W1043" s="1268">
        <v>2009</v>
      </c>
      <c r="X1043" s="779">
        <v>1496</v>
      </c>
      <c r="Y1043" s="1268">
        <v>1496</v>
      </c>
      <c r="Z1043" s="1268">
        <v>1496</v>
      </c>
      <c r="AA1043" s="1268">
        <v>1496</v>
      </c>
      <c r="AB1043" s="1268">
        <v>1496</v>
      </c>
      <c r="AC1043" s="1268">
        <v>1496</v>
      </c>
      <c r="AD1043" s="1268">
        <v>1496</v>
      </c>
      <c r="AE1043" s="1268">
        <v>1496</v>
      </c>
      <c r="AF1043" s="253">
        <v>1496</v>
      </c>
      <c r="AG1043" s="253">
        <f t="shared" si="203"/>
        <v>1496</v>
      </c>
      <c r="DG1043" s="543"/>
      <c r="DH1043" s="149"/>
      <c r="DI1043" s="1020"/>
      <c r="DJ1043" s="2045"/>
    </row>
    <row r="1044" spans="1:114" ht="15" customHeight="1" outlineLevel="1" x14ac:dyDescent="0.25">
      <c r="A1044" s="2145"/>
      <c r="C1044" s="49"/>
      <c r="D1044" s="2394"/>
      <c r="E1044" s="2394"/>
      <c r="F1044" s="2404" t="str">
        <f>$E$783</f>
        <v>ASHP-SEER17_ER2_MF</v>
      </c>
      <c r="G1044" s="2404"/>
      <c r="H1044" s="2404"/>
      <c r="I1044" s="2404"/>
      <c r="J1044" s="1506" t="str">
        <f>$C$783</f>
        <v>354200_2024_12_</v>
      </c>
      <c r="K1044" s="1534">
        <v>1496</v>
      </c>
      <c r="L1044" s="244"/>
      <c r="M1044" s="731" t="s">
        <v>1289</v>
      </c>
      <c r="T1044" s="50"/>
      <c r="U1044" s="50"/>
      <c r="V1044" s="2394"/>
      <c r="W1044" s="1268">
        <v>2009</v>
      </c>
      <c r="X1044" s="779">
        <v>1496</v>
      </c>
      <c r="Y1044" s="1268">
        <v>1496</v>
      </c>
      <c r="Z1044" s="1268">
        <v>1496</v>
      </c>
      <c r="AA1044" s="1268">
        <v>1496</v>
      </c>
      <c r="AB1044" s="1268">
        <v>1496</v>
      </c>
      <c r="AC1044" s="1268">
        <v>1496</v>
      </c>
      <c r="AD1044" s="1268">
        <v>1496</v>
      </c>
      <c r="AE1044" s="1268">
        <v>1496</v>
      </c>
      <c r="AF1044" s="253">
        <v>1496</v>
      </c>
      <c r="AG1044" s="253">
        <f t="shared" si="203"/>
        <v>1496</v>
      </c>
      <c r="DG1044" s="543"/>
      <c r="DH1044" s="149"/>
      <c r="DI1044" s="1020"/>
      <c r="DJ1044" s="2045"/>
    </row>
    <row r="1045" spans="1:114" ht="15" customHeight="1" outlineLevel="1" x14ac:dyDescent="0.25">
      <c r="A1045" s="2145"/>
      <c r="C1045" s="49"/>
      <c r="D1045" s="2394"/>
      <c r="E1045" s="2394"/>
      <c r="F1045" s="2404" t="str">
        <f>$E$785</f>
        <v>ASHP-SEER18-Replace_CAC_ElectricHeat_ER1_SF</v>
      </c>
      <c r="G1045" s="2404"/>
      <c r="H1045" s="2404"/>
      <c r="I1045" s="2404"/>
      <c r="J1045" s="1506" t="str">
        <f>$C$785</f>
        <v>354250_2024_12_</v>
      </c>
      <c r="K1045" s="1534">
        <v>1496</v>
      </c>
      <c r="L1045" s="244"/>
      <c r="M1045" s="731" t="s">
        <v>1289</v>
      </c>
      <c r="T1045" s="50"/>
      <c r="U1045" s="50"/>
      <c r="V1045" s="2394"/>
      <c r="W1045" s="1268">
        <v>2009</v>
      </c>
      <c r="X1045" s="779">
        <v>1496</v>
      </c>
      <c r="Y1045" s="1268">
        <v>1496</v>
      </c>
      <c r="Z1045" s="1268">
        <v>1496</v>
      </c>
      <c r="AA1045" s="1268">
        <v>1496</v>
      </c>
      <c r="AB1045" s="1268">
        <v>1496</v>
      </c>
      <c r="AC1045" s="1268">
        <v>1496</v>
      </c>
      <c r="AD1045" s="1268">
        <v>1496</v>
      </c>
      <c r="AE1045" s="1268">
        <v>1496</v>
      </c>
      <c r="AF1045" s="253">
        <v>1496</v>
      </c>
      <c r="AG1045" s="253">
        <f t="shared" si="203"/>
        <v>1496</v>
      </c>
      <c r="DG1045" s="543"/>
      <c r="DH1045" s="149"/>
      <c r="DI1045" s="1020"/>
      <c r="DJ1045" s="2045"/>
    </row>
    <row r="1046" spans="1:114" ht="15" customHeight="1" outlineLevel="1" x14ac:dyDescent="0.25">
      <c r="A1046" s="2145"/>
      <c r="C1046" s="49"/>
      <c r="D1046" s="2394"/>
      <c r="E1046" s="2394"/>
      <c r="F1046" s="2404" t="str">
        <f>$E$787</f>
        <v>ASHP-SEER18-Replace_CAC_ElectricHeat_ER2_SF</v>
      </c>
      <c r="G1046" s="2404"/>
      <c r="H1046" s="2404"/>
      <c r="I1046" s="2404"/>
      <c r="J1046" s="1506" t="str">
        <f>$C$787</f>
        <v>354250_2024_12_</v>
      </c>
      <c r="K1046" s="1534">
        <v>1496</v>
      </c>
      <c r="L1046" s="244"/>
      <c r="M1046" s="731" t="s">
        <v>1289</v>
      </c>
      <c r="T1046" s="50"/>
      <c r="U1046" s="50"/>
      <c r="V1046" s="2394"/>
      <c r="W1046" s="1268">
        <v>2009</v>
      </c>
      <c r="X1046" s="779">
        <v>1496</v>
      </c>
      <c r="Y1046" s="1268">
        <v>1496</v>
      </c>
      <c r="Z1046" s="1268">
        <v>1496</v>
      </c>
      <c r="AA1046" s="1268">
        <v>1496</v>
      </c>
      <c r="AB1046" s="1268">
        <v>1496</v>
      </c>
      <c r="AC1046" s="1268">
        <v>1496</v>
      </c>
      <c r="AD1046" s="1268">
        <v>1496</v>
      </c>
      <c r="AE1046" s="1268">
        <v>1496</v>
      </c>
      <c r="AF1046" s="253">
        <v>1496</v>
      </c>
      <c r="AG1046" s="253">
        <f t="shared" si="203"/>
        <v>1496</v>
      </c>
      <c r="DG1046" s="543"/>
      <c r="DH1046" s="149"/>
      <c r="DI1046" s="1020"/>
      <c r="DJ1046" s="2045"/>
    </row>
    <row r="1047" spans="1:114" ht="15" customHeight="1" outlineLevel="1" x14ac:dyDescent="0.25">
      <c r="A1047" s="2145"/>
      <c r="C1047" s="49"/>
      <c r="D1047" s="2394"/>
      <c r="E1047" s="2394"/>
      <c r="F1047" s="2404" t="str">
        <f>$E$789</f>
        <v>ASHP-SEER18-Replace_CAC_NonElectricHeat_ER1_SF</v>
      </c>
      <c r="G1047" s="2404"/>
      <c r="H1047" s="2404"/>
      <c r="I1047" s="2404"/>
      <c r="J1047" s="1506" t="str">
        <f>$C$789</f>
        <v>354260_2024_12_</v>
      </c>
      <c r="K1047" s="1536">
        <v>1496</v>
      </c>
      <c r="L1047" s="244"/>
      <c r="M1047" s="731" t="s">
        <v>1289</v>
      </c>
      <c r="T1047" s="50"/>
      <c r="U1047" s="50"/>
      <c r="V1047" s="2394"/>
      <c r="W1047" s="1268"/>
      <c r="X1047" s="779"/>
      <c r="Y1047" s="1268"/>
      <c r="Z1047" s="1268"/>
      <c r="AA1047" s="1268"/>
      <c r="AB1047" s="1268"/>
      <c r="AC1047" s="775">
        <v>1496</v>
      </c>
      <c r="AD1047" s="752">
        <v>1496</v>
      </c>
      <c r="AE1047" s="752">
        <v>1496</v>
      </c>
      <c r="AF1047" s="253">
        <v>1496</v>
      </c>
      <c r="AG1047" s="253">
        <f t="shared" si="203"/>
        <v>1496</v>
      </c>
      <c r="DG1047" s="543"/>
      <c r="DH1047" s="149"/>
      <c r="DI1047" s="1020"/>
      <c r="DJ1047" s="2045"/>
    </row>
    <row r="1048" spans="1:114" ht="15" customHeight="1" outlineLevel="1" x14ac:dyDescent="0.25">
      <c r="A1048" s="2145"/>
      <c r="C1048" s="49"/>
      <c r="D1048" s="2394"/>
      <c r="E1048" s="2394"/>
      <c r="F1048" s="2404" t="str">
        <f>$E$791</f>
        <v>ASHP-SEER18-Replace_CAC_NonElectricHeat_ER2_SF</v>
      </c>
      <c r="G1048" s="2404"/>
      <c r="H1048" s="2404"/>
      <c r="I1048" s="2404"/>
      <c r="J1048" s="1506" t="str">
        <f>$C$791</f>
        <v>354260_2024_12_</v>
      </c>
      <c r="K1048" s="1536">
        <v>1496</v>
      </c>
      <c r="L1048" s="244"/>
      <c r="M1048" s="731" t="s">
        <v>1289</v>
      </c>
      <c r="T1048" s="50"/>
      <c r="U1048" s="50"/>
      <c r="V1048" s="2394"/>
      <c r="W1048" s="1268"/>
      <c r="X1048" s="779"/>
      <c r="Y1048" s="1268"/>
      <c r="Z1048" s="1268"/>
      <c r="AA1048" s="1268"/>
      <c r="AB1048" s="1268"/>
      <c r="AC1048" s="775">
        <v>1496</v>
      </c>
      <c r="AD1048" s="752">
        <v>1496</v>
      </c>
      <c r="AE1048" s="752">
        <v>1496</v>
      </c>
      <c r="AF1048" s="253">
        <v>1496</v>
      </c>
      <c r="AG1048" s="253">
        <f t="shared" si="203"/>
        <v>1496</v>
      </c>
      <c r="DG1048" s="543"/>
      <c r="DH1048" s="149"/>
      <c r="DI1048" s="1020"/>
      <c r="DJ1048" s="2045"/>
    </row>
    <row r="1049" spans="1:114" ht="15" customHeight="1" outlineLevel="1" x14ac:dyDescent="0.25">
      <c r="A1049" s="2145"/>
      <c r="C1049" s="49"/>
      <c r="D1049" s="2394"/>
      <c r="E1049" s="2394"/>
      <c r="F1049" s="2404" t="str">
        <f>$E$793</f>
        <v>ASHP-SEER18-Replace_CAC_ElectricHeat_ER1_MF</v>
      </c>
      <c r="G1049" s="2404"/>
      <c r="H1049" s="2404"/>
      <c r="I1049" s="2404"/>
      <c r="J1049" s="1506" t="str">
        <f>$C$793</f>
        <v>354300_2024_12_</v>
      </c>
      <c r="K1049" s="1534">
        <v>1496</v>
      </c>
      <c r="L1049" s="244"/>
      <c r="M1049" s="731" t="s">
        <v>1289</v>
      </c>
      <c r="T1049" s="50"/>
      <c r="U1049" s="50"/>
      <c r="V1049" s="2394"/>
      <c r="W1049" s="1268">
        <v>2009</v>
      </c>
      <c r="X1049" s="779">
        <v>1496</v>
      </c>
      <c r="Y1049" s="1268">
        <v>1496</v>
      </c>
      <c r="Z1049" s="1268">
        <v>1496</v>
      </c>
      <c r="AA1049" s="1268">
        <v>1496</v>
      </c>
      <c r="AB1049" s="1268">
        <v>1496</v>
      </c>
      <c r="AC1049" s="1268">
        <v>1496</v>
      </c>
      <c r="AD1049" s="1268">
        <v>1496</v>
      </c>
      <c r="AE1049" s="1268">
        <v>1496</v>
      </c>
      <c r="AF1049" s="253">
        <v>1496</v>
      </c>
      <c r="AG1049" s="253">
        <f t="shared" si="203"/>
        <v>1496</v>
      </c>
      <c r="DG1049" s="543"/>
      <c r="DH1049" s="149"/>
      <c r="DI1049" s="1020"/>
      <c r="DJ1049" s="2045"/>
    </row>
    <row r="1050" spans="1:114" ht="15" customHeight="1" outlineLevel="1" x14ac:dyDescent="0.25">
      <c r="A1050" s="2145"/>
      <c r="C1050" s="49"/>
      <c r="D1050" s="2394"/>
      <c r="E1050" s="2394"/>
      <c r="F1050" s="2404" t="str">
        <f>$E$795</f>
        <v>ASHP-SEER18-Replace_CAC_ElectricHeat_ER2_MF</v>
      </c>
      <c r="G1050" s="2404"/>
      <c r="H1050" s="2404"/>
      <c r="I1050" s="2404"/>
      <c r="J1050" s="1506" t="str">
        <f>$C$795</f>
        <v>354300_2024_12_</v>
      </c>
      <c r="K1050" s="1534">
        <v>1496</v>
      </c>
      <c r="L1050" s="244"/>
      <c r="M1050" s="731" t="s">
        <v>1289</v>
      </c>
      <c r="T1050" s="50"/>
      <c r="U1050" s="50"/>
      <c r="V1050" s="2394"/>
      <c r="W1050" s="1268">
        <v>2009</v>
      </c>
      <c r="X1050" s="779">
        <v>1496</v>
      </c>
      <c r="Y1050" s="1268">
        <v>1496</v>
      </c>
      <c r="Z1050" s="1268">
        <v>1496</v>
      </c>
      <c r="AA1050" s="1268">
        <v>1496</v>
      </c>
      <c r="AB1050" s="1268">
        <v>1496</v>
      </c>
      <c r="AC1050" s="1268">
        <v>1496</v>
      </c>
      <c r="AD1050" s="1268">
        <v>1496</v>
      </c>
      <c r="AE1050" s="1268">
        <v>1496</v>
      </c>
      <c r="AF1050" s="253">
        <v>1496</v>
      </c>
      <c r="AG1050" s="253">
        <f t="shared" si="203"/>
        <v>1496</v>
      </c>
      <c r="DG1050" s="543"/>
      <c r="DH1050" s="149"/>
      <c r="DI1050" s="1020"/>
      <c r="DJ1050" s="2045"/>
    </row>
    <row r="1051" spans="1:114" ht="15" customHeight="1" outlineLevel="1" x14ac:dyDescent="0.25">
      <c r="A1051" s="2145"/>
      <c r="C1051" s="49"/>
      <c r="D1051" s="2394"/>
      <c r="E1051" s="2394"/>
      <c r="F1051" s="2404" t="str">
        <f>$E$797</f>
        <v>ASHP-SEER18_ER1_MF</v>
      </c>
      <c r="G1051" s="2404"/>
      <c r="H1051" s="2404"/>
      <c r="I1051" s="2404"/>
      <c r="J1051" s="1506" t="str">
        <f>$C$797</f>
        <v>354350_2024_12_</v>
      </c>
      <c r="K1051" s="1534">
        <v>1496</v>
      </c>
      <c r="L1051" s="244"/>
      <c r="M1051" s="731" t="s">
        <v>1289</v>
      </c>
      <c r="T1051" s="50"/>
      <c r="U1051" s="50"/>
      <c r="V1051" s="2394"/>
      <c r="W1051" s="1268">
        <v>2009</v>
      </c>
      <c r="X1051" s="779">
        <v>1496</v>
      </c>
      <c r="Y1051" s="1268">
        <v>1496</v>
      </c>
      <c r="Z1051" s="1268">
        <v>1496</v>
      </c>
      <c r="AA1051" s="1268">
        <v>1496</v>
      </c>
      <c r="AB1051" s="1268">
        <v>1496</v>
      </c>
      <c r="AC1051" s="1268">
        <v>1496</v>
      </c>
      <c r="AD1051" s="1268">
        <v>1496</v>
      </c>
      <c r="AE1051" s="1268">
        <v>1496</v>
      </c>
      <c r="AF1051" s="253">
        <v>1496</v>
      </c>
      <c r="AG1051" s="253">
        <f t="shared" si="203"/>
        <v>1496</v>
      </c>
      <c r="DG1051" s="543"/>
      <c r="DH1051" s="149"/>
      <c r="DI1051" s="1020"/>
      <c r="DJ1051" s="2045"/>
    </row>
    <row r="1052" spans="1:114" ht="15" customHeight="1" outlineLevel="1" x14ac:dyDescent="0.25">
      <c r="A1052" s="2145"/>
      <c r="C1052" s="49"/>
      <c r="D1052" s="2394"/>
      <c r="E1052" s="2394"/>
      <c r="F1052" s="2404" t="str">
        <f>$E$799</f>
        <v>ASHP-SEER18_ER2_MF</v>
      </c>
      <c r="G1052" s="2404"/>
      <c r="H1052" s="2404"/>
      <c r="I1052" s="2404"/>
      <c r="J1052" s="1506" t="str">
        <f>$C$799</f>
        <v>354350_2024_12_</v>
      </c>
      <c r="K1052" s="1534">
        <v>1496</v>
      </c>
      <c r="L1052" s="244"/>
      <c r="M1052" s="731" t="s">
        <v>1289</v>
      </c>
      <c r="T1052" s="50"/>
      <c r="U1052" s="50"/>
      <c r="V1052" s="2394"/>
      <c r="W1052" s="1268">
        <v>2009</v>
      </c>
      <c r="X1052" s="779">
        <v>1496</v>
      </c>
      <c r="Y1052" s="1268">
        <v>1496</v>
      </c>
      <c r="Z1052" s="1268">
        <v>1496</v>
      </c>
      <c r="AA1052" s="1268">
        <v>1496</v>
      </c>
      <c r="AB1052" s="1268">
        <v>1496</v>
      </c>
      <c r="AC1052" s="1268">
        <v>1496</v>
      </c>
      <c r="AD1052" s="1268">
        <v>1496</v>
      </c>
      <c r="AE1052" s="1268">
        <v>1496</v>
      </c>
      <c r="AF1052" s="253">
        <v>1496</v>
      </c>
      <c r="AG1052" s="253">
        <f t="shared" si="203"/>
        <v>1496</v>
      </c>
      <c r="DG1052" s="543"/>
      <c r="DH1052" s="149"/>
      <c r="DI1052" s="1020"/>
      <c r="DJ1052" s="2045"/>
    </row>
    <row r="1053" spans="1:114" ht="15" customHeight="1" outlineLevel="1" x14ac:dyDescent="0.25">
      <c r="A1053" s="2145"/>
      <c r="C1053" s="49"/>
      <c r="D1053" s="2394"/>
      <c r="E1053" s="2394"/>
      <c r="F1053" s="2404" t="str">
        <f>$E$801</f>
        <v>ASHP-SEER19-Replace_CAC_ElectricHeat_ER1_SF</v>
      </c>
      <c r="G1053" s="2404"/>
      <c r="H1053" s="2404"/>
      <c r="I1053" s="2404"/>
      <c r="J1053" s="1506" t="str">
        <f>$C$801</f>
        <v>354400_2024_12_</v>
      </c>
      <c r="K1053" s="1534">
        <v>1496</v>
      </c>
      <c r="L1053" s="244"/>
      <c r="M1053" s="731" t="s">
        <v>1289</v>
      </c>
      <c r="T1053" s="50"/>
      <c r="U1053" s="50"/>
      <c r="V1053" s="2394"/>
      <c r="W1053" s="1268">
        <v>2009</v>
      </c>
      <c r="X1053" s="779">
        <v>1496</v>
      </c>
      <c r="Y1053" s="1268">
        <v>1496</v>
      </c>
      <c r="Z1053" s="1268">
        <v>1496</v>
      </c>
      <c r="AA1053" s="1268">
        <v>1496</v>
      </c>
      <c r="AB1053" s="1268">
        <v>1496</v>
      </c>
      <c r="AC1053" s="1268">
        <v>1496</v>
      </c>
      <c r="AD1053" s="1268">
        <v>1496</v>
      </c>
      <c r="AE1053" s="1268">
        <v>1496</v>
      </c>
      <c r="AF1053" s="253">
        <v>1496</v>
      </c>
      <c r="AG1053" s="253">
        <f t="shared" si="203"/>
        <v>1496</v>
      </c>
      <c r="DG1053" s="543"/>
      <c r="DH1053" s="149"/>
      <c r="DI1053" s="1020"/>
      <c r="DJ1053" s="2045"/>
    </row>
    <row r="1054" spans="1:114" ht="15" customHeight="1" outlineLevel="1" x14ac:dyDescent="0.25">
      <c r="A1054" s="2145"/>
      <c r="C1054" s="49"/>
      <c r="D1054" s="2394"/>
      <c r="E1054" s="2394"/>
      <c r="F1054" s="2404" t="str">
        <f>$E$803</f>
        <v>ASHP-SEER19-Replace_CAC_ElectricHeat_ER2_SF</v>
      </c>
      <c r="G1054" s="2404"/>
      <c r="H1054" s="2404"/>
      <c r="I1054" s="2404"/>
      <c r="J1054" s="1506" t="str">
        <f>$C$803</f>
        <v>354400_2024_12_</v>
      </c>
      <c r="K1054" s="1534">
        <v>1496</v>
      </c>
      <c r="L1054" s="244"/>
      <c r="M1054" s="731" t="s">
        <v>1289</v>
      </c>
      <c r="T1054" s="50"/>
      <c r="U1054" s="50"/>
      <c r="V1054" s="2394"/>
      <c r="W1054" s="1268">
        <v>2009</v>
      </c>
      <c r="X1054" s="779">
        <v>1496</v>
      </c>
      <c r="Y1054" s="1268">
        <v>1496</v>
      </c>
      <c r="Z1054" s="1268">
        <v>1496</v>
      </c>
      <c r="AA1054" s="1268">
        <v>1496</v>
      </c>
      <c r="AB1054" s="1268">
        <v>1496</v>
      </c>
      <c r="AC1054" s="1268">
        <v>1496</v>
      </c>
      <c r="AD1054" s="1268">
        <v>1496</v>
      </c>
      <c r="AE1054" s="1268">
        <v>1496</v>
      </c>
      <c r="AF1054" s="253">
        <v>1496</v>
      </c>
      <c r="AG1054" s="253">
        <f t="shared" si="203"/>
        <v>1496</v>
      </c>
      <c r="DG1054" s="543"/>
      <c r="DH1054" s="149"/>
      <c r="DI1054" s="1020"/>
      <c r="DJ1054" s="2045"/>
    </row>
    <row r="1055" spans="1:114" ht="15" customHeight="1" outlineLevel="1" x14ac:dyDescent="0.25">
      <c r="A1055" s="2145"/>
      <c r="C1055" s="49"/>
      <c r="D1055" s="2394"/>
      <c r="E1055" s="2394"/>
      <c r="F1055" s="2404" t="str">
        <f>$E$805</f>
        <v>ASHP-SEER19-Replace_CAC_NonElectricHeat_ER1_SF</v>
      </c>
      <c r="G1055" s="2404"/>
      <c r="H1055" s="2404"/>
      <c r="I1055" s="2404"/>
      <c r="J1055" s="1506" t="str">
        <f>$C$805</f>
        <v>354410_2024_12_</v>
      </c>
      <c r="K1055" s="1536">
        <v>1496</v>
      </c>
      <c r="L1055" s="244"/>
      <c r="M1055" s="731" t="s">
        <v>1289</v>
      </c>
      <c r="T1055" s="50"/>
      <c r="U1055" s="50"/>
      <c r="V1055" s="2394"/>
      <c r="W1055" s="1268"/>
      <c r="X1055" s="779"/>
      <c r="Y1055" s="1268"/>
      <c r="Z1055" s="1268"/>
      <c r="AA1055" s="1268"/>
      <c r="AB1055" s="1268"/>
      <c r="AC1055" s="775">
        <v>1496</v>
      </c>
      <c r="AD1055" s="752">
        <v>1496</v>
      </c>
      <c r="AE1055" s="752">
        <v>1496</v>
      </c>
      <c r="AF1055" s="253">
        <v>1496</v>
      </c>
      <c r="AG1055" s="253">
        <f t="shared" si="203"/>
        <v>1496</v>
      </c>
      <c r="DG1055" s="543"/>
      <c r="DH1055" s="149"/>
      <c r="DI1055" s="1020"/>
      <c r="DJ1055" s="2045"/>
    </row>
    <row r="1056" spans="1:114" ht="15" customHeight="1" outlineLevel="1" x14ac:dyDescent="0.25">
      <c r="A1056" s="2145"/>
      <c r="C1056" s="49"/>
      <c r="D1056" s="2394"/>
      <c r="E1056" s="2394"/>
      <c r="F1056" s="2404" t="str">
        <f>$E$807</f>
        <v>ASHP-SEER19-Replace_CAC_NonElectricHeat_ER2_SF</v>
      </c>
      <c r="G1056" s="2404"/>
      <c r="H1056" s="2404"/>
      <c r="I1056" s="2404"/>
      <c r="J1056" s="1506" t="str">
        <f>$C$807</f>
        <v>354410_2024_12_</v>
      </c>
      <c r="K1056" s="1536">
        <v>1496</v>
      </c>
      <c r="L1056" s="244"/>
      <c r="M1056" s="731" t="s">
        <v>1289</v>
      </c>
      <c r="T1056" s="50"/>
      <c r="U1056" s="50"/>
      <c r="V1056" s="2394"/>
      <c r="W1056" s="1268"/>
      <c r="X1056" s="779"/>
      <c r="Y1056" s="1268"/>
      <c r="Z1056" s="1268"/>
      <c r="AA1056" s="1268"/>
      <c r="AB1056" s="1268"/>
      <c r="AC1056" s="775">
        <v>1496</v>
      </c>
      <c r="AD1056" s="752">
        <v>1496</v>
      </c>
      <c r="AE1056" s="752">
        <v>1496</v>
      </c>
      <c r="AF1056" s="253">
        <v>1496</v>
      </c>
      <c r="AG1056" s="253">
        <f t="shared" si="203"/>
        <v>1496</v>
      </c>
      <c r="DG1056" s="543"/>
      <c r="DH1056" s="149"/>
      <c r="DI1056" s="1020"/>
      <c r="DJ1056" s="2045"/>
    </row>
    <row r="1057" spans="1:114" ht="15" customHeight="1" outlineLevel="1" x14ac:dyDescent="0.25">
      <c r="A1057" s="2145"/>
      <c r="C1057" s="49"/>
      <c r="D1057" s="2394"/>
      <c r="E1057" s="2394"/>
      <c r="F1057" s="2404" t="str">
        <f>$E$809</f>
        <v>ASHP-SEER19-Replace_CAC_ElectricHeat_ER1_MF</v>
      </c>
      <c r="G1057" s="2404"/>
      <c r="H1057" s="2404"/>
      <c r="I1057" s="2404"/>
      <c r="J1057" s="1506" t="str">
        <f>$C$809</f>
        <v>354450_2024_12_</v>
      </c>
      <c r="K1057" s="1534">
        <v>1496</v>
      </c>
      <c r="L1057" s="244"/>
      <c r="M1057" s="731" t="s">
        <v>1289</v>
      </c>
      <c r="T1057" s="50"/>
      <c r="U1057" s="50"/>
      <c r="V1057" s="2394"/>
      <c r="W1057" s="1268">
        <v>2009</v>
      </c>
      <c r="X1057" s="779">
        <v>1496</v>
      </c>
      <c r="Y1057" s="1268">
        <v>1496</v>
      </c>
      <c r="Z1057" s="1268">
        <v>1496</v>
      </c>
      <c r="AA1057" s="1268">
        <v>1496</v>
      </c>
      <c r="AB1057" s="1268">
        <v>1496</v>
      </c>
      <c r="AC1057" s="1268">
        <v>1496</v>
      </c>
      <c r="AD1057" s="1268">
        <v>1496</v>
      </c>
      <c r="AE1057" s="1268">
        <v>1496</v>
      </c>
      <c r="AF1057" s="253">
        <v>1496</v>
      </c>
      <c r="AG1057" s="253">
        <f t="shared" si="203"/>
        <v>1496</v>
      </c>
      <c r="DG1057" s="543"/>
      <c r="DH1057" s="149"/>
      <c r="DI1057" s="1020"/>
      <c r="DJ1057" s="2045"/>
    </row>
    <row r="1058" spans="1:114" ht="15" customHeight="1" outlineLevel="1" x14ac:dyDescent="0.25">
      <c r="A1058" s="2145"/>
      <c r="C1058" s="49"/>
      <c r="D1058" s="2394"/>
      <c r="E1058" s="2394"/>
      <c r="F1058" s="2404" t="str">
        <f>$E$811</f>
        <v>ASHP-SEER19-Replace_CAC_ElectricHeat_ER2_MF</v>
      </c>
      <c r="G1058" s="2404"/>
      <c r="H1058" s="2404"/>
      <c r="I1058" s="2404"/>
      <c r="J1058" s="1506" t="str">
        <f>$C$811</f>
        <v>354450_2024_12_</v>
      </c>
      <c r="K1058" s="1534">
        <v>1496</v>
      </c>
      <c r="L1058" s="244"/>
      <c r="M1058" s="731" t="s">
        <v>1289</v>
      </c>
      <c r="T1058" s="50"/>
      <c r="U1058" s="50"/>
      <c r="V1058" s="2394"/>
      <c r="W1058" s="1268">
        <v>2009</v>
      </c>
      <c r="X1058" s="779">
        <v>1496</v>
      </c>
      <c r="Y1058" s="1268">
        <v>1496</v>
      </c>
      <c r="Z1058" s="1268">
        <v>1496</v>
      </c>
      <c r="AA1058" s="1268">
        <v>1496</v>
      </c>
      <c r="AB1058" s="1268">
        <v>1496</v>
      </c>
      <c r="AC1058" s="1268">
        <v>1496</v>
      </c>
      <c r="AD1058" s="1268">
        <v>1496</v>
      </c>
      <c r="AE1058" s="1268">
        <v>1496</v>
      </c>
      <c r="AF1058" s="253">
        <v>1496</v>
      </c>
      <c r="AG1058" s="253">
        <f t="shared" si="203"/>
        <v>1496</v>
      </c>
      <c r="DG1058" s="543"/>
      <c r="DH1058" s="149"/>
      <c r="DI1058" s="1020"/>
      <c r="DJ1058" s="2045"/>
    </row>
    <row r="1059" spans="1:114" ht="15" customHeight="1" outlineLevel="1" x14ac:dyDescent="0.25">
      <c r="A1059" s="2145"/>
      <c r="C1059" s="49"/>
      <c r="D1059" s="2394"/>
      <c r="E1059" s="2394"/>
      <c r="F1059" s="2404" t="str">
        <f>$E$813</f>
        <v>ASHP-SEER19_ER1_MF</v>
      </c>
      <c r="G1059" s="2404"/>
      <c r="H1059" s="2404"/>
      <c r="I1059" s="2404"/>
      <c r="J1059" s="1506" t="str">
        <f>$C$813</f>
        <v>354500_2024_12_</v>
      </c>
      <c r="K1059" s="1534">
        <v>1496</v>
      </c>
      <c r="L1059" s="244"/>
      <c r="M1059" s="731" t="s">
        <v>1289</v>
      </c>
      <c r="T1059" s="50"/>
      <c r="U1059" s="50"/>
      <c r="V1059" s="2394"/>
      <c r="W1059" s="1268">
        <v>2009</v>
      </c>
      <c r="X1059" s="779">
        <v>1496</v>
      </c>
      <c r="Y1059" s="1268">
        <v>1496</v>
      </c>
      <c r="Z1059" s="1268">
        <v>1496</v>
      </c>
      <c r="AA1059" s="1268">
        <v>1496</v>
      </c>
      <c r="AB1059" s="1268">
        <v>1496</v>
      </c>
      <c r="AC1059" s="1268">
        <v>1496</v>
      </c>
      <c r="AD1059" s="1268">
        <v>1496</v>
      </c>
      <c r="AE1059" s="1268">
        <v>1496</v>
      </c>
      <c r="AF1059" s="253">
        <v>1496</v>
      </c>
      <c r="AG1059" s="253">
        <f t="shared" si="203"/>
        <v>1496</v>
      </c>
      <c r="DG1059" s="543"/>
      <c r="DH1059" s="149"/>
      <c r="DI1059" s="1020"/>
      <c r="DJ1059" s="2045"/>
    </row>
    <row r="1060" spans="1:114" ht="15" customHeight="1" outlineLevel="1" x14ac:dyDescent="0.25">
      <c r="A1060" s="2145"/>
      <c r="C1060" s="49"/>
      <c r="D1060" s="2394"/>
      <c r="E1060" s="2394"/>
      <c r="F1060" s="2404" t="str">
        <f>$E$815</f>
        <v>ASHP-SEER19_ER2_MF</v>
      </c>
      <c r="G1060" s="2404"/>
      <c r="H1060" s="2404"/>
      <c r="I1060" s="2404"/>
      <c r="J1060" s="1506" t="str">
        <f>$C$815</f>
        <v>354500_2024_12_</v>
      </c>
      <c r="K1060" s="1534">
        <v>1496</v>
      </c>
      <c r="L1060" s="244"/>
      <c r="M1060" s="731" t="s">
        <v>1289</v>
      </c>
      <c r="T1060" s="50"/>
      <c r="U1060" s="50"/>
      <c r="V1060" s="2394"/>
      <c r="W1060" s="1268">
        <v>2009</v>
      </c>
      <c r="X1060" s="779">
        <v>1496</v>
      </c>
      <c r="Y1060" s="1268">
        <v>1496</v>
      </c>
      <c r="Z1060" s="1268">
        <v>1496</v>
      </c>
      <c r="AA1060" s="1268">
        <v>1496</v>
      </c>
      <c r="AB1060" s="1268">
        <v>1496</v>
      </c>
      <c r="AC1060" s="1268">
        <v>1496</v>
      </c>
      <c r="AD1060" s="1268">
        <v>1496</v>
      </c>
      <c r="AE1060" s="1268">
        <v>1496</v>
      </c>
      <c r="AF1060" s="253">
        <v>1496</v>
      </c>
      <c r="AG1060" s="253">
        <f t="shared" si="203"/>
        <v>1496</v>
      </c>
      <c r="DG1060" s="543"/>
      <c r="DH1060" s="149"/>
      <c r="DI1060" s="1020"/>
      <c r="DJ1060" s="2045"/>
    </row>
    <row r="1061" spans="1:114" ht="15" customHeight="1" outlineLevel="1" x14ac:dyDescent="0.25">
      <c r="A1061" s="2145"/>
      <c r="C1061" s="49"/>
      <c r="D1061" s="2394"/>
      <c r="E1061" s="2394"/>
      <c r="F1061" s="2404" t="str">
        <f>$E$817</f>
        <v>ASHP-SEER20_ER1_SF</v>
      </c>
      <c r="G1061" s="2404"/>
      <c r="H1061" s="2404"/>
      <c r="I1061" s="2404"/>
      <c r="J1061" s="1506" t="str">
        <f>$C$817</f>
        <v>354550_2024_12_</v>
      </c>
      <c r="K1061" s="1534">
        <v>1496</v>
      </c>
      <c r="L1061" s="244"/>
      <c r="M1061" s="731" t="s">
        <v>1289</v>
      </c>
      <c r="T1061" s="50"/>
      <c r="U1061" s="50"/>
      <c r="V1061" s="2394"/>
      <c r="W1061" s="1268">
        <v>2009</v>
      </c>
      <c r="X1061" s="779">
        <v>1496</v>
      </c>
      <c r="Y1061" s="1268">
        <v>1496</v>
      </c>
      <c r="Z1061" s="1268">
        <v>1496</v>
      </c>
      <c r="AA1061" s="1268">
        <v>1496</v>
      </c>
      <c r="AB1061" s="1268">
        <v>1496</v>
      </c>
      <c r="AC1061" s="1268">
        <v>1496</v>
      </c>
      <c r="AD1061" s="1268">
        <v>1496</v>
      </c>
      <c r="AE1061" s="1268">
        <v>1496</v>
      </c>
      <c r="AF1061" s="253">
        <v>1496</v>
      </c>
      <c r="AG1061" s="253">
        <f t="shared" si="203"/>
        <v>1496</v>
      </c>
      <c r="DG1061" s="543"/>
      <c r="DH1061" s="149"/>
      <c r="DI1061" s="1020"/>
      <c r="DJ1061" s="2045"/>
    </row>
    <row r="1062" spans="1:114" ht="15" customHeight="1" outlineLevel="1" x14ac:dyDescent="0.25">
      <c r="A1062" s="2145"/>
      <c r="C1062" s="49"/>
      <c r="D1062" s="2394"/>
      <c r="E1062" s="2394"/>
      <c r="F1062" s="2404" t="str">
        <f>$E$819</f>
        <v>ASHP-SEER20_ER2_SF</v>
      </c>
      <c r="G1062" s="2404"/>
      <c r="H1062" s="2404"/>
      <c r="I1062" s="2404"/>
      <c r="J1062" s="1506" t="str">
        <f>$C$819</f>
        <v>354550_2024_12_</v>
      </c>
      <c r="K1062" s="1534">
        <v>1496</v>
      </c>
      <c r="L1062" s="244"/>
      <c r="M1062" s="731" t="s">
        <v>1289</v>
      </c>
      <c r="T1062" s="50"/>
      <c r="U1062" s="50"/>
      <c r="V1062" s="2394"/>
      <c r="W1062" s="1268">
        <v>2009</v>
      </c>
      <c r="X1062" s="779">
        <v>1496</v>
      </c>
      <c r="Y1062" s="1268">
        <v>1496</v>
      </c>
      <c r="Z1062" s="1268">
        <v>1496</v>
      </c>
      <c r="AA1062" s="1268">
        <v>1496</v>
      </c>
      <c r="AB1062" s="1268">
        <v>1496</v>
      </c>
      <c r="AC1062" s="1268">
        <v>1496</v>
      </c>
      <c r="AD1062" s="1268">
        <v>1496</v>
      </c>
      <c r="AE1062" s="1268">
        <v>1496</v>
      </c>
      <c r="AF1062" s="253">
        <v>1496</v>
      </c>
      <c r="AG1062" s="253">
        <f t="shared" si="203"/>
        <v>1496</v>
      </c>
      <c r="DG1062" s="543"/>
      <c r="DH1062" s="149"/>
      <c r="DI1062" s="1020"/>
      <c r="DJ1062" s="2045"/>
    </row>
    <row r="1063" spans="1:114" ht="15" customHeight="1" outlineLevel="1" x14ac:dyDescent="0.25">
      <c r="A1063" s="2145"/>
      <c r="C1063" s="49"/>
      <c r="D1063" s="2394"/>
      <c r="E1063" s="2394"/>
      <c r="F1063" s="2404" t="str">
        <f>$E$821</f>
        <v>ASHP-SEER20_ROF_SF</v>
      </c>
      <c r="G1063" s="2404"/>
      <c r="H1063" s="2404"/>
      <c r="I1063" s="2404"/>
      <c r="J1063" s="1506" t="str">
        <f>$C$821</f>
        <v>354600_2024_12_</v>
      </c>
      <c r="K1063" s="1534">
        <v>1496</v>
      </c>
      <c r="L1063" s="244"/>
      <c r="M1063" s="731" t="s">
        <v>1289</v>
      </c>
      <c r="T1063" s="50"/>
      <c r="U1063" s="50"/>
      <c r="V1063" s="2394"/>
      <c r="W1063" s="1268">
        <v>2009</v>
      </c>
      <c r="X1063" s="779">
        <v>1496</v>
      </c>
      <c r="Y1063" s="1268">
        <v>1496</v>
      </c>
      <c r="Z1063" s="1268">
        <v>1496</v>
      </c>
      <c r="AA1063" s="1268">
        <v>1496</v>
      </c>
      <c r="AB1063" s="1268">
        <v>1496</v>
      </c>
      <c r="AC1063" s="1268">
        <v>1496</v>
      </c>
      <c r="AD1063" s="1268">
        <v>1496</v>
      </c>
      <c r="AE1063" s="1268">
        <v>1496</v>
      </c>
      <c r="AF1063" s="253">
        <v>1496</v>
      </c>
      <c r="AG1063" s="253">
        <f t="shared" si="203"/>
        <v>1496</v>
      </c>
      <c r="DG1063" s="543"/>
      <c r="DH1063" s="149"/>
      <c r="DI1063" s="1020"/>
      <c r="DJ1063" s="2045"/>
    </row>
    <row r="1064" spans="1:114" ht="15" customHeight="1" outlineLevel="1" x14ac:dyDescent="0.25">
      <c r="A1064" s="2145"/>
      <c r="C1064" s="49"/>
      <c r="D1064" s="2394"/>
      <c r="E1064" s="2394"/>
      <c r="F1064" s="2404" t="str">
        <f>$E$823</f>
        <v>ASHP-SEER20-Replace_CAC_ElectricHeat_ER1_MF</v>
      </c>
      <c r="G1064" s="2404"/>
      <c r="H1064" s="2404"/>
      <c r="I1064" s="2404"/>
      <c r="J1064" s="1506" t="str">
        <f>$C$823</f>
        <v>354650_2024_12_</v>
      </c>
      <c r="K1064" s="1534">
        <v>1496</v>
      </c>
      <c r="L1064" s="244"/>
      <c r="M1064" s="731" t="s">
        <v>1289</v>
      </c>
      <c r="T1064" s="50"/>
      <c r="U1064" s="50"/>
      <c r="V1064" s="2394"/>
      <c r="W1064" s="1268">
        <v>2009</v>
      </c>
      <c r="X1064" s="779">
        <v>1496</v>
      </c>
      <c r="Y1064" s="1268">
        <v>1496</v>
      </c>
      <c r="Z1064" s="1268">
        <v>1496</v>
      </c>
      <c r="AA1064" s="1268">
        <v>1496</v>
      </c>
      <c r="AB1064" s="1268">
        <v>1496</v>
      </c>
      <c r="AC1064" s="1268">
        <v>1496</v>
      </c>
      <c r="AD1064" s="1268">
        <v>1496</v>
      </c>
      <c r="AE1064" s="1268">
        <v>1496</v>
      </c>
      <c r="AF1064" s="253">
        <v>1496</v>
      </c>
      <c r="AG1064" s="253">
        <f t="shared" si="203"/>
        <v>1496</v>
      </c>
      <c r="DG1064" s="543"/>
      <c r="DH1064" s="149"/>
      <c r="DI1064" s="1020"/>
      <c r="DJ1064" s="2045"/>
    </row>
    <row r="1065" spans="1:114" ht="15" customHeight="1" outlineLevel="1" x14ac:dyDescent="0.25">
      <c r="A1065" s="2145"/>
      <c r="C1065" s="49"/>
      <c r="D1065" s="2394"/>
      <c r="E1065" s="2394"/>
      <c r="F1065" s="2404" t="str">
        <f>$E$825</f>
        <v>ASHP-SEER20-Replace_CAC_ElectricHeat_ER2_MF</v>
      </c>
      <c r="G1065" s="2404"/>
      <c r="H1065" s="2404"/>
      <c r="I1065" s="2404"/>
      <c r="J1065" s="1506" t="str">
        <f>$C$825</f>
        <v>354650_2024_12_</v>
      </c>
      <c r="K1065" s="1534">
        <v>1496</v>
      </c>
      <c r="L1065" s="244"/>
      <c r="M1065" s="731" t="s">
        <v>1289</v>
      </c>
      <c r="T1065" s="50"/>
      <c r="U1065" s="50"/>
      <c r="V1065" s="2394"/>
      <c r="W1065" s="1268">
        <v>2009</v>
      </c>
      <c r="X1065" s="779">
        <v>1496</v>
      </c>
      <c r="Y1065" s="1268">
        <v>1496</v>
      </c>
      <c r="Z1065" s="1268">
        <v>1496</v>
      </c>
      <c r="AA1065" s="1268">
        <v>1496</v>
      </c>
      <c r="AB1065" s="1268">
        <v>1496</v>
      </c>
      <c r="AC1065" s="1268">
        <v>1496</v>
      </c>
      <c r="AD1065" s="1268">
        <v>1496</v>
      </c>
      <c r="AE1065" s="1268">
        <v>1496</v>
      </c>
      <c r="AF1065" s="253">
        <v>1496</v>
      </c>
      <c r="AG1065" s="253">
        <f t="shared" si="203"/>
        <v>1496</v>
      </c>
      <c r="DG1065" s="543"/>
      <c r="DH1065" s="149"/>
      <c r="DI1065" s="1020"/>
      <c r="DJ1065" s="2045"/>
    </row>
    <row r="1066" spans="1:114" ht="15" customHeight="1" outlineLevel="1" x14ac:dyDescent="0.25">
      <c r="A1066" s="2145"/>
      <c r="C1066" s="49"/>
      <c r="D1066" s="2394"/>
      <c r="E1066" s="2394"/>
      <c r="F1066" s="2404" t="str">
        <f>$E$827</f>
        <v>ASHP-SEER20_ER1_MF</v>
      </c>
      <c r="G1066" s="2404"/>
      <c r="H1066" s="2404"/>
      <c r="I1066" s="2404"/>
      <c r="J1066" s="1506" t="str">
        <f>$C$827</f>
        <v>354700_2024_12_</v>
      </c>
      <c r="K1066" s="1534">
        <v>1496</v>
      </c>
      <c r="L1066" s="244"/>
      <c r="M1066" s="731" t="s">
        <v>1289</v>
      </c>
      <c r="T1066" s="50"/>
      <c r="U1066" s="50"/>
      <c r="V1066" s="2394"/>
      <c r="W1066" s="1268">
        <v>2009</v>
      </c>
      <c r="X1066" s="779">
        <v>1496</v>
      </c>
      <c r="Y1066" s="1268">
        <v>1496</v>
      </c>
      <c r="Z1066" s="1268">
        <v>1496</v>
      </c>
      <c r="AA1066" s="1268">
        <v>1496</v>
      </c>
      <c r="AB1066" s="1268">
        <v>1496</v>
      </c>
      <c r="AC1066" s="1268">
        <v>1496</v>
      </c>
      <c r="AD1066" s="1268">
        <v>1496</v>
      </c>
      <c r="AE1066" s="1268">
        <v>1496</v>
      </c>
      <c r="AF1066" s="253">
        <v>1496</v>
      </c>
      <c r="AG1066" s="253">
        <f t="shared" si="203"/>
        <v>1496</v>
      </c>
      <c r="DG1066" s="543"/>
      <c r="DH1066" s="149"/>
      <c r="DI1066" s="1020"/>
      <c r="DJ1066" s="2045"/>
    </row>
    <row r="1067" spans="1:114" ht="15" customHeight="1" outlineLevel="1" x14ac:dyDescent="0.25">
      <c r="A1067" s="2145"/>
      <c r="C1067" s="49"/>
      <c r="D1067" s="2394"/>
      <c r="E1067" s="2394"/>
      <c r="F1067" s="2404" t="str">
        <f>$E$829</f>
        <v>ASHP-SEER20_ER2_MF</v>
      </c>
      <c r="G1067" s="2404"/>
      <c r="H1067" s="2404"/>
      <c r="I1067" s="2404"/>
      <c r="J1067" s="1506" t="str">
        <f>$C$829</f>
        <v>354700_2024_12_</v>
      </c>
      <c r="K1067" s="1534">
        <v>1496</v>
      </c>
      <c r="L1067" s="244"/>
      <c r="M1067" s="731" t="s">
        <v>1289</v>
      </c>
      <c r="T1067" s="50"/>
      <c r="U1067" s="50"/>
      <c r="V1067" s="2394"/>
      <c r="W1067" s="1268">
        <v>2009</v>
      </c>
      <c r="X1067" s="779">
        <v>1496</v>
      </c>
      <c r="Y1067" s="1268">
        <v>1496</v>
      </c>
      <c r="Z1067" s="1268">
        <v>1496</v>
      </c>
      <c r="AA1067" s="1268">
        <v>1496</v>
      </c>
      <c r="AB1067" s="1268">
        <v>1496</v>
      </c>
      <c r="AC1067" s="1268">
        <v>1496</v>
      </c>
      <c r="AD1067" s="1268">
        <v>1496</v>
      </c>
      <c r="AE1067" s="1268">
        <v>1496</v>
      </c>
      <c r="AF1067" s="253">
        <v>1496</v>
      </c>
      <c r="AG1067" s="253">
        <f t="shared" si="203"/>
        <v>1496</v>
      </c>
      <c r="DG1067" s="543"/>
      <c r="DH1067" s="149"/>
      <c r="DI1067" s="1020"/>
      <c r="DJ1067" s="2045"/>
    </row>
    <row r="1068" spans="1:114" ht="15" customHeight="1" outlineLevel="1" x14ac:dyDescent="0.25">
      <c r="A1068" s="2145"/>
      <c r="C1068" s="49"/>
      <c r="D1068" s="2394"/>
      <c r="E1068" s="2394"/>
      <c r="F1068" s="2404" t="str">
        <f>$E$831</f>
        <v>ASHP-SEER21_ER1_SF</v>
      </c>
      <c r="G1068" s="2404"/>
      <c r="H1068" s="2404"/>
      <c r="I1068" s="2404"/>
      <c r="J1068" s="1506" t="str">
        <f>$C$831</f>
        <v>354750_2024_12_</v>
      </c>
      <c r="K1068" s="1534">
        <v>1496</v>
      </c>
      <c r="L1068" s="244"/>
      <c r="M1068" s="731" t="s">
        <v>1289</v>
      </c>
      <c r="T1068" s="50"/>
      <c r="U1068" s="50"/>
      <c r="V1068" s="2394"/>
      <c r="W1068" s="1268">
        <v>2009</v>
      </c>
      <c r="X1068" s="779">
        <v>1496</v>
      </c>
      <c r="Y1068" s="1268">
        <v>1496</v>
      </c>
      <c r="Z1068" s="1268">
        <v>1496</v>
      </c>
      <c r="AA1068" s="1268">
        <v>1496</v>
      </c>
      <c r="AB1068" s="1268">
        <v>1496</v>
      </c>
      <c r="AC1068" s="1268">
        <v>1496</v>
      </c>
      <c r="AD1068" s="1268">
        <v>1496</v>
      </c>
      <c r="AE1068" s="1268">
        <v>1496</v>
      </c>
      <c r="AF1068" s="253">
        <v>1496</v>
      </c>
      <c r="AG1068" s="253">
        <f t="shared" si="203"/>
        <v>1496</v>
      </c>
      <c r="DG1068" s="543"/>
      <c r="DH1068" s="149"/>
      <c r="DI1068" s="1020"/>
      <c r="DJ1068" s="2045"/>
    </row>
    <row r="1069" spans="1:114" ht="15" customHeight="1" outlineLevel="1" x14ac:dyDescent="0.25">
      <c r="A1069" s="2145"/>
      <c r="C1069" s="49"/>
      <c r="D1069" s="2394"/>
      <c r="E1069" s="2394"/>
      <c r="F1069" s="2404" t="str">
        <f>$E$833</f>
        <v>ASHP-SEER21_ER2_SF</v>
      </c>
      <c r="G1069" s="2404"/>
      <c r="H1069" s="2404"/>
      <c r="I1069" s="2404"/>
      <c r="J1069" s="1506" t="str">
        <f>$C$833</f>
        <v>354750_2024_12_</v>
      </c>
      <c r="K1069" s="1534">
        <v>1496</v>
      </c>
      <c r="L1069" s="244"/>
      <c r="M1069" s="731" t="s">
        <v>1289</v>
      </c>
      <c r="T1069" s="50"/>
      <c r="U1069" s="50"/>
      <c r="V1069" s="2394"/>
      <c r="W1069" s="1268">
        <v>2009</v>
      </c>
      <c r="X1069" s="779">
        <v>1496</v>
      </c>
      <c r="Y1069" s="1268">
        <v>1496</v>
      </c>
      <c r="Z1069" s="1268">
        <v>1496</v>
      </c>
      <c r="AA1069" s="1268">
        <v>1496</v>
      </c>
      <c r="AB1069" s="1268">
        <v>1496</v>
      </c>
      <c r="AC1069" s="1268">
        <v>1496</v>
      </c>
      <c r="AD1069" s="1268">
        <v>1496</v>
      </c>
      <c r="AE1069" s="1268">
        <v>1496</v>
      </c>
      <c r="AF1069" s="253">
        <v>1496</v>
      </c>
      <c r="AG1069" s="253">
        <f t="shared" si="203"/>
        <v>1496</v>
      </c>
      <c r="DG1069" s="543"/>
      <c r="DH1069" s="149"/>
      <c r="DI1069" s="1020"/>
      <c r="DJ1069" s="2045"/>
    </row>
    <row r="1070" spans="1:114" ht="15" customHeight="1" outlineLevel="1" x14ac:dyDescent="0.25">
      <c r="A1070" s="2145"/>
      <c r="C1070" s="49"/>
      <c r="D1070" s="2394"/>
      <c r="E1070" s="2394"/>
      <c r="F1070" s="2404" t="str">
        <f>$E$835</f>
        <v>ASHP-SEER21_ROF_SF</v>
      </c>
      <c r="G1070" s="2404"/>
      <c r="H1070" s="2404"/>
      <c r="I1070" s="2404"/>
      <c r="J1070" s="1506" t="str">
        <f>$C$835</f>
        <v>354800_2024_12_</v>
      </c>
      <c r="K1070" s="1534">
        <v>1496</v>
      </c>
      <c r="L1070" s="244"/>
      <c r="M1070" s="731" t="s">
        <v>1289</v>
      </c>
      <c r="T1070" s="50"/>
      <c r="U1070" s="50"/>
      <c r="V1070" s="2394"/>
      <c r="W1070" s="1268">
        <v>2009</v>
      </c>
      <c r="X1070" s="779">
        <v>1496</v>
      </c>
      <c r="Y1070" s="1268">
        <v>1496</v>
      </c>
      <c r="Z1070" s="1268">
        <v>1496</v>
      </c>
      <c r="AA1070" s="1268">
        <v>1496</v>
      </c>
      <c r="AB1070" s="1268">
        <v>1496</v>
      </c>
      <c r="AC1070" s="1268">
        <v>1496</v>
      </c>
      <c r="AD1070" s="1268">
        <v>1496</v>
      </c>
      <c r="AE1070" s="1268">
        <v>1496</v>
      </c>
      <c r="AF1070" s="253">
        <v>1496</v>
      </c>
      <c r="AG1070" s="253">
        <f t="shared" si="203"/>
        <v>1496</v>
      </c>
      <c r="DG1070" s="543"/>
      <c r="DH1070" s="149"/>
      <c r="DI1070" s="1020"/>
      <c r="DJ1070" s="2045"/>
    </row>
    <row r="1071" spans="1:114" ht="15" customHeight="1" outlineLevel="1" x14ac:dyDescent="0.25">
      <c r="A1071" s="2145"/>
      <c r="C1071" s="49"/>
      <c r="D1071" s="2394"/>
      <c r="E1071" s="2394"/>
      <c r="F1071" s="2404" t="str">
        <f>$E$837</f>
        <v>ASHP-SEER21-Replace_CAC_ElectricHeat_ROF_MF</v>
      </c>
      <c r="G1071" s="2404"/>
      <c r="H1071" s="2404"/>
      <c r="I1071" s="2404"/>
      <c r="J1071" s="1506" t="str">
        <f>$C$837</f>
        <v>354850_2024_12_</v>
      </c>
      <c r="K1071" s="1534">
        <v>1496</v>
      </c>
      <c r="L1071" s="244"/>
      <c r="M1071" s="731" t="s">
        <v>1289</v>
      </c>
      <c r="T1071" s="50"/>
      <c r="U1071" s="50"/>
      <c r="V1071" s="2394"/>
      <c r="W1071" s="1268">
        <v>2009</v>
      </c>
      <c r="X1071" s="779">
        <v>1496</v>
      </c>
      <c r="Y1071" s="1268">
        <v>1496</v>
      </c>
      <c r="Z1071" s="1268">
        <v>1496</v>
      </c>
      <c r="AA1071" s="1268">
        <v>1496</v>
      </c>
      <c r="AB1071" s="1268">
        <v>1496</v>
      </c>
      <c r="AC1071" s="1268">
        <v>1496</v>
      </c>
      <c r="AD1071" s="1268">
        <v>1496</v>
      </c>
      <c r="AE1071" s="1268">
        <v>1496</v>
      </c>
      <c r="AF1071" s="253">
        <v>1496</v>
      </c>
      <c r="AG1071" s="253">
        <f t="shared" si="203"/>
        <v>1496</v>
      </c>
      <c r="DG1071" s="543"/>
      <c r="DH1071" s="149"/>
      <c r="DI1071" s="1020"/>
      <c r="DJ1071" s="2045"/>
    </row>
    <row r="1072" spans="1:114" ht="15" customHeight="1" outlineLevel="1" x14ac:dyDescent="0.25">
      <c r="A1072" s="2145"/>
      <c r="C1072" s="49"/>
      <c r="D1072" s="2394"/>
      <c r="E1072" s="2394"/>
      <c r="F1072" s="2404" t="str">
        <f>$E$839</f>
        <v>ASHP-SEER21_ER1_MF</v>
      </c>
      <c r="G1072" s="2404"/>
      <c r="H1072" s="2404"/>
      <c r="I1072" s="2404"/>
      <c r="J1072" s="1506" t="str">
        <f>$C$839</f>
        <v>354900_2024_12_</v>
      </c>
      <c r="K1072" s="1534">
        <v>1496</v>
      </c>
      <c r="L1072" s="244"/>
      <c r="M1072" s="731" t="s">
        <v>1289</v>
      </c>
      <c r="T1072" s="50"/>
      <c r="U1072" s="50"/>
      <c r="V1072" s="2394"/>
      <c r="W1072" s="1268">
        <v>2009</v>
      </c>
      <c r="X1072" s="779">
        <v>1496</v>
      </c>
      <c r="Y1072" s="1268">
        <v>1496</v>
      </c>
      <c r="Z1072" s="1268">
        <v>1496</v>
      </c>
      <c r="AA1072" s="1268">
        <v>1496</v>
      </c>
      <c r="AB1072" s="1268">
        <v>1496</v>
      </c>
      <c r="AC1072" s="1268">
        <v>1496</v>
      </c>
      <c r="AD1072" s="1268">
        <v>1496</v>
      </c>
      <c r="AE1072" s="1268">
        <v>1496</v>
      </c>
      <c r="AF1072" s="253">
        <v>1496</v>
      </c>
      <c r="AG1072" s="253">
        <f t="shared" si="203"/>
        <v>1496</v>
      </c>
      <c r="DG1072" s="543"/>
      <c r="DH1072" s="149"/>
      <c r="DI1072" s="1020"/>
      <c r="DJ1072" s="2045"/>
    </row>
    <row r="1073" spans="1:114" ht="15" customHeight="1" outlineLevel="1" x14ac:dyDescent="0.25">
      <c r="A1073" s="2145"/>
      <c r="C1073" s="49"/>
      <c r="D1073" s="2394"/>
      <c r="E1073" s="2394"/>
      <c r="F1073" s="2404" t="str">
        <f>$E$841</f>
        <v>ASHP-SEER21_ER2_MF</v>
      </c>
      <c r="G1073" s="2404"/>
      <c r="H1073" s="2404"/>
      <c r="I1073" s="2404"/>
      <c r="J1073" s="1506" t="str">
        <f>$C$841</f>
        <v>354900_2024_12_</v>
      </c>
      <c r="K1073" s="1534">
        <v>1496</v>
      </c>
      <c r="L1073" s="244"/>
      <c r="M1073" s="731" t="s">
        <v>1289</v>
      </c>
      <c r="T1073" s="50"/>
      <c r="U1073" s="50"/>
      <c r="V1073" s="2394"/>
      <c r="W1073" s="1268">
        <v>2009</v>
      </c>
      <c r="X1073" s="779">
        <v>1496</v>
      </c>
      <c r="Y1073" s="1268">
        <v>1496</v>
      </c>
      <c r="Z1073" s="1268">
        <v>1496</v>
      </c>
      <c r="AA1073" s="1268">
        <v>1496</v>
      </c>
      <c r="AB1073" s="1268">
        <v>1496</v>
      </c>
      <c r="AC1073" s="1268">
        <v>1496</v>
      </c>
      <c r="AD1073" s="1268">
        <v>1496</v>
      </c>
      <c r="AE1073" s="1268">
        <v>1496</v>
      </c>
      <c r="AF1073" s="253">
        <v>1496</v>
      </c>
      <c r="AG1073" s="253">
        <f t="shared" si="203"/>
        <v>1496</v>
      </c>
      <c r="DG1073" s="543"/>
      <c r="DH1073" s="149"/>
      <c r="DI1073" s="1020"/>
      <c r="DJ1073" s="2045"/>
    </row>
    <row r="1074" spans="1:114" ht="15" customHeight="1" outlineLevel="1" x14ac:dyDescent="0.25">
      <c r="A1074" s="2145"/>
      <c r="C1074" s="49"/>
      <c r="D1074" s="2394"/>
      <c r="E1074" s="2394"/>
      <c r="F1074" s="2404" t="str">
        <f>$E$843</f>
        <v>ASHP-SEER17_ROF_MF</v>
      </c>
      <c r="G1074" s="2404"/>
      <c r="H1074" s="2404"/>
      <c r="I1074" s="2404"/>
      <c r="J1074" s="1506" t="str">
        <f>$C$843</f>
        <v>354950_2024_12_</v>
      </c>
      <c r="K1074" s="1534">
        <v>1496</v>
      </c>
      <c r="L1074" s="244"/>
      <c r="M1074" s="731" t="s">
        <v>1289</v>
      </c>
      <c r="T1074" s="50"/>
      <c r="U1074" s="50"/>
      <c r="V1074" s="2394"/>
      <c r="W1074" s="1268">
        <v>2009</v>
      </c>
      <c r="X1074" s="779">
        <v>1496</v>
      </c>
      <c r="Y1074" s="1268">
        <v>1496</v>
      </c>
      <c r="Z1074" s="1268">
        <v>1496</v>
      </c>
      <c r="AA1074" s="1268">
        <v>1496</v>
      </c>
      <c r="AB1074" s="1268">
        <v>1496</v>
      </c>
      <c r="AC1074" s="1268">
        <v>1496</v>
      </c>
      <c r="AD1074" s="1268">
        <v>1496</v>
      </c>
      <c r="AE1074" s="1268">
        <v>1496</v>
      </c>
      <c r="AF1074" s="253">
        <v>1496</v>
      </c>
      <c r="AG1074" s="253">
        <f t="shared" si="203"/>
        <v>1496</v>
      </c>
      <c r="DG1074" s="543"/>
      <c r="DH1074" s="149"/>
      <c r="DI1074" s="1020"/>
      <c r="DJ1074" s="2045"/>
    </row>
    <row r="1075" spans="1:114" ht="15" customHeight="1" outlineLevel="1" x14ac:dyDescent="0.25">
      <c r="A1075" s="2145"/>
      <c r="C1075" s="49"/>
      <c r="D1075" s="2394"/>
      <c r="E1075" s="2394"/>
      <c r="F1075" s="2404" t="str">
        <f>$E$845</f>
        <v>ASHP-SEER18_ROF_MF</v>
      </c>
      <c r="G1075" s="2404"/>
      <c r="H1075" s="2404"/>
      <c r="I1075" s="2404"/>
      <c r="J1075" s="1506" t="str">
        <f>$C$845</f>
        <v>355000_2024_12_</v>
      </c>
      <c r="K1075" s="1534">
        <v>1496</v>
      </c>
      <c r="L1075" s="244"/>
      <c r="M1075" s="731" t="s">
        <v>1289</v>
      </c>
      <c r="P1075" s="243"/>
      <c r="Q1075" s="192"/>
      <c r="R1075" s="243"/>
      <c r="T1075" s="166"/>
      <c r="U1075" s="50"/>
      <c r="V1075" s="2394"/>
      <c r="W1075" s="1268">
        <v>2009</v>
      </c>
      <c r="X1075" s="779">
        <v>1496</v>
      </c>
      <c r="Y1075" s="1268">
        <v>1496</v>
      </c>
      <c r="Z1075" s="1268">
        <v>1496</v>
      </c>
      <c r="AA1075" s="1268">
        <v>1496</v>
      </c>
      <c r="AB1075" s="1268">
        <v>1496</v>
      </c>
      <c r="AC1075" s="1268">
        <v>1496</v>
      </c>
      <c r="AD1075" s="1268">
        <v>1496</v>
      </c>
      <c r="AE1075" s="1268">
        <v>1496</v>
      </c>
      <c r="AF1075" s="253">
        <v>1496</v>
      </c>
      <c r="AG1075" s="253">
        <f t="shared" si="203"/>
        <v>1496</v>
      </c>
      <c r="DG1075" s="543"/>
      <c r="DH1075" s="149"/>
      <c r="DI1075" s="1020"/>
      <c r="DJ1075" s="2045"/>
    </row>
    <row r="1076" spans="1:114" ht="15" customHeight="1" outlineLevel="1" x14ac:dyDescent="0.25">
      <c r="A1076" s="2145"/>
      <c r="C1076" s="49"/>
      <c r="D1076" s="2394"/>
      <c r="E1076" s="2394"/>
      <c r="F1076" s="2404" t="str">
        <f>$E$847</f>
        <v>ASHP-SEER19_ROF_MF</v>
      </c>
      <c r="G1076" s="2404"/>
      <c r="H1076" s="2404"/>
      <c r="I1076" s="2404"/>
      <c r="J1076" s="1506" t="str">
        <f>$C$847</f>
        <v>355050_2024_12_</v>
      </c>
      <c r="K1076" s="1534">
        <v>1496</v>
      </c>
      <c r="L1076" s="244"/>
      <c r="M1076" s="731" t="s">
        <v>1289</v>
      </c>
      <c r="P1076" s="243"/>
      <c r="Q1076" s="192"/>
      <c r="R1076" s="243"/>
      <c r="T1076" s="166"/>
      <c r="U1076" s="50"/>
      <c r="V1076" s="2394"/>
      <c r="W1076" s="1268">
        <v>2009</v>
      </c>
      <c r="X1076" s="779">
        <v>1496</v>
      </c>
      <c r="Y1076" s="1268">
        <v>1496</v>
      </c>
      <c r="Z1076" s="1268">
        <v>1496</v>
      </c>
      <c r="AA1076" s="1268">
        <v>1496</v>
      </c>
      <c r="AB1076" s="1268">
        <v>1496</v>
      </c>
      <c r="AC1076" s="1268">
        <v>1496</v>
      </c>
      <c r="AD1076" s="1268">
        <v>1496</v>
      </c>
      <c r="AE1076" s="1268">
        <v>1496</v>
      </c>
      <c r="AF1076" s="253">
        <v>1496</v>
      </c>
      <c r="AG1076" s="253">
        <f t="shared" si="203"/>
        <v>1496</v>
      </c>
      <c r="DG1076" s="543"/>
      <c r="DH1076" s="149"/>
      <c r="DI1076" s="1020"/>
      <c r="DJ1076" s="2045"/>
    </row>
    <row r="1077" spans="1:114" ht="15" customHeight="1" outlineLevel="1" x14ac:dyDescent="0.25">
      <c r="A1077" s="2145"/>
      <c r="C1077" s="49"/>
      <c r="D1077" s="2394"/>
      <c r="E1077" s="2394"/>
      <c r="F1077" s="2404" t="str">
        <f>$E$849</f>
        <v>ASHP-SEER20_ROF_MF</v>
      </c>
      <c r="G1077" s="2404"/>
      <c r="H1077" s="2404"/>
      <c r="I1077" s="2404"/>
      <c r="J1077" s="1506" t="str">
        <f>$C$849</f>
        <v>355100_2024_12_</v>
      </c>
      <c r="K1077" s="1534">
        <v>1496</v>
      </c>
      <c r="L1077" s="244"/>
      <c r="M1077" s="731" t="s">
        <v>1289</v>
      </c>
      <c r="T1077" s="50"/>
      <c r="U1077" s="50"/>
      <c r="V1077" s="2394"/>
      <c r="W1077" s="1268">
        <v>2009</v>
      </c>
      <c r="X1077" s="779">
        <v>1496</v>
      </c>
      <c r="Y1077" s="1268">
        <v>1496</v>
      </c>
      <c r="Z1077" s="1268">
        <v>1496</v>
      </c>
      <c r="AA1077" s="1268">
        <v>1496</v>
      </c>
      <c r="AB1077" s="1268">
        <v>1496</v>
      </c>
      <c r="AC1077" s="1268">
        <v>1496</v>
      </c>
      <c r="AD1077" s="1268">
        <v>1496</v>
      </c>
      <c r="AE1077" s="1268">
        <v>1496</v>
      </c>
      <c r="AF1077" s="253">
        <v>1496</v>
      </c>
      <c r="AG1077" s="253">
        <f t="shared" si="203"/>
        <v>1496</v>
      </c>
      <c r="DG1077" s="543"/>
      <c r="DH1077" s="149"/>
      <c r="DI1077" s="1020"/>
      <c r="DJ1077" s="2045"/>
    </row>
    <row r="1078" spans="1:114" ht="15.75" customHeight="1" outlineLevel="1" x14ac:dyDescent="0.25">
      <c r="A1078" s="2145"/>
      <c r="C1078" s="49"/>
      <c r="D1078" s="2395"/>
      <c r="E1078" s="2395"/>
      <c r="F1078" s="2404" t="str">
        <f>$E$851</f>
        <v>ASHP-SEER21_ROF_MF</v>
      </c>
      <c r="G1078" s="2404"/>
      <c r="H1078" s="2404"/>
      <c r="I1078" s="2404"/>
      <c r="J1078" s="1506" t="str">
        <f>$C$851</f>
        <v>355150_2024_12_</v>
      </c>
      <c r="K1078" s="1534">
        <v>1496</v>
      </c>
      <c r="L1078" s="244"/>
      <c r="M1078" s="731" t="s">
        <v>1289</v>
      </c>
      <c r="T1078" s="50"/>
      <c r="U1078" s="50"/>
      <c r="V1078" s="2395"/>
      <c r="W1078" s="1268">
        <v>2009</v>
      </c>
      <c r="X1078" s="779">
        <v>1496</v>
      </c>
      <c r="Y1078" s="1268">
        <v>1496</v>
      </c>
      <c r="Z1078" s="1268">
        <v>1496</v>
      </c>
      <c r="AA1078" s="1268">
        <v>1496</v>
      </c>
      <c r="AB1078" s="1268">
        <v>1496</v>
      </c>
      <c r="AC1078" s="1268">
        <v>1496</v>
      </c>
      <c r="AD1078" s="1268">
        <v>1496</v>
      </c>
      <c r="AE1078" s="1268">
        <v>1496</v>
      </c>
      <c r="AF1078" s="253">
        <v>1496</v>
      </c>
      <c r="AG1078" s="253">
        <f t="shared" si="203"/>
        <v>1496</v>
      </c>
      <c r="DG1078" s="543"/>
      <c r="DH1078" s="149"/>
      <c r="DI1078" s="1020"/>
      <c r="DJ1078" s="2045"/>
    </row>
    <row r="1079" spans="1:114" ht="15" customHeight="1" outlineLevel="1" x14ac:dyDescent="0.25">
      <c r="A1079" s="2145"/>
      <c r="C1079" s="49"/>
      <c r="D1079" s="2393" t="s">
        <v>1057</v>
      </c>
      <c r="E1079" s="2393" t="s">
        <v>1056</v>
      </c>
      <c r="F1079" s="2404" t="str">
        <f>$E$647</f>
        <v>ASHP-SEER15-Replace_CAC_ElectricHeat_ER1_SF</v>
      </c>
      <c r="G1079" s="2404"/>
      <c r="H1079" s="2404"/>
      <c r="I1079" s="2404"/>
      <c r="J1079" s="1506" t="str">
        <f>$C$647</f>
        <v>352300_2024_12_</v>
      </c>
      <c r="K1079" s="1534">
        <v>3.41</v>
      </c>
      <c r="L1079" s="12"/>
      <c r="M1079" s="1307" t="s">
        <v>1290</v>
      </c>
      <c r="P1079" s="243"/>
      <c r="Q1079" s="243"/>
      <c r="R1079" s="243"/>
      <c r="T1079" s="166"/>
      <c r="U1079" s="50"/>
      <c r="V1079" s="2393" t="s">
        <v>1057</v>
      </c>
      <c r="W1079" s="1268">
        <v>3.41</v>
      </c>
      <c r="X1079" s="1268">
        <v>3.41</v>
      </c>
      <c r="Y1079" s="1268">
        <v>3.41</v>
      </c>
      <c r="Z1079" s="1268">
        <v>3.41</v>
      </c>
      <c r="AA1079" s="1268">
        <v>3.41</v>
      </c>
      <c r="AB1079" s="1268">
        <v>3.41</v>
      </c>
      <c r="AC1079" s="1268">
        <v>3.41</v>
      </c>
      <c r="AD1079" s="1268">
        <v>3.41</v>
      </c>
      <c r="AE1079" s="1268">
        <v>3.41</v>
      </c>
      <c r="AF1079" s="253">
        <v>3.41</v>
      </c>
      <c r="AG1079" s="253">
        <f t="shared" ref="AG1079:AG1140" si="204">IF(K1079&lt;&gt;"",K1079,"")</f>
        <v>3.41</v>
      </c>
      <c r="DG1079" s="543"/>
      <c r="DH1079" s="149"/>
      <c r="DI1079" s="1020"/>
      <c r="DJ1079" s="2045"/>
    </row>
    <row r="1080" spans="1:114" ht="15" customHeight="1" outlineLevel="1" x14ac:dyDescent="0.25">
      <c r="A1080" s="2145"/>
      <c r="C1080" s="49"/>
      <c r="D1080" s="2394"/>
      <c r="E1080" s="2394"/>
      <c r="F1080" s="2404" t="str">
        <f>$E$649</f>
        <v>ASHP-SEER15-Replace_CAC_ElectricHeat_ER2_SF</v>
      </c>
      <c r="G1080" s="2404"/>
      <c r="H1080" s="2404"/>
      <c r="I1080" s="2404"/>
      <c r="J1080" s="1506" t="str">
        <f>$C$649</f>
        <v>352300_2024_12_</v>
      </c>
      <c r="K1080" s="1534">
        <v>3.41</v>
      </c>
      <c r="L1080" s="12"/>
      <c r="M1080" s="1307" t="s">
        <v>1290</v>
      </c>
      <c r="P1080" s="243"/>
      <c r="Q1080" s="243"/>
      <c r="R1080" s="243"/>
      <c r="T1080" s="166"/>
      <c r="U1080" s="50"/>
      <c r="V1080" s="2394"/>
      <c r="W1080" s="1268">
        <v>3.41</v>
      </c>
      <c r="X1080" s="1268">
        <v>3.41</v>
      </c>
      <c r="Y1080" s="1268">
        <v>3.41</v>
      </c>
      <c r="Z1080" s="1268">
        <v>3.41</v>
      </c>
      <c r="AA1080" s="1268">
        <v>3.41</v>
      </c>
      <c r="AB1080" s="1268">
        <v>3.41</v>
      </c>
      <c r="AC1080" s="1268">
        <v>3.41</v>
      </c>
      <c r="AD1080" s="1268">
        <v>3.41</v>
      </c>
      <c r="AE1080" s="1268">
        <v>3.41</v>
      </c>
      <c r="AF1080" s="253">
        <v>3.41</v>
      </c>
      <c r="AG1080" s="253">
        <f t="shared" si="204"/>
        <v>3.41</v>
      </c>
      <c r="DG1080" s="543"/>
      <c r="DH1080" s="149"/>
      <c r="DI1080" s="1020"/>
      <c r="DJ1080" s="2045"/>
    </row>
    <row r="1081" spans="1:114" ht="15" customHeight="1" outlineLevel="1" x14ac:dyDescent="0.25">
      <c r="A1081" s="2145"/>
      <c r="C1081" s="49"/>
      <c r="D1081" s="2394"/>
      <c r="E1081" s="2394"/>
      <c r="F1081" s="2404" t="str">
        <f>$E$651</f>
        <v>ASHP-SEER15-Replace_CAC_NonElectricHeat_ER1_SF</v>
      </c>
      <c r="G1081" s="2404"/>
      <c r="H1081" s="2404"/>
      <c r="I1081" s="2404"/>
      <c r="J1081" s="1506" t="str">
        <f>$C$651</f>
        <v>352310_2024_12_</v>
      </c>
      <c r="K1081" s="1536">
        <v>0</v>
      </c>
      <c r="L1081" s="12"/>
      <c r="M1081" s="1307" t="s">
        <v>1291</v>
      </c>
      <c r="P1081" s="243"/>
      <c r="Q1081" s="243"/>
      <c r="R1081" s="243"/>
      <c r="T1081" s="166"/>
      <c r="U1081" s="50"/>
      <c r="V1081" s="2394"/>
      <c r="W1081" s="1268"/>
      <c r="X1081" s="1268"/>
      <c r="Y1081" s="1268"/>
      <c r="Z1081" s="1268"/>
      <c r="AA1081" s="1268"/>
      <c r="AB1081" s="1268"/>
      <c r="AC1081" s="775">
        <v>0</v>
      </c>
      <c r="AD1081" s="752">
        <v>0</v>
      </c>
      <c r="AE1081" s="752">
        <v>0</v>
      </c>
      <c r="AF1081" s="253">
        <v>0</v>
      </c>
      <c r="AG1081" s="253">
        <f t="shared" si="204"/>
        <v>0</v>
      </c>
      <c r="DG1081" s="543"/>
      <c r="DH1081" s="149"/>
      <c r="DI1081" s="1020"/>
      <c r="DJ1081" s="2045"/>
    </row>
    <row r="1082" spans="1:114" ht="15" customHeight="1" outlineLevel="1" x14ac:dyDescent="0.25">
      <c r="A1082" s="2145"/>
      <c r="C1082" s="49"/>
      <c r="D1082" s="2394"/>
      <c r="E1082" s="2394"/>
      <c r="F1082" s="2404" t="str">
        <f>$E$653</f>
        <v>ASHP-SEER15-Replace_CAC_NonElectricHeat_ER2_SF</v>
      </c>
      <c r="G1082" s="2404"/>
      <c r="H1082" s="2404"/>
      <c r="I1082" s="2404"/>
      <c r="J1082" s="1506" t="str">
        <f>$C$653</f>
        <v>352310_2024_12_</v>
      </c>
      <c r="K1082" s="1536">
        <v>0</v>
      </c>
      <c r="L1082" s="12"/>
      <c r="M1082" s="1307" t="s">
        <v>1291</v>
      </c>
      <c r="P1082" s="243"/>
      <c r="Q1082" s="243"/>
      <c r="R1082" s="243"/>
      <c r="T1082" s="166"/>
      <c r="U1082" s="50"/>
      <c r="V1082" s="2394"/>
      <c r="W1082" s="1268"/>
      <c r="X1082" s="1268"/>
      <c r="Y1082" s="1268"/>
      <c r="Z1082" s="1268"/>
      <c r="AA1082" s="1268"/>
      <c r="AB1082" s="1268"/>
      <c r="AC1082" s="775">
        <v>0</v>
      </c>
      <c r="AD1082" s="752">
        <v>0</v>
      </c>
      <c r="AE1082" s="752">
        <v>0</v>
      </c>
      <c r="AF1082" s="253">
        <v>0</v>
      </c>
      <c r="AG1082" s="253">
        <f t="shared" si="204"/>
        <v>0</v>
      </c>
      <c r="DG1082" s="543"/>
      <c r="DH1082" s="149"/>
      <c r="DI1082" s="1020"/>
      <c r="DJ1082" s="2045"/>
    </row>
    <row r="1083" spans="1:114" ht="15" customHeight="1" outlineLevel="1" x14ac:dyDescent="0.25">
      <c r="A1083" s="2145"/>
      <c r="C1083" s="49"/>
      <c r="D1083" s="2394"/>
      <c r="E1083" s="2394"/>
      <c r="F1083" s="2404" t="str">
        <f>$E$655</f>
        <v>ASHP-SEER15_ER1_SF</v>
      </c>
      <c r="G1083" s="2404"/>
      <c r="H1083" s="2404"/>
      <c r="I1083" s="2404"/>
      <c r="J1083" s="962" t="str">
        <f>$C$655</f>
        <v>352350_2024_12_</v>
      </c>
      <c r="K1083" s="1534">
        <v>6.58</v>
      </c>
      <c r="L1083" s="12"/>
      <c r="M1083" s="1307" t="s">
        <v>1290</v>
      </c>
      <c r="P1083" s="243"/>
      <c r="Q1083" s="243"/>
      <c r="R1083" s="243"/>
      <c r="T1083" s="166"/>
      <c r="U1083" s="50"/>
      <c r="V1083" s="2394"/>
      <c r="W1083" s="1268">
        <v>5.44</v>
      </c>
      <c r="X1083" s="779">
        <v>6.58</v>
      </c>
      <c r="Y1083" s="1268">
        <v>6.58</v>
      </c>
      <c r="Z1083" s="1268">
        <v>6.58</v>
      </c>
      <c r="AA1083" s="1268">
        <v>6.58</v>
      </c>
      <c r="AB1083" s="1268">
        <v>6.58</v>
      </c>
      <c r="AC1083" s="1268">
        <v>6.58</v>
      </c>
      <c r="AD1083" s="1268">
        <v>6.58</v>
      </c>
      <c r="AE1083" s="1268">
        <v>6.58</v>
      </c>
      <c r="AF1083" s="253">
        <v>6.58</v>
      </c>
      <c r="AG1083" s="253">
        <f t="shared" si="204"/>
        <v>6.58</v>
      </c>
      <c r="DG1083" s="543"/>
      <c r="DH1083" s="149"/>
      <c r="DI1083" s="1020"/>
      <c r="DJ1083" s="2045"/>
    </row>
    <row r="1084" spans="1:114" ht="15" customHeight="1" outlineLevel="1" x14ac:dyDescent="0.25">
      <c r="A1084" s="2145"/>
      <c r="C1084" s="49"/>
      <c r="D1084" s="2394"/>
      <c r="E1084" s="2394"/>
      <c r="F1084" s="2404" t="str">
        <f>$E$657</f>
        <v>ASHP-SEER15_ER2_SF</v>
      </c>
      <c r="G1084" s="2404"/>
      <c r="H1084" s="2404"/>
      <c r="I1084" s="2404"/>
      <c r="J1084" s="962" t="str">
        <f>$C$657</f>
        <v>352350_2024_12_</v>
      </c>
      <c r="K1084" s="1534">
        <v>7.5</v>
      </c>
      <c r="L1084" s="244"/>
      <c r="M1084" s="1249" t="s">
        <v>936</v>
      </c>
      <c r="P1084" s="243"/>
      <c r="Q1084" s="243"/>
      <c r="R1084" s="243"/>
      <c r="T1084" s="166"/>
      <c r="U1084" s="50"/>
      <c r="V1084" s="2394"/>
      <c r="W1084" s="1268">
        <v>8.1999999999999993</v>
      </c>
      <c r="X1084" s="1268">
        <v>8.1999999999999993</v>
      </c>
      <c r="Y1084" s="1268">
        <v>8.1999999999999993</v>
      </c>
      <c r="Z1084" s="1268">
        <v>8.1999999999999993</v>
      </c>
      <c r="AA1084" s="1268">
        <v>8.1999999999999993</v>
      </c>
      <c r="AB1084" s="1268">
        <v>8.1999999999999993</v>
      </c>
      <c r="AC1084" s="1268">
        <v>8.1999999999999993</v>
      </c>
      <c r="AD1084" s="1268">
        <v>8.1999999999999993</v>
      </c>
      <c r="AE1084" s="779">
        <v>8.6</v>
      </c>
      <c r="AF1084" s="253">
        <v>7.5</v>
      </c>
      <c r="AG1084" s="253">
        <f t="shared" si="204"/>
        <v>7.5</v>
      </c>
      <c r="DG1084" s="543"/>
      <c r="DH1084" s="149"/>
      <c r="DI1084" s="1020"/>
      <c r="DJ1084" s="2045"/>
    </row>
    <row r="1085" spans="1:114" ht="15" customHeight="1" outlineLevel="1" x14ac:dyDescent="0.25">
      <c r="A1085" s="2145"/>
      <c r="C1085" s="49"/>
      <c r="D1085" s="2394"/>
      <c r="E1085" s="2394"/>
      <c r="F1085" s="2404" t="str">
        <f>$E$659</f>
        <v>ASHP-SEER15-Replace_CAC_ElectricHeat_ROF_SF</v>
      </c>
      <c r="G1085" s="2404"/>
      <c r="H1085" s="2404"/>
      <c r="I1085" s="2404"/>
      <c r="J1085" s="1506" t="str">
        <f>$C$659</f>
        <v>352400_2024_12_</v>
      </c>
      <c r="K1085" s="1534">
        <v>3.41</v>
      </c>
      <c r="L1085" s="12"/>
      <c r="M1085" s="1307" t="s">
        <v>1290</v>
      </c>
      <c r="P1085" s="243"/>
      <c r="Q1085" s="243"/>
      <c r="R1085" s="243"/>
      <c r="T1085" s="166"/>
      <c r="U1085" s="50"/>
      <c r="V1085" s="2394"/>
      <c r="W1085" s="1268">
        <v>3.41</v>
      </c>
      <c r="X1085" s="1268">
        <v>3.41</v>
      </c>
      <c r="Y1085" s="1268">
        <v>3.41</v>
      </c>
      <c r="Z1085" s="1268">
        <v>3.41</v>
      </c>
      <c r="AA1085" s="1268">
        <v>3.41</v>
      </c>
      <c r="AB1085" s="1268">
        <v>3.41</v>
      </c>
      <c r="AC1085" s="1268">
        <v>3.41</v>
      </c>
      <c r="AD1085" s="1268">
        <v>3.41</v>
      </c>
      <c r="AE1085" s="1268">
        <v>3.41</v>
      </c>
      <c r="AF1085" s="253">
        <v>3.41</v>
      </c>
      <c r="AG1085" s="253">
        <f t="shared" si="204"/>
        <v>3.41</v>
      </c>
      <c r="DG1085" s="543"/>
      <c r="DH1085" s="149"/>
      <c r="DI1085" s="1020"/>
      <c r="DJ1085" s="2045"/>
    </row>
    <row r="1086" spans="1:114" ht="15" customHeight="1" outlineLevel="1" x14ac:dyDescent="0.25">
      <c r="A1086" s="2145"/>
      <c r="C1086" s="49"/>
      <c r="D1086" s="2394"/>
      <c r="E1086" s="2394"/>
      <c r="F1086" s="2404" t="str">
        <f>$E$661</f>
        <v>ASHP-SEER15-Replace_CAC_NonElectricHeat_ROF_SF</v>
      </c>
      <c r="G1086" s="2404"/>
      <c r="H1086" s="2404"/>
      <c r="I1086" s="2404"/>
      <c r="J1086" s="1506" t="str">
        <f>$C$661</f>
        <v>352410_2024_12_</v>
      </c>
      <c r="K1086" s="1536">
        <v>0</v>
      </c>
      <c r="L1086" s="12"/>
      <c r="M1086" s="1307" t="s">
        <v>1291</v>
      </c>
      <c r="P1086" s="243"/>
      <c r="Q1086" s="243"/>
      <c r="R1086" s="243"/>
      <c r="T1086" s="166"/>
      <c r="U1086" s="50"/>
      <c r="V1086" s="2394"/>
      <c r="W1086" s="1268"/>
      <c r="X1086" s="1268"/>
      <c r="Y1086" s="1268"/>
      <c r="Z1086" s="1268"/>
      <c r="AA1086" s="1268"/>
      <c r="AB1086" s="1268"/>
      <c r="AC1086" s="775">
        <v>0</v>
      </c>
      <c r="AD1086" s="752">
        <v>0</v>
      </c>
      <c r="AE1086" s="752">
        <v>0</v>
      </c>
      <c r="AF1086" s="253">
        <v>0</v>
      </c>
      <c r="AG1086" s="253">
        <f t="shared" si="204"/>
        <v>0</v>
      </c>
      <c r="DG1086" s="543"/>
      <c r="DH1086" s="149"/>
      <c r="DI1086" s="1020"/>
      <c r="DJ1086" s="2045"/>
    </row>
    <row r="1087" spans="1:114" ht="15.75" customHeight="1" outlineLevel="1" x14ac:dyDescent="0.25">
      <c r="A1087" s="2145"/>
      <c r="C1087" s="49"/>
      <c r="D1087" s="2394"/>
      <c r="E1087" s="2394"/>
      <c r="F1087" s="1968" t="s">
        <v>1130</v>
      </c>
      <c r="G1087" s="1969"/>
      <c r="H1087" s="1969"/>
      <c r="I1087" s="1970"/>
      <c r="J1087" s="2095" t="str">
        <f>$C$663</f>
        <v>352420_2025_12_</v>
      </c>
      <c r="K1087" s="1975">
        <v>3.41</v>
      </c>
      <c r="L1087" s="244"/>
      <c r="M1087" s="1976" t="s">
        <v>1292</v>
      </c>
      <c r="T1087" s="50"/>
      <c r="U1087" s="50"/>
      <c r="V1087" s="2394"/>
      <c r="W1087" s="1268"/>
      <c r="X1087" s="1268"/>
      <c r="Y1087" s="1268"/>
      <c r="Z1087" s="1268"/>
      <c r="AA1087" s="1268"/>
      <c r="AB1087" s="1268"/>
      <c r="AC1087" s="752"/>
      <c r="AD1087" s="966"/>
      <c r="AE1087" s="909"/>
      <c r="AF1087" s="253"/>
      <c r="AG1087" s="253">
        <f>IF(K1087&lt;&gt;"",K1087,"")</f>
        <v>3.41</v>
      </c>
      <c r="DG1087" s="543"/>
      <c r="DH1087" s="149"/>
      <c r="DI1087" s="1020"/>
      <c r="DJ1087" s="2045"/>
    </row>
    <row r="1088" spans="1:114" ht="15.75" customHeight="1" outlineLevel="1" x14ac:dyDescent="0.25">
      <c r="A1088" s="2145"/>
      <c r="C1088" s="49"/>
      <c r="D1088" s="2394"/>
      <c r="E1088" s="2394"/>
      <c r="F1088" s="1968" t="s">
        <v>1131</v>
      </c>
      <c r="G1088" s="1969"/>
      <c r="H1088" s="1969"/>
      <c r="I1088" s="1970"/>
      <c r="J1088" s="2095" t="str">
        <f>$C$664</f>
        <v>352420_2025_12_</v>
      </c>
      <c r="K1088" s="1975">
        <v>3.41</v>
      </c>
      <c r="L1088" s="244"/>
      <c r="M1088" s="1976" t="s">
        <v>1292</v>
      </c>
      <c r="T1088" s="50"/>
      <c r="U1088" s="50"/>
      <c r="V1088" s="2394"/>
      <c r="W1088" s="1268"/>
      <c r="X1088" s="1268"/>
      <c r="Y1088" s="1268"/>
      <c r="Z1088" s="1268"/>
      <c r="AA1088" s="1268"/>
      <c r="AB1088" s="1268"/>
      <c r="AC1088" s="752"/>
      <c r="AD1088" s="966"/>
      <c r="AE1088" s="909"/>
      <c r="AF1088" s="253"/>
      <c r="AG1088" s="253">
        <f>IF(K1088&lt;&gt;"",K1088,"")</f>
        <v>3.41</v>
      </c>
      <c r="DG1088" s="543"/>
      <c r="DH1088" s="149"/>
      <c r="DI1088" s="1020"/>
      <c r="DJ1088" s="2045"/>
    </row>
    <row r="1089" spans="1:114" ht="15.75" customHeight="1" outlineLevel="1" x14ac:dyDescent="0.25">
      <c r="A1089" s="2145"/>
      <c r="C1089" s="49"/>
      <c r="D1089" s="2394"/>
      <c r="E1089" s="2394"/>
      <c r="F1089" s="1968" t="s">
        <v>1133</v>
      </c>
      <c r="G1089" s="1969"/>
      <c r="H1089" s="1969"/>
      <c r="I1089" s="1970"/>
      <c r="J1089" s="2095" t="str">
        <f>$C$667</f>
        <v>352425_2025_12_</v>
      </c>
      <c r="K1089" s="1975">
        <v>3.41</v>
      </c>
      <c r="L1089" s="244"/>
      <c r="M1089" s="1976" t="s">
        <v>1292</v>
      </c>
      <c r="T1089" s="50"/>
      <c r="U1089" s="50"/>
      <c r="V1089" s="2394"/>
      <c r="W1089" s="1268"/>
      <c r="X1089" s="1268"/>
      <c r="Y1089" s="1268"/>
      <c r="Z1089" s="1268"/>
      <c r="AA1089" s="1268"/>
      <c r="AB1089" s="1268"/>
      <c r="AC1089" s="752"/>
      <c r="AD1089" s="966"/>
      <c r="AE1089" s="909"/>
      <c r="AF1089" s="253"/>
      <c r="AG1089" s="253">
        <f>IF(K1089&lt;&gt;"",K1089,"")</f>
        <v>3.41</v>
      </c>
      <c r="DG1089" s="543"/>
      <c r="DH1089" s="149"/>
      <c r="DI1089" s="1020"/>
      <c r="DJ1089" s="2045"/>
    </row>
    <row r="1090" spans="1:114" ht="15" customHeight="1" outlineLevel="1" x14ac:dyDescent="0.25">
      <c r="A1090" s="2145"/>
      <c r="C1090" s="49"/>
      <c r="D1090" s="2394"/>
      <c r="E1090" s="2394"/>
      <c r="F1090" s="2404" t="str">
        <f>$E$669</f>
        <v>ASHP-SEER16-Replace_CAC_ElectricHeat_ER1_SF</v>
      </c>
      <c r="G1090" s="2404"/>
      <c r="H1090" s="2404"/>
      <c r="I1090" s="2404"/>
      <c r="J1090" s="1506" t="str">
        <f>$C$669</f>
        <v>352500_2024_12_</v>
      </c>
      <c r="K1090" s="1534">
        <v>3.41</v>
      </c>
      <c r="L1090" s="12"/>
      <c r="M1090" s="1307" t="s">
        <v>1290</v>
      </c>
      <c r="P1090" s="243"/>
      <c r="Q1090" s="243"/>
      <c r="R1090" s="243"/>
      <c r="T1090" s="166"/>
      <c r="U1090" s="50"/>
      <c r="V1090" s="2394"/>
      <c r="W1090" s="1268">
        <v>3.41</v>
      </c>
      <c r="X1090" s="1268">
        <v>3.41</v>
      </c>
      <c r="Y1090" s="1268">
        <v>3.41</v>
      </c>
      <c r="Z1090" s="1268">
        <v>3.41</v>
      </c>
      <c r="AA1090" s="1268">
        <v>3.41</v>
      </c>
      <c r="AB1090" s="1268">
        <v>3.41</v>
      </c>
      <c r="AC1090" s="1268">
        <v>3.41</v>
      </c>
      <c r="AD1090" s="1268">
        <v>3.41</v>
      </c>
      <c r="AE1090" s="1268">
        <v>3.41</v>
      </c>
      <c r="AF1090" s="253">
        <v>3.41</v>
      </c>
      <c r="AG1090" s="253">
        <f t="shared" si="204"/>
        <v>3.41</v>
      </c>
      <c r="DG1090" s="543"/>
      <c r="DH1090" s="149"/>
      <c r="DI1090" s="1020"/>
      <c r="DJ1090" s="2045"/>
    </row>
    <row r="1091" spans="1:114" ht="15" customHeight="1" outlineLevel="1" x14ac:dyDescent="0.25">
      <c r="A1091" s="2145"/>
      <c r="C1091" s="49"/>
      <c r="D1091" s="2394"/>
      <c r="E1091" s="2394"/>
      <c r="F1091" s="2404" t="str">
        <f>$E$671</f>
        <v>ASHP-SEER16-Replace_CAC_ElectricHeat_ER2_SF</v>
      </c>
      <c r="G1091" s="2404"/>
      <c r="H1091" s="2404"/>
      <c r="I1091" s="2404"/>
      <c r="J1091" s="1506" t="str">
        <f>$C$671</f>
        <v>352500_2024_12_</v>
      </c>
      <c r="K1091" s="1534">
        <v>3.41</v>
      </c>
      <c r="L1091" s="12"/>
      <c r="M1091" s="1307" t="s">
        <v>1290</v>
      </c>
      <c r="P1091" s="243"/>
      <c r="Q1091" s="243"/>
      <c r="R1091" s="243"/>
      <c r="T1091" s="166"/>
      <c r="U1091" s="50"/>
      <c r="V1091" s="2394"/>
      <c r="W1091" s="1268">
        <v>3.41</v>
      </c>
      <c r="X1091" s="1268">
        <v>3.41</v>
      </c>
      <c r="Y1091" s="1268">
        <v>3.41</v>
      </c>
      <c r="Z1091" s="1268">
        <v>3.41</v>
      </c>
      <c r="AA1091" s="1268">
        <v>3.41</v>
      </c>
      <c r="AB1091" s="1268">
        <v>3.41</v>
      </c>
      <c r="AC1091" s="1268">
        <v>3.41</v>
      </c>
      <c r="AD1091" s="1268">
        <v>3.41</v>
      </c>
      <c r="AE1091" s="1268">
        <v>3.41</v>
      </c>
      <c r="AF1091" s="253">
        <v>3.41</v>
      </c>
      <c r="AG1091" s="253">
        <f t="shared" si="204"/>
        <v>3.41</v>
      </c>
      <c r="DG1091" s="543"/>
      <c r="DH1091" s="149"/>
      <c r="DI1091" s="1020"/>
      <c r="DJ1091" s="2045"/>
    </row>
    <row r="1092" spans="1:114" ht="15" customHeight="1" outlineLevel="1" x14ac:dyDescent="0.25">
      <c r="A1092" s="2145"/>
      <c r="C1092" s="49"/>
      <c r="D1092" s="2394"/>
      <c r="E1092" s="2394"/>
      <c r="F1092" s="2404" t="str">
        <f>$E$673</f>
        <v>ASHP-SEER16-Replace_CAC_NonElectricHeat_ER1_SF</v>
      </c>
      <c r="G1092" s="2404"/>
      <c r="H1092" s="2404"/>
      <c r="I1092" s="2404"/>
      <c r="J1092" s="1506" t="str">
        <f>$C$673</f>
        <v>352510_2024_12_</v>
      </c>
      <c r="K1092" s="1536">
        <v>0</v>
      </c>
      <c r="L1092" s="12"/>
      <c r="M1092" s="1307" t="s">
        <v>1291</v>
      </c>
      <c r="P1092" s="243"/>
      <c r="Q1092" s="243"/>
      <c r="R1092" s="243"/>
      <c r="T1092" s="166"/>
      <c r="U1092" s="50"/>
      <c r="V1092" s="2394"/>
      <c r="W1092" s="1268"/>
      <c r="X1092" s="1268"/>
      <c r="Y1092" s="1268"/>
      <c r="Z1092" s="1268"/>
      <c r="AA1092" s="1268"/>
      <c r="AB1092" s="1268"/>
      <c r="AC1092" s="775">
        <v>0</v>
      </c>
      <c r="AD1092" s="752">
        <v>0</v>
      </c>
      <c r="AE1092" s="752">
        <v>0</v>
      </c>
      <c r="AF1092" s="253">
        <v>0</v>
      </c>
      <c r="AG1092" s="253">
        <f t="shared" si="204"/>
        <v>0</v>
      </c>
      <c r="DG1092" s="543"/>
      <c r="DH1092" s="149"/>
      <c r="DI1092" s="1020"/>
      <c r="DJ1092" s="2045"/>
    </row>
    <row r="1093" spans="1:114" ht="15" customHeight="1" outlineLevel="1" x14ac:dyDescent="0.25">
      <c r="A1093" s="2145"/>
      <c r="C1093" s="49"/>
      <c r="D1093" s="2394"/>
      <c r="E1093" s="2394"/>
      <c r="F1093" s="2404" t="str">
        <f>$E$675</f>
        <v>ASHP-SEER16-Replace_CAC_NonElectricHeat_ER2_SF</v>
      </c>
      <c r="G1093" s="2404"/>
      <c r="H1093" s="2404"/>
      <c r="I1093" s="2404"/>
      <c r="J1093" s="1506" t="str">
        <f>$C$675</f>
        <v>352510_2024_12_</v>
      </c>
      <c r="K1093" s="1536">
        <v>0</v>
      </c>
      <c r="L1093" s="12"/>
      <c r="M1093" s="1307" t="s">
        <v>1291</v>
      </c>
      <c r="P1093" s="243"/>
      <c r="Q1093" s="243"/>
      <c r="R1093" s="243"/>
      <c r="T1093" s="166"/>
      <c r="U1093" s="50"/>
      <c r="V1093" s="2394"/>
      <c r="W1093" s="1268"/>
      <c r="X1093" s="1268"/>
      <c r="Y1093" s="1268"/>
      <c r="Z1093" s="1268"/>
      <c r="AA1093" s="1268"/>
      <c r="AB1093" s="1268"/>
      <c r="AC1093" s="775">
        <v>0</v>
      </c>
      <c r="AD1093" s="752">
        <v>0</v>
      </c>
      <c r="AE1093" s="752">
        <v>0</v>
      </c>
      <c r="AF1093" s="253">
        <v>0</v>
      </c>
      <c r="AG1093" s="253">
        <f t="shared" si="204"/>
        <v>0</v>
      </c>
      <c r="DG1093" s="543"/>
      <c r="DH1093" s="149"/>
      <c r="DI1093" s="1020"/>
      <c r="DJ1093" s="2045"/>
    </row>
    <row r="1094" spans="1:114" ht="15.75" customHeight="1" outlineLevel="1" x14ac:dyDescent="0.25">
      <c r="A1094" s="2145"/>
      <c r="C1094" s="49"/>
      <c r="D1094" s="2394"/>
      <c r="E1094" s="2394"/>
      <c r="F1094" s="1968" t="s">
        <v>1141</v>
      </c>
      <c r="G1094" s="1969"/>
      <c r="H1094" s="1969"/>
      <c r="I1094" s="1970"/>
      <c r="J1094" s="2095" t="s">
        <v>1140</v>
      </c>
      <c r="K1094" s="1975">
        <v>0</v>
      </c>
      <c r="L1094" s="244"/>
      <c r="M1094" s="1976" t="s">
        <v>1291</v>
      </c>
      <c r="T1094" s="50"/>
      <c r="U1094" s="50"/>
      <c r="V1094" s="2394"/>
      <c r="W1094" s="1268"/>
      <c r="X1094" s="1268"/>
      <c r="Y1094" s="1268"/>
      <c r="Z1094" s="1268"/>
      <c r="AA1094" s="1268"/>
      <c r="AB1094" s="1268"/>
      <c r="AC1094" s="752"/>
      <c r="AD1094" s="966"/>
      <c r="AE1094" s="909"/>
      <c r="AF1094" s="253"/>
      <c r="AG1094" s="253">
        <f>IF(K1094&lt;&gt;"",K1094,"")</f>
        <v>0</v>
      </c>
      <c r="DG1094" s="543"/>
      <c r="DH1094" s="149"/>
      <c r="DI1094" s="1020"/>
      <c r="DJ1094" s="2045"/>
    </row>
    <row r="1095" spans="1:114" ht="15.75" customHeight="1" outlineLevel="1" x14ac:dyDescent="0.25">
      <c r="A1095" s="2145"/>
      <c r="C1095" s="49"/>
      <c r="D1095" s="2394"/>
      <c r="E1095" s="2394"/>
      <c r="F1095" s="1968" t="s">
        <v>1142</v>
      </c>
      <c r="G1095" s="1969"/>
      <c r="H1095" s="1969"/>
      <c r="I1095" s="1970"/>
      <c r="J1095" s="2095" t="s">
        <v>1140</v>
      </c>
      <c r="K1095" s="1975">
        <v>0</v>
      </c>
      <c r="L1095" s="244"/>
      <c r="M1095" s="1976" t="s">
        <v>1291</v>
      </c>
      <c r="T1095" s="50"/>
      <c r="U1095" s="50"/>
      <c r="V1095" s="2394"/>
      <c r="W1095" s="1268"/>
      <c r="X1095" s="1268"/>
      <c r="Y1095" s="1268"/>
      <c r="Z1095" s="1268"/>
      <c r="AA1095" s="1268"/>
      <c r="AB1095" s="1268"/>
      <c r="AC1095" s="752"/>
      <c r="AD1095" s="966"/>
      <c r="AE1095" s="909"/>
      <c r="AF1095" s="253"/>
      <c r="AG1095" s="253">
        <f>IF(K1095&lt;&gt;"",K1095,"")</f>
        <v>0</v>
      </c>
      <c r="DG1095" s="543"/>
      <c r="DH1095" s="149"/>
      <c r="DI1095" s="1020"/>
      <c r="DJ1095" s="2045"/>
    </row>
    <row r="1096" spans="1:114" ht="15" customHeight="1" outlineLevel="1" x14ac:dyDescent="0.25">
      <c r="A1096" s="2145"/>
      <c r="C1096" s="49"/>
      <c r="D1096" s="2394"/>
      <c r="E1096" s="2394"/>
      <c r="F1096" s="2404" t="str">
        <f>$E$681</f>
        <v>ASHP-SEER16_ER1_SF</v>
      </c>
      <c r="G1096" s="2404"/>
      <c r="H1096" s="2404"/>
      <c r="I1096" s="2404"/>
      <c r="J1096" s="1506" t="str">
        <f>$C$681</f>
        <v>352550_2024_12_</v>
      </c>
      <c r="K1096" s="1534">
        <v>6.58</v>
      </c>
      <c r="L1096" s="12"/>
      <c r="M1096" s="1307" t="s">
        <v>1290</v>
      </c>
      <c r="P1096" s="243"/>
      <c r="Q1096" s="243"/>
      <c r="R1096" s="243"/>
      <c r="T1096" s="166"/>
      <c r="U1096" s="50"/>
      <c r="V1096" s="2394"/>
      <c r="W1096" s="1268">
        <v>5.44</v>
      </c>
      <c r="X1096" s="779">
        <v>6.58</v>
      </c>
      <c r="Y1096" s="1268">
        <v>6.58</v>
      </c>
      <c r="Z1096" s="1268">
        <v>6.58</v>
      </c>
      <c r="AA1096" s="1268">
        <v>6.58</v>
      </c>
      <c r="AB1096" s="1268">
        <v>6.58</v>
      </c>
      <c r="AC1096" s="1268">
        <v>6.58</v>
      </c>
      <c r="AD1096" s="1268">
        <v>6.58</v>
      </c>
      <c r="AE1096" s="1268">
        <v>6.58</v>
      </c>
      <c r="AF1096" s="253">
        <v>6.58</v>
      </c>
      <c r="AG1096" s="253">
        <f t="shared" si="204"/>
        <v>6.58</v>
      </c>
      <c r="DG1096" s="543"/>
      <c r="DH1096" s="149"/>
      <c r="DI1096" s="1020"/>
      <c r="DJ1096" s="2045"/>
    </row>
    <row r="1097" spans="1:114" ht="15" customHeight="1" outlineLevel="1" x14ac:dyDescent="0.25">
      <c r="A1097" s="2145"/>
      <c r="C1097" s="49"/>
      <c r="D1097" s="2394"/>
      <c r="E1097" s="2394"/>
      <c r="F1097" s="2404" t="str">
        <f>$E$683</f>
        <v>ASHP-SEER16_ER2_SF</v>
      </c>
      <c r="G1097" s="2404"/>
      <c r="H1097" s="2404"/>
      <c r="I1097" s="2404"/>
      <c r="J1097" s="1506" t="str">
        <f>$C$683</f>
        <v>352550_2024_12_</v>
      </c>
      <c r="K1097" s="1534">
        <v>7.5</v>
      </c>
      <c r="L1097" s="244"/>
      <c r="M1097" s="1249" t="s">
        <v>936</v>
      </c>
      <c r="P1097" s="243"/>
      <c r="Q1097" s="243"/>
      <c r="R1097" s="243"/>
      <c r="T1097" s="166"/>
      <c r="U1097" s="50"/>
      <c r="V1097" s="2394"/>
      <c r="W1097" s="1268">
        <v>8.1999999999999993</v>
      </c>
      <c r="X1097" s="1268">
        <v>8.1999999999999993</v>
      </c>
      <c r="Y1097" s="1268">
        <v>8.1999999999999993</v>
      </c>
      <c r="Z1097" s="1268">
        <v>8.1999999999999993</v>
      </c>
      <c r="AA1097" s="1268">
        <v>8.1999999999999993</v>
      </c>
      <c r="AB1097" s="1268">
        <v>8.1999999999999993</v>
      </c>
      <c r="AC1097" s="1268">
        <v>8.1999999999999993</v>
      </c>
      <c r="AD1097" s="1268">
        <v>8.1999999999999993</v>
      </c>
      <c r="AE1097" s="779">
        <v>8.6</v>
      </c>
      <c r="AF1097" s="253">
        <v>7.5</v>
      </c>
      <c r="AG1097" s="253">
        <f t="shared" si="204"/>
        <v>7.5</v>
      </c>
      <c r="DG1097" s="543"/>
      <c r="DH1097" s="149"/>
      <c r="DI1097" s="1020"/>
      <c r="DJ1097" s="2045"/>
    </row>
    <row r="1098" spans="1:114" ht="15" customHeight="1" outlineLevel="1" x14ac:dyDescent="0.25">
      <c r="A1098" s="2145"/>
      <c r="C1098" s="49"/>
      <c r="D1098" s="2394"/>
      <c r="E1098" s="2394"/>
      <c r="F1098" s="2404" t="str">
        <f>$E$685</f>
        <v>ASHP-SEER16-Replace_CAC_ElectricHeat_ROF_SF</v>
      </c>
      <c r="G1098" s="2404"/>
      <c r="H1098" s="2404"/>
      <c r="I1098" s="2404"/>
      <c r="J1098" s="1506" t="str">
        <f>$C$685</f>
        <v>352600_2024_12_</v>
      </c>
      <c r="K1098" s="1534">
        <v>3.41</v>
      </c>
      <c r="L1098" s="244"/>
      <c r="M1098" s="1307" t="s">
        <v>1290</v>
      </c>
      <c r="P1098" s="243"/>
      <c r="Q1098" s="243"/>
      <c r="R1098" s="243"/>
      <c r="T1098" s="166"/>
      <c r="U1098" s="50"/>
      <c r="V1098" s="2394"/>
      <c r="W1098" s="1268">
        <v>3.41</v>
      </c>
      <c r="X1098" s="1268">
        <v>3.41</v>
      </c>
      <c r="Y1098" s="1268">
        <v>3.41</v>
      </c>
      <c r="Z1098" s="1268">
        <v>3.41</v>
      </c>
      <c r="AA1098" s="1268">
        <v>3.41</v>
      </c>
      <c r="AB1098" s="1268">
        <v>3.41</v>
      </c>
      <c r="AC1098" s="1268">
        <v>3.41</v>
      </c>
      <c r="AD1098" s="1268">
        <v>3.41</v>
      </c>
      <c r="AE1098" s="1268">
        <v>3.41</v>
      </c>
      <c r="AF1098" s="253">
        <v>3.41</v>
      </c>
      <c r="AG1098" s="253">
        <f t="shared" si="204"/>
        <v>3.41</v>
      </c>
      <c r="DG1098" s="543"/>
      <c r="DH1098" s="149"/>
      <c r="DI1098" s="1020"/>
      <c r="DJ1098" s="2045"/>
    </row>
    <row r="1099" spans="1:114" ht="15.75" customHeight="1" outlineLevel="1" x14ac:dyDescent="0.25">
      <c r="A1099" s="2145"/>
      <c r="C1099" s="49"/>
      <c r="D1099" s="2394"/>
      <c r="E1099" s="2394"/>
      <c r="F1099" s="1968" t="s">
        <v>1149</v>
      </c>
      <c r="G1099" s="1969"/>
      <c r="H1099" s="1969"/>
      <c r="I1099" s="1970"/>
      <c r="J1099" s="2095" t="s">
        <v>1148</v>
      </c>
      <c r="K1099" s="1975">
        <v>3.41</v>
      </c>
      <c r="L1099" s="244"/>
      <c r="M1099" s="1976" t="s">
        <v>1292</v>
      </c>
      <c r="T1099" s="50"/>
      <c r="U1099" s="50"/>
      <c r="V1099" s="2394"/>
      <c r="W1099" s="1268"/>
      <c r="X1099" s="1268"/>
      <c r="Y1099" s="1268"/>
      <c r="Z1099" s="1268"/>
      <c r="AA1099" s="1268"/>
      <c r="AB1099" s="1268"/>
      <c r="AC1099" s="752"/>
      <c r="AD1099" s="966"/>
      <c r="AE1099" s="909"/>
      <c r="AF1099" s="253"/>
      <c r="AG1099" s="253">
        <f>IF(K1099&lt;&gt;"",K1099,"")</f>
        <v>3.41</v>
      </c>
      <c r="DG1099" s="543"/>
      <c r="DH1099" s="149"/>
      <c r="DI1099" s="1020"/>
      <c r="DJ1099" s="2045"/>
    </row>
    <row r="1100" spans="1:114" ht="15" customHeight="1" outlineLevel="1" x14ac:dyDescent="0.25">
      <c r="A1100" s="2145"/>
      <c r="C1100" s="49"/>
      <c r="D1100" s="2394"/>
      <c r="E1100" s="2394"/>
      <c r="F1100" s="2404" t="str">
        <f>$E$689</f>
        <v>ASHP-SEER16-Replace_CAC_NonElectricHeat_ROF_SF</v>
      </c>
      <c r="G1100" s="2404"/>
      <c r="H1100" s="2404"/>
      <c r="I1100" s="2404"/>
      <c r="J1100" s="1506" t="str">
        <f>$C$689</f>
        <v>352610_2024_12_</v>
      </c>
      <c r="K1100" s="1534">
        <v>0</v>
      </c>
      <c r="L1100" s="12"/>
      <c r="M1100" s="1307" t="s">
        <v>1291</v>
      </c>
      <c r="P1100" s="243"/>
      <c r="Q1100" s="243"/>
      <c r="R1100" s="243"/>
      <c r="T1100" s="166"/>
      <c r="U1100" s="50"/>
      <c r="V1100" s="2394"/>
      <c r="W1100" s="1268"/>
      <c r="X1100" s="1268"/>
      <c r="Y1100" s="1268"/>
      <c r="Z1100" s="1268"/>
      <c r="AA1100" s="1268"/>
      <c r="AB1100" s="1268"/>
      <c r="AC1100" s="1268"/>
      <c r="AD1100" s="775">
        <v>0</v>
      </c>
      <c r="AE1100" s="1268">
        <v>0</v>
      </c>
      <c r="AF1100" s="253">
        <v>0</v>
      </c>
      <c r="AG1100" s="253">
        <f t="shared" si="204"/>
        <v>0</v>
      </c>
      <c r="DG1100" s="543"/>
      <c r="DH1100" s="149"/>
      <c r="DI1100" s="1020"/>
      <c r="DJ1100" s="2045"/>
    </row>
    <row r="1101" spans="1:114" ht="15" customHeight="1" outlineLevel="1" x14ac:dyDescent="0.25">
      <c r="A1101" s="2145"/>
      <c r="C1101" s="49"/>
      <c r="D1101" s="2394"/>
      <c r="E1101" s="2394"/>
      <c r="F1101" s="2404" t="str">
        <f>$E$691</f>
        <v>ASHP-SEER16_ROF_SF</v>
      </c>
      <c r="G1101" s="2404"/>
      <c r="H1101" s="2404"/>
      <c r="I1101" s="2404"/>
      <c r="J1101" s="1506" t="str">
        <f>$C$691</f>
        <v>352650_2024_12_</v>
      </c>
      <c r="K1101" s="1534">
        <v>7.5</v>
      </c>
      <c r="L1101" s="244"/>
      <c r="M1101" s="1249" t="s">
        <v>936</v>
      </c>
      <c r="P1101" s="243"/>
      <c r="Q1101" s="243"/>
      <c r="R1101" s="243"/>
      <c r="T1101" s="166"/>
      <c r="U1101" s="50"/>
      <c r="V1101" s="2394"/>
      <c r="W1101" s="1268">
        <v>8.1999999999999993</v>
      </c>
      <c r="X1101" s="1268">
        <v>8.1999999999999993</v>
      </c>
      <c r="Y1101" s="1268">
        <v>8.1999999999999993</v>
      </c>
      <c r="Z1101" s="1268">
        <v>8.1999999999999993</v>
      </c>
      <c r="AA1101" s="1268">
        <v>8.1999999999999993</v>
      </c>
      <c r="AB1101" s="1268">
        <v>8.1999999999999993</v>
      </c>
      <c r="AC1101" s="1268">
        <v>8.1999999999999993</v>
      </c>
      <c r="AD1101" s="1268">
        <v>8.1999999999999993</v>
      </c>
      <c r="AE1101" s="779">
        <v>8.6</v>
      </c>
      <c r="AF1101" s="253">
        <v>7.5</v>
      </c>
      <c r="AG1101" s="253">
        <f t="shared" si="204"/>
        <v>7.5</v>
      </c>
      <c r="DG1101" s="543"/>
      <c r="DH1101" s="149"/>
      <c r="DI1101" s="1020"/>
      <c r="DJ1101" s="2045"/>
    </row>
    <row r="1102" spans="1:114" ht="15.75" customHeight="1" outlineLevel="1" x14ac:dyDescent="0.25">
      <c r="A1102" s="2145"/>
      <c r="C1102" s="49"/>
      <c r="D1102" s="2394"/>
      <c r="E1102" s="2394"/>
      <c r="F1102" s="1968" t="s">
        <v>1155</v>
      </c>
      <c r="G1102" s="1969"/>
      <c r="H1102" s="1969"/>
      <c r="I1102" s="1970"/>
      <c r="J1102" s="2095" t="s">
        <v>1154</v>
      </c>
      <c r="K1102" s="1975">
        <v>7.5</v>
      </c>
      <c r="L1102" s="244"/>
      <c r="M1102" s="1976" t="s">
        <v>936</v>
      </c>
      <c r="T1102" s="50"/>
      <c r="U1102" s="50"/>
      <c r="V1102" s="2394"/>
      <c r="W1102" s="1268"/>
      <c r="X1102" s="1268"/>
      <c r="Y1102" s="1268"/>
      <c r="Z1102" s="1268"/>
      <c r="AA1102" s="1268"/>
      <c r="AB1102" s="1268"/>
      <c r="AC1102" s="752"/>
      <c r="AD1102" s="966"/>
      <c r="AE1102" s="909"/>
      <c r="AF1102" s="253"/>
      <c r="AG1102" s="253">
        <f>IF(K1102&lt;&gt;"",K1102,"")</f>
        <v>7.5</v>
      </c>
      <c r="DG1102" s="543"/>
      <c r="DH1102" s="149"/>
      <c r="DI1102" s="1020"/>
      <c r="DJ1102" s="2045"/>
    </row>
    <row r="1103" spans="1:114" ht="15" customHeight="1" outlineLevel="1" x14ac:dyDescent="0.25">
      <c r="A1103" s="2145"/>
      <c r="C1103" s="49"/>
      <c r="D1103" s="2394"/>
      <c r="E1103" s="2394"/>
      <c r="F1103" s="2404" t="str">
        <f>$E$695</f>
        <v>ASHP-SEER16-Replace_CAC_ElectricHeat_ER1_MF</v>
      </c>
      <c r="G1103" s="2404"/>
      <c r="H1103" s="2404"/>
      <c r="I1103" s="2404"/>
      <c r="J1103" s="1506" t="str">
        <f>$C$695</f>
        <v>353000_2024_12_</v>
      </c>
      <c r="K1103" s="1534">
        <v>3.41</v>
      </c>
      <c r="L1103" s="244"/>
      <c r="M1103" s="1307" t="s">
        <v>1293</v>
      </c>
      <c r="P1103" s="243"/>
      <c r="Q1103" s="243"/>
      <c r="R1103" s="243"/>
      <c r="T1103" s="166"/>
      <c r="U1103" s="50"/>
      <c r="V1103" s="2394"/>
      <c r="W1103" s="1268">
        <v>3.41</v>
      </c>
      <c r="X1103" s="1268">
        <v>3.41</v>
      </c>
      <c r="Y1103" s="1268">
        <v>3.41</v>
      </c>
      <c r="Z1103" s="1268">
        <v>3.41</v>
      </c>
      <c r="AA1103" s="1268">
        <v>3.41</v>
      </c>
      <c r="AB1103" s="1268">
        <v>3.41</v>
      </c>
      <c r="AC1103" s="1268">
        <v>3.41</v>
      </c>
      <c r="AD1103" s="1268">
        <v>3.41</v>
      </c>
      <c r="AE1103" s="1268">
        <v>3.41</v>
      </c>
      <c r="AF1103" s="253">
        <v>3.41</v>
      </c>
      <c r="AG1103" s="253">
        <f t="shared" si="204"/>
        <v>3.41</v>
      </c>
      <c r="DG1103" s="543"/>
      <c r="DH1103" s="149"/>
      <c r="DI1103" s="1020"/>
      <c r="DJ1103" s="2045"/>
    </row>
    <row r="1104" spans="1:114" ht="15" customHeight="1" outlineLevel="1" x14ac:dyDescent="0.25">
      <c r="A1104" s="2145"/>
      <c r="C1104" s="49"/>
      <c r="D1104" s="2394"/>
      <c r="E1104" s="2394"/>
      <c r="F1104" s="2404" t="str">
        <f>$E$697</f>
        <v>ASHP-SEER16-Replace_CAC_ElectricHeat_ER2_MF</v>
      </c>
      <c r="G1104" s="2404"/>
      <c r="H1104" s="2404"/>
      <c r="I1104" s="2404"/>
      <c r="J1104" s="1506" t="str">
        <f>$C$697</f>
        <v>353000_2024_12_</v>
      </c>
      <c r="K1104" s="1534">
        <v>3.41</v>
      </c>
      <c r="L1104" s="244"/>
      <c r="M1104" s="1307" t="s">
        <v>1293</v>
      </c>
      <c r="P1104" s="243"/>
      <c r="Q1104" s="243"/>
      <c r="R1104" s="243"/>
      <c r="T1104" s="166"/>
      <c r="U1104" s="50"/>
      <c r="V1104" s="2394"/>
      <c r="W1104" s="1268">
        <v>3.41</v>
      </c>
      <c r="X1104" s="1268">
        <v>3.41</v>
      </c>
      <c r="Y1104" s="1268">
        <v>3.41</v>
      </c>
      <c r="Z1104" s="1268">
        <v>3.41</v>
      </c>
      <c r="AA1104" s="1268">
        <v>3.41</v>
      </c>
      <c r="AB1104" s="1268">
        <v>3.41</v>
      </c>
      <c r="AC1104" s="1268">
        <v>3.41</v>
      </c>
      <c r="AD1104" s="1268">
        <v>3.41</v>
      </c>
      <c r="AE1104" s="1268">
        <v>3.41</v>
      </c>
      <c r="AF1104" s="253">
        <v>3.41</v>
      </c>
      <c r="AG1104" s="253">
        <f t="shared" si="204"/>
        <v>3.41</v>
      </c>
      <c r="DG1104" s="543"/>
      <c r="DH1104" s="149"/>
      <c r="DI1104" s="1020"/>
      <c r="DJ1104" s="2045"/>
    </row>
    <row r="1105" spans="1:114" ht="15" customHeight="1" outlineLevel="1" x14ac:dyDescent="0.25">
      <c r="A1105" s="2145"/>
      <c r="C1105" s="49"/>
      <c r="D1105" s="2394"/>
      <c r="E1105" s="2394"/>
      <c r="F1105" s="2404" t="str">
        <f>$E$699</f>
        <v>ASHP-SEER17-Replace_CAC_ElectricHeat_ROF_SF</v>
      </c>
      <c r="G1105" s="2404"/>
      <c r="H1105" s="2404"/>
      <c r="I1105" s="2404"/>
      <c r="J1105" s="1506" t="str">
        <f>$C$699</f>
        <v>353100_2024_12_</v>
      </c>
      <c r="K1105" s="1534">
        <v>3.41</v>
      </c>
      <c r="L1105" s="244"/>
      <c r="M1105" s="1307" t="s">
        <v>1290</v>
      </c>
      <c r="P1105" s="243"/>
      <c r="Q1105" s="243"/>
      <c r="R1105" s="243"/>
      <c r="T1105" s="166"/>
      <c r="U1105" s="50"/>
      <c r="V1105" s="2394"/>
      <c r="W1105" s="1268">
        <v>3.41</v>
      </c>
      <c r="X1105" s="1268">
        <v>3.41</v>
      </c>
      <c r="Y1105" s="1268">
        <v>3.41</v>
      </c>
      <c r="Z1105" s="1268">
        <v>3.41</v>
      </c>
      <c r="AA1105" s="1268">
        <v>3.41</v>
      </c>
      <c r="AB1105" s="1268">
        <v>3.41</v>
      </c>
      <c r="AC1105" s="1268">
        <v>3.41</v>
      </c>
      <c r="AD1105" s="1268">
        <v>3.41</v>
      </c>
      <c r="AE1105" s="1268">
        <v>3.41</v>
      </c>
      <c r="AF1105" s="253">
        <v>3.41</v>
      </c>
      <c r="AG1105" s="253">
        <f t="shared" si="204"/>
        <v>3.41</v>
      </c>
      <c r="DG1105" s="543"/>
      <c r="DH1105" s="149"/>
      <c r="DI1105" s="1020"/>
      <c r="DJ1105" s="2045"/>
    </row>
    <row r="1106" spans="1:114" ht="15.75" customHeight="1" outlineLevel="1" x14ac:dyDescent="0.25">
      <c r="A1106" s="2145"/>
      <c r="C1106" s="49"/>
      <c r="D1106" s="2394"/>
      <c r="E1106" s="2394"/>
      <c r="F1106" s="1968" t="s">
        <v>1162</v>
      </c>
      <c r="G1106" s="1969"/>
      <c r="H1106" s="1969"/>
      <c r="I1106" s="1970"/>
      <c r="J1106" s="2095" t="s">
        <v>1161</v>
      </c>
      <c r="K1106" s="1975">
        <v>3.41</v>
      </c>
      <c r="L1106" s="244"/>
      <c r="M1106" s="1976" t="s">
        <v>1292</v>
      </c>
      <c r="T1106" s="50"/>
      <c r="U1106" s="50"/>
      <c r="V1106" s="2394"/>
      <c r="W1106" s="1268"/>
      <c r="X1106" s="1268"/>
      <c r="Y1106" s="1268"/>
      <c r="Z1106" s="1268"/>
      <c r="AA1106" s="1268"/>
      <c r="AB1106" s="1268"/>
      <c r="AC1106" s="752"/>
      <c r="AD1106" s="966"/>
      <c r="AE1106" s="909"/>
      <c r="AF1106" s="253"/>
      <c r="AG1106" s="253">
        <f>IF(K1106&lt;&gt;"",K1106,"")</f>
        <v>3.41</v>
      </c>
      <c r="DG1106" s="543"/>
      <c r="DH1106" s="149"/>
      <c r="DI1106" s="1020"/>
      <c r="DJ1106" s="2045"/>
    </row>
    <row r="1107" spans="1:114" ht="15" customHeight="1" outlineLevel="1" x14ac:dyDescent="0.25">
      <c r="A1107" s="2145"/>
      <c r="C1107" s="49"/>
      <c r="D1107" s="2394"/>
      <c r="E1107" s="2394"/>
      <c r="F1107" s="2404" t="str">
        <f>$E$703</f>
        <v>ASHP-SEER17-Replace_CAC_NonElectricHeat_ROF_SF</v>
      </c>
      <c r="G1107" s="2404"/>
      <c r="H1107" s="2404"/>
      <c r="I1107" s="2404"/>
      <c r="J1107" s="1506" t="str">
        <f>$C$703</f>
        <v>353110_2024_12_</v>
      </c>
      <c r="K1107" s="1534">
        <v>0</v>
      </c>
      <c r="L1107" s="12"/>
      <c r="M1107" s="1307" t="s">
        <v>1291</v>
      </c>
      <c r="P1107" s="243"/>
      <c r="Q1107" s="243"/>
      <c r="R1107" s="243"/>
      <c r="T1107" s="166"/>
      <c r="U1107" s="50"/>
      <c r="V1107" s="2394"/>
      <c r="W1107" s="1268"/>
      <c r="X1107" s="1268"/>
      <c r="Y1107" s="1268"/>
      <c r="Z1107" s="1268"/>
      <c r="AA1107" s="1268"/>
      <c r="AB1107" s="1268"/>
      <c r="AC1107" s="1268"/>
      <c r="AD1107" s="775">
        <v>0</v>
      </c>
      <c r="AE1107" s="1268">
        <v>0</v>
      </c>
      <c r="AF1107" s="253">
        <v>0</v>
      </c>
      <c r="AG1107" s="253">
        <f t="shared" si="204"/>
        <v>0</v>
      </c>
      <c r="DG1107" s="543"/>
      <c r="DH1107" s="149"/>
      <c r="DI1107" s="1020"/>
      <c r="DJ1107" s="2045"/>
    </row>
    <row r="1108" spans="1:114" ht="15" customHeight="1" outlineLevel="1" x14ac:dyDescent="0.25">
      <c r="A1108" s="2145"/>
      <c r="C1108" s="49"/>
      <c r="D1108" s="2394"/>
      <c r="E1108" s="2394"/>
      <c r="F1108" s="2404" t="str">
        <f>$E$705</f>
        <v>ASHP-SEER18-Replace_CAC_ElectricHeat_ROF_SF</v>
      </c>
      <c r="G1108" s="2404"/>
      <c r="H1108" s="2404"/>
      <c r="I1108" s="2404"/>
      <c r="J1108" s="1506" t="str">
        <f>$C$705</f>
        <v>353200_2024_12_</v>
      </c>
      <c r="K1108" s="1534">
        <v>3.41</v>
      </c>
      <c r="L1108" s="244"/>
      <c r="M1108" s="1307" t="s">
        <v>1290</v>
      </c>
      <c r="P1108" s="243"/>
      <c r="Q1108" s="243"/>
      <c r="R1108" s="243"/>
      <c r="T1108" s="166"/>
      <c r="U1108" s="50"/>
      <c r="V1108" s="2394"/>
      <c r="W1108" s="1268">
        <v>3.41</v>
      </c>
      <c r="X1108" s="1268">
        <v>3.41</v>
      </c>
      <c r="Y1108" s="1268">
        <v>3.41</v>
      </c>
      <c r="Z1108" s="1268">
        <v>3.41</v>
      </c>
      <c r="AA1108" s="1268">
        <v>3.41</v>
      </c>
      <c r="AB1108" s="1268">
        <v>3.41</v>
      </c>
      <c r="AC1108" s="1268">
        <v>3.41</v>
      </c>
      <c r="AD1108" s="1268">
        <v>3.41</v>
      </c>
      <c r="AE1108" s="1268">
        <v>3.41</v>
      </c>
      <c r="AF1108" s="253">
        <v>3.41</v>
      </c>
      <c r="AG1108" s="253">
        <f t="shared" si="204"/>
        <v>3.41</v>
      </c>
      <c r="DG1108" s="543"/>
      <c r="DH1108" s="149"/>
      <c r="DI1108" s="1020"/>
      <c r="DJ1108" s="2045"/>
    </row>
    <row r="1109" spans="1:114" ht="15" customHeight="1" outlineLevel="1" x14ac:dyDescent="0.25">
      <c r="A1109" s="2145"/>
      <c r="C1109" s="49"/>
      <c r="D1109" s="2394"/>
      <c r="E1109" s="2394"/>
      <c r="F1109" s="2404" t="str">
        <f>$E$707</f>
        <v>ASHP-SEER18-Replace_CAC_NonElectricHeat_ROF_SF</v>
      </c>
      <c r="G1109" s="2404"/>
      <c r="H1109" s="2404"/>
      <c r="I1109" s="2404"/>
      <c r="J1109" s="1506" t="str">
        <f>$C$707</f>
        <v>353210_2024_12_</v>
      </c>
      <c r="K1109" s="1534">
        <v>0</v>
      </c>
      <c r="L1109" s="12"/>
      <c r="M1109" s="1307" t="s">
        <v>1291</v>
      </c>
      <c r="P1109" s="243"/>
      <c r="Q1109" s="243"/>
      <c r="R1109" s="243"/>
      <c r="T1109" s="166"/>
      <c r="U1109" s="50"/>
      <c r="V1109" s="2394"/>
      <c r="W1109" s="1268"/>
      <c r="X1109" s="1268"/>
      <c r="Y1109" s="1268"/>
      <c r="Z1109" s="1268"/>
      <c r="AA1109" s="1268"/>
      <c r="AB1109" s="1268"/>
      <c r="AC1109" s="1268"/>
      <c r="AD1109" s="775">
        <v>0</v>
      </c>
      <c r="AE1109" s="1268">
        <v>0</v>
      </c>
      <c r="AF1109" s="253">
        <v>0</v>
      </c>
      <c r="AG1109" s="253">
        <f t="shared" si="204"/>
        <v>0</v>
      </c>
      <c r="DG1109" s="543"/>
      <c r="DH1109" s="149"/>
      <c r="DI1109" s="1020"/>
      <c r="DJ1109" s="2045"/>
    </row>
    <row r="1110" spans="1:114" ht="15" customHeight="1" outlineLevel="1" x14ac:dyDescent="0.25">
      <c r="A1110" s="2145"/>
      <c r="C1110" s="49"/>
      <c r="D1110" s="2394"/>
      <c r="E1110" s="2394"/>
      <c r="F1110" s="2404" t="str">
        <f>$E$709</f>
        <v>ASHP-SEER19-Replace_CAC_ElectricHeat_ROF_SF</v>
      </c>
      <c r="G1110" s="2404"/>
      <c r="H1110" s="2404"/>
      <c r="I1110" s="2404"/>
      <c r="J1110" s="1506" t="str">
        <f>$C$709</f>
        <v>353300_2024_12_</v>
      </c>
      <c r="K1110" s="1534">
        <v>3.41</v>
      </c>
      <c r="L1110" s="244"/>
      <c r="M1110" s="1307" t="s">
        <v>1290</v>
      </c>
      <c r="P1110" s="243"/>
      <c r="Q1110" s="243"/>
      <c r="R1110" s="243"/>
      <c r="T1110" s="166"/>
      <c r="U1110" s="50"/>
      <c r="V1110" s="2394"/>
      <c r="W1110" s="1268">
        <v>3.41</v>
      </c>
      <c r="X1110" s="1268">
        <v>3.41</v>
      </c>
      <c r="Y1110" s="1268">
        <v>3.41</v>
      </c>
      <c r="Z1110" s="1268">
        <v>3.41</v>
      </c>
      <c r="AA1110" s="1268">
        <v>3.41</v>
      </c>
      <c r="AB1110" s="1268">
        <v>3.41</v>
      </c>
      <c r="AC1110" s="1268">
        <v>3.41</v>
      </c>
      <c r="AD1110" s="1268">
        <v>3.41</v>
      </c>
      <c r="AE1110" s="1268">
        <v>3.41</v>
      </c>
      <c r="AF1110" s="253">
        <v>3.41</v>
      </c>
      <c r="AG1110" s="253">
        <f t="shared" si="204"/>
        <v>3.41</v>
      </c>
      <c r="DG1110" s="543"/>
      <c r="DH1110" s="149"/>
      <c r="DI1110" s="1020"/>
      <c r="DJ1110" s="2045"/>
    </row>
    <row r="1111" spans="1:114" ht="15" customHeight="1" outlineLevel="1" x14ac:dyDescent="0.25">
      <c r="A1111" s="2145"/>
      <c r="C1111" s="49"/>
      <c r="D1111" s="2394"/>
      <c r="E1111" s="2394"/>
      <c r="F1111" s="2404" t="str">
        <f>$E$711</f>
        <v>ASHP-SEER19-Replace_CAC_NonElectricHeat_ROF_SF</v>
      </c>
      <c r="G1111" s="2404"/>
      <c r="H1111" s="2404"/>
      <c r="I1111" s="2404"/>
      <c r="J1111" s="1506" t="str">
        <f>$C$711</f>
        <v>353310_2024_12_</v>
      </c>
      <c r="K1111" s="1534">
        <v>0</v>
      </c>
      <c r="L1111" s="12"/>
      <c r="M1111" s="1307" t="s">
        <v>1291</v>
      </c>
      <c r="P1111" s="243"/>
      <c r="Q1111" s="243"/>
      <c r="R1111" s="243"/>
      <c r="T1111" s="166"/>
      <c r="U1111" s="50"/>
      <c r="V1111" s="2394"/>
      <c r="W1111" s="1268"/>
      <c r="X1111" s="1268"/>
      <c r="Y1111" s="1268"/>
      <c r="Z1111" s="1268"/>
      <c r="AA1111" s="1268"/>
      <c r="AB1111" s="1268"/>
      <c r="AC1111" s="1268"/>
      <c r="AD1111" s="775">
        <v>0</v>
      </c>
      <c r="AE1111" s="1268">
        <v>0</v>
      </c>
      <c r="AF1111" s="253">
        <v>0</v>
      </c>
      <c r="AG1111" s="253">
        <f t="shared" si="204"/>
        <v>0</v>
      </c>
      <c r="DG1111" s="543"/>
      <c r="DH1111" s="149"/>
      <c r="DI1111" s="1020"/>
      <c r="DJ1111" s="2045"/>
    </row>
    <row r="1112" spans="1:114" ht="15" customHeight="1" outlineLevel="1" x14ac:dyDescent="0.25">
      <c r="A1112" s="2145"/>
      <c r="C1112" s="49"/>
      <c r="D1112" s="2394"/>
      <c r="E1112" s="2394"/>
      <c r="F1112" s="2404" t="str">
        <f>$E$713</f>
        <v>ASHP-SEER20-Replace_CAC_ElectricHeat_ER1_SF</v>
      </c>
      <c r="G1112" s="2404"/>
      <c r="H1112" s="2404"/>
      <c r="I1112" s="2404"/>
      <c r="J1112" s="1506" t="str">
        <f>$C$713</f>
        <v>353400_2024_12_</v>
      </c>
      <c r="K1112" s="1534">
        <v>3.41</v>
      </c>
      <c r="L1112" s="244"/>
      <c r="M1112" s="1307" t="s">
        <v>1290</v>
      </c>
      <c r="P1112" s="243"/>
      <c r="Q1112" s="243"/>
      <c r="R1112" s="243"/>
      <c r="T1112" s="166"/>
      <c r="U1112" s="50"/>
      <c r="V1112" s="2394"/>
      <c r="W1112" s="1268">
        <v>3.41</v>
      </c>
      <c r="X1112" s="1268">
        <v>3.41</v>
      </c>
      <c r="Y1112" s="1268">
        <v>3.41</v>
      </c>
      <c r="Z1112" s="1268">
        <v>3.41</v>
      </c>
      <c r="AA1112" s="1268">
        <v>3.41</v>
      </c>
      <c r="AB1112" s="1268">
        <v>3.41</v>
      </c>
      <c r="AC1112" s="1268">
        <v>3.41</v>
      </c>
      <c r="AD1112" s="1268">
        <v>3.41</v>
      </c>
      <c r="AE1112" s="1268">
        <v>3.41</v>
      </c>
      <c r="AF1112" s="253">
        <v>3.41</v>
      </c>
      <c r="AG1112" s="253">
        <f t="shared" si="204"/>
        <v>3.41</v>
      </c>
      <c r="DG1112" s="543"/>
      <c r="DH1112" s="149"/>
      <c r="DI1112" s="1020"/>
      <c r="DJ1112" s="2045"/>
    </row>
    <row r="1113" spans="1:114" ht="15" customHeight="1" outlineLevel="1" x14ac:dyDescent="0.25">
      <c r="A1113" s="2145"/>
      <c r="C1113" s="49"/>
      <c r="D1113" s="2394"/>
      <c r="E1113" s="2394"/>
      <c r="F1113" s="2404" t="str">
        <f>$E$715</f>
        <v>ASHP-SEER20-Replace_CAC_ElectricHeat_ER2_SF</v>
      </c>
      <c r="G1113" s="2404"/>
      <c r="H1113" s="2404"/>
      <c r="I1113" s="2404"/>
      <c r="J1113" s="1506" t="str">
        <f>$C$715</f>
        <v>353400_2024_12_</v>
      </c>
      <c r="K1113" s="1534">
        <v>3.41</v>
      </c>
      <c r="L1113" s="244"/>
      <c r="M1113" s="1307" t="s">
        <v>1290</v>
      </c>
      <c r="P1113" s="243"/>
      <c r="Q1113" s="243"/>
      <c r="R1113" s="243"/>
      <c r="T1113" s="166"/>
      <c r="U1113" s="50"/>
      <c r="V1113" s="2394"/>
      <c r="W1113" s="1268">
        <v>3.41</v>
      </c>
      <c r="X1113" s="1268">
        <v>3.41</v>
      </c>
      <c r="Y1113" s="1268">
        <v>3.41</v>
      </c>
      <c r="Z1113" s="1268">
        <v>3.41</v>
      </c>
      <c r="AA1113" s="1268">
        <v>3.41</v>
      </c>
      <c r="AB1113" s="1268">
        <v>3.41</v>
      </c>
      <c r="AC1113" s="1268">
        <v>3.41</v>
      </c>
      <c r="AD1113" s="1268">
        <v>3.41</v>
      </c>
      <c r="AE1113" s="1268">
        <v>3.41</v>
      </c>
      <c r="AF1113" s="253">
        <v>3.41</v>
      </c>
      <c r="AG1113" s="253">
        <f t="shared" si="204"/>
        <v>3.41</v>
      </c>
      <c r="DG1113" s="543"/>
      <c r="DH1113" s="149"/>
      <c r="DI1113" s="1020"/>
      <c r="DJ1113" s="2045"/>
    </row>
    <row r="1114" spans="1:114" ht="15" customHeight="1" outlineLevel="1" x14ac:dyDescent="0.25">
      <c r="A1114" s="2145"/>
      <c r="C1114" s="49"/>
      <c r="D1114" s="2394"/>
      <c r="E1114" s="2394"/>
      <c r="F1114" s="2404" t="str">
        <f>$E$717</f>
        <v>ASHP-SEER20-Replace_CAC_NonElectricHeat_ER1_SF</v>
      </c>
      <c r="G1114" s="2404"/>
      <c r="H1114" s="2404"/>
      <c r="I1114" s="2404"/>
      <c r="J1114" s="1506" t="str">
        <f>$C$717</f>
        <v>353410_2024_12_</v>
      </c>
      <c r="K1114" s="1536">
        <v>0</v>
      </c>
      <c r="L1114" s="244"/>
      <c r="M1114" s="1307" t="s">
        <v>1291</v>
      </c>
      <c r="P1114" s="243"/>
      <c r="Q1114" s="243"/>
      <c r="R1114" s="243"/>
      <c r="T1114" s="166"/>
      <c r="U1114" s="50"/>
      <c r="V1114" s="2394"/>
      <c r="W1114" s="1268"/>
      <c r="X1114" s="1268"/>
      <c r="Y1114" s="1268"/>
      <c r="Z1114" s="1268"/>
      <c r="AA1114" s="1268"/>
      <c r="AB1114" s="1268"/>
      <c r="AC1114" s="775">
        <v>0</v>
      </c>
      <c r="AD1114" s="752">
        <v>0</v>
      </c>
      <c r="AE1114" s="752">
        <v>0</v>
      </c>
      <c r="AF1114" s="253">
        <v>0</v>
      </c>
      <c r="AG1114" s="253">
        <f t="shared" si="204"/>
        <v>0</v>
      </c>
      <c r="DG1114" s="543"/>
      <c r="DH1114" s="149"/>
      <c r="DI1114" s="1020"/>
      <c r="DJ1114" s="2045"/>
    </row>
    <row r="1115" spans="1:114" ht="15" customHeight="1" outlineLevel="1" x14ac:dyDescent="0.25">
      <c r="A1115" s="2145"/>
      <c r="C1115" s="49"/>
      <c r="D1115" s="2394"/>
      <c r="E1115" s="2394"/>
      <c r="F1115" s="2404" t="str">
        <f>$E$719</f>
        <v>ASHP-SEER20-Replace_CAC_NonElectricHeat_ER2_SF</v>
      </c>
      <c r="G1115" s="2404"/>
      <c r="H1115" s="2404"/>
      <c r="I1115" s="2404"/>
      <c r="J1115" s="1506" t="str">
        <f>$C$719</f>
        <v>353410_2024_12_</v>
      </c>
      <c r="K1115" s="1536">
        <v>0</v>
      </c>
      <c r="L1115" s="244"/>
      <c r="M1115" s="1307" t="s">
        <v>1291</v>
      </c>
      <c r="P1115" s="243"/>
      <c r="Q1115" s="243"/>
      <c r="R1115" s="243"/>
      <c r="T1115" s="166"/>
      <c r="U1115" s="50"/>
      <c r="V1115" s="2394"/>
      <c r="W1115" s="1268"/>
      <c r="X1115" s="1268"/>
      <c r="Y1115" s="1268"/>
      <c r="Z1115" s="1268"/>
      <c r="AA1115" s="1268"/>
      <c r="AB1115" s="1268"/>
      <c r="AC1115" s="775">
        <v>0</v>
      </c>
      <c r="AD1115" s="752">
        <v>0</v>
      </c>
      <c r="AE1115" s="752">
        <v>0</v>
      </c>
      <c r="AF1115" s="253">
        <v>0</v>
      </c>
      <c r="AG1115" s="253">
        <f t="shared" si="204"/>
        <v>0</v>
      </c>
      <c r="DG1115" s="543"/>
      <c r="DH1115" s="149"/>
      <c r="DI1115" s="1020"/>
      <c r="DJ1115" s="2045"/>
    </row>
    <row r="1116" spans="1:114" ht="15.75" customHeight="1" outlineLevel="1" x14ac:dyDescent="0.25">
      <c r="A1116" s="2145"/>
      <c r="C1116" s="49"/>
      <c r="D1116" s="2394"/>
      <c r="E1116" s="2394"/>
      <c r="F1116" s="1968" t="s">
        <v>1180</v>
      </c>
      <c r="G1116" s="1969"/>
      <c r="H1116" s="1969"/>
      <c r="I1116" s="1970"/>
      <c r="J1116" s="2095" t="s">
        <v>1179</v>
      </c>
      <c r="K1116" s="1975">
        <v>0</v>
      </c>
      <c r="L1116" s="244"/>
      <c r="M1116" s="1976" t="s">
        <v>1291</v>
      </c>
      <c r="T1116" s="50"/>
      <c r="U1116" s="50"/>
      <c r="V1116" s="2394"/>
      <c r="W1116" s="1268"/>
      <c r="X1116" s="1268"/>
      <c r="Y1116" s="1268"/>
      <c r="Z1116" s="1268"/>
      <c r="AA1116" s="1268"/>
      <c r="AB1116" s="1268"/>
      <c r="AC1116" s="752"/>
      <c r="AD1116" s="966"/>
      <c r="AE1116" s="909"/>
      <c r="AF1116" s="253"/>
      <c r="AG1116" s="253">
        <f>IF(K1116&lt;&gt;"",K1116,"")</f>
        <v>0</v>
      </c>
      <c r="DG1116" s="543"/>
      <c r="DH1116" s="149"/>
      <c r="DI1116" s="1020"/>
      <c r="DJ1116" s="2045"/>
    </row>
    <row r="1117" spans="1:114" ht="15.75" customHeight="1" outlineLevel="1" x14ac:dyDescent="0.25">
      <c r="A1117" s="2145"/>
      <c r="C1117" s="49"/>
      <c r="D1117" s="2394"/>
      <c r="E1117" s="2394"/>
      <c r="F1117" s="1968" t="s">
        <v>1181</v>
      </c>
      <c r="G1117" s="1969"/>
      <c r="H1117" s="1969"/>
      <c r="I1117" s="1970"/>
      <c r="J1117" s="2095" t="s">
        <v>1179</v>
      </c>
      <c r="K1117" s="1975">
        <v>0</v>
      </c>
      <c r="L1117" s="244"/>
      <c r="M1117" s="1976" t="s">
        <v>1291</v>
      </c>
      <c r="T1117" s="50"/>
      <c r="U1117" s="50"/>
      <c r="V1117" s="2394"/>
      <c r="W1117" s="1268"/>
      <c r="X1117" s="1268"/>
      <c r="Y1117" s="1268"/>
      <c r="Z1117" s="1268"/>
      <c r="AA1117" s="1268"/>
      <c r="AB1117" s="1268"/>
      <c r="AC1117" s="752"/>
      <c r="AD1117" s="966"/>
      <c r="AE1117" s="909"/>
      <c r="AF1117" s="253"/>
      <c r="AG1117" s="253">
        <f>IF(K1117&lt;&gt;"",K1117,"")</f>
        <v>0</v>
      </c>
      <c r="DG1117" s="543"/>
      <c r="DH1117" s="149"/>
      <c r="DI1117" s="1020"/>
      <c r="DJ1117" s="2045"/>
    </row>
    <row r="1118" spans="1:114" ht="15" customHeight="1" outlineLevel="1" x14ac:dyDescent="0.25">
      <c r="A1118" s="2145"/>
      <c r="C1118" s="49"/>
      <c r="D1118" s="2394"/>
      <c r="E1118" s="2394"/>
      <c r="F1118" s="2404" t="str">
        <f>$E$725</f>
        <v>ASHP-SEER20-Replace_CAC_ElectricHeat_ROF_SF</v>
      </c>
      <c r="G1118" s="2404"/>
      <c r="H1118" s="2404"/>
      <c r="I1118" s="2404"/>
      <c r="J1118" s="1506" t="str">
        <f>$C$725</f>
        <v>353450_2024_12_</v>
      </c>
      <c r="K1118" s="1534">
        <v>3.41</v>
      </c>
      <c r="L1118" s="244"/>
      <c r="M1118" s="1307" t="s">
        <v>1290</v>
      </c>
      <c r="P1118" s="243"/>
      <c r="Q1118" s="243"/>
      <c r="R1118" s="243"/>
      <c r="T1118" s="166"/>
      <c r="U1118" s="50"/>
      <c r="V1118" s="2394"/>
      <c r="W1118" s="1268">
        <v>3.41</v>
      </c>
      <c r="X1118" s="1268">
        <v>3.41</v>
      </c>
      <c r="Y1118" s="1268">
        <v>3.41</v>
      </c>
      <c r="Z1118" s="1268">
        <v>3.41</v>
      </c>
      <c r="AA1118" s="1268">
        <v>3.41</v>
      </c>
      <c r="AB1118" s="1268">
        <v>3.41</v>
      </c>
      <c r="AC1118" s="1268">
        <v>3.41</v>
      </c>
      <c r="AD1118" s="1268">
        <v>3.41</v>
      </c>
      <c r="AE1118" s="1268">
        <v>3.41</v>
      </c>
      <c r="AF1118" s="253">
        <v>3.41</v>
      </c>
      <c r="AG1118" s="253">
        <f t="shared" si="204"/>
        <v>3.41</v>
      </c>
      <c r="DG1118" s="543"/>
      <c r="DH1118" s="149"/>
      <c r="DI1118" s="1020"/>
      <c r="DJ1118" s="2045"/>
    </row>
    <row r="1119" spans="1:114" ht="15.75" customHeight="1" outlineLevel="1" x14ac:dyDescent="0.25">
      <c r="A1119" s="2145"/>
      <c r="C1119" s="49"/>
      <c r="D1119" s="2394"/>
      <c r="E1119" s="2394"/>
      <c r="F1119" s="1968" t="s">
        <v>1185</v>
      </c>
      <c r="G1119" s="1969"/>
      <c r="H1119" s="1969"/>
      <c r="I1119" s="1970"/>
      <c r="J1119" s="2095" t="s">
        <v>1184</v>
      </c>
      <c r="K1119" s="1975">
        <v>3.41</v>
      </c>
      <c r="L1119" s="244"/>
      <c r="M1119" s="1976" t="s">
        <v>1292</v>
      </c>
      <c r="T1119" s="50"/>
      <c r="U1119" s="50"/>
      <c r="V1119" s="2394"/>
      <c r="W1119" s="1268"/>
      <c r="X1119" s="1268"/>
      <c r="Y1119" s="1268"/>
      <c r="Z1119" s="1268"/>
      <c r="AA1119" s="1268"/>
      <c r="AB1119" s="1268"/>
      <c r="AC1119" s="752"/>
      <c r="AD1119" s="966"/>
      <c r="AE1119" s="909"/>
      <c r="AF1119" s="253"/>
      <c r="AG1119" s="253">
        <f>IF(K1119&lt;&gt;"",K1119,"")</f>
        <v>3.41</v>
      </c>
      <c r="DG1119" s="543"/>
      <c r="DH1119" s="149"/>
      <c r="DI1119" s="1020"/>
      <c r="DJ1119" s="2045"/>
    </row>
    <row r="1120" spans="1:114" ht="15" customHeight="1" outlineLevel="1" x14ac:dyDescent="0.25">
      <c r="A1120" s="2145"/>
      <c r="C1120" s="49"/>
      <c r="D1120" s="2394"/>
      <c r="E1120" s="2394"/>
      <c r="F1120" s="2404" t="str">
        <f>$E$729</f>
        <v>ASHP-SEER20-Replace_CAC_NonElectricHeat_ROF_SF</v>
      </c>
      <c r="G1120" s="2404"/>
      <c r="H1120" s="2404"/>
      <c r="I1120" s="2404"/>
      <c r="J1120" s="1506" t="str">
        <f>$C$729</f>
        <v>353460_2024_12_</v>
      </c>
      <c r="K1120" s="1534">
        <v>0</v>
      </c>
      <c r="L1120" s="12"/>
      <c r="M1120" s="1307" t="s">
        <v>1291</v>
      </c>
      <c r="P1120" s="243"/>
      <c r="Q1120" s="243"/>
      <c r="R1120" s="243"/>
      <c r="T1120" s="166"/>
      <c r="U1120" s="50"/>
      <c r="V1120" s="2394"/>
      <c r="W1120" s="1268"/>
      <c r="X1120" s="1268"/>
      <c r="Y1120" s="1268"/>
      <c r="Z1120" s="1268"/>
      <c r="AA1120" s="1268"/>
      <c r="AB1120" s="1268"/>
      <c r="AC1120" s="1268"/>
      <c r="AD1120" s="775">
        <v>0</v>
      </c>
      <c r="AE1120" s="1268">
        <v>0</v>
      </c>
      <c r="AF1120" s="253">
        <v>0</v>
      </c>
      <c r="AG1120" s="253">
        <f t="shared" si="204"/>
        <v>0</v>
      </c>
      <c r="DG1120" s="543"/>
      <c r="DH1120" s="149"/>
      <c r="DI1120" s="1020"/>
      <c r="DJ1120" s="2045"/>
    </row>
    <row r="1121" spans="1:114" ht="15" customHeight="1" outlineLevel="1" x14ac:dyDescent="0.25">
      <c r="A1121" s="2145"/>
      <c r="C1121" s="49"/>
      <c r="D1121" s="2394"/>
      <c r="E1121" s="2394"/>
      <c r="F1121" s="2404" t="str">
        <f>$E$731</f>
        <v>ASHP-SEER21-Replace_CAC_ElectricHeat_ER1_SF</v>
      </c>
      <c r="G1121" s="2404"/>
      <c r="H1121" s="2404"/>
      <c r="I1121" s="2404"/>
      <c r="J1121" s="1506" t="str">
        <f>$C$731</f>
        <v>353550_2024_12_</v>
      </c>
      <c r="K1121" s="1534">
        <v>3.41</v>
      </c>
      <c r="L1121" s="244"/>
      <c r="M1121" s="1307" t="s">
        <v>1290</v>
      </c>
      <c r="P1121" s="243"/>
      <c r="Q1121" s="192"/>
      <c r="R1121" s="243"/>
      <c r="T1121" s="166"/>
      <c r="U1121" s="50"/>
      <c r="V1121" s="2394"/>
      <c r="W1121" s="1268">
        <v>3.41</v>
      </c>
      <c r="X1121" s="1268">
        <v>3.41</v>
      </c>
      <c r="Y1121" s="1268">
        <v>3.41</v>
      </c>
      <c r="Z1121" s="1268">
        <v>3.41</v>
      </c>
      <c r="AA1121" s="1268">
        <v>3.41</v>
      </c>
      <c r="AB1121" s="1268">
        <v>3.41</v>
      </c>
      <c r="AC1121" s="1268">
        <v>3.41</v>
      </c>
      <c r="AD1121" s="1268">
        <v>3.41</v>
      </c>
      <c r="AE1121" s="1268">
        <v>3.41</v>
      </c>
      <c r="AF1121" s="253">
        <v>3.41</v>
      </c>
      <c r="AG1121" s="253">
        <f t="shared" si="204"/>
        <v>3.41</v>
      </c>
      <c r="DG1121" s="543"/>
      <c r="DH1121" s="149"/>
      <c r="DI1121" s="1020"/>
      <c r="DJ1121" s="2045"/>
    </row>
    <row r="1122" spans="1:114" ht="15" customHeight="1" outlineLevel="1" x14ac:dyDescent="0.25">
      <c r="A1122" s="2145"/>
      <c r="C1122" s="49"/>
      <c r="D1122" s="2394"/>
      <c r="E1122" s="2394"/>
      <c r="F1122" s="2404" t="str">
        <f>$E$733</f>
        <v>ASHP-SEER21-Replace_CAC_ElectricHeat_ER2_SF</v>
      </c>
      <c r="G1122" s="2404"/>
      <c r="H1122" s="2404"/>
      <c r="I1122" s="2404"/>
      <c r="J1122" s="1506" t="str">
        <f>$C$733</f>
        <v>353550_2024_12_</v>
      </c>
      <c r="K1122" s="1534">
        <v>3.41</v>
      </c>
      <c r="L1122" s="244"/>
      <c r="M1122" s="1307" t="s">
        <v>1290</v>
      </c>
      <c r="P1122" s="243"/>
      <c r="Q1122" s="192"/>
      <c r="R1122" s="243"/>
      <c r="T1122" s="166"/>
      <c r="U1122" s="50"/>
      <c r="V1122" s="2394"/>
      <c r="W1122" s="1268">
        <v>3.41</v>
      </c>
      <c r="X1122" s="1268">
        <v>3.41</v>
      </c>
      <c r="Y1122" s="1268">
        <v>3.41</v>
      </c>
      <c r="Z1122" s="1268">
        <v>3.41</v>
      </c>
      <c r="AA1122" s="1268">
        <v>3.41</v>
      </c>
      <c r="AB1122" s="1268">
        <v>3.41</v>
      </c>
      <c r="AC1122" s="1268">
        <v>3.41</v>
      </c>
      <c r="AD1122" s="1268">
        <v>3.41</v>
      </c>
      <c r="AE1122" s="1268">
        <v>3.41</v>
      </c>
      <c r="AF1122" s="253">
        <v>3.41</v>
      </c>
      <c r="AG1122" s="253">
        <f t="shared" si="204"/>
        <v>3.41</v>
      </c>
      <c r="DG1122" s="543"/>
      <c r="DH1122" s="149"/>
      <c r="DI1122" s="1020"/>
      <c r="DJ1122" s="2045"/>
    </row>
    <row r="1123" spans="1:114" ht="15" customHeight="1" outlineLevel="1" x14ac:dyDescent="0.25">
      <c r="A1123" s="2145"/>
      <c r="C1123" s="49"/>
      <c r="D1123" s="2394"/>
      <c r="E1123" s="2394"/>
      <c r="F1123" s="2404" t="str">
        <f>$E$735</f>
        <v>ASHP-SEER21-Replace_CAC_NonElectricHeat_ER1_SF</v>
      </c>
      <c r="G1123" s="2404"/>
      <c r="H1123" s="2404"/>
      <c r="I1123" s="2404"/>
      <c r="J1123" s="1506" t="str">
        <f>$C$735</f>
        <v>353560_2024_12_</v>
      </c>
      <c r="K1123" s="1536">
        <v>0</v>
      </c>
      <c r="L1123" s="244"/>
      <c r="M1123" s="1307" t="s">
        <v>1291</v>
      </c>
      <c r="P1123" s="243"/>
      <c r="Q1123" s="192"/>
      <c r="R1123" s="243"/>
      <c r="T1123" s="166"/>
      <c r="U1123" s="50"/>
      <c r="V1123" s="2394"/>
      <c r="W1123" s="1268"/>
      <c r="X1123" s="1268"/>
      <c r="Y1123" s="1268"/>
      <c r="Z1123" s="1268"/>
      <c r="AA1123" s="1268"/>
      <c r="AB1123" s="1268"/>
      <c r="AC1123" s="775">
        <v>0</v>
      </c>
      <c r="AD1123" s="752">
        <v>0</v>
      </c>
      <c r="AE1123" s="752">
        <v>0</v>
      </c>
      <c r="AF1123" s="253">
        <v>0</v>
      </c>
      <c r="AG1123" s="253">
        <f t="shared" si="204"/>
        <v>0</v>
      </c>
      <c r="DG1123" s="543"/>
      <c r="DH1123" s="149"/>
      <c r="DI1123" s="1020"/>
      <c r="DJ1123" s="2045"/>
    </row>
    <row r="1124" spans="1:114" ht="15" customHeight="1" outlineLevel="1" x14ac:dyDescent="0.25">
      <c r="A1124" s="2145"/>
      <c r="C1124" s="49"/>
      <c r="D1124" s="2394"/>
      <c r="E1124" s="2394"/>
      <c r="F1124" s="2404" t="str">
        <f>$E$737</f>
        <v>ASHP-SEER21-Replace_CAC_NonElectricHeat_ER2_SF</v>
      </c>
      <c r="G1124" s="2404"/>
      <c r="H1124" s="2404"/>
      <c r="I1124" s="2404"/>
      <c r="J1124" s="1506" t="str">
        <f>$C$737</f>
        <v>353560_2024_12_</v>
      </c>
      <c r="K1124" s="1536">
        <v>0</v>
      </c>
      <c r="L1124" s="244"/>
      <c r="M1124" s="1307" t="s">
        <v>1291</v>
      </c>
      <c r="P1124" s="243"/>
      <c r="Q1124" s="192"/>
      <c r="R1124" s="243"/>
      <c r="T1124" s="166"/>
      <c r="U1124" s="50"/>
      <c r="V1124" s="2394"/>
      <c r="W1124" s="1268"/>
      <c r="X1124" s="1268"/>
      <c r="Y1124" s="1268"/>
      <c r="Z1124" s="1268"/>
      <c r="AA1124" s="1268"/>
      <c r="AB1124" s="1268"/>
      <c r="AC1124" s="775">
        <v>0</v>
      </c>
      <c r="AD1124" s="752">
        <v>0</v>
      </c>
      <c r="AE1124" s="752">
        <v>0</v>
      </c>
      <c r="AF1124" s="253">
        <v>0</v>
      </c>
      <c r="AG1124" s="253">
        <f t="shared" si="204"/>
        <v>0</v>
      </c>
      <c r="DG1124" s="543"/>
      <c r="DH1124" s="149"/>
      <c r="DI1124" s="1020"/>
      <c r="DJ1124" s="2045"/>
    </row>
    <row r="1125" spans="1:114" ht="15" customHeight="1" outlineLevel="1" x14ac:dyDescent="0.25">
      <c r="A1125" s="2145"/>
      <c r="C1125" s="49"/>
      <c r="D1125" s="2394"/>
      <c r="E1125" s="2394"/>
      <c r="F1125" s="2404" t="str">
        <f>$E$739</f>
        <v>ASHP-SEER21-Replace_CAC_ElectricHeat_ER1_MF</v>
      </c>
      <c r="G1125" s="2404"/>
      <c r="H1125" s="2404"/>
      <c r="I1125" s="2404"/>
      <c r="J1125" s="1506" t="str">
        <f>$C$739</f>
        <v>353600_2024_12_</v>
      </c>
      <c r="K1125" s="1534">
        <v>3.41</v>
      </c>
      <c r="L1125" s="244"/>
      <c r="M1125" s="1307" t="s">
        <v>1293</v>
      </c>
      <c r="P1125" s="243"/>
      <c r="Q1125" s="192"/>
      <c r="R1125" s="243"/>
      <c r="T1125" s="166"/>
      <c r="U1125" s="50"/>
      <c r="V1125" s="2394"/>
      <c r="W1125" s="1268">
        <v>3.41</v>
      </c>
      <c r="X1125" s="1268">
        <v>3.41</v>
      </c>
      <c r="Y1125" s="1268">
        <v>3.41</v>
      </c>
      <c r="Z1125" s="1268">
        <v>3.41</v>
      </c>
      <c r="AA1125" s="1268">
        <v>3.41</v>
      </c>
      <c r="AB1125" s="1268">
        <v>3.41</v>
      </c>
      <c r="AC1125" s="1268">
        <v>3.41</v>
      </c>
      <c r="AD1125" s="1268">
        <v>3.41</v>
      </c>
      <c r="AE1125" s="1268">
        <v>3.41</v>
      </c>
      <c r="AF1125" s="253">
        <v>3.41</v>
      </c>
      <c r="AG1125" s="253">
        <f t="shared" si="204"/>
        <v>3.41</v>
      </c>
      <c r="DG1125" s="543"/>
      <c r="DH1125" s="149"/>
      <c r="DI1125" s="1020"/>
      <c r="DJ1125" s="2045"/>
    </row>
    <row r="1126" spans="1:114" ht="15" customHeight="1" outlineLevel="1" x14ac:dyDescent="0.25">
      <c r="A1126" s="2145"/>
      <c r="C1126" s="49"/>
      <c r="D1126" s="2394"/>
      <c r="E1126" s="2394"/>
      <c r="F1126" s="2404" t="str">
        <f>$E$741</f>
        <v>ASHP-SEER21-Replace_CAC_ElectricHeat_ER2_MF</v>
      </c>
      <c r="G1126" s="2404"/>
      <c r="H1126" s="2404"/>
      <c r="I1126" s="2404"/>
      <c r="J1126" s="1506" t="str">
        <f>$C$741</f>
        <v>353600_2024_12_</v>
      </c>
      <c r="K1126" s="1534">
        <v>3.41</v>
      </c>
      <c r="L1126" s="244"/>
      <c r="M1126" s="1307" t="s">
        <v>1293</v>
      </c>
      <c r="P1126" s="243"/>
      <c r="Q1126" s="192"/>
      <c r="R1126" s="243"/>
      <c r="T1126" s="166"/>
      <c r="U1126" s="50"/>
      <c r="V1126" s="2394"/>
      <c r="W1126" s="1268">
        <v>3.41</v>
      </c>
      <c r="X1126" s="1268">
        <v>3.41</v>
      </c>
      <c r="Y1126" s="1268">
        <v>3.41</v>
      </c>
      <c r="Z1126" s="1268">
        <v>3.41</v>
      </c>
      <c r="AA1126" s="1268">
        <v>3.41</v>
      </c>
      <c r="AB1126" s="1268">
        <v>3.41</v>
      </c>
      <c r="AC1126" s="1268">
        <v>3.41</v>
      </c>
      <c r="AD1126" s="1268">
        <v>3.41</v>
      </c>
      <c r="AE1126" s="1268">
        <v>3.41</v>
      </c>
      <c r="AF1126" s="253">
        <v>3.41</v>
      </c>
      <c r="AG1126" s="253">
        <f t="shared" si="204"/>
        <v>3.41</v>
      </c>
      <c r="DG1126" s="543"/>
      <c r="DH1126" s="149"/>
      <c r="DI1126" s="1020"/>
      <c r="DJ1126" s="2045"/>
    </row>
    <row r="1127" spans="1:114" ht="15" customHeight="1" outlineLevel="1" x14ac:dyDescent="0.25">
      <c r="A1127" s="2145"/>
      <c r="C1127" s="49"/>
      <c r="D1127" s="2394"/>
      <c r="E1127" s="2394"/>
      <c r="F1127" s="2404" t="str">
        <f>$E$743</f>
        <v>ASHP-SEER21-Replace_CAC_ElectricHeat_ROF_SF</v>
      </c>
      <c r="G1127" s="2404"/>
      <c r="H1127" s="2404"/>
      <c r="I1127" s="2404"/>
      <c r="J1127" s="1506" t="str">
        <f>$C$743</f>
        <v>353650_2024_12_</v>
      </c>
      <c r="K1127" s="1534">
        <v>3.41</v>
      </c>
      <c r="L1127" s="244"/>
      <c r="M1127" s="1307" t="s">
        <v>1290</v>
      </c>
      <c r="P1127" s="243"/>
      <c r="Q1127" s="192"/>
      <c r="R1127" s="243"/>
      <c r="T1127" s="166"/>
      <c r="U1127" s="50"/>
      <c r="V1127" s="2394"/>
      <c r="W1127" s="1268">
        <v>3.41</v>
      </c>
      <c r="X1127" s="1268">
        <v>3.41</v>
      </c>
      <c r="Y1127" s="1268">
        <v>3.41</v>
      </c>
      <c r="Z1127" s="1268">
        <v>3.41</v>
      </c>
      <c r="AA1127" s="1268">
        <v>3.41</v>
      </c>
      <c r="AB1127" s="1268">
        <v>3.41</v>
      </c>
      <c r="AC1127" s="1268">
        <v>3.41</v>
      </c>
      <c r="AD1127" s="1268">
        <v>3.41</v>
      </c>
      <c r="AE1127" s="1268">
        <v>3.41</v>
      </c>
      <c r="AF1127" s="253">
        <v>3.41</v>
      </c>
      <c r="AG1127" s="253">
        <f t="shared" si="204"/>
        <v>3.41</v>
      </c>
      <c r="DG1127" s="543"/>
      <c r="DH1127" s="149"/>
      <c r="DI1127" s="1020"/>
      <c r="DJ1127" s="2045"/>
    </row>
    <row r="1128" spans="1:114" ht="15" customHeight="1" outlineLevel="1" x14ac:dyDescent="0.25">
      <c r="A1128" s="2145"/>
      <c r="C1128" s="49"/>
      <c r="D1128" s="2394"/>
      <c r="E1128" s="2394"/>
      <c r="F1128" s="2404" t="str">
        <f>$E$745</f>
        <v>ASHP-SEER21-Replace_CAC_NonElectricHeat_ROF_SF</v>
      </c>
      <c r="G1128" s="2404"/>
      <c r="H1128" s="2404"/>
      <c r="I1128" s="2404"/>
      <c r="J1128" s="1506" t="str">
        <f>$C$745</f>
        <v>353660_2024_12_</v>
      </c>
      <c r="K1128" s="1534">
        <v>0</v>
      </c>
      <c r="L1128" s="12"/>
      <c r="M1128" s="1307" t="s">
        <v>1291</v>
      </c>
      <c r="P1128" s="243"/>
      <c r="Q1128" s="192"/>
      <c r="R1128" s="243"/>
      <c r="T1128" s="166"/>
      <c r="U1128" s="50"/>
      <c r="V1128" s="2394"/>
      <c r="W1128" s="1268"/>
      <c r="X1128" s="1268"/>
      <c r="Y1128" s="1268"/>
      <c r="Z1128" s="1268"/>
      <c r="AA1128" s="1268"/>
      <c r="AB1128" s="1268"/>
      <c r="AC1128" s="1268"/>
      <c r="AD1128" s="775">
        <v>0</v>
      </c>
      <c r="AE1128" s="1268">
        <v>0</v>
      </c>
      <c r="AF1128" s="253">
        <v>0</v>
      </c>
      <c r="AG1128" s="253">
        <f t="shared" si="204"/>
        <v>0</v>
      </c>
      <c r="DG1128" s="543"/>
      <c r="DH1128" s="149"/>
      <c r="DI1128" s="1020"/>
      <c r="DJ1128" s="2045"/>
    </row>
    <row r="1129" spans="1:114" ht="15" customHeight="1" outlineLevel="1" x14ac:dyDescent="0.25">
      <c r="A1129" s="2145"/>
      <c r="C1129" s="49"/>
      <c r="D1129" s="2394"/>
      <c r="E1129" s="2394"/>
      <c r="F1129" s="2404" t="str">
        <f>$E$747</f>
        <v>ASHP-SEER17_ER1_SF</v>
      </c>
      <c r="G1129" s="2404"/>
      <c r="H1129" s="2404"/>
      <c r="I1129" s="2404"/>
      <c r="J1129" s="1506" t="str">
        <f>$C$747</f>
        <v>353750_2024_12_</v>
      </c>
      <c r="K1129" s="1534">
        <v>6.58</v>
      </c>
      <c r="L1129" s="244"/>
      <c r="M1129" s="1307" t="s">
        <v>1290</v>
      </c>
      <c r="T1129" s="50"/>
      <c r="U1129" s="50"/>
      <c r="V1129" s="2394"/>
      <c r="W1129" s="1268">
        <v>5.44</v>
      </c>
      <c r="X1129" s="779">
        <v>6.58</v>
      </c>
      <c r="Y1129" s="1268">
        <v>6.58</v>
      </c>
      <c r="Z1129" s="1268">
        <v>6.58</v>
      </c>
      <c r="AA1129" s="1268">
        <v>6.58</v>
      </c>
      <c r="AB1129" s="1268">
        <v>6.58</v>
      </c>
      <c r="AC1129" s="1268">
        <v>6.58</v>
      </c>
      <c r="AD1129" s="1268">
        <v>6.58</v>
      </c>
      <c r="AE1129" s="1268">
        <v>6.58</v>
      </c>
      <c r="AF1129" s="253">
        <v>6.58</v>
      </c>
      <c r="AG1129" s="253">
        <f t="shared" si="204"/>
        <v>6.58</v>
      </c>
      <c r="DG1129" s="543"/>
      <c r="DH1129" s="149"/>
      <c r="DI1129" s="1020"/>
      <c r="DJ1129" s="2045"/>
    </row>
    <row r="1130" spans="1:114" ht="15" customHeight="1" outlineLevel="1" x14ac:dyDescent="0.25">
      <c r="A1130" s="2145"/>
      <c r="C1130" s="49"/>
      <c r="D1130" s="2394"/>
      <c r="E1130" s="2394"/>
      <c r="F1130" s="2404" t="str">
        <f>$E$749</f>
        <v>ASHP-SEER17_ER2_SF</v>
      </c>
      <c r="G1130" s="2404"/>
      <c r="H1130" s="2404"/>
      <c r="I1130" s="2404"/>
      <c r="J1130" s="1506" t="str">
        <f>$C$749</f>
        <v>353750_2024_12_</v>
      </c>
      <c r="K1130" s="1534">
        <v>7.5</v>
      </c>
      <c r="L1130" s="244"/>
      <c r="M1130" s="1249" t="s">
        <v>936</v>
      </c>
      <c r="P1130" s="243"/>
      <c r="Q1130" s="192"/>
      <c r="R1130" s="243"/>
      <c r="T1130" s="166"/>
      <c r="U1130" s="50"/>
      <c r="V1130" s="2394"/>
      <c r="W1130" s="1268">
        <v>8.1999999999999993</v>
      </c>
      <c r="X1130" s="1268">
        <v>8.1999999999999993</v>
      </c>
      <c r="Y1130" s="1268">
        <v>8.1999999999999993</v>
      </c>
      <c r="Z1130" s="1268">
        <v>8.1999999999999993</v>
      </c>
      <c r="AA1130" s="1268">
        <v>8.1999999999999993</v>
      </c>
      <c r="AB1130" s="1268">
        <v>8.1999999999999993</v>
      </c>
      <c r="AC1130" s="1268">
        <v>8.1999999999999993</v>
      </c>
      <c r="AD1130" s="1268">
        <v>8.1999999999999993</v>
      </c>
      <c r="AE1130" s="779">
        <v>8.6</v>
      </c>
      <c r="AF1130" s="253">
        <v>7.5</v>
      </c>
      <c r="AG1130" s="253">
        <f t="shared" si="204"/>
        <v>7.5</v>
      </c>
      <c r="DG1130" s="543"/>
      <c r="DH1130" s="149"/>
      <c r="DI1130" s="1020"/>
      <c r="DJ1130" s="2045"/>
    </row>
    <row r="1131" spans="1:114" ht="15" customHeight="1" outlineLevel="1" x14ac:dyDescent="0.25">
      <c r="A1131" s="2145"/>
      <c r="C1131" s="49"/>
      <c r="D1131" s="2394"/>
      <c r="E1131" s="2394"/>
      <c r="F1131" s="2404" t="str">
        <f>$E$751</f>
        <v>ASHP-SEER17_ROF_SF</v>
      </c>
      <c r="G1131" s="2404"/>
      <c r="H1131" s="2404"/>
      <c r="I1131" s="2404"/>
      <c r="J1131" s="1506" t="str">
        <f>$C$751</f>
        <v>353800_2024_12_</v>
      </c>
      <c r="K1131" s="1534">
        <v>7.5</v>
      </c>
      <c r="L1131" s="244"/>
      <c r="M1131" s="1249" t="s">
        <v>936</v>
      </c>
      <c r="T1131" s="50"/>
      <c r="U1131" s="50"/>
      <c r="V1131" s="2394"/>
      <c r="W1131" s="1268">
        <v>8.1999999999999993</v>
      </c>
      <c r="X1131" s="1268">
        <v>8.1999999999999993</v>
      </c>
      <c r="Y1131" s="1268">
        <v>8.1999999999999993</v>
      </c>
      <c r="Z1131" s="1268">
        <v>8.1999999999999993</v>
      </c>
      <c r="AA1131" s="1268">
        <v>8.1999999999999993</v>
      </c>
      <c r="AB1131" s="1268">
        <v>8.1999999999999993</v>
      </c>
      <c r="AC1131" s="1268">
        <v>8.1999999999999993</v>
      </c>
      <c r="AD1131" s="1268">
        <v>8.1999999999999993</v>
      </c>
      <c r="AE1131" s="779">
        <v>8.6</v>
      </c>
      <c r="AF1131" s="253">
        <v>7.5</v>
      </c>
      <c r="AG1131" s="253">
        <f t="shared" si="204"/>
        <v>7.5</v>
      </c>
      <c r="DG1131" s="543"/>
      <c r="DH1131" s="149"/>
      <c r="DI1131" s="1020"/>
      <c r="DJ1131" s="2045"/>
    </row>
    <row r="1132" spans="1:114" ht="15" customHeight="1" outlineLevel="1" x14ac:dyDescent="0.25">
      <c r="A1132" s="2145"/>
      <c r="C1132" s="49"/>
      <c r="D1132" s="2394"/>
      <c r="E1132" s="2394"/>
      <c r="F1132" s="2404" t="str">
        <f>$E$753</f>
        <v>ASHP-SEER18_ER1_SF</v>
      </c>
      <c r="G1132" s="2404"/>
      <c r="H1132" s="2404"/>
      <c r="I1132" s="2404"/>
      <c r="J1132" s="1506" t="str">
        <f>$C$753</f>
        <v>353850_2024_12_</v>
      </c>
      <c r="K1132" s="1534">
        <v>6.58</v>
      </c>
      <c r="L1132" s="244"/>
      <c r="M1132" s="1307" t="s">
        <v>1290</v>
      </c>
      <c r="P1132" s="243"/>
      <c r="Q1132" s="192"/>
      <c r="R1132" s="243"/>
      <c r="T1132" s="166"/>
      <c r="U1132" s="50"/>
      <c r="V1132" s="2394"/>
      <c r="W1132" s="1268">
        <v>5.44</v>
      </c>
      <c r="X1132" s="779">
        <v>6.58</v>
      </c>
      <c r="Y1132" s="1268">
        <v>6.58</v>
      </c>
      <c r="Z1132" s="1268">
        <v>6.58</v>
      </c>
      <c r="AA1132" s="1268">
        <v>6.58</v>
      </c>
      <c r="AB1132" s="1268">
        <v>6.58</v>
      </c>
      <c r="AC1132" s="1268">
        <v>6.58</v>
      </c>
      <c r="AD1132" s="1268">
        <v>6.58</v>
      </c>
      <c r="AE1132" s="1268">
        <v>6.58</v>
      </c>
      <c r="AF1132" s="253">
        <v>6.58</v>
      </c>
      <c r="AG1132" s="253">
        <f t="shared" si="204"/>
        <v>6.58</v>
      </c>
      <c r="DG1132" s="543"/>
      <c r="DH1132" s="149"/>
      <c r="DI1132" s="1020"/>
      <c r="DJ1132" s="2045"/>
    </row>
    <row r="1133" spans="1:114" ht="15" customHeight="1" outlineLevel="1" x14ac:dyDescent="0.25">
      <c r="A1133" s="2145"/>
      <c r="C1133" s="49"/>
      <c r="D1133" s="2394"/>
      <c r="E1133" s="2394"/>
      <c r="F1133" s="2404" t="str">
        <f>$E$755</f>
        <v>ASHP-SEER18_ER2_SF</v>
      </c>
      <c r="G1133" s="2404"/>
      <c r="H1133" s="2404"/>
      <c r="I1133" s="2404"/>
      <c r="J1133" s="1506" t="str">
        <f>$C$755</f>
        <v>353850_2024_12_</v>
      </c>
      <c r="K1133" s="1534">
        <v>7.5</v>
      </c>
      <c r="L1133" s="244"/>
      <c r="M1133" s="1249" t="s">
        <v>936</v>
      </c>
      <c r="T1133" s="50"/>
      <c r="U1133" s="50"/>
      <c r="V1133" s="2394"/>
      <c r="W1133" s="1268">
        <v>8.1999999999999993</v>
      </c>
      <c r="X1133" s="1268">
        <v>8.1999999999999993</v>
      </c>
      <c r="Y1133" s="1268">
        <v>8.1999999999999993</v>
      </c>
      <c r="Z1133" s="1268">
        <v>8.1999999999999993</v>
      </c>
      <c r="AA1133" s="1268">
        <v>8.1999999999999993</v>
      </c>
      <c r="AB1133" s="1268">
        <v>8.1999999999999993</v>
      </c>
      <c r="AC1133" s="1268">
        <v>8.1999999999999993</v>
      </c>
      <c r="AD1133" s="1268">
        <v>8.1999999999999993</v>
      </c>
      <c r="AE1133" s="779">
        <v>8.6</v>
      </c>
      <c r="AF1133" s="253">
        <v>7.5</v>
      </c>
      <c r="AG1133" s="253">
        <f t="shared" si="204"/>
        <v>7.5</v>
      </c>
      <c r="DG1133" s="543"/>
      <c r="DH1133" s="149"/>
      <c r="DI1133" s="1020"/>
      <c r="DJ1133" s="2045"/>
    </row>
    <row r="1134" spans="1:114" ht="15" customHeight="1" outlineLevel="1" x14ac:dyDescent="0.25">
      <c r="A1134" s="2145"/>
      <c r="C1134" s="49"/>
      <c r="D1134" s="2394"/>
      <c r="E1134" s="2394"/>
      <c r="F1134" s="2404" t="str">
        <f>$E$757</f>
        <v>ASHP-SEER18_ROF_SF</v>
      </c>
      <c r="G1134" s="2404"/>
      <c r="H1134" s="2404"/>
      <c r="I1134" s="2404"/>
      <c r="J1134" s="1506" t="str">
        <f>$C$757</f>
        <v>353950_2024_12_</v>
      </c>
      <c r="K1134" s="1534">
        <v>7.5</v>
      </c>
      <c r="L1134" s="244"/>
      <c r="M1134" s="1249" t="s">
        <v>936</v>
      </c>
      <c r="P1134" s="243"/>
      <c r="Q1134" s="192"/>
      <c r="R1134" s="243"/>
      <c r="T1134" s="166"/>
      <c r="U1134" s="50"/>
      <c r="V1134" s="2394"/>
      <c r="W1134" s="1268">
        <v>8.1999999999999993</v>
      </c>
      <c r="X1134" s="1268">
        <v>8.1999999999999993</v>
      </c>
      <c r="Y1134" s="1268">
        <v>8.1999999999999993</v>
      </c>
      <c r="Z1134" s="1268">
        <v>8.1999999999999993</v>
      </c>
      <c r="AA1134" s="1268">
        <v>8.1999999999999993</v>
      </c>
      <c r="AB1134" s="1268">
        <v>8.1999999999999993</v>
      </c>
      <c r="AC1134" s="1268">
        <v>8.1999999999999993</v>
      </c>
      <c r="AD1134" s="1268">
        <v>8.1999999999999993</v>
      </c>
      <c r="AE1134" s="779">
        <v>8.6</v>
      </c>
      <c r="AF1134" s="253">
        <v>7.5</v>
      </c>
      <c r="AG1134" s="253">
        <f t="shared" si="204"/>
        <v>7.5</v>
      </c>
      <c r="DG1134" s="543"/>
      <c r="DH1134" s="149"/>
      <c r="DI1134" s="1020"/>
      <c r="DJ1134" s="2045"/>
    </row>
    <row r="1135" spans="1:114" ht="15" customHeight="1" outlineLevel="1" x14ac:dyDescent="0.25">
      <c r="A1135" s="2145"/>
      <c r="C1135" s="49"/>
      <c r="D1135" s="2394"/>
      <c r="E1135" s="2394"/>
      <c r="F1135" s="2404" t="str">
        <f>$E$759</f>
        <v>ASHP-SEER19_ER1_SF</v>
      </c>
      <c r="G1135" s="2404"/>
      <c r="H1135" s="2404"/>
      <c r="I1135" s="2404"/>
      <c r="J1135" s="1506" t="str">
        <f>$C$759</f>
        <v>354000_2024_12_</v>
      </c>
      <c r="K1135" s="1534">
        <v>6.58</v>
      </c>
      <c r="L1135" s="244"/>
      <c r="M1135" s="1307" t="s">
        <v>1290</v>
      </c>
      <c r="P1135" s="243"/>
      <c r="Q1135" s="192"/>
      <c r="R1135" s="243"/>
      <c r="T1135" s="166"/>
      <c r="U1135" s="50"/>
      <c r="V1135" s="2394"/>
      <c r="W1135" s="1268">
        <v>5.44</v>
      </c>
      <c r="X1135" s="779">
        <v>6.58</v>
      </c>
      <c r="Y1135" s="1268">
        <v>6.58</v>
      </c>
      <c r="Z1135" s="1268">
        <v>6.58</v>
      </c>
      <c r="AA1135" s="1268">
        <v>6.58</v>
      </c>
      <c r="AB1135" s="1268">
        <v>6.58</v>
      </c>
      <c r="AC1135" s="1268">
        <v>6.58</v>
      </c>
      <c r="AD1135" s="1268">
        <v>6.58</v>
      </c>
      <c r="AE1135" s="1268">
        <v>6.58</v>
      </c>
      <c r="AF1135" s="253">
        <v>6.58</v>
      </c>
      <c r="AG1135" s="253">
        <f t="shared" si="204"/>
        <v>6.58</v>
      </c>
      <c r="DG1135" s="543"/>
      <c r="DH1135" s="149"/>
      <c r="DI1135" s="1020"/>
      <c r="DJ1135" s="2045"/>
    </row>
    <row r="1136" spans="1:114" ht="15" customHeight="1" outlineLevel="1" x14ac:dyDescent="0.25">
      <c r="A1136" s="2145"/>
      <c r="C1136" s="49"/>
      <c r="D1136" s="2394"/>
      <c r="E1136" s="2394"/>
      <c r="F1136" s="2404" t="str">
        <f>$E$761</f>
        <v>ASHP-SEER19_ER2_SF</v>
      </c>
      <c r="G1136" s="2404"/>
      <c r="H1136" s="2404"/>
      <c r="I1136" s="2404"/>
      <c r="J1136" s="1506" t="str">
        <f>$C$761</f>
        <v>354000_2024_12_</v>
      </c>
      <c r="K1136" s="1534">
        <v>7.5</v>
      </c>
      <c r="L1136" s="244"/>
      <c r="M1136" s="1249" t="s">
        <v>936</v>
      </c>
      <c r="T1136" s="50"/>
      <c r="U1136" s="50"/>
      <c r="V1136" s="2394"/>
      <c r="W1136" s="1268">
        <v>8.1999999999999993</v>
      </c>
      <c r="X1136" s="1268">
        <v>8.1999999999999993</v>
      </c>
      <c r="Y1136" s="1268">
        <v>8.1999999999999993</v>
      </c>
      <c r="Z1136" s="1268">
        <v>8.1999999999999993</v>
      </c>
      <c r="AA1136" s="1268">
        <v>8.1999999999999993</v>
      </c>
      <c r="AB1136" s="1268">
        <v>8.1999999999999993</v>
      </c>
      <c r="AC1136" s="1268">
        <v>8.1999999999999993</v>
      </c>
      <c r="AD1136" s="1268">
        <v>8.1999999999999993</v>
      </c>
      <c r="AE1136" s="779">
        <v>8.6</v>
      </c>
      <c r="AF1136" s="253">
        <v>7.5</v>
      </c>
      <c r="AG1136" s="253">
        <f t="shared" si="204"/>
        <v>7.5</v>
      </c>
      <c r="DG1136" s="543"/>
      <c r="DH1136" s="149"/>
      <c r="DI1136" s="1020"/>
      <c r="DJ1136" s="2045"/>
    </row>
    <row r="1137" spans="1:114" ht="15" customHeight="1" outlineLevel="1" x14ac:dyDescent="0.25">
      <c r="A1137" s="2145"/>
      <c r="C1137" s="49"/>
      <c r="D1137" s="2394"/>
      <c r="E1137" s="2394"/>
      <c r="F1137" s="2404" t="str">
        <f>$E$763</f>
        <v>ASHP-SEER19_ROF_SF</v>
      </c>
      <c r="G1137" s="2404"/>
      <c r="H1137" s="2404"/>
      <c r="I1137" s="2404"/>
      <c r="J1137" s="1506" t="str">
        <f>$C$763</f>
        <v>354050_2024_12_</v>
      </c>
      <c r="K1137" s="1534">
        <v>7.5</v>
      </c>
      <c r="L1137" s="244"/>
      <c r="M1137" s="1249" t="s">
        <v>936</v>
      </c>
      <c r="T1137" s="50"/>
      <c r="U1137" s="50"/>
      <c r="V1137" s="2394"/>
      <c r="W1137" s="1268">
        <v>8.1999999999999993</v>
      </c>
      <c r="X1137" s="1268">
        <v>8.1999999999999993</v>
      </c>
      <c r="Y1137" s="1268">
        <v>8.1999999999999993</v>
      </c>
      <c r="Z1137" s="1268">
        <v>8.1999999999999993</v>
      </c>
      <c r="AA1137" s="1268">
        <v>8.1999999999999993</v>
      </c>
      <c r="AB1137" s="1268">
        <v>8.1999999999999993</v>
      </c>
      <c r="AC1137" s="1268">
        <v>8.1999999999999993</v>
      </c>
      <c r="AD1137" s="1268">
        <v>8.1999999999999993</v>
      </c>
      <c r="AE1137" s="779">
        <v>8.6</v>
      </c>
      <c r="AF1137" s="253">
        <v>7.5</v>
      </c>
      <c r="AG1137" s="253">
        <f t="shared" si="204"/>
        <v>7.5</v>
      </c>
      <c r="DG1137" s="543"/>
      <c r="DH1137" s="149"/>
      <c r="DI1137" s="1020"/>
      <c r="DJ1137" s="2045"/>
    </row>
    <row r="1138" spans="1:114" ht="15" customHeight="1" outlineLevel="1" x14ac:dyDescent="0.25">
      <c r="A1138" s="2145"/>
      <c r="C1138" s="49"/>
      <c r="D1138" s="2394"/>
      <c r="E1138" s="2394"/>
      <c r="F1138" s="2404" t="str">
        <f>$E$765</f>
        <v>ASHP-SEER17-Replace_CAC_ElectricHeat_ER1_SF</v>
      </c>
      <c r="G1138" s="2404"/>
      <c r="H1138" s="2404"/>
      <c r="I1138" s="2404"/>
      <c r="J1138" s="1506" t="str">
        <f>$C$765</f>
        <v>354100_2024_12_</v>
      </c>
      <c r="K1138" s="1534">
        <v>3.41</v>
      </c>
      <c r="L1138" s="244"/>
      <c r="M1138" s="1307" t="s">
        <v>1290</v>
      </c>
      <c r="T1138" s="50"/>
      <c r="U1138" s="50"/>
      <c r="V1138" s="2394"/>
      <c r="W1138" s="1268">
        <v>3.41</v>
      </c>
      <c r="X1138" s="1268">
        <v>3.41</v>
      </c>
      <c r="Y1138" s="1268">
        <v>3.41</v>
      </c>
      <c r="Z1138" s="1268">
        <v>3.41</v>
      </c>
      <c r="AA1138" s="1268">
        <v>3.41</v>
      </c>
      <c r="AB1138" s="1268">
        <v>3.41</v>
      </c>
      <c r="AC1138" s="1268">
        <v>3.41</v>
      </c>
      <c r="AD1138" s="1268">
        <v>3.41</v>
      </c>
      <c r="AE1138" s="1268">
        <v>3.41</v>
      </c>
      <c r="AF1138" s="253">
        <v>3.41</v>
      </c>
      <c r="AG1138" s="253">
        <f t="shared" si="204"/>
        <v>3.41</v>
      </c>
      <c r="DG1138" s="543"/>
      <c r="DH1138" s="149"/>
      <c r="DI1138" s="1020"/>
      <c r="DJ1138" s="2045"/>
    </row>
    <row r="1139" spans="1:114" ht="15" customHeight="1" outlineLevel="1" x14ac:dyDescent="0.25">
      <c r="A1139" s="2145"/>
      <c r="C1139" s="49"/>
      <c r="D1139" s="2394"/>
      <c r="E1139" s="2394"/>
      <c r="F1139" s="2404" t="str">
        <f>$E$767</f>
        <v>ASHP-SEER17-Replace_CAC_ElectricHeat_ER2_SF</v>
      </c>
      <c r="G1139" s="2404"/>
      <c r="H1139" s="2404"/>
      <c r="I1139" s="2404"/>
      <c r="J1139" s="1506" t="str">
        <f>$C$767</f>
        <v>354100_2024_12_</v>
      </c>
      <c r="K1139" s="1534">
        <v>3.41</v>
      </c>
      <c r="L1139" s="244"/>
      <c r="M1139" s="1307" t="s">
        <v>1290</v>
      </c>
      <c r="T1139" s="50"/>
      <c r="U1139" s="50"/>
      <c r="V1139" s="2394"/>
      <c r="W1139" s="1268">
        <v>3.41</v>
      </c>
      <c r="X1139" s="1268">
        <v>3.41</v>
      </c>
      <c r="Y1139" s="1268">
        <v>3.41</v>
      </c>
      <c r="Z1139" s="1268">
        <v>3.41</v>
      </c>
      <c r="AA1139" s="1268">
        <v>3.41</v>
      </c>
      <c r="AB1139" s="1268">
        <v>3.41</v>
      </c>
      <c r="AC1139" s="1268">
        <v>3.41</v>
      </c>
      <c r="AD1139" s="1268">
        <v>3.41</v>
      </c>
      <c r="AE1139" s="1268">
        <v>3.41</v>
      </c>
      <c r="AF1139" s="253">
        <v>3.41</v>
      </c>
      <c r="AG1139" s="253">
        <f t="shared" si="204"/>
        <v>3.41</v>
      </c>
      <c r="DG1139" s="543"/>
      <c r="DH1139" s="149"/>
      <c r="DI1139" s="1020"/>
      <c r="DJ1139" s="2045"/>
    </row>
    <row r="1140" spans="1:114" ht="15" customHeight="1" outlineLevel="1" x14ac:dyDescent="0.25">
      <c r="A1140" s="2145"/>
      <c r="C1140" s="49"/>
      <c r="D1140" s="2394"/>
      <c r="E1140" s="2394"/>
      <c r="F1140" s="2404" t="str">
        <f>$E$769</f>
        <v>ASHP-SEER17-Replace_CAC_NonElectricHeat_ER1_SF</v>
      </c>
      <c r="G1140" s="2404"/>
      <c r="H1140" s="2404"/>
      <c r="I1140" s="2404"/>
      <c r="J1140" s="1506" t="str">
        <f>$C$769</f>
        <v>354110_2024_12_</v>
      </c>
      <c r="K1140" s="1536">
        <v>0</v>
      </c>
      <c r="L1140" s="244"/>
      <c r="M1140" s="1307" t="s">
        <v>1291</v>
      </c>
      <c r="T1140" s="50"/>
      <c r="U1140" s="50"/>
      <c r="V1140" s="2394"/>
      <c r="W1140" s="1268"/>
      <c r="X1140" s="1268"/>
      <c r="Y1140" s="1268"/>
      <c r="Z1140" s="1268"/>
      <c r="AA1140" s="1268"/>
      <c r="AB1140" s="1268"/>
      <c r="AC1140" s="775">
        <v>0</v>
      </c>
      <c r="AD1140" s="752">
        <v>0</v>
      </c>
      <c r="AE1140" s="752">
        <v>0</v>
      </c>
      <c r="AF1140" s="253">
        <v>0</v>
      </c>
      <c r="AG1140" s="253">
        <f t="shared" si="204"/>
        <v>0</v>
      </c>
      <c r="DG1140" s="543"/>
      <c r="DH1140" s="149"/>
      <c r="DI1140" s="1020"/>
      <c r="DJ1140" s="2045"/>
    </row>
    <row r="1141" spans="1:114" ht="15" customHeight="1" outlineLevel="1" x14ac:dyDescent="0.25">
      <c r="A1141" s="2145"/>
      <c r="C1141" s="49"/>
      <c r="D1141" s="2394"/>
      <c r="E1141" s="2394"/>
      <c r="F1141" s="2404" t="str">
        <f>$E$771</f>
        <v>ASHP-SEER17-Replace_CAC_NonElectricHeat_ER2_SF</v>
      </c>
      <c r="G1141" s="2404"/>
      <c r="H1141" s="2404"/>
      <c r="I1141" s="2404"/>
      <c r="J1141" s="1506" t="str">
        <f>$C$771</f>
        <v>354110_2024_12_</v>
      </c>
      <c r="K1141" s="1536">
        <v>0</v>
      </c>
      <c r="L1141" s="244"/>
      <c r="M1141" s="1307" t="s">
        <v>1291</v>
      </c>
      <c r="T1141" s="50"/>
      <c r="U1141" s="50"/>
      <c r="V1141" s="2394"/>
      <c r="W1141" s="1268"/>
      <c r="X1141" s="1268"/>
      <c r="Y1141" s="1268"/>
      <c r="Z1141" s="1268"/>
      <c r="AA1141" s="1268"/>
      <c r="AB1141" s="1268"/>
      <c r="AC1141" s="775">
        <v>0</v>
      </c>
      <c r="AD1141" s="752">
        <v>0</v>
      </c>
      <c r="AE1141" s="752">
        <v>0</v>
      </c>
      <c r="AF1141" s="253">
        <v>0</v>
      </c>
      <c r="AG1141" s="253">
        <f t="shared" ref="AG1141:AG1196" si="205">IF(K1141&lt;&gt;"",K1141,"")</f>
        <v>0</v>
      </c>
      <c r="DG1141" s="543"/>
      <c r="DH1141" s="149"/>
      <c r="DI1141" s="1020"/>
      <c r="DJ1141" s="2045"/>
    </row>
    <row r="1142" spans="1:114" ht="15.75" customHeight="1" outlineLevel="1" x14ac:dyDescent="0.25">
      <c r="A1142" s="2145"/>
      <c r="C1142" s="49"/>
      <c r="D1142" s="2394"/>
      <c r="E1142" s="2394"/>
      <c r="F1142" s="1968" t="s">
        <v>1223</v>
      </c>
      <c r="G1142" s="1969"/>
      <c r="H1142" s="1969"/>
      <c r="I1142" s="1970"/>
      <c r="J1142" s="2095" t="s">
        <v>1222</v>
      </c>
      <c r="K1142" s="1975">
        <v>0</v>
      </c>
      <c r="L1142" s="244"/>
      <c r="M1142" s="1976" t="s">
        <v>1291</v>
      </c>
      <c r="T1142" s="50"/>
      <c r="U1142" s="50"/>
      <c r="V1142" s="2394"/>
      <c r="W1142" s="1268"/>
      <c r="X1142" s="1268"/>
      <c r="Y1142" s="1268"/>
      <c r="Z1142" s="1268"/>
      <c r="AA1142" s="1268"/>
      <c r="AB1142" s="1268"/>
      <c r="AC1142" s="752"/>
      <c r="AD1142" s="966"/>
      <c r="AE1142" s="909"/>
      <c r="AF1142" s="253"/>
      <c r="AG1142" s="253">
        <f>IF(K1142&lt;&gt;"",K1142,"")</f>
        <v>0</v>
      </c>
      <c r="DG1142" s="543"/>
      <c r="DH1142" s="149"/>
      <c r="DI1142" s="1020"/>
      <c r="DJ1142" s="2045"/>
    </row>
    <row r="1143" spans="1:114" ht="15.75" customHeight="1" outlineLevel="1" x14ac:dyDescent="0.25">
      <c r="A1143" s="2145"/>
      <c r="C1143" s="49"/>
      <c r="D1143" s="2394"/>
      <c r="E1143" s="2394"/>
      <c r="F1143" s="1968" t="s">
        <v>1224</v>
      </c>
      <c r="G1143" s="1969"/>
      <c r="H1143" s="1969"/>
      <c r="I1143" s="1970"/>
      <c r="J1143" s="2095" t="s">
        <v>1222</v>
      </c>
      <c r="K1143" s="1975">
        <v>0</v>
      </c>
      <c r="L1143" s="244"/>
      <c r="M1143" s="1976" t="s">
        <v>1291</v>
      </c>
      <c r="T1143" s="50"/>
      <c r="U1143" s="50"/>
      <c r="V1143" s="2394"/>
      <c r="W1143" s="1268"/>
      <c r="X1143" s="1268"/>
      <c r="Y1143" s="1268"/>
      <c r="Z1143" s="1268"/>
      <c r="AA1143" s="1268"/>
      <c r="AB1143" s="1268"/>
      <c r="AC1143" s="752"/>
      <c r="AD1143" s="966"/>
      <c r="AE1143" s="909"/>
      <c r="AF1143" s="253"/>
      <c r="AG1143" s="253">
        <f>IF(K1143&lt;&gt;"",K1143,"")</f>
        <v>0</v>
      </c>
      <c r="DG1143" s="543"/>
      <c r="DH1143" s="149"/>
      <c r="DI1143" s="1020"/>
      <c r="DJ1143" s="2045"/>
    </row>
    <row r="1144" spans="1:114" ht="15" customHeight="1" outlineLevel="1" x14ac:dyDescent="0.25">
      <c r="A1144" s="2145"/>
      <c r="C1144" s="49"/>
      <c r="D1144" s="2394"/>
      <c r="E1144" s="2394"/>
      <c r="F1144" s="2404" t="str">
        <f>$E$777</f>
        <v>ASHP-SEER17-Replace_CAC_ElectricHeat_ER1_MF</v>
      </c>
      <c r="G1144" s="2404"/>
      <c r="H1144" s="2404"/>
      <c r="I1144" s="2404"/>
      <c r="J1144" s="1506" t="str">
        <f>$C$777</f>
        <v>354150_2024_12_</v>
      </c>
      <c r="K1144" s="1534">
        <v>3.41</v>
      </c>
      <c r="L1144" s="244"/>
      <c r="M1144" s="1307" t="s">
        <v>1293</v>
      </c>
      <c r="T1144" s="50"/>
      <c r="U1144" s="50"/>
      <c r="V1144" s="2394"/>
      <c r="W1144" s="1268">
        <v>3.41</v>
      </c>
      <c r="X1144" s="1268">
        <v>3.41</v>
      </c>
      <c r="Y1144" s="1268">
        <v>3.41</v>
      </c>
      <c r="Z1144" s="1268">
        <v>3.41</v>
      </c>
      <c r="AA1144" s="1268">
        <v>3.41</v>
      </c>
      <c r="AB1144" s="1268">
        <v>3.41</v>
      </c>
      <c r="AC1144" s="1268">
        <v>3.41</v>
      </c>
      <c r="AD1144" s="1268">
        <v>3.41</v>
      </c>
      <c r="AE1144" s="1268">
        <v>3.41</v>
      </c>
      <c r="AF1144" s="253">
        <v>3.41</v>
      </c>
      <c r="AG1144" s="253">
        <f t="shared" si="205"/>
        <v>3.41</v>
      </c>
      <c r="DG1144" s="543"/>
      <c r="DH1144" s="149"/>
      <c r="DI1144" s="1020"/>
      <c r="DJ1144" s="2045"/>
    </row>
    <row r="1145" spans="1:114" ht="15" customHeight="1" outlineLevel="1" x14ac:dyDescent="0.25">
      <c r="A1145" s="2145"/>
      <c r="C1145" s="49"/>
      <c r="D1145" s="2394"/>
      <c r="E1145" s="2394"/>
      <c r="F1145" s="2404" t="str">
        <f>$E$779</f>
        <v>ASHP-SEER17-Replace_CAC_ElectricHeat_ER2_MF</v>
      </c>
      <c r="G1145" s="2404"/>
      <c r="H1145" s="2404"/>
      <c r="I1145" s="2404"/>
      <c r="J1145" s="1506" t="str">
        <f>$C$779</f>
        <v>354150_2024_12_</v>
      </c>
      <c r="K1145" s="1534">
        <v>3.41</v>
      </c>
      <c r="L1145" s="244"/>
      <c r="M1145" s="1307" t="s">
        <v>1293</v>
      </c>
      <c r="T1145" s="50"/>
      <c r="U1145" s="50"/>
      <c r="V1145" s="2394"/>
      <c r="W1145" s="1268">
        <v>3.41</v>
      </c>
      <c r="X1145" s="1268">
        <v>3.41</v>
      </c>
      <c r="Y1145" s="1268">
        <v>3.41</v>
      </c>
      <c r="Z1145" s="1268">
        <v>3.41</v>
      </c>
      <c r="AA1145" s="1268">
        <v>3.41</v>
      </c>
      <c r="AB1145" s="1268">
        <v>3.41</v>
      </c>
      <c r="AC1145" s="1268">
        <v>3.41</v>
      </c>
      <c r="AD1145" s="1268">
        <v>3.41</v>
      </c>
      <c r="AE1145" s="1268">
        <v>3.41</v>
      </c>
      <c r="AF1145" s="253">
        <v>3.41</v>
      </c>
      <c r="AG1145" s="253">
        <f t="shared" si="205"/>
        <v>3.41</v>
      </c>
      <c r="DG1145" s="543"/>
      <c r="DH1145" s="149"/>
      <c r="DI1145" s="1020"/>
      <c r="DJ1145" s="2045"/>
    </row>
    <row r="1146" spans="1:114" ht="15" customHeight="1" outlineLevel="1" x14ac:dyDescent="0.25">
      <c r="A1146" s="2145"/>
      <c r="C1146" s="49"/>
      <c r="D1146" s="2394"/>
      <c r="E1146" s="2394"/>
      <c r="F1146" s="2404" t="str">
        <f>$E$781</f>
        <v>ASHP-SEER17_ER1_MF</v>
      </c>
      <c r="G1146" s="2404"/>
      <c r="H1146" s="2404"/>
      <c r="I1146" s="2404"/>
      <c r="J1146" s="1506" t="str">
        <f>$C$781</f>
        <v>354200_2024_12_</v>
      </c>
      <c r="K1146" s="1534">
        <v>6.58</v>
      </c>
      <c r="L1146" s="244"/>
      <c r="M1146" s="1307" t="s">
        <v>1293</v>
      </c>
      <c r="T1146" s="50"/>
      <c r="U1146" s="50"/>
      <c r="V1146" s="2394"/>
      <c r="W1146" s="1268">
        <v>5.44</v>
      </c>
      <c r="X1146" s="779">
        <v>6.58</v>
      </c>
      <c r="Y1146" s="1268">
        <v>6.58</v>
      </c>
      <c r="Z1146" s="1268">
        <v>6.58</v>
      </c>
      <c r="AA1146" s="1268">
        <v>6.58</v>
      </c>
      <c r="AB1146" s="1268">
        <v>6.58</v>
      </c>
      <c r="AC1146" s="1268">
        <v>6.58</v>
      </c>
      <c r="AD1146" s="1268">
        <v>6.58</v>
      </c>
      <c r="AE1146" s="1268">
        <v>6.58</v>
      </c>
      <c r="AF1146" s="253">
        <v>6.58</v>
      </c>
      <c r="AG1146" s="253">
        <f t="shared" si="205"/>
        <v>6.58</v>
      </c>
      <c r="DG1146" s="543"/>
      <c r="DH1146" s="149"/>
      <c r="DI1146" s="1020"/>
      <c r="DJ1146" s="2045"/>
    </row>
    <row r="1147" spans="1:114" ht="15" customHeight="1" outlineLevel="1" x14ac:dyDescent="0.25">
      <c r="A1147" s="2145"/>
      <c r="C1147" s="49"/>
      <c r="D1147" s="2394"/>
      <c r="E1147" s="2394"/>
      <c r="F1147" s="2404" t="str">
        <f>$E$783</f>
        <v>ASHP-SEER17_ER2_MF</v>
      </c>
      <c r="G1147" s="2404"/>
      <c r="H1147" s="2404"/>
      <c r="I1147" s="2404"/>
      <c r="J1147" s="1506" t="str">
        <f>$C$783</f>
        <v>354200_2024_12_</v>
      </c>
      <c r="K1147" s="1534">
        <v>7.5</v>
      </c>
      <c r="L1147" s="244"/>
      <c r="M1147" s="1249" t="s">
        <v>936</v>
      </c>
      <c r="T1147" s="50"/>
      <c r="U1147" s="50"/>
      <c r="V1147" s="2394"/>
      <c r="W1147" s="1268">
        <v>8.1999999999999993</v>
      </c>
      <c r="X1147" s="1268">
        <v>8.1999999999999993</v>
      </c>
      <c r="Y1147" s="1268">
        <v>8.1999999999999993</v>
      </c>
      <c r="Z1147" s="1268">
        <v>8.1999999999999993</v>
      </c>
      <c r="AA1147" s="1268">
        <v>8.1999999999999993</v>
      </c>
      <c r="AB1147" s="1268">
        <v>8.1999999999999993</v>
      </c>
      <c r="AC1147" s="1268">
        <v>8.1999999999999993</v>
      </c>
      <c r="AD1147" s="1268">
        <v>8.1999999999999993</v>
      </c>
      <c r="AE1147" s="779">
        <v>8.6</v>
      </c>
      <c r="AF1147" s="253">
        <v>7.5</v>
      </c>
      <c r="AG1147" s="253">
        <f t="shared" si="205"/>
        <v>7.5</v>
      </c>
      <c r="DG1147" s="543"/>
      <c r="DH1147" s="149"/>
      <c r="DI1147" s="1020"/>
      <c r="DJ1147" s="2045"/>
    </row>
    <row r="1148" spans="1:114" ht="15" customHeight="1" outlineLevel="1" x14ac:dyDescent="0.25">
      <c r="A1148" s="2145"/>
      <c r="C1148" s="49"/>
      <c r="D1148" s="2394"/>
      <c r="E1148" s="2394"/>
      <c r="F1148" s="2404" t="str">
        <f>$E$785</f>
        <v>ASHP-SEER18-Replace_CAC_ElectricHeat_ER1_SF</v>
      </c>
      <c r="G1148" s="2404"/>
      <c r="H1148" s="2404"/>
      <c r="I1148" s="2404"/>
      <c r="J1148" s="962" t="str">
        <f>$C$785</f>
        <v>354250_2024_12_</v>
      </c>
      <c r="K1148" s="1534">
        <v>3.41</v>
      </c>
      <c r="L1148" s="244"/>
      <c r="M1148" s="1307" t="s">
        <v>1290</v>
      </c>
      <c r="T1148" s="50"/>
      <c r="U1148" s="50"/>
      <c r="V1148" s="2394"/>
      <c r="W1148" s="1268">
        <v>3.41</v>
      </c>
      <c r="X1148" s="1268">
        <v>3.41</v>
      </c>
      <c r="Y1148" s="1268">
        <v>3.41</v>
      </c>
      <c r="Z1148" s="1268">
        <v>3.41</v>
      </c>
      <c r="AA1148" s="1268">
        <v>3.41</v>
      </c>
      <c r="AB1148" s="1268">
        <v>3.41</v>
      </c>
      <c r="AC1148" s="1268">
        <v>3.41</v>
      </c>
      <c r="AD1148" s="1268">
        <v>3.41</v>
      </c>
      <c r="AE1148" s="1268">
        <v>3.41</v>
      </c>
      <c r="AF1148" s="253">
        <v>3.41</v>
      </c>
      <c r="AG1148" s="253">
        <f t="shared" si="205"/>
        <v>3.41</v>
      </c>
      <c r="DG1148" s="543"/>
      <c r="DH1148" s="149"/>
      <c r="DI1148" s="1020"/>
      <c r="DJ1148" s="2045"/>
    </row>
    <row r="1149" spans="1:114" ht="15" customHeight="1" outlineLevel="1" x14ac:dyDescent="0.25">
      <c r="A1149" s="2145"/>
      <c r="C1149" s="49"/>
      <c r="D1149" s="2394"/>
      <c r="E1149" s="2394"/>
      <c r="F1149" s="2404" t="str">
        <f>$E$787</f>
        <v>ASHP-SEER18-Replace_CAC_ElectricHeat_ER2_SF</v>
      </c>
      <c r="G1149" s="2404"/>
      <c r="H1149" s="2404"/>
      <c r="I1149" s="2404"/>
      <c r="J1149" s="962" t="str">
        <f>$C$787</f>
        <v>354250_2024_12_</v>
      </c>
      <c r="K1149" s="1534">
        <v>3.41</v>
      </c>
      <c r="L1149" s="244"/>
      <c r="M1149" s="1307" t="s">
        <v>1290</v>
      </c>
      <c r="T1149" s="50"/>
      <c r="U1149" s="50"/>
      <c r="V1149" s="2394"/>
      <c r="W1149" s="1268">
        <v>3.41</v>
      </c>
      <c r="X1149" s="1268">
        <v>3.41</v>
      </c>
      <c r="Y1149" s="1268">
        <v>3.41</v>
      </c>
      <c r="Z1149" s="1268">
        <v>3.41</v>
      </c>
      <c r="AA1149" s="1268">
        <v>3.41</v>
      </c>
      <c r="AB1149" s="1268">
        <v>3.41</v>
      </c>
      <c r="AC1149" s="1268">
        <v>3.41</v>
      </c>
      <c r="AD1149" s="1268">
        <v>3.41</v>
      </c>
      <c r="AE1149" s="1268">
        <v>3.41</v>
      </c>
      <c r="AF1149" s="253">
        <v>3.41</v>
      </c>
      <c r="AG1149" s="253">
        <f t="shared" si="205"/>
        <v>3.41</v>
      </c>
      <c r="DG1149" s="543"/>
      <c r="DH1149" s="149"/>
      <c r="DI1149" s="1020"/>
      <c r="DJ1149" s="2045"/>
    </row>
    <row r="1150" spans="1:114" ht="15" customHeight="1" outlineLevel="1" x14ac:dyDescent="0.25">
      <c r="A1150" s="2145"/>
      <c r="C1150" s="49"/>
      <c r="D1150" s="2394"/>
      <c r="E1150" s="2394"/>
      <c r="F1150" s="2404" t="str">
        <f>$E$789</f>
        <v>ASHP-SEER18-Replace_CAC_NonElectricHeat_ER1_SF</v>
      </c>
      <c r="G1150" s="2404"/>
      <c r="H1150" s="2404"/>
      <c r="I1150" s="2404"/>
      <c r="J1150" s="962" t="str">
        <f>$C$789</f>
        <v>354260_2024_12_</v>
      </c>
      <c r="K1150" s="1536">
        <v>0</v>
      </c>
      <c r="L1150" s="244"/>
      <c r="M1150" s="1307" t="s">
        <v>1291</v>
      </c>
      <c r="T1150" s="50"/>
      <c r="U1150" s="50"/>
      <c r="V1150" s="2394"/>
      <c r="W1150" s="1268"/>
      <c r="X1150" s="1268"/>
      <c r="Y1150" s="1268"/>
      <c r="Z1150" s="1268"/>
      <c r="AA1150" s="1268"/>
      <c r="AB1150" s="1268"/>
      <c r="AC1150" s="775">
        <v>0</v>
      </c>
      <c r="AD1150" s="752">
        <v>0</v>
      </c>
      <c r="AE1150" s="752">
        <v>0</v>
      </c>
      <c r="AF1150" s="253">
        <v>0</v>
      </c>
      <c r="AG1150" s="253">
        <f t="shared" si="205"/>
        <v>0</v>
      </c>
      <c r="DG1150" s="543"/>
      <c r="DH1150" s="149"/>
      <c r="DI1150" s="1020"/>
      <c r="DJ1150" s="2045"/>
    </row>
    <row r="1151" spans="1:114" ht="15" customHeight="1" outlineLevel="1" x14ac:dyDescent="0.25">
      <c r="A1151" s="2145"/>
      <c r="C1151" s="49"/>
      <c r="D1151" s="2394"/>
      <c r="E1151" s="2394"/>
      <c r="F1151" s="2404" t="str">
        <f>$E$791</f>
        <v>ASHP-SEER18-Replace_CAC_NonElectricHeat_ER2_SF</v>
      </c>
      <c r="G1151" s="2404"/>
      <c r="H1151" s="2404"/>
      <c r="I1151" s="2404"/>
      <c r="J1151" s="962" t="str">
        <f>$C$791</f>
        <v>354260_2024_12_</v>
      </c>
      <c r="K1151" s="1536">
        <v>0</v>
      </c>
      <c r="L1151" s="244"/>
      <c r="M1151" s="1307" t="s">
        <v>1291</v>
      </c>
      <c r="T1151" s="50"/>
      <c r="U1151" s="50"/>
      <c r="V1151" s="2394"/>
      <c r="W1151" s="1268"/>
      <c r="X1151" s="1268"/>
      <c r="Y1151" s="1268"/>
      <c r="Z1151" s="1268"/>
      <c r="AA1151" s="1268"/>
      <c r="AB1151" s="1268"/>
      <c r="AC1151" s="775">
        <v>0</v>
      </c>
      <c r="AD1151" s="752">
        <v>0</v>
      </c>
      <c r="AE1151" s="752">
        <v>0</v>
      </c>
      <c r="AF1151" s="253">
        <v>0</v>
      </c>
      <c r="AG1151" s="253">
        <f t="shared" si="205"/>
        <v>0</v>
      </c>
      <c r="DG1151" s="543"/>
      <c r="DH1151" s="149"/>
      <c r="DI1151" s="1020"/>
      <c r="DJ1151" s="2045"/>
    </row>
    <row r="1152" spans="1:114" ht="15" customHeight="1" outlineLevel="1" x14ac:dyDescent="0.25">
      <c r="A1152" s="2145"/>
      <c r="C1152" s="49"/>
      <c r="D1152" s="2394"/>
      <c r="E1152" s="2394"/>
      <c r="F1152" s="2404" t="str">
        <f>$E$793</f>
        <v>ASHP-SEER18-Replace_CAC_ElectricHeat_ER1_MF</v>
      </c>
      <c r="G1152" s="2404"/>
      <c r="H1152" s="2404"/>
      <c r="I1152" s="2404"/>
      <c r="J1152" s="962" t="str">
        <f>$C$793</f>
        <v>354300_2024_12_</v>
      </c>
      <c r="K1152" s="1534">
        <v>3.41</v>
      </c>
      <c r="L1152" s="244"/>
      <c r="M1152" s="1307" t="s">
        <v>1293</v>
      </c>
      <c r="T1152" s="50"/>
      <c r="U1152" s="50"/>
      <c r="V1152" s="2394"/>
      <c r="W1152" s="1268">
        <v>3.41</v>
      </c>
      <c r="X1152" s="1268">
        <v>3.41</v>
      </c>
      <c r="Y1152" s="1268">
        <v>3.41</v>
      </c>
      <c r="Z1152" s="1268">
        <v>3.41</v>
      </c>
      <c r="AA1152" s="1268">
        <v>3.41</v>
      </c>
      <c r="AB1152" s="1268">
        <v>3.41</v>
      </c>
      <c r="AC1152" s="1268">
        <v>3.41</v>
      </c>
      <c r="AD1152" s="1268">
        <v>3.41</v>
      </c>
      <c r="AE1152" s="1268">
        <v>3.41</v>
      </c>
      <c r="AF1152" s="253">
        <v>3.41</v>
      </c>
      <c r="AG1152" s="253">
        <f t="shared" si="205"/>
        <v>3.41</v>
      </c>
      <c r="DG1152" s="543"/>
      <c r="DH1152" s="149"/>
      <c r="DI1152" s="1020"/>
      <c r="DJ1152" s="2045"/>
    </row>
    <row r="1153" spans="1:114" ht="15" customHeight="1" outlineLevel="1" x14ac:dyDescent="0.25">
      <c r="A1153" s="2145"/>
      <c r="C1153" s="49"/>
      <c r="D1153" s="2394"/>
      <c r="E1153" s="2394"/>
      <c r="F1153" s="2404" t="str">
        <f>$E$795</f>
        <v>ASHP-SEER18-Replace_CAC_ElectricHeat_ER2_MF</v>
      </c>
      <c r="G1153" s="2404"/>
      <c r="H1153" s="2404"/>
      <c r="I1153" s="2404"/>
      <c r="J1153" s="962" t="str">
        <f>$C$795</f>
        <v>354300_2024_12_</v>
      </c>
      <c r="K1153" s="1534">
        <v>3.41</v>
      </c>
      <c r="L1153" s="244"/>
      <c r="M1153" s="1307" t="s">
        <v>1293</v>
      </c>
      <c r="T1153" s="50"/>
      <c r="U1153" s="50"/>
      <c r="V1153" s="2394"/>
      <c r="W1153" s="1268">
        <v>3.41</v>
      </c>
      <c r="X1153" s="1268">
        <v>3.41</v>
      </c>
      <c r="Y1153" s="1268">
        <v>3.41</v>
      </c>
      <c r="Z1153" s="1268">
        <v>3.41</v>
      </c>
      <c r="AA1153" s="1268">
        <v>3.41</v>
      </c>
      <c r="AB1153" s="1268">
        <v>3.41</v>
      </c>
      <c r="AC1153" s="1268">
        <v>3.41</v>
      </c>
      <c r="AD1153" s="1268">
        <v>3.41</v>
      </c>
      <c r="AE1153" s="1268">
        <v>3.41</v>
      </c>
      <c r="AF1153" s="253">
        <v>3.41</v>
      </c>
      <c r="AG1153" s="253">
        <f t="shared" si="205"/>
        <v>3.41</v>
      </c>
      <c r="DG1153" s="543"/>
      <c r="DH1153" s="149"/>
      <c r="DI1153" s="1020"/>
      <c r="DJ1153" s="2045"/>
    </row>
    <row r="1154" spans="1:114" ht="15" customHeight="1" outlineLevel="1" x14ac:dyDescent="0.25">
      <c r="A1154" s="2145"/>
      <c r="C1154" s="49"/>
      <c r="D1154" s="2394"/>
      <c r="E1154" s="2394"/>
      <c r="F1154" s="2404" t="str">
        <f>$E$797</f>
        <v>ASHP-SEER18_ER1_MF</v>
      </c>
      <c r="G1154" s="2404"/>
      <c r="H1154" s="2404"/>
      <c r="I1154" s="2404"/>
      <c r="J1154" s="962" t="str">
        <f>$C$797</f>
        <v>354350_2024_12_</v>
      </c>
      <c r="K1154" s="1534">
        <v>6.58</v>
      </c>
      <c r="L1154" s="244"/>
      <c r="M1154" s="1307" t="s">
        <v>1293</v>
      </c>
      <c r="T1154" s="50"/>
      <c r="U1154" s="50"/>
      <c r="V1154" s="2394"/>
      <c r="W1154" s="1268">
        <v>5.44</v>
      </c>
      <c r="X1154" s="779">
        <v>6.58</v>
      </c>
      <c r="Y1154" s="1268">
        <v>6.58</v>
      </c>
      <c r="Z1154" s="1268">
        <v>6.58</v>
      </c>
      <c r="AA1154" s="1268">
        <v>6.58</v>
      </c>
      <c r="AB1154" s="1268">
        <v>6.58</v>
      </c>
      <c r="AC1154" s="1268">
        <v>6.58</v>
      </c>
      <c r="AD1154" s="1268">
        <v>6.58</v>
      </c>
      <c r="AE1154" s="1268">
        <v>6.58</v>
      </c>
      <c r="AF1154" s="253">
        <v>6.58</v>
      </c>
      <c r="AG1154" s="253">
        <f t="shared" si="205"/>
        <v>6.58</v>
      </c>
      <c r="DG1154" s="543"/>
      <c r="DH1154" s="149"/>
      <c r="DI1154" s="1020"/>
      <c r="DJ1154" s="2045"/>
    </row>
    <row r="1155" spans="1:114" ht="15" customHeight="1" outlineLevel="1" x14ac:dyDescent="0.25">
      <c r="A1155" s="2145"/>
      <c r="C1155" s="49"/>
      <c r="D1155" s="2394"/>
      <c r="E1155" s="2394"/>
      <c r="F1155" s="2404" t="str">
        <f>$E$799</f>
        <v>ASHP-SEER18_ER2_MF</v>
      </c>
      <c r="G1155" s="2404"/>
      <c r="H1155" s="2404"/>
      <c r="I1155" s="2404"/>
      <c r="J1155" s="962" t="str">
        <f>$C$799</f>
        <v>354350_2024_12_</v>
      </c>
      <c r="K1155" s="1534">
        <v>7.5</v>
      </c>
      <c r="L1155" s="244"/>
      <c r="M1155" s="1249" t="s">
        <v>936</v>
      </c>
      <c r="T1155" s="50"/>
      <c r="U1155" s="50"/>
      <c r="V1155" s="2394"/>
      <c r="W1155" s="1268">
        <v>8.1999999999999993</v>
      </c>
      <c r="X1155" s="1268">
        <v>8.1999999999999993</v>
      </c>
      <c r="Y1155" s="1268">
        <v>8.1999999999999993</v>
      </c>
      <c r="Z1155" s="1268">
        <v>8.1999999999999993</v>
      </c>
      <c r="AA1155" s="1268">
        <v>8.1999999999999993</v>
      </c>
      <c r="AB1155" s="1268">
        <v>8.1999999999999993</v>
      </c>
      <c r="AC1155" s="1268">
        <v>8.1999999999999993</v>
      </c>
      <c r="AD1155" s="1268">
        <v>8.1999999999999993</v>
      </c>
      <c r="AE1155" s="779">
        <v>8.6</v>
      </c>
      <c r="AF1155" s="253">
        <v>7.5</v>
      </c>
      <c r="AG1155" s="253">
        <f t="shared" si="205"/>
        <v>7.5</v>
      </c>
      <c r="DG1155" s="543"/>
      <c r="DH1155" s="149"/>
      <c r="DI1155" s="1020"/>
      <c r="DJ1155" s="2045"/>
    </row>
    <row r="1156" spans="1:114" ht="15" customHeight="1" outlineLevel="1" x14ac:dyDescent="0.25">
      <c r="A1156" s="2145"/>
      <c r="C1156" s="49"/>
      <c r="D1156" s="2394"/>
      <c r="E1156" s="2394"/>
      <c r="F1156" s="2404" t="str">
        <f>$E$801</f>
        <v>ASHP-SEER19-Replace_CAC_ElectricHeat_ER1_SF</v>
      </c>
      <c r="G1156" s="2404"/>
      <c r="H1156" s="2404"/>
      <c r="I1156" s="2404"/>
      <c r="J1156" s="962" t="str">
        <f>$C$801</f>
        <v>354400_2024_12_</v>
      </c>
      <c r="K1156" s="1534">
        <v>3.41</v>
      </c>
      <c r="L1156" s="244"/>
      <c r="M1156" s="1307" t="s">
        <v>1290</v>
      </c>
      <c r="T1156" s="50"/>
      <c r="U1156" s="50"/>
      <c r="V1156" s="2394"/>
      <c r="W1156" s="1268">
        <v>3.41</v>
      </c>
      <c r="X1156" s="1268">
        <v>3.41</v>
      </c>
      <c r="Y1156" s="1268">
        <v>3.41</v>
      </c>
      <c r="Z1156" s="1268">
        <v>3.41</v>
      </c>
      <c r="AA1156" s="1268">
        <v>3.41</v>
      </c>
      <c r="AB1156" s="1268">
        <v>3.41</v>
      </c>
      <c r="AC1156" s="1268">
        <v>3.41</v>
      </c>
      <c r="AD1156" s="1268">
        <v>3.41</v>
      </c>
      <c r="AE1156" s="1268">
        <v>3.41</v>
      </c>
      <c r="AF1156" s="253">
        <v>3.41</v>
      </c>
      <c r="AG1156" s="253">
        <f t="shared" si="205"/>
        <v>3.41</v>
      </c>
      <c r="DG1156" s="543"/>
      <c r="DH1156" s="149"/>
      <c r="DI1156" s="1020"/>
      <c r="DJ1156" s="2045"/>
    </row>
    <row r="1157" spans="1:114" ht="15" customHeight="1" outlineLevel="1" x14ac:dyDescent="0.25">
      <c r="A1157" s="2145"/>
      <c r="C1157" s="49"/>
      <c r="D1157" s="2394"/>
      <c r="E1157" s="2394"/>
      <c r="F1157" s="2404" t="str">
        <f>$E$803</f>
        <v>ASHP-SEER19-Replace_CAC_ElectricHeat_ER2_SF</v>
      </c>
      <c r="G1157" s="2404"/>
      <c r="H1157" s="2404"/>
      <c r="I1157" s="2404"/>
      <c r="J1157" s="962" t="str">
        <f>$C$803</f>
        <v>354400_2024_12_</v>
      </c>
      <c r="K1157" s="1534">
        <v>3.41</v>
      </c>
      <c r="L1157" s="244"/>
      <c r="M1157" s="1307" t="s">
        <v>1290</v>
      </c>
      <c r="T1157" s="50"/>
      <c r="U1157" s="50"/>
      <c r="V1157" s="2394"/>
      <c r="W1157" s="1268">
        <v>3.41</v>
      </c>
      <c r="X1157" s="1268">
        <v>3.41</v>
      </c>
      <c r="Y1157" s="1268">
        <v>3.41</v>
      </c>
      <c r="Z1157" s="1268">
        <v>3.41</v>
      </c>
      <c r="AA1157" s="1268">
        <v>3.41</v>
      </c>
      <c r="AB1157" s="1268">
        <v>3.41</v>
      </c>
      <c r="AC1157" s="1268">
        <v>3.41</v>
      </c>
      <c r="AD1157" s="1268">
        <v>3.41</v>
      </c>
      <c r="AE1157" s="1268">
        <v>3.41</v>
      </c>
      <c r="AF1157" s="253">
        <v>3.41</v>
      </c>
      <c r="AG1157" s="253">
        <f t="shared" si="205"/>
        <v>3.41</v>
      </c>
      <c r="DG1157" s="543"/>
      <c r="DH1157" s="149"/>
      <c r="DI1157" s="1020"/>
      <c r="DJ1157" s="2045"/>
    </row>
    <row r="1158" spans="1:114" ht="15" customHeight="1" outlineLevel="1" x14ac:dyDescent="0.25">
      <c r="A1158" s="2145"/>
      <c r="C1158" s="49"/>
      <c r="D1158" s="2394"/>
      <c r="E1158" s="2394"/>
      <c r="F1158" s="2404" t="str">
        <f>$E$805</f>
        <v>ASHP-SEER19-Replace_CAC_NonElectricHeat_ER1_SF</v>
      </c>
      <c r="G1158" s="2404"/>
      <c r="H1158" s="2404"/>
      <c r="I1158" s="2404"/>
      <c r="J1158" s="962" t="str">
        <f>$C$805</f>
        <v>354410_2024_12_</v>
      </c>
      <c r="K1158" s="1536">
        <v>0</v>
      </c>
      <c r="L1158" s="244"/>
      <c r="M1158" s="1307" t="s">
        <v>1291</v>
      </c>
      <c r="T1158" s="50"/>
      <c r="U1158" s="50"/>
      <c r="V1158" s="2394"/>
      <c r="W1158" s="1268"/>
      <c r="X1158" s="1268"/>
      <c r="Y1158" s="1268"/>
      <c r="Z1158" s="1268"/>
      <c r="AA1158" s="1268"/>
      <c r="AB1158" s="1268"/>
      <c r="AC1158" s="775">
        <v>0</v>
      </c>
      <c r="AD1158" s="752">
        <v>0</v>
      </c>
      <c r="AE1158" s="752">
        <v>0</v>
      </c>
      <c r="AF1158" s="253">
        <v>0</v>
      </c>
      <c r="AG1158" s="253">
        <f t="shared" si="205"/>
        <v>0</v>
      </c>
      <c r="DG1158" s="543"/>
      <c r="DH1158" s="149"/>
      <c r="DI1158" s="1020"/>
      <c r="DJ1158" s="2045"/>
    </row>
    <row r="1159" spans="1:114" ht="15" customHeight="1" outlineLevel="1" x14ac:dyDescent="0.25">
      <c r="A1159" s="2145"/>
      <c r="C1159" s="49"/>
      <c r="D1159" s="2394"/>
      <c r="E1159" s="2394"/>
      <c r="F1159" s="2404" t="str">
        <f>$E$807</f>
        <v>ASHP-SEER19-Replace_CAC_NonElectricHeat_ER2_SF</v>
      </c>
      <c r="G1159" s="2404"/>
      <c r="H1159" s="2404"/>
      <c r="I1159" s="2404"/>
      <c r="J1159" s="962" t="str">
        <f>$C$807</f>
        <v>354410_2024_12_</v>
      </c>
      <c r="K1159" s="1536">
        <v>0</v>
      </c>
      <c r="L1159" s="244"/>
      <c r="M1159" s="1307" t="s">
        <v>1291</v>
      </c>
      <c r="T1159" s="50"/>
      <c r="U1159" s="50"/>
      <c r="V1159" s="2394"/>
      <c r="W1159" s="1268"/>
      <c r="X1159" s="1268"/>
      <c r="Y1159" s="1268"/>
      <c r="Z1159" s="1268"/>
      <c r="AA1159" s="1268"/>
      <c r="AB1159" s="1268"/>
      <c r="AC1159" s="775">
        <v>0</v>
      </c>
      <c r="AD1159" s="752">
        <v>0</v>
      </c>
      <c r="AE1159" s="752">
        <v>0</v>
      </c>
      <c r="AF1159" s="253">
        <v>0</v>
      </c>
      <c r="AG1159" s="253">
        <f t="shared" si="205"/>
        <v>0</v>
      </c>
      <c r="DG1159" s="543"/>
      <c r="DH1159" s="149"/>
      <c r="DI1159" s="1020"/>
      <c r="DJ1159" s="2045"/>
    </row>
    <row r="1160" spans="1:114" ht="15" customHeight="1" outlineLevel="1" x14ac:dyDescent="0.25">
      <c r="A1160" s="2145"/>
      <c r="C1160" s="49"/>
      <c r="D1160" s="2394"/>
      <c r="E1160" s="2394"/>
      <c r="F1160" s="2404" t="str">
        <f>$E$809</f>
        <v>ASHP-SEER19-Replace_CAC_ElectricHeat_ER1_MF</v>
      </c>
      <c r="G1160" s="2404"/>
      <c r="H1160" s="2404"/>
      <c r="I1160" s="2404"/>
      <c r="J1160" s="962" t="str">
        <f>$C$809</f>
        <v>354450_2024_12_</v>
      </c>
      <c r="K1160" s="1534">
        <v>3.41</v>
      </c>
      <c r="L1160" s="244"/>
      <c r="M1160" s="1307" t="s">
        <v>1293</v>
      </c>
      <c r="T1160" s="50"/>
      <c r="U1160" s="50"/>
      <c r="V1160" s="2394"/>
      <c r="W1160" s="1268">
        <v>3.41</v>
      </c>
      <c r="X1160" s="1268">
        <v>3.41</v>
      </c>
      <c r="Y1160" s="1268">
        <v>3.41</v>
      </c>
      <c r="Z1160" s="1268">
        <v>3.41</v>
      </c>
      <c r="AA1160" s="1268">
        <v>3.41</v>
      </c>
      <c r="AB1160" s="1268">
        <v>3.41</v>
      </c>
      <c r="AC1160" s="1268">
        <v>3.41</v>
      </c>
      <c r="AD1160" s="1268">
        <v>3.41</v>
      </c>
      <c r="AE1160" s="1268">
        <v>3.41</v>
      </c>
      <c r="AF1160" s="253">
        <v>3.41</v>
      </c>
      <c r="AG1160" s="253">
        <f t="shared" si="205"/>
        <v>3.41</v>
      </c>
      <c r="DG1160" s="543"/>
      <c r="DH1160" s="149"/>
      <c r="DI1160" s="1020"/>
      <c r="DJ1160" s="2045"/>
    </row>
    <row r="1161" spans="1:114" ht="15" customHeight="1" outlineLevel="1" x14ac:dyDescent="0.25">
      <c r="A1161" s="2145"/>
      <c r="C1161" s="49"/>
      <c r="D1161" s="2394"/>
      <c r="E1161" s="2394"/>
      <c r="F1161" s="2404" t="str">
        <f>$E$811</f>
        <v>ASHP-SEER19-Replace_CAC_ElectricHeat_ER2_MF</v>
      </c>
      <c r="G1161" s="2404"/>
      <c r="H1161" s="2404"/>
      <c r="I1161" s="2404"/>
      <c r="J1161" s="962" t="str">
        <f>$C$811</f>
        <v>354450_2024_12_</v>
      </c>
      <c r="K1161" s="1534">
        <v>3.41</v>
      </c>
      <c r="L1161" s="244"/>
      <c r="M1161" s="1307" t="s">
        <v>1293</v>
      </c>
      <c r="T1161" s="50"/>
      <c r="U1161" s="50"/>
      <c r="V1161" s="2394"/>
      <c r="W1161" s="1268">
        <v>3.41</v>
      </c>
      <c r="X1161" s="1268">
        <v>3.41</v>
      </c>
      <c r="Y1161" s="1268">
        <v>3.41</v>
      </c>
      <c r="Z1161" s="1268">
        <v>3.41</v>
      </c>
      <c r="AA1161" s="1268">
        <v>3.41</v>
      </c>
      <c r="AB1161" s="1268">
        <v>3.41</v>
      </c>
      <c r="AC1161" s="1268">
        <v>3.41</v>
      </c>
      <c r="AD1161" s="1268">
        <v>3.41</v>
      </c>
      <c r="AE1161" s="1268">
        <v>3.41</v>
      </c>
      <c r="AF1161" s="253">
        <v>3.41</v>
      </c>
      <c r="AG1161" s="253">
        <f t="shared" si="205"/>
        <v>3.41</v>
      </c>
      <c r="DG1161" s="543"/>
      <c r="DH1161" s="149"/>
      <c r="DI1161" s="1020"/>
      <c r="DJ1161" s="2045"/>
    </row>
    <row r="1162" spans="1:114" ht="15" customHeight="1" outlineLevel="1" x14ac:dyDescent="0.25">
      <c r="A1162" s="2145"/>
      <c r="C1162" s="49"/>
      <c r="D1162" s="2394"/>
      <c r="E1162" s="2394"/>
      <c r="F1162" s="2404" t="str">
        <f>$E$813</f>
        <v>ASHP-SEER19_ER1_MF</v>
      </c>
      <c r="G1162" s="2404"/>
      <c r="H1162" s="2404"/>
      <c r="I1162" s="2404"/>
      <c r="J1162" s="962" t="str">
        <f>$C$813</f>
        <v>354500_2024_12_</v>
      </c>
      <c r="K1162" s="1534">
        <v>6.58</v>
      </c>
      <c r="L1162" s="244"/>
      <c r="M1162" s="1307" t="s">
        <v>1293</v>
      </c>
      <c r="T1162" s="50"/>
      <c r="U1162" s="50"/>
      <c r="V1162" s="2394"/>
      <c r="W1162" s="1268">
        <v>5.44</v>
      </c>
      <c r="X1162" s="779">
        <v>6.58</v>
      </c>
      <c r="Y1162" s="1268">
        <v>6.58</v>
      </c>
      <c r="Z1162" s="1268">
        <v>6.58</v>
      </c>
      <c r="AA1162" s="1268">
        <v>6.58</v>
      </c>
      <c r="AB1162" s="1268">
        <v>6.58</v>
      </c>
      <c r="AC1162" s="1268">
        <v>6.58</v>
      </c>
      <c r="AD1162" s="1268">
        <v>6.58</v>
      </c>
      <c r="AE1162" s="1268">
        <v>6.58</v>
      </c>
      <c r="AF1162" s="253">
        <v>6.58</v>
      </c>
      <c r="AG1162" s="253">
        <f t="shared" si="205"/>
        <v>6.58</v>
      </c>
      <c r="DG1162" s="543"/>
      <c r="DH1162" s="149"/>
      <c r="DI1162" s="1020"/>
      <c r="DJ1162" s="2045"/>
    </row>
    <row r="1163" spans="1:114" ht="15" customHeight="1" outlineLevel="1" x14ac:dyDescent="0.25">
      <c r="A1163" s="2145"/>
      <c r="C1163" s="49"/>
      <c r="D1163" s="2394"/>
      <c r="E1163" s="2394"/>
      <c r="F1163" s="2404" t="str">
        <f>$E$815</f>
        <v>ASHP-SEER19_ER2_MF</v>
      </c>
      <c r="G1163" s="2404"/>
      <c r="H1163" s="2404"/>
      <c r="I1163" s="2404"/>
      <c r="J1163" s="962" t="str">
        <f>$C$815</f>
        <v>354500_2024_12_</v>
      </c>
      <c r="K1163" s="1534">
        <v>7.5</v>
      </c>
      <c r="L1163" s="244"/>
      <c r="M1163" s="1249" t="s">
        <v>936</v>
      </c>
      <c r="T1163" s="50"/>
      <c r="U1163" s="50"/>
      <c r="V1163" s="2394"/>
      <c r="W1163" s="1268">
        <v>8.1999999999999993</v>
      </c>
      <c r="X1163" s="1268">
        <v>8.1999999999999993</v>
      </c>
      <c r="Y1163" s="1268">
        <v>8.1999999999999993</v>
      </c>
      <c r="Z1163" s="1268">
        <v>8.1999999999999993</v>
      </c>
      <c r="AA1163" s="1268">
        <v>8.1999999999999993</v>
      </c>
      <c r="AB1163" s="1268">
        <v>8.1999999999999993</v>
      </c>
      <c r="AC1163" s="1268">
        <v>8.1999999999999993</v>
      </c>
      <c r="AD1163" s="1268">
        <v>8.1999999999999993</v>
      </c>
      <c r="AE1163" s="779">
        <v>8.6</v>
      </c>
      <c r="AF1163" s="253">
        <v>7.5</v>
      </c>
      <c r="AG1163" s="253">
        <f t="shared" si="205"/>
        <v>7.5</v>
      </c>
      <c r="DG1163" s="543"/>
      <c r="DH1163" s="149"/>
      <c r="DI1163" s="1020"/>
      <c r="DJ1163" s="2045"/>
    </row>
    <row r="1164" spans="1:114" ht="15" customHeight="1" outlineLevel="1" x14ac:dyDescent="0.25">
      <c r="A1164" s="2145"/>
      <c r="C1164" s="49"/>
      <c r="D1164" s="2394"/>
      <c r="E1164" s="2394"/>
      <c r="F1164" s="2404" t="str">
        <f>$E$817</f>
        <v>ASHP-SEER20_ER1_SF</v>
      </c>
      <c r="G1164" s="2404"/>
      <c r="H1164" s="2404"/>
      <c r="I1164" s="2404"/>
      <c r="J1164" s="962" t="str">
        <f>$C$817</f>
        <v>354550_2024_12_</v>
      </c>
      <c r="K1164" s="1534">
        <v>6.58</v>
      </c>
      <c r="L1164" s="244"/>
      <c r="M1164" s="1307" t="s">
        <v>1290</v>
      </c>
      <c r="T1164" s="50"/>
      <c r="U1164" s="50"/>
      <c r="V1164" s="2394"/>
      <c r="W1164" s="1268">
        <v>5.44</v>
      </c>
      <c r="X1164" s="779">
        <v>6.58</v>
      </c>
      <c r="Y1164" s="1268">
        <v>6.58</v>
      </c>
      <c r="Z1164" s="1268">
        <v>6.58</v>
      </c>
      <c r="AA1164" s="1268">
        <v>6.58</v>
      </c>
      <c r="AB1164" s="1268">
        <v>6.58</v>
      </c>
      <c r="AC1164" s="1268">
        <v>6.58</v>
      </c>
      <c r="AD1164" s="1268">
        <v>6.58</v>
      </c>
      <c r="AE1164" s="1268">
        <v>6.58</v>
      </c>
      <c r="AF1164" s="253">
        <v>6.58</v>
      </c>
      <c r="AG1164" s="253">
        <f t="shared" si="205"/>
        <v>6.58</v>
      </c>
      <c r="DG1164" s="543"/>
      <c r="DH1164" s="149"/>
      <c r="DI1164" s="1020"/>
      <c r="DJ1164" s="2045"/>
    </row>
    <row r="1165" spans="1:114" ht="15" customHeight="1" outlineLevel="1" x14ac:dyDescent="0.25">
      <c r="A1165" s="2145"/>
      <c r="C1165" s="49"/>
      <c r="D1165" s="2394"/>
      <c r="E1165" s="2394"/>
      <c r="F1165" s="2404" t="str">
        <f>$E$819</f>
        <v>ASHP-SEER20_ER2_SF</v>
      </c>
      <c r="G1165" s="2404"/>
      <c r="H1165" s="2404"/>
      <c r="I1165" s="2404"/>
      <c r="J1165" s="962" t="str">
        <f>$C$819</f>
        <v>354550_2024_12_</v>
      </c>
      <c r="K1165" s="1534">
        <v>7.5</v>
      </c>
      <c r="L1165" s="244"/>
      <c r="M1165" s="1249" t="s">
        <v>936</v>
      </c>
      <c r="T1165" s="50"/>
      <c r="U1165" s="50"/>
      <c r="V1165" s="2394"/>
      <c r="W1165" s="1268">
        <v>8.1999999999999993</v>
      </c>
      <c r="X1165" s="1268">
        <v>8.1999999999999993</v>
      </c>
      <c r="Y1165" s="1268">
        <v>8.1999999999999993</v>
      </c>
      <c r="Z1165" s="1268">
        <v>8.1999999999999993</v>
      </c>
      <c r="AA1165" s="1268">
        <v>8.1999999999999993</v>
      </c>
      <c r="AB1165" s="1268">
        <v>8.1999999999999993</v>
      </c>
      <c r="AC1165" s="1268">
        <v>8.1999999999999993</v>
      </c>
      <c r="AD1165" s="1268">
        <v>8.1999999999999993</v>
      </c>
      <c r="AE1165" s="779">
        <v>8.6</v>
      </c>
      <c r="AF1165" s="253">
        <v>7.5</v>
      </c>
      <c r="AG1165" s="253">
        <f t="shared" si="205"/>
        <v>7.5</v>
      </c>
      <c r="DG1165" s="543"/>
      <c r="DH1165" s="149"/>
      <c r="DI1165" s="1020"/>
      <c r="DJ1165" s="2045"/>
    </row>
    <row r="1166" spans="1:114" ht="15" customHeight="1" outlineLevel="1" x14ac:dyDescent="0.25">
      <c r="A1166" s="2145"/>
      <c r="C1166" s="49"/>
      <c r="D1166" s="2394"/>
      <c r="E1166" s="2394"/>
      <c r="F1166" s="2404" t="str">
        <f>$E$821</f>
        <v>ASHP-SEER20_ROF_SF</v>
      </c>
      <c r="G1166" s="2404"/>
      <c r="H1166" s="2404"/>
      <c r="I1166" s="2404"/>
      <c r="J1166" s="962" t="str">
        <f>$C$821</f>
        <v>354600_2024_12_</v>
      </c>
      <c r="K1166" s="1534">
        <v>7.5</v>
      </c>
      <c r="L1166" s="244"/>
      <c r="M1166" s="1249" t="s">
        <v>936</v>
      </c>
      <c r="T1166" s="50"/>
      <c r="U1166" s="50"/>
      <c r="V1166" s="2394"/>
      <c r="W1166" s="1268">
        <v>8.1999999999999993</v>
      </c>
      <c r="X1166" s="1268">
        <v>8.1999999999999993</v>
      </c>
      <c r="Y1166" s="1268">
        <v>8.1999999999999993</v>
      </c>
      <c r="Z1166" s="1268">
        <v>8.1999999999999993</v>
      </c>
      <c r="AA1166" s="1268">
        <v>8.1999999999999993</v>
      </c>
      <c r="AB1166" s="1268">
        <v>8.1999999999999993</v>
      </c>
      <c r="AC1166" s="1268">
        <v>8.1999999999999993</v>
      </c>
      <c r="AD1166" s="1268">
        <v>8.1999999999999993</v>
      </c>
      <c r="AE1166" s="779">
        <v>8.6</v>
      </c>
      <c r="AF1166" s="253">
        <v>7.5</v>
      </c>
      <c r="AG1166" s="253">
        <f t="shared" si="205"/>
        <v>7.5</v>
      </c>
      <c r="DG1166" s="543"/>
      <c r="DH1166" s="149"/>
      <c r="DI1166" s="1020"/>
      <c r="DJ1166" s="2045"/>
    </row>
    <row r="1167" spans="1:114" ht="15" customHeight="1" outlineLevel="1" x14ac:dyDescent="0.25">
      <c r="A1167" s="2145"/>
      <c r="C1167" s="49"/>
      <c r="D1167" s="2394"/>
      <c r="E1167" s="2394"/>
      <c r="F1167" s="2404" t="str">
        <f>$E$823</f>
        <v>ASHP-SEER20-Replace_CAC_ElectricHeat_ER1_MF</v>
      </c>
      <c r="G1167" s="2404"/>
      <c r="H1167" s="2404"/>
      <c r="I1167" s="2404"/>
      <c r="J1167" s="962" t="str">
        <f>$C$823</f>
        <v>354650_2024_12_</v>
      </c>
      <c r="K1167" s="1534">
        <v>3.41</v>
      </c>
      <c r="L1167" s="244"/>
      <c r="M1167" s="1307" t="s">
        <v>1293</v>
      </c>
      <c r="T1167" s="50"/>
      <c r="U1167" s="50"/>
      <c r="V1167" s="2394"/>
      <c r="W1167" s="1268">
        <v>3.41</v>
      </c>
      <c r="X1167" s="1268">
        <v>3.41</v>
      </c>
      <c r="Y1167" s="1268">
        <v>3.41</v>
      </c>
      <c r="Z1167" s="1268">
        <v>3.41</v>
      </c>
      <c r="AA1167" s="1268">
        <v>3.41</v>
      </c>
      <c r="AB1167" s="1268">
        <v>3.41</v>
      </c>
      <c r="AC1167" s="1268">
        <v>3.41</v>
      </c>
      <c r="AD1167" s="1268">
        <v>3.41</v>
      </c>
      <c r="AE1167" s="1268">
        <v>3.41</v>
      </c>
      <c r="AF1167" s="253">
        <v>3.41</v>
      </c>
      <c r="AG1167" s="253">
        <f t="shared" si="205"/>
        <v>3.41</v>
      </c>
      <c r="DG1167" s="543"/>
      <c r="DH1167" s="149"/>
      <c r="DI1167" s="1020"/>
      <c r="DJ1167" s="2045"/>
    </row>
    <row r="1168" spans="1:114" ht="15" customHeight="1" outlineLevel="1" x14ac:dyDescent="0.25">
      <c r="A1168" s="2145"/>
      <c r="C1168" s="49"/>
      <c r="D1168" s="2394"/>
      <c r="E1168" s="2394"/>
      <c r="F1168" s="2404" t="str">
        <f>$E$825</f>
        <v>ASHP-SEER20-Replace_CAC_ElectricHeat_ER2_MF</v>
      </c>
      <c r="G1168" s="2404"/>
      <c r="H1168" s="2404"/>
      <c r="I1168" s="2404"/>
      <c r="J1168" s="962" t="str">
        <f>$C$825</f>
        <v>354650_2024_12_</v>
      </c>
      <c r="K1168" s="1534">
        <v>3.41</v>
      </c>
      <c r="L1168" s="244"/>
      <c r="M1168" s="1307" t="s">
        <v>1293</v>
      </c>
      <c r="T1168" s="50"/>
      <c r="U1168" s="50"/>
      <c r="V1168" s="2394"/>
      <c r="W1168" s="1268">
        <v>3.41</v>
      </c>
      <c r="X1168" s="1268">
        <v>3.41</v>
      </c>
      <c r="Y1168" s="1268">
        <v>3.41</v>
      </c>
      <c r="Z1168" s="1268">
        <v>3.41</v>
      </c>
      <c r="AA1168" s="1268">
        <v>3.41</v>
      </c>
      <c r="AB1168" s="1268">
        <v>3.41</v>
      </c>
      <c r="AC1168" s="1268">
        <v>3.41</v>
      </c>
      <c r="AD1168" s="1268">
        <v>3.41</v>
      </c>
      <c r="AE1168" s="1268">
        <v>3.41</v>
      </c>
      <c r="AF1168" s="253">
        <v>3.41</v>
      </c>
      <c r="AG1168" s="253">
        <f t="shared" si="205"/>
        <v>3.41</v>
      </c>
      <c r="DG1168" s="543"/>
      <c r="DH1168" s="149"/>
      <c r="DI1168" s="1020"/>
      <c r="DJ1168" s="2045"/>
    </row>
    <row r="1169" spans="1:114" ht="15" customHeight="1" outlineLevel="1" x14ac:dyDescent="0.25">
      <c r="A1169" s="2145"/>
      <c r="C1169" s="49"/>
      <c r="D1169" s="2394"/>
      <c r="E1169" s="2394"/>
      <c r="F1169" s="2404" t="str">
        <f>$E$827</f>
        <v>ASHP-SEER20_ER1_MF</v>
      </c>
      <c r="G1169" s="2404"/>
      <c r="H1169" s="2404"/>
      <c r="I1169" s="2404"/>
      <c r="J1169" s="962" t="str">
        <f>$C$827</f>
        <v>354700_2024_12_</v>
      </c>
      <c r="K1169" s="1534">
        <v>6.58</v>
      </c>
      <c r="L1169" s="244"/>
      <c r="M1169" s="1307" t="s">
        <v>1293</v>
      </c>
      <c r="T1169" s="50"/>
      <c r="U1169" s="50"/>
      <c r="V1169" s="2394"/>
      <c r="W1169" s="1268">
        <v>5.44</v>
      </c>
      <c r="X1169" s="779">
        <v>6.58</v>
      </c>
      <c r="Y1169" s="1268">
        <v>6.58</v>
      </c>
      <c r="Z1169" s="1268">
        <v>6.58</v>
      </c>
      <c r="AA1169" s="1268">
        <v>6.58</v>
      </c>
      <c r="AB1169" s="1268">
        <v>6.58</v>
      </c>
      <c r="AC1169" s="1268">
        <v>6.58</v>
      </c>
      <c r="AD1169" s="1268">
        <v>6.58</v>
      </c>
      <c r="AE1169" s="1268">
        <v>6.58</v>
      </c>
      <c r="AF1169" s="253">
        <v>6.58</v>
      </c>
      <c r="AG1169" s="253">
        <f t="shared" si="205"/>
        <v>6.58</v>
      </c>
      <c r="DG1169" s="543"/>
      <c r="DH1169" s="149"/>
      <c r="DI1169" s="1020"/>
      <c r="DJ1169" s="2045"/>
    </row>
    <row r="1170" spans="1:114" ht="15" customHeight="1" outlineLevel="1" x14ac:dyDescent="0.25">
      <c r="A1170" s="2145"/>
      <c r="C1170" s="49"/>
      <c r="D1170" s="2394"/>
      <c r="E1170" s="2394"/>
      <c r="F1170" s="2404" t="str">
        <f>$E$829</f>
        <v>ASHP-SEER20_ER2_MF</v>
      </c>
      <c r="G1170" s="2404"/>
      <c r="H1170" s="2404"/>
      <c r="I1170" s="2404"/>
      <c r="J1170" s="962" t="str">
        <f>$C$829</f>
        <v>354700_2024_12_</v>
      </c>
      <c r="K1170" s="1534">
        <v>7.5</v>
      </c>
      <c r="L1170" s="244"/>
      <c r="M1170" s="1249" t="s">
        <v>936</v>
      </c>
      <c r="T1170" s="50"/>
      <c r="U1170" s="50"/>
      <c r="V1170" s="2394"/>
      <c r="W1170" s="1268">
        <v>8.1999999999999993</v>
      </c>
      <c r="X1170" s="1268">
        <v>8.1999999999999993</v>
      </c>
      <c r="Y1170" s="1268">
        <v>8.1999999999999993</v>
      </c>
      <c r="Z1170" s="1268">
        <v>8.1999999999999993</v>
      </c>
      <c r="AA1170" s="1268">
        <v>8.1999999999999993</v>
      </c>
      <c r="AB1170" s="1268">
        <v>8.1999999999999993</v>
      </c>
      <c r="AC1170" s="1268">
        <v>8.1999999999999993</v>
      </c>
      <c r="AD1170" s="1268">
        <v>8.1999999999999993</v>
      </c>
      <c r="AE1170" s="779">
        <v>8.6</v>
      </c>
      <c r="AF1170" s="253">
        <v>7.5</v>
      </c>
      <c r="AG1170" s="253">
        <f t="shared" si="205"/>
        <v>7.5</v>
      </c>
      <c r="DG1170" s="543"/>
      <c r="DH1170" s="149"/>
      <c r="DI1170" s="1020"/>
      <c r="DJ1170" s="2045"/>
    </row>
    <row r="1171" spans="1:114" ht="15" customHeight="1" outlineLevel="1" x14ac:dyDescent="0.25">
      <c r="A1171" s="2145"/>
      <c r="C1171" s="49"/>
      <c r="D1171" s="2394"/>
      <c r="E1171" s="2394"/>
      <c r="F1171" s="2404" t="str">
        <f>$E$831</f>
        <v>ASHP-SEER21_ER1_SF</v>
      </c>
      <c r="G1171" s="2404"/>
      <c r="H1171" s="2404"/>
      <c r="I1171" s="2404"/>
      <c r="J1171" s="962" t="str">
        <f>$C$831</f>
        <v>354750_2024_12_</v>
      </c>
      <c r="K1171" s="1534">
        <v>6.58</v>
      </c>
      <c r="L1171" s="244"/>
      <c r="M1171" s="1307" t="s">
        <v>1290</v>
      </c>
      <c r="T1171" s="50"/>
      <c r="U1171" s="50"/>
      <c r="V1171" s="2394"/>
      <c r="W1171" s="1268">
        <v>5.44</v>
      </c>
      <c r="X1171" s="779">
        <v>6.58</v>
      </c>
      <c r="Y1171" s="1268">
        <v>6.58</v>
      </c>
      <c r="Z1171" s="1268">
        <v>6.58</v>
      </c>
      <c r="AA1171" s="1268">
        <v>6.58</v>
      </c>
      <c r="AB1171" s="1268">
        <v>6.58</v>
      </c>
      <c r="AC1171" s="1268">
        <v>6.58</v>
      </c>
      <c r="AD1171" s="1268">
        <v>6.58</v>
      </c>
      <c r="AE1171" s="1268">
        <v>6.58</v>
      </c>
      <c r="AF1171" s="253">
        <v>6.58</v>
      </c>
      <c r="AG1171" s="253">
        <f t="shared" si="205"/>
        <v>6.58</v>
      </c>
      <c r="DG1171" s="543"/>
      <c r="DH1171" s="149"/>
      <c r="DI1171" s="1020"/>
      <c r="DJ1171" s="2045"/>
    </row>
    <row r="1172" spans="1:114" ht="15" customHeight="1" outlineLevel="1" x14ac:dyDescent="0.25">
      <c r="A1172" s="2145"/>
      <c r="C1172" s="49"/>
      <c r="D1172" s="2394"/>
      <c r="E1172" s="2394"/>
      <c r="F1172" s="2404" t="str">
        <f>$E$833</f>
        <v>ASHP-SEER21_ER2_SF</v>
      </c>
      <c r="G1172" s="2404"/>
      <c r="H1172" s="2404"/>
      <c r="I1172" s="2404"/>
      <c r="J1172" s="962" t="str">
        <f>$C$833</f>
        <v>354750_2024_12_</v>
      </c>
      <c r="K1172" s="1534">
        <v>7.5</v>
      </c>
      <c r="L1172" s="244"/>
      <c r="M1172" s="1249" t="s">
        <v>936</v>
      </c>
      <c r="T1172" s="50"/>
      <c r="U1172" s="50"/>
      <c r="V1172" s="2394"/>
      <c r="W1172" s="1268">
        <v>8.1999999999999993</v>
      </c>
      <c r="X1172" s="1268">
        <v>8.1999999999999993</v>
      </c>
      <c r="Y1172" s="1268">
        <v>8.1999999999999993</v>
      </c>
      <c r="Z1172" s="1268">
        <v>8.1999999999999993</v>
      </c>
      <c r="AA1172" s="1268">
        <v>8.1999999999999993</v>
      </c>
      <c r="AB1172" s="1268">
        <v>8.1999999999999993</v>
      </c>
      <c r="AC1172" s="1268">
        <v>8.1999999999999993</v>
      </c>
      <c r="AD1172" s="1268">
        <v>8.1999999999999993</v>
      </c>
      <c r="AE1172" s="779">
        <v>8.6</v>
      </c>
      <c r="AF1172" s="253">
        <v>7.5</v>
      </c>
      <c r="AG1172" s="253">
        <f t="shared" si="205"/>
        <v>7.5</v>
      </c>
      <c r="DG1172" s="543"/>
      <c r="DH1172" s="149"/>
      <c r="DI1172" s="1020"/>
      <c r="DJ1172" s="2045"/>
    </row>
    <row r="1173" spans="1:114" ht="15" customHeight="1" outlineLevel="1" x14ac:dyDescent="0.25">
      <c r="A1173" s="2145"/>
      <c r="C1173" s="49"/>
      <c r="D1173" s="2394"/>
      <c r="E1173" s="2394"/>
      <c r="F1173" s="2404" t="str">
        <f>$E$835</f>
        <v>ASHP-SEER21_ROF_SF</v>
      </c>
      <c r="G1173" s="2404"/>
      <c r="H1173" s="2404"/>
      <c r="I1173" s="2404"/>
      <c r="J1173" s="962" t="str">
        <f>$C$835</f>
        <v>354800_2024_12_</v>
      </c>
      <c r="K1173" s="1534">
        <v>7.5</v>
      </c>
      <c r="L1173" s="244"/>
      <c r="M1173" s="1249" t="s">
        <v>936</v>
      </c>
      <c r="T1173" s="50"/>
      <c r="U1173" s="50"/>
      <c r="V1173" s="2394"/>
      <c r="W1173" s="1268">
        <v>8.1999999999999993</v>
      </c>
      <c r="X1173" s="1268">
        <v>8.1999999999999993</v>
      </c>
      <c r="Y1173" s="1268">
        <v>8.1999999999999993</v>
      </c>
      <c r="Z1173" s="1268">
        <v>8.1999999999999993</v>
      </c>
      <c r="AA1173" s="1268">
        <v>8.1999999999999993</v>
      </c>
      <c r="AB1173" s="1268">
        <v>8.1999999999999993</v>
      </c>
      <c r="AC1173" s="1268">
        <v>8.1999999999999993</v>
      </c>
      <c r="AD1173" s="1268">
        <v>8.1999999999999993</v>
      </c>
      <c r="AE1173" s="779">
        <v>8.6</v>
      </c>
      <c r="AF1173" s="253">
        <v>7.5</v>
      </c>
      <c r="AG1173" s="253">
        <f t="shared" si="205"/>
        <v>7.5</v>
      </c>
      <c r="DG1173" s="543"/>
      <c r="DH1173" s="149"/>
      <c r="DI1173" s="1020"/>
      <c r="DJ1173" s="2045"/>
    </row>
    <row r="1174" spans="1:114" ht="15" customHeight="1" outlineLevel="1" x14ac:dyDescent="0.25">
      <c r="A1174" s="2145"/>
      <c r="C1174" s="49"/>
      <c r="D1174" s="2394"/>
      <c r="E1174" s="2394"/>
      <c r="F1174" s="2404" t="str">
        <f>$E$837</f>
        <v>ASHP-SEER21-Replace_CAC_ElectricHeat_ROF_MF</v>
      </c>
      <c r="G1174" s="2404"/>
      <c r="H1174" s="2404"/>
      <c r="I1174" s="2404"/>
      <c r="J1174" s="962" t="str">
        <f>$C$837</f>
        <v>354850_2024_12_</v>
      </c>
      <c r="K1174" s="1534">
        <v>3.41</v>
      </c>
      <c r="L1174" s="244"/>
      <c r="M1174" s="1307" t="s">
        <v>1293</v>
      </c>
      <c r="T1174" s="50"/>
      <c r="U1174" s="50"/>
      <c r="V1174" s="2394"/>
      <c r="W1174" s="1268">
        <v>3.41</v>
      </c>
      <c r="X1174" s="1268">
        <v>3.41</v>
      </c>
      <c r="Y1174" s="1268">
        <v>3.41</v>
      </c>
      <c r="Z1174" s="1268">
        <v>3.41</v>
      </c>
      <c r="AA1174" s="1268">
        <v>3.41</v>
      </c>
      <c r="AB1174" s="1268">
        <v>3.41</v>
      </c>
      <c r="AC1174" s="1268">
        <v>3.41</v>
      </c>
      <c r="AD1174" s="1268">
        <v>3.41</v>
      </c>
      <c r="AE1174" s="1268">
        <v>3.41</v>
      </c>
      <c r="AF1174" s="253">
        <v>3.41</v>
      </c>
      <c r="AG1174" s="253">
        <f t="shared" si="205"/>
        <v>3.41</v>
      </c>
      <c r="DG1174" s="543"/>
      <c r="DH1174" s="149"/>
      <c r="DI1174" s="1020"/>
      <c r="DJ1174" s="2045"/>
    </row>
    <row r="1175" spans="1:114" ht="15" customHeight="1" outlineLevel="1" x14ac:dyDescent="0.25">
      <c r="A1175" s="2145"/>
      <c r="C1175" s="49"/>
      <c r="D1175" s="2394"/>
      <c r="E1175" s="2394"/>
      <c r="F1175" s="2404" t="str">
        <f>$E$839</f>
        <v>ASHP-SEER21_ER1_MF</v>
      </c>
      <c r="G1175" s="2404"/>
      <c r="H1175" s="2404"/>
      <c r="I1175" s="2404"/>
      <c r="J1175" s="962" t="str">
        <f>$C$839</f>
        <v>354900_2024_12_</v>
      </c>
      <c r="K1175" s="1534">
        <v>6.58</v>
      </c>
      <c r="L1175" s="244"/>
      <c r="M1175" s="1307" t="s">
        <v>1293</v>
      </c>
      <c r="T1175" s="50"/>
      <c r="U1175" s="50"/>
      <c r="V1175" s="2394"/>
      <c r="W1175" s="1268">
        <v>5.44</v>
      </c>
      <c r="X1175" s="779">
        <v>6.58</v>
      </c>
      <c r="Y1175" s="1268">
        <v>6.58</v>
      </c>
      <c r="Z1175" s="1268">
        <v>6.58</v>
      </c>
      <c r="AA1175" s="1268">
        <v>6.58</v>
      </c>
      <c r="AB1175" s="1268">
        <v>6.58</v>
      </c>
      <c r="AC1175" s="1268">
        <v>6.58</v>
      </c>
      <c r="AD1175" s="1268">
        <v>6.58</v>
      </c>
      <c r="AE1175" s="1268">
        <v>6.58</v>
      </c>
      <c r="AF1175" s="253">
        <v>6.58</v>
      </c>
      <c r="AG1175" s="253">
        <f t="shared" si="205"/>
        <v>6.58</v>
      </c>
      <c r="DG1175" s="543"/>
      <c r="DH1175" s="149"/>
      <c r="DI1175" s="1020"/>
      <c r="DJ1175" s="2045"/>
    </row>
    <row r="1176" spans="1:114" ht="15" customHeight="1" outlineLevel="1" x14ac:dyDescent="0.25">
      <c r="A1176" s="2145"/>
      <c r="C1176" s="49"/>
      <c r="D1176" s="2394"/>
      <c r="E1176" s="2394"/>
      <c r="F1176" s="2404" t="str">
        <f>$E$841</f>
        <v>ASHP-SEER21_ER2_MF</v>
      </c>
      <c r="G1176" s="2404"/>
      <c r="H1176" s="2404"/>
      <c r="I1176" s="2404"/>
      <c r="J1176" s="962" t="str">
        <f>$C$841</f>
        <v>354900_2024_12_</v>
      </c>
      <c r="K1176" s="1534">
        <v>7.5</v>
      </c>
      <c r="L1176" s="244"/>
      <c r="M1176" s="1249" t="s">
        <v>936</v>
      </c>
      <c r="T1176" s="50"/>
      <c r="U1176" s="50"/>
      <c r="V1176" s="2394"/>
      <c r="W1176" s="1268">
        <v>8.1999999999999993</v>
      </c>
      <c r="X1176" s="1268">
        <v>8.1999999999999993</v>
      </c>
      <c r="Y1176" s="1268">
        <v>8.1999999999999993</v>
      </c>
      <c r="Z1176" s="1268">
        <v>8.1999999999999993</v>
      </c>
      <c r="AA1176" s="1268">
        <v>8.1999999999999993</v>
      </c>
      <c r="AB1176" s="1268">
        <v>8.1999999999999993</v>
      </c>
      <c r="AC1176" s="1268">
        <v>8.1999999999999993</v>
      </c>
      <c r="AD1176" s="1268">
        <v>8.1999999999999993</v>
      </c>
      <c r="AE1176" s="779">
        <v>8.6</v>
      </c>
      <c r="AF1176" s="253">
        <v>7.5</v>
      </c>
      <c r="AG1176" s="253">
        <f t="shared" si="205"/>
        <v>7.5</v>
      </c>
      <c r="DG1176" s="543"/>
      <c r="DH1176" s="149"/>
      <c r="DI1176" s="1020"/>
      <c r="DJ1176" s="2045"/>
    </row>
    <row r="1177" spans="1:114" ht="15" customHeight="1" outlineLevel="1" x14ac:dyDescent="0.25">
      <c r="A1177" s="2145"/>
      <c r="C1177" s="49"/>
      <c r="D1177" s="2394"/>
      <c r="E1177" s="2394"/>
      <c r="F1177" s="2404" t="str">
        <f>$E$843</f>
        <v>ASHP-SEER17_ROF_MF</v>
      </c>
      <c r="G1177" s="2404"/>
      <c r="H1177" s="2404"/>
      <c r="I1177" s="2404"/>
      <c r="J1177" s="962" t="str">
        <f>$C$843</f>
        <v>354950_2024_12_</v>
      </c>
      <c r="K1177" s="1534">
        <v>7.5</v>
      </c>
      <c r="L1177" s="244"/>
      <c r="M1177" s="1249" t="s">
        <v>936</v>
      </c>
      <c r="P1177" s="243"/>
      <c r="Q1177" s="192"/>
      <c r="R1177" s="243"/>
      <c r="T1177" s="166"/>
      <c r="U1177" s="50"/>
      <c r="V1177" s="2394"/>
      <c r="W1177" s="1268">
        <v>8.1999999999999993</v>
      </c>
      <c r="X1177" s="1268">
        <v>8.1999999999999993</v>
      </c>
      <c r="Y1177" s="1268">
        <v>8.1999999999999993</v>
      </c>
      <c r="Z1177" s="1268">
        <v>8.1999999999999993</v>
      </c>
      <c r="AA1177" s="1268">
        <v>8.1999999999999993</v>
      </c>
      <c r="AB1177" s="1268">
        <v>8.1999999999999993</v>
      </c>
      <c r="AC1177" s="1268">
        <v>8.1999999999999993</v>
      </c>
      <c r="AD1177" s="1268">
        <v>8.1999999999999993</v>
      </c>
      <c r="AE1177" s="779">
        <v>8.6</v>
      </c>
      <c r="AF1177" s="253">
        <v>7.5</v>
      </c>
      <c r="AG1177" s="253">
        <f t="shared" si="205"/>
        <v>7.5</v>
      </c>
      <c r="DG1177" s="543"/>
      <c r="DH1177" s="149"/>
      <c r="DI1177" s="1020"/>
      <c r="DJ1177" s="2045"/>
    </row>
    <row r="1178" spans="1:114" ht="15" customHeight="1" outlineLevel="1" x14ac:dyDescent="0.25">
      <c r="A1178" s="2145"/>
      <c r="C1178" s="49"/>
      <c r="D1178" s="2394"/>
      <c r="E1178" s="2394"/>
      <c r="F1178" s="2404" t="str">
        <f>$E$845</f>
        <v>ASHP-SEER18_ROF_MF</v>
      </c>
      <c r="G1178" s="2404"/>
      <c r="H1178" s="2404"/>
      <c r="I1178" s="2404"/>
      <c r="J1178" s="962" t="str">
        <f>$C$845</f>
        <v>355000_2024_12_</v>
      </c>
      <c r="K1178" s="1534">
        <v>7.5</v>
      </c>
      <c r="L1178" s="244"/>
      <c r="M1178" s="1249" t="s">
        <v>936</v>
      </c>
      <c r="P1178" s="243"/>
      <c r="Q1178" s="192"/>
      <c r="R1178" s="243"/>
      <c r="T1178" s="166"/>
      <c r="U1178" s="50"/>
      <c r="V1178" s="2394"/>
      <c r="W1178" s="1268">
        <v>8.1999999999999993</v>
      </c>
      <c r="X1178" s="1268">
        <v>8.1999999999999993</v>
      </c>
      <c r="Y1178" s="1268">
        <v>8.1999999999999993</v>
      </c>
      <c r="Z1178" s="1268">
        <v>8.1999999999999993</v>
      </c>
      <c r="AA1178" s="1268">
        <v>8.1999999999999993</v>
      </c>
      <c r="AB1178" s="1268">
        <v>8.1999999999999993</v>
      </c>
      <c r="AC1178" s="1268">
        <v>8.1999999999999993</v>
      </c>
      <c r="AD1178" s="1268">
        <v>8.1999999999999993</v>
      </c>
      <c r="AE1178" s="779">
        <v>8.6</v>
      </c>
      <c r="AF1178" s="253">
        <v>7.5</v>
      </c>
      <c r="AG1178" s="253">
        <f t="shared" si="205"/>
        <v>7.5</v>
      </c>
      <c r="DG1178" s="543"/>
      <c r="DH1178" s="149"/>
      <c r="DI1178" s="1020"/>
      <c r="DJ1178" s="2045"/>
    </row>
    <row r="1179" spans="1:114" ht="15" customHeight="1" outlineLevel="1" x14ac:dyDescent="0.25">
      <c r="A1179" s="2145"/>
      <c r="C1179" s="49"/>
      <c r="D1179" s="2394"/>
      <c r="E1179" s="2394"/>
      <c r="F1179" s="2404" t="str">
        <f>$E$847</f>
        <v>ASHP-SEER19_ROF_MF</v>
      </c>
      <c r="G1179" s="2404"/>
      <c r="H1179" s="2404"/>
      <c r="I1179" s="2404"/>
      <c r="J1179" s="962" t="str">
        <f>$C$847</f>
        <v>355050_2024_12_</v>
      </c>
      <c r="K1179" s="1534">
        <v>7.5</v>
      </c>
      <c r="L1179" s="244"/>
      <c r="M1179" s="1249" t="s">
        <v>936</v>
      </c>
      <c r="T1179" s="50"/>
      <c r="U1179" s="50"/>
      <c r="V1179" s="2394"/>
      <c r="W1179" s="1268">
        <v>8.1999999999999993</v>
      </c>
      <c r="X1179" s="1268">
        <v>8.1999999999999993</v>
      </c>
      <c r="Y1179" s="1268">
        <v>8.1999999999999993</v>
      </c>
      <c r="Z1179" s="1268">
        <v>8.1999999999999993</v>
      </c>
      <c r="AA1179" s="1268">
        <v>8.1999999999999993</v>
      </c>
      <c r="AB1179" s="1268">
        <v>8.1999999999999993</v>
      </c>
      <c r="AC1179" s="1268">
        <v>8.1999999999999993</v>
      </c>
      <c r="AD1179" s="1268">
        <v>8.1999999999999993</v>
      </c>
      <c r="AE1179" s="779">
        <v>8.6</v>
      </c>
      <c r="AF1179" s="253">
        <v>7.5</v>
      </c>
      <c r="AG1179" s="253">
        <f t="shared" si="205"/>
        <v>7.5</v>
      </c>
      <c r="DG1179" s="543"/>
      <c r="DH1179" s="149"/>
      <c r="DI1179" s="1020"/>
      <c r="DJ1179" s="2045"/>
    </row>
    <row r="1180" spans="1:114" ht="15" customHeight="1" outlineLevel="1" x14ac:dyDescent="0.25">
      <c r="A1180" s="2145"/>
      <c r="C1180" s="49"/>
      <c r="D1180" s="2394"/>
      <c r="E1180" s="2394"/>
      <c r="F1180" s="2404" t="str">
        <f>$E$849</f>
        <v>ASHP-SEER20_ROF_MF</v>
      </c>
      <c r="G1180" s="2404"/>
      <c r="H1180" s="2404"/>
      <c r="I1180" s="2404"/>
      <c r="J1180" s="962" t="str">
        <f>$C$849</f>
        <v>355100_2024_12_</v>
      </c>
      <c r="K1180" s="1534">
        <v>7.5</v>
      </c>
      <c r="L1180" s="244"/>
      <c r="M1180" s="1249" t="s">
        <v>936</v>
      </c>
      <c r="T1180" s="50"/>
      <c r="U1180" s="50"/>
      <c r="V1180" s="2394"/>
      <c r="W1180" s="1268">
        <v>8.1999999999999993</v>
      </c>
      <c r="X1180" s="1268">
        <v>8.1999999999999993</v>
      </c>
      <c r="Y1180" s="1268">
        <v>8.1999999999999993</v>
      </c>
      <c r="Z1180" s="1268">
        <v>8.1999999999999993</v>
      </c>
      <c r="AA1180" s="1268">
        <v>8.1999999999999993</v>
      </c>
      <c r="AB1180" s="1268">
        <v>8.1999999999999993</v>
      </c>
      <c r="AC1180" s="1268">
        <v>8.1999999999999993</v>
      </c>
      <c r="AD1180" s="1268">
        <v>8.1999999999999993</v>
      </c>
      <c r="AE1180" s="779">
        <v>8.6</v>
      </c>
      <c r="AF1180" s="253">
        <v>7.5</v>
      </c>
      <c r="AG1180" s="253">
        <f t="shared" si="205"/>
        <v>7.5</v>
      </c>
      <c r="DG1180" s="543"/>
      <c r="DH1180" s="149"/>
      <c r="DI1180" s="1020"/>
      <c r="DJ1180" s="2045"/>
    </row>
    <row r="1181" spans="1:114" ht="15.75" customHeight="1" outlineLevel="1" x14ac:dyDescent="0.25">
      <c r="A1181" s="2145"/>
      <c r="C1181" s="49"/>
      <c r="D1181" s="2395"/>
      <c r="E1181" s="2395"/>
      <c r="F1181" s="2404" t="str">
        <f>$E$851</f>
        <v>ASHP-SEER21_ROF_MF</v>
      </c>
      <c r="G1181" s="2404"/>
      <c r="H1181" s="2404"/>
      <c r="I1181" s="2404"/>
      <c r="J1181" s="962" t="str">
        <f>$C$851</f>
        <v>355150_2024_12_</v>
      </c>
      <c r="K1181" s="1534">
        <v>7.5</v>
      </c>
      <c r="L1181" s="244"/>
      <c r="M1181" s="1249" t="s">
        <v>936</v>
      </c>
      <c r="R1181" s="243"/>
      <c r="T1181" s="166"/>
      <c r="U1181" s="50"/>
      <c r="V1181" s="2395"/>
      <c r="W1181" s="1268">
        <v>8.1999999999999993</v>
      </c>
      <c r="X1181" s="1268">
        <v>8.1999999999999993</v>
      </c>
      <c r="Y1181" s="1268">
        <v>8.1999999999999993</v>
      </c>
      <c r="Z1181" s="1268">
        <v>8.1999999999999993</v>
      </c>
      <c r="AA1181" s="1268">
        <v>8.1999999999999993</v>
      </c>
      <c r="AB1181" s="1268">
        <v>8.1999999999999993</v>
      </c>
      <c r="AC1181" s="1268">
        <v>8.1999999999999993</v>
      </c>
      <c r="AD1181" s="1268">
        <v>8.1999999999999993</v>
      </c>
      <c r="AE1181" s="779">
        <v>8.6</v>
      </c>
      <c r="AF1181" s="253">
        <v>7.5</v>
      </c>
      <c r="AG1181" s="253">
        <f t="shared" si="205"/>
        <v>7.5</v>
      </c>
      <c r="DG1181" s="543"/>
      <c r="DH1181" s="149"/>
      <c r="DI1181" s="1020"/>
      <c r="DJ1181" s="2045"/>
    </row>
    <row r="1182" spans="1:114" ht="15" customHeight="1" outlineLevel="1" x14ac:dyDescent="0.25">
      <c r="A1182" s="2145"/>
      <c r="C1182" s="49"/>
      <c r="D1182" s="2393" t="s">
        <v>1062</v>
      </c>
      <c r="E1182" s="2393" t="s">
        <v>1294</v>
      </c>
      <c r="F1182" s="2404" t="str">
        <f>$E$647</f>
        <v>ASHP-SEER15-Replace_CAC_ElectricHeat_ER1_SF</v>
      </c>
      <c r="G1182" s="2404"/>
      <c r="H1182" s="2404"/>
      <c r="I1182" s="2404"/>
      <c r="J1182" s="962" t="str">
        <f>$C$647</f>
        <v>352300_2024_12_</v>
      </c>
      <c r="K1182" s="1977">
        <v>8</v>
      </c>
      <c r="L1182" s="1502"/>
      <c r="M1182" s="2437" t="s">
        <v>1295</v>
      </c>
      <c r="R1182" s="243"/>
      <c r="T1182" s="166"/>
      <c r="U1182" s="50"/>
      <c r="V1182" s="2433" t="s">
        <v>1062</v>
      </c>
      <c r="W1182" s="1268">
        <v>8.6999999999999993</v>
      </c>
      <c r="X1182" s="779">
        <v>8.69</v>
      </c>
      <c r="Y1182" s="779">
        <v>8.67</v>
      </c>
      <c r="Z1182" s="1268">
        <v>8.67</v>
      </c>
      <c r="AA1182" s="1268">
        <v>8.67</v>
      </c>
      <c r="AB1182" s="195">
        <v>8.532040816326532</v>
      </c>
      <c r="AC1182" s="195">
        <v>8.7156542056074802</v>
      </c>
      <c r="AD1182" s="910">
        <v>8.776540284360193</v>
      </c>
      <c r="AE1182" s="910">
        <v>8.806153846153844</v>
      </c>
      <c r="AF1182" s="253">
        <v>8.806153846153844</v>
      </c>
      <c r="AG1182" s="253">
        <f t="shared" si="205"/>
        <v>8</v>
      </c>
      <c r="AI1182" s="899"/>
      <c r="DG1182" s="543"/>
      <c r="DH1182" s="149"/>
      <c r="DI1182" s="1020"/>
      <c r="DJ1182" s="2045"/>
    </row>
    <row r="1183" spans="1:114" ht="15" customHeight="1" outlineLevel="1" x14ac:dyDescent="0.25">
      <c r="A1183" s="2145"/>
      <c r="C1183" s="49"/>
      <c r="D1183" s="2394"/>
      <c r="E1183" s="2394"/>
      <c r="F1183" s="2404" t="str">
        <f>$E$649</f>
        <v>ASHP-SEER15-Replace_CAC_ElectricHeat_ER2_SF</v>
      </c>
      <c r="G1183" s="2404"/>
      <c r="H1183" s="2404"/>
      <c r="I1183" s="2404"/>
      <c r="J1183" s="962" t="str">
        <f>$C$649</f>
        <v>352300_2024_12_</v>
      </c>
      <c r="K1183" s="1977">
        <v>8</v>
      </c>
      <c r="L1183" s="1502"/>
      <c r="M1183" s="2438"/>
      <c r="R1183" s="243"/>
      <c r="T1183" s="166"/>
      <c r="U1183" s="50"/>
      <c r="V1183" s="2434"/>
      <c r="W1183" s="1268">
        <v>8.6999999999999993</v>
      </c>
      <c r="X1183" s="779">
        <v>8.69</v>
      </c>
      <c r="Y1183" s="779">
        <v>8.67</v>
      </c>
      <c r="Z1183" s="1268">
        <v>8.67</v>
      </c>
      <c r="AA1183" s="1268">
        <v>8.67</v>
      </c>
      <c r="AB1183" s="195">
        <v>8.532040816326532</v>
      </c>
      <c r="AC1183" s="195">
        <f>AC1182</f>
        <v>8.7156542056074802</v>
      </c>
      <c r="AD1183" s="910">
        <v>8.776540284360193</v>
      </c>
      <c r="AE1183" s="910">
        <v>8.806153846153844</v>
      </c>
      <c r="AF1183" s="253">
        <v>8.806153846153844</v>
      </c>
      <c r="AG1183" s="253">
        <f t="shared" si="205"/>
        <v>8</v>
      </c>
      <c r="AI1183" s="899"/>
      <c r="DG1183" s="543"/>
      <c r="DH1183" s="149"/>
      <c r="DI1183" s="1020"/>
      <c r="DJ1183" s="2045"/>
    </row>
    <row r="1184" spans="1:114" ht="15" customHeight="1" outlineLevel="1" x14ac:dyDescent="0.25">
      <c r="A1184" s="2145"/>
      <c r="C1184" s="49"/>
      <c r="D1184" s="2394"/>
      <c r="E1184" s="2394"/>
      <c r="F1184" s="2404" t="str">
        <f>$E$651</f>
        <v>ASHP-SEER15-Replace_CAC_NonElectricHeat_ER1_SF</v>
      </c>
      <c r="G1184" s="2404"/>
      <c r="H1184" s="2404"/>
      <c r="I1184" s="2404"/>
      <c r="J1184" s="962" t="str">
        <f>$C$651</f>
        <v>352310_2024_12_</v>
      </c>
      <c r="K1184" s="1977">
        <v>8</v>
      </c>
      <c r="L1184" s="1502"/>
      <c r="M1184" s="2438"/>
      <c r="R1184" s="243"/>
      <c r="T1184" s="166"/>
      <c r="U1184" s="50"/>
      <c r="V1184" s="2434"/>
      <c r="W1184" s="1268"/>
      <c r="X1184" s="779"/>
      <c r="Y1184" s="779"/>
      <c r="Z1184" s="1268"/>
      <c r="AA1184" s="1268"/>
      <c r="AB1184" s="195"/>
      <c r="AC1184" s="195">
        <v>8.7156542056074802</v>
      </c>
      <c r="AD1184" s="910">
        <v>8.776540284360193</v>
      </c>
      <c r="AE1184" s="910">
        <v>8.806153846153844</v>
      </c>
      <c r="AF1184" s="253">
        <v>8.806153846153844</v>
      </c>
      <c r="AG1184" s="253">
        <f t="shared" si="205"/>
        <v>8</v>
      </c>
      <c r="AI1184" s="899"/>
      <c r="DG1184" s="543"/>
      <c r="DH1184" s="149"/>
      <c r="DI1184" s="1020"/>
      <c r="DJ1184" s="2045"/>
    </row>
    <row r="1185" spans="1:114" ht="15" customHeight="1" outlineLevel="1" x14ac:dyDescent="0.25">
      <c r="A1185" s="2145"/>
      <c r="C1185" s="49"/>
      <c r="D1185" s="2394"/>
      <c r="E1185" s="2394"/>
      <c r="F1185" s="2404" t="str">
        <f>$E$653</f>
        <v>ASHP-SEER15-Replace_CAC_NonElectricHeat_ER2_SF</v>
      </c>
      <c r="G1185" s="2404"/>
      <c r="H1185" s="2404"/>
      <c r="I1185" s="2404"/>
      <c r="J1185" s="962" t="str">
        <f>$C$653</f>
        <v>352310_2024_12_</v>
      </c>
      <c r="K1185" s="1977">
        <v>8</v>
      </c>
      <c r="L1185" s="1502"/>
      <c r="M1185" s="2438"/>
      <c r="R1185" s="243"/>
      <c r="T1185" s="166"/>
      <c r="U1185" s="50"/>
      <c r="V1185" s="2434"/>
      <c r="W1185" s="1268"/>
      <c r="X1185" s="779"/>
      <c r="Y1185" s="779"/>
      <c r="Z1185" s="1268"/>
      <c r="AA1185" s="1268"/>
      <c r="AB1185" s="195"/>
      <c r="AC1185" s="195">
        <f>AC1184</f>
        <v>8.7156542056074802</v>
      </c>
      <c r="AD1185" s="910">
        <v>8.776540284360193</v>
      </c>
      <c r="AE1185" s="910">
        <v>8.806153846153844</v>
      </c>
      <c r="AF1185" s="253">
        <v>8.806153846153844</v>
      </c>
      <c r="AG1185" s="253">
        <f t="shared" si="205"/>
        <v>8</v>
      </c>
      <c r="AI1185" s="899"/>
      <c r="DG1185" s="543"/>
      <c r="DH1185" s="149"/>
      <c r="DI1185" s="1020"/>
      <c r="DJ1185" s="2045"/>
    </row>
    <row r="1186" spans="1:114" ht="15" customHeight="1" outlineLevel="1" x14ac:dyDescent="0.25">
      <c r="A1186" s="2145"/>
      <c r="C1186" s="49"/>
      <c r="D1186" s="2394"/>
      <c r="E1186" s="2394"/>
      <c r="F1186" s="2404" t="str">
        <f>$E$655</f>
        <v>ASHP-SEER15_ER1_SF</v>
      </c>
      <c r="G1186" s="2404"/>
      <c r="H1186" s="2404"/>
      <c r="I1186" s="2404"/>
      <c r="J1186" s="962" t="str">
        <f>$C$655</f>
        <v>352350_2024_12_</v>
      </c>
      <c r="K1186" s="1977">
        <v>8</v>
      </c>
      <c r="L1186" s="1502"/>
      <c r="M1186" s="2438"/>
      <c r="R1186" s="243"/>
      <c r="T1186" s="166"/>
      <c r="U1186" s="50"/>
      <c r="V1186" s="2434"/>
      <c r="W1186" s="1268">
        <v>8.6999999999999993</v>
      </c>
      <c r="X1186" s="779">
        <v>8.69</v>
      </c>
      <c r="Y1186" s="779">
        <v>8.75</v>
      </c>
      <c r="Z1186" s="1268">
        <v>8.75</v>
      </c>
      <c r="AA1186" s="1268">
        <v>8.75</v>
      </c>
      <c r="AB1186" s="195">
        <v>8.4761904761904781</v>
      </c>
      <c r="AC1186" s="195">
        <v>8.8245098039215701</v>
      </c>
      <c r="AD1186" s="910">
        <v>8.776540284360193</v>
      </c>
      <c r="AE1186" s="910">
        <v>8.806153846153844</v>
      </c>
      <c r="AF1186" s="253">
        <v>8.806153846153844</v>
      </c>
      <c r="AG1186" s="253">
        <f t="shared" si="205"/>
        <v>8</v>
      </c>
      <c r="AI1186" s="899"/>
      <c r="DG1186" s="543"/>
      <c r="DH1186" s="149"/>
      <c r="DI1186" s="1020"/>
      <c r="DJ1186" s="2045"/>
    </row>
    <row r="1187" spans="1:114" ht="15" customHeight="1" outlineLevel="1" x14ac:dyDescent="0.25">
      <c r="A1187" s="2145"/>
      <c r="C1187" s="49"/>
      <c r="D1187" s="2394"/>
      <c r="E1187" s="2394"/>
      <c r="F1187" s="2404" t="str">
        <f>$E$657</f>
        <v>ASHP-SEER15_ER2_SF</v>
      </c>
      <c r="G1187" s="2404"/>
      <c r="H1187" s="2404"/>
      <c r="I1187" s="2404"/>
      <c r="J1187" s="1506" t="str">
        <f>$C$657</f>
        <v>352350_2024_12_</v>
      </c>
      <c r="K1187" s="1977">
        <v>8</v>
      </c>
      <c r="L1187" s="1502"/>
      <c r="M1187" s="2438"/>
      <c r="R1187" s="243"/>
      <c r="T1187" s="166"/>
      <c r="U1187" s="50"/>
      <c r="V1187" s="2434"/>
      <c r="W1187" s="1268">
        <v>8.6999999999999993</v>
      </c>
      <c r="X1187" s="779">
        <v>8.69</v>
      </c>
      <c r="Y1187" s="779">
        <v>8.75</v>
      </c>
      <c r="Z1187" s="1268">
        <v>8.75</v>
      </c>
      <c r="AA1187" s="1268">
        <v>8.75</v>
      </c>
      <c r="AB1187" s="195">
        <v>8.4761904761904781</v>
      </c>
      <c r="AC1187" s="195">
        <f>AC1186</f>
        <v>8.8245098039215701</v>
      </c>
      <c r="AD1187" s="910">
        <v>8.776540284360193</v>
      </c>
      <c r="AE1187" s="910">
        <v>8.806153846153844</v>
      </c>
      <c r="AF1187" s="253">
        <v>8.806153846153844</v>
      </c>
      <c r="AG1187" s="253">
        <f t="shared" si="205"/>
        <v>8</v>
      </c>
      <c r="AI1187" s="899"/>
      <c r="DG1187" s="543"/>
      <c r="DH1187" s="149"/>
      <c r="DI1187" s="1020"/>
      <c r="DJ1187" s="2045"/>
    </row>
    <row r="1188" spans="1:114" ht="15" customHeight="1" outlineLevel="1" x14ac:dyDescent="0.25">
      <c r="A1188" s="2145"/>
      <c r="C1188" s="49"/>
      <c r="D1188" s="2394"/>
      <c r="E1188" s="2394"/>
      <c r="F1188" s="2404" t="str">
        <f>$E$659</f>
        <v>ASHP-SEER15-Replace_CAC_ElectricHeat_ROF_SF</v>
      </c>
      <c r="G1188" s="2404"/>
      <c r="H1188" s="2404"/>
      <c r="I1188" s="2404"/>
      <c r="J1188" s="1506" t="str">
        <f>$C$659</f>
        <v>352400_2024_12_</v>
      </c>
      <c r="K1188" s="1977">
        <v>8</v>
      </c>
      <c r="L1188" s="913"/>
      <c r="M1188" s="2438"/>
      <c r="R1188" s="243"/>
      <c r="T1188" s="166"/>
      <c r="U1188" s="50"/>
      <c r="V1188" s="2434"/>
      <c r="W1188" s="1268">
        <v>8.6</v>
      </c>
      <c r="X1188" s="779">
        <v>8.69</v>
      </c>
      <c r="Y1188" s="779">
        <v>8.66</v>
      </c>
      <c r="Z1188" s="1268">
        <v>8.66</v>
      </c>
      <c r="AA1188" s="1268">
        <v>8.66</v>
      </c>
      <c r="AB1188" s="195">
        <v>8.4308510638297864</v>
      </c>
      <c r="AC1188" s="195">
        <v>8.812711864406781</v>
      </c>
      <c r="AD1188" s="910">
        <v>8.7601941747572809</v>
      </c>
      <c r="AE1188" s="910">
        <v>8.6653061224489818</v>
      </c>
      <c r="AF1188" s="253">
        <v>8.6653061224489818</v>
      </c>
      <c r="AG1188" s="253">
        <f t="shared" si="205"/>
        <v>8</v>
      </c>
      <c r="AI1188" s="899"/>
      <c r="DG1188" s="543"/>
      <c r="DH1188" s="149"/>
      <c r="DI1188" s="1020"/>
      <c r="DJ1188" s="2045"/>
    </row>
    <row r="1189" spans="1:114" ht="15" customHeight="1" outlineLevel="1" x14ac:dyDescent="0.25">
      <c r="A1189" s="2145"/>
      <c r="C1189" s="49"/>
      <c r="D1189" s="2394"/>
      <c r="E1189" s="2394"/>
      <c r="F1189" s="2404" t="str">
        <f>$E$661</f>
        <v>ASHP-SEER15-Replace_CAC_NonElectricHeat_ROF_SF</v>
      </c>
      <c r="G1189" s="2404"/>
      <c r="H1189" s="2404"/>
      <c r="I1189" s="2404"/>
      <c r="J1189" s="1506" t="str">
        <f>$C$661</f>
        <v>352410_2024_12_</v>
      </c>
      <c r="K1189" s="1977">
        <v>8</v>
      </c>
      <c r="L1189" s="913"/>
      <c r="M1189" s="2438"/>
      <c r="R1189" s="243"/>
      <c r="T1189" s="166"/>
      <c r="U1189" s="50"/>
      <c r="V1189" s="2434"/>
      <c r="W1189" s="1268"/>
      <c r="X1189" s="779"/>
      <c r="Y1189" s="779"/>
      <c r="Z1189" s="1268"/>
      <c r="AA1189" s="1268"/>
      <c r="AB1189" s="195"/>
      <c r="AC1189" s="195">
        <v>8.812711864406781</v>
      </c>
      <c r="AD1189" s="910">
        <v>8.7601941747572809</v>
      </c>
      <c r="AE1189" s="910">
        <v>8.6653061224489818</v>
      </c>
      <c r="AF1189" s="253">
        <v>8.6653061224489818</v>
      </c>
      <c r="AG1189" s="253">
        <f t="shared" si="205"/>
        <v>8</v>
      </c>
      <c r="AI1189" s="899"/>
      <c r="DG1189" s="543"/>
      <c r="DH1189" s="149"/>
      <c r="DI1189" s="1020"/>
      <c r="DJ1189" s="2045"/>
    </row>
    <row r="1190" spans="1:114" ht="15.75" customHeight="1" outlineLevel="1" x14ac:dyDescent="0.25">
      <c r="A1190" s="2145"/>
      <c r="C1190" s="49"/>
      <c r="D1190" s="2394"/>
      <c r="E1190" s="2394"/>
      <c r="F1190" s="1968" t="s">
        <v>1130</v>
      </c>
      <c r="G1190" s="1969"/>
      <c r="H1190" s="1969"/>
      <c r="I1190" s="1970"/>
      <c r="J1190" s="2095" t="str">
        <f>$C$663</f>
        <v>352420_2025_12_</v>
      </c>
      <c r="K1190" s="1978">
        <v>8</v>
      </c>
      <c r="L1190" s="913"/>
      <c r="M1190" s="2438"/>
      <c r="T1190" s="50"/>
      <c r="U1190" s="50"/>
      <c r="V1190" s="2434"/>
      <c r="W1190" s="1268"/>
      <c r="X1190" s="1268"/>
      <c r="Y1190" s="1268"/>
      <c r="Z1190" s="1268"/>
      <c r="AA1190" s="1268"/>
      <c r="AB1190" s="1268"/>
      <c r="AC1190" s="752"/>
      <c r="AD1190" s="966"/>
      <c r="AE1190" s="909"/>
      <c r="AF1190" s="253"/>
      <c r="AG1190" s="253">
        <f>IF(K1190&lt;&gt;"",K1190,"")</f>
        <v>8</v>
      </c>
      <c r="DG1190" s="543"/>
      <c r="DH1190" s="149"/>
      <c r="DI1190" s="1020"/>
      <c r="DJ1190" s="2045"/>
    </row>
    <row r="1191" spans="1:114" ht="15.75" customHeight="1" outlineLevel="1" x14ac:dyDescent="0.25">
      <c r="A1191" s="2145"/>
      <c r="C1191" s="49"/>
      <c r="D1191" s="2394"/>
      <c r="E1191" s="2394"/>
      <c r="F1191" s="1968" t="s">
        <v>1131</v>
      </c>
      <c r="G1191" s="1969"/>
      <c r="H1191" s="1969"/>
      <c r="I1191" s="1970"/>
      <c r="J1191" s="2095" t="str">
        <f>$C$664</f>
        <v>352420_2025_12_</v>
      </c>
      <c r="K1191" s="1978">
        <v>8</v>
      </c>
      <c r="L1191" s="913"/>
      <c r="M1191" s="2438"/>
      <c r="T1191" s="50"/>
      <c r="U1191" s="50"/>
      <c r="V1191" s="2434"/>
      <c r="W1191" s="1268"/>
      <c r="X1191" s="1268"/>
      <c r="Y1191" s="1268"/>
      <c r="Z1191" s="1268"/>
      <c r="AA1191" s="1268"/>
      <c r="AB1191" s="1268"/>
      <c r="AC1191" s="752"/>
      <c r="AD1191" s="966"/>
      <c r="AE1191" s="909"/>
      <c r="AF1191" s="253"/>
      <c r="AG1191" s="253">
        <f>IF(K1191&lt;&gt;"",K1191,"")</f>
        <v>8</v>
      </c>
      <c r="DG1191" s="543"/>
      <c r="DH1191" s="149"/>
      <c r="DI1191" s="1020"/>
      <c r="DJ1191" s="2045"/>
    </row>
    <row r="1192" spans="1:114" ht="15.75" customHeight="1" outlineLevel="1" x14ac:dyDescent="0.25">
      <c r="A1192" s="2145"/>
      <c r="C1192" s="49"/>
      <c r="D1192" s="2394"/>
      <c r="E1192" s="2394"/>
      <c r="F1192" s="1968" t="s">
        <v>1133</v>
      </c>
      <c r="G1192" s="1969"/>
      <c r="H1192" s="1969"/>
      <c r="I1192" s="1970"/>
      <c r="J1192" s="2095" t="str">
        <f>$C$667</f>
        <v>352425_2025_12_</v>
      </c>
      <c r="K1192" s="1978">
        <v>8</v>
      </c>
      <c r="L1192" s="913"/>
      <c r="M1192" s="2438"/>
      <c r="T1192" s="50"/>
      <c r="U1192" s="50"/>
      <c r="V1192" s="2434"/>
      <c r="W1192" s="1268"/>
      <c r="X1192" s="1268"/>
      <c r="Y1192" s="1268"/>
      <c r="Z1192" s="1268"/>
      <c r="AA1192" s="1268"/>
      <c r="AB1192" s="1268"/>
      <c r="AC1192" s="752"/>
      <c r="AD1192" s="966"/>
      <c r="AE1192" s="909"/>
      <c r="AF1192" s="253"/>
      <c r="AG1192" s="253">
        <f>IF(K1192&lt;&gt;"",K1192,"")</f>
        <v>8</v>
      </c>
      <c r="DG1192" s="543"/>
      <c r="DH1192" s="149"/>
      <c r="DI1192" s="1020"/>
      <c r="DJ1192" s="2045"/>
    </row>
    <row r="1193" spans="1:114" ht="15" customHeight="1" outlineLevel="1" x14ac:dyDescent="0.25">
      <c r="A1193" s="2145"/>
      <c r="C1193" s="49"/>
      <c r="D1193" s="2394"/>
      <c r="E1193" s="2394"/>
      <c r="F1193" s="2404" t="str">
        <f>$E$669</f>
        <v>ASHP-SEER16-Replace_CAC_ElectricHeat_ER1_SF</v>
      </c>
      <c r="G1193" s="2404"/>
      <c r="H1193" s="2404"/>
      <c r="I1193" s="2404"/>
      <c r="J1193" s="1506" t="str">
        <f>$C$669</f>
        <v>352500_2024_12_</v>
      </c>
      <c r="K1193" s="1977">
        <v>8</v>
      </c>
      <c r="L1193" s="913"/>
      <c r="M1193" s="2438"/>
      <c r="R1193" s="243"/>
      <c r="T1193" s="166"/>
      <c r="U1193" s="50"/>
      <c r="V1193" s="2434"/>
      <c r="W1193" s="1268">
        <v>9.4</v>
      </c>
      <c r="X1193" s="779">
        <v>8.69</v>
      </c>
      <c r="Y1193" s="779">
        <v>9.35</v>
      </c>
      <c r="Z1193" s="1268">
        <v>9.35</v>
      </c>
      <c r="AA1193" s="1268">
        <v>9.35</v>
      </c>
      <c r="AB1193" s="195">
        <v>8.4276397515527925</v>
      </c>
      <c r="AC1193" s="195">
        <v>9.0449206349206346</v>
      </c>
      <c r="AD1193" s="910">
        <v>9.0582601054481522</v>
      </c>
      <c r="AE1193" s="910">
        <v>9.1268714011516288</v>
      </c>
      <c r="AF1193" s="253">
        <v>9.1268714011516288</v>
      </c>
      <c r="AG1193" s="253">
        <f t="shared" si="205"/>
        <v>8</v>
      </c>
      <c r="AI1193" s="899"/>
      <c r="DG1193" s="543"/>
      <c r="DH1193" s="149"/>
      <c r="DI1193" s="1020"/>
      <c r="DJ1193" s="2045"/>
    </row>
    <row r="1194" spans="1:114" ht="15" customHeight="1" outlineLevel="1" x14ac:dyDescent="0.25">
      <c r="A1194" s="2145"/>
      <c r="C1194" s="49"/>
      <c r="D1194" s="2394"/>
      <c r="E1194" s="2394"/>
      <c r="F1194" s="2404" t="str">
        <f>$E$671</f>
        <v>ASHP-SEER16-Replace_CAC_ElectricHeat_ER2_SF</v>
      </c>
      <c r="G1194" s="2404"/>
      <c r="H1194" s="2404"/>
      <c r="I1194" s="2404"/>
      <c r="J1194" s="1506" t="str">
        <f>$C$671</f>
        <v>352500_2024_12_</v>
      </c>
      <c r="K1194" s="1977">
        <v>8</v>
      </c>
      <c r="L1194" s="913"/>
      <c r="M1194" s="2438"/>
      <c r="R1194" s="243"/>
      <c r="T1194" s="166"/>
      <c r="U1194" s="50"/>
      <c r="V1194" s="2434"/>
      <c r="W1194" s="1268">
        <v>9.4</v>
      </c>
      <c r="X1194" s="779">
        <v>8.69</v>
      </c>
      <c r="Y1194" s="779">
        <v>9.35</v>
      </c>
      <c r="Z1194" s="1268">
        <v>9.35</v>
      </c>
      <c r="AA1194" s="1268">
        <v>9.35</v>
      </c>
      <c r="AB1194" s="195">
        <v>8.4276397515527925</v>
      </c>
      <c r="AC1194" s="195">
        <f>AC1193</f>
        <v>9.0449206349206346</v>
      </c>
      <c r="AD1194" s="910">
        <v>9.0582601054481522</v>
      </c>
      <c r="AE1194" s="910">
        <v>9.1268714011516288</v>
      </c>
      <c r="AF1194" s="253">
        <v>9.1268714011516288</v>
      </c>
      <c r="AG1194" s="253">
        <f t="shared" si="205"/>
        <v>8</v>
      </c>
      <c r="AI1194" s="899"/>
      <c r="DG1194" s="543"/>
      <c r="DH1194" s="149"/>
      <c r="DI1194" s="1020"/>
      <c r="DJ1194" s="2045"/>
    </row>
    <row r="1195" spans="1:114" ht="15" customHeight="1" outlineLevel="1" x14ac:dyDescent="0.25">
      <c r="A1195" s="2145"/>
      <c r="C1195" s="49"/>
      <c r="D1195" s="2394"/>
      <c r="E1195" s="2394"/>
      <c r="F1195" s="2404" t="str">
        <f>$E$673</f>
        <v>ASHP-SEER16-Replace_CAC_NonElectricHeat_ER1_SF</v>
      </c>
      <c r="G1195" s="2404"/>
      <c r="H1195" s="2404"/>
      <c r="I1195" s="2404"/>
      <c r="J1195" s="1506" t="str">
        <f>$C$673</f>
        <v>352510_2024_12_</v>
      </c>
      <c r="K1195" s="1977">
        <v>8</v>
      </c>
      <c r="L1195" s="913"/>
      <c r="M1195" s="2438"/>
      <c r="R1195" s="243"/>
      <c r="T1195" s="166"/>
      <c r="U1195" s="50"/>
      <c r="V1195" s="2434"/>
      <c r="W1195" s="1268"/>
      <c r="X1195" s="779"/>
      <c r="Y1195" s="779"/>
      <c r="Z1195" s="1268"/>
      <c r="AA1195" s="1268"/>
      <c r="AB1195" s="195"/>
      <c r="AC1195" s="195">
        <v>9.0449206349206346</v>
      </c>
      <c r="AD1195" s="910">
        <v>9.0582601054481522</v>
      </c>
      <c r="AE1195" s="910">
        <v>9.1268714011516288</v>
      </c>
      <c r="AF1195" s="253">
        <v>9.1268714011516288</v>
      </c>
      <c r="AG1195" s="253">
        <f t="shared" si="205"/>
        <v>8</v>
      </c>
      <c r="AI1195" s="899"/>
      <c r="DG1195" s="543"/>
      <c r="DH1195" s="149"/>
      <c r="DI1195" s="1020"/>
      <c r="DJ1195" s="2045"/>
    </row>
    <row r="1196" spans="1:114" ht="15" customHeight="1" outlineLevel="1" x14ac:dyDescent="0.25">
      <c r="A1196" s="2145"/>
      <c r="C1196" s="49"/>
      <c r="D1196" s="2394"/>
      <c r="E1196" s="2394"/>
      <c r="F1196" s="2404" t="str">
        <f>$E$675</f>
        <v>ASHP-SEER16-Replace_CAC_NonElectricHeat_ER2_SF</v>
      </c>
      <c r="G1196" s="2404"/>
      <c r="H1196" s="2404"/>
      <c r="I1196" s="2404"/>
      <c r="J1196" s="1506" t="str">
        <f>$C$675</f>
        <v>352510_2024_12_</v>
      </c>
      <c r="K1196" s="1977">
        <v>8</v>
      </c>
      <c r="L1196" s="913"/>
      <c r="M1196" s="2438"/>
      <c r="R1196" s="243"/>
      <c r="T1196" s="166"/>
      <c r="U1196" s="50"/>
      <c r="V1196" s="2434"/>
      <c r="W1196" s="1268"/>
      <c r="X1196" s="779"/>
      <c r="Y1196" s="779"/>
      <c r="Z1196" s="1268"/>
      <c r="AA1196" s="1268"/>
      <c r="AB1196" s="195"/>
      <c r="AC1196" s="195">
        <f>AC1195</f>
        <v>9.0449206349206346</v>
      </c>
      <c r="AD1196" s="910">
        <v>9.0582601054481522</v>
      </c>
      <c r="AE1196" s="910">
        <v>9.1268714011516288</v>
      </c>
      <c r="AF1196" s="253">
        <v>9.1268714011516288</v>
      </c>
      <c r="AG1196" s="253">
        <f t="shared" si="205"/>
        <v>8</v>
      </c>
      <c r="AI1196" s="899"/>
      <c r="DG1196" s="543"/>
      <c r="DH1196" s="149"/>
      <c r="DI1196" s="1020"/>
      <c r="DJ1196" s="2045"/>
    </row>
    <row r="1197" spans="1:114" ht="15.75" customHeight="1" outlineLevel="1" x14ac:dyDescent="0.25">
      <c r="A1197" s="2145"/>
      <c r="C1197" s="49"/>
      <c r="D1197" s="2394"/>
      <c r="E1197" s="2394"/>
      <c r="F1197" s="1968" t="s">
        <v>1141</v>
      </c>
      <c r="G1197" s="1969"/>
      <c r="H1197" s="1969"/>
      <c r="I1197" s="1970"/>
      <c r="J1197" s="2095" t="s">
        <v>1140</v>
      </c>
      <c r="K1197" s="1978">
        <v>8</v>
      </c>
      <c r="L1197" s="913"/>
      <c r="M1197" s="2438"/>
      <c r="T1197" s="50"/>
      <c r="U1197" s="50"/>
      <c r="V1197" s="2434"/>
      <c r="W1197" s="1268"/>
      <c r="X1197" s="1268"/>
      <c r="Y1197" s="1268"/>
      <c r="Z1197" s="1268"/>
      <c r="AA1197" s="1268"/>
      <c r="AB1197" s="1268"/>
      <c r="AC1197" s="752"/>
      <c r="AD1197" s="966"/>
      <c r="AE1197" s="909"/>
      <c r="AF1197" s="253"/>
      <c r="AG1197" s="253">
        <f>IF(K1197&lt;&gt;"",K1197,"")</f>
        <v>8</v>
      </c>
      <c r="DG1197" s="543"/>
      <c r="DH1197" s="149"/>
      <c r="DI1197" s="1020"/>
      <c r="DJ1197" s="2045"/>
    </row>
    <row r="1198" spans="1:114" ht="15.75" customHeight="1" outlineLevel="1" x14ac:dyDescent="0.25">
      <c r="A1198" s="2145"/>
      <c r="C1198" s="49"/>
      <c r="D1198" s="2394"/>
      <c r="E1198" s="2394"/>
      <c r="F1198" s="1968" t="s">
        <v>1142</v>
      </c>
      <c r="G1198" s="1969"/>
      <c r="H1198" s="1969"/>
      <c r="I1198" s="1970"/>
      <c r="J1198" s="2095" t="s">
        <v>1140</v>
      </c>
      <c r="K1198" s="1978">
        <v>8</v>
      </c>
      <c r="L1198" s="913"/>
      <c r="M1198" s="2438"/>
      <c r="T1198" s="50"/>
      <c r="U1198" s="50"/>
      <c r="V1198" s="2434"/>
      <c r="W1198" s="1268"/>
      <c r="X1198" s="1268"/>
      <c r="Y1198" s="1268"/>
      <c r="Z1198" s="1268"/>
      <c r="AA1198" s="1268"/>
      <c r="AB1198" s="1268"/>
      <c r="AC1198" s="752"/>
      <c r="AD1198" s="966"/>
      <c r="AE1198" s="909"/>
      <c r="AF1198" s="253"/>
      <c r="AG1198" s="253">
        <f>IF(K1198&lt;&gt;"",K1198,"")</f>
        <v>8</v>
      </c>
      <c r="DG1198" s="543"/>
      <c r="DH1198" s="149"/>
      <c r="DI1198" s="1020"/>
      <c r="DJ1198" s="2045"/>
    </row>
    <row r="1199" spans="1:114" ht="15" customHeight="1" outlineLevel="1" x14ac:dyDescent="0.25">
      <c r="A1199" s="2145"/>
      <c r="C1199" s="49"/>
      <c r="D1199" s="2394"/>
      <c r="E1199" s="2394"/>
      <c r="F1199" s="2404" t="str">
        <f>$E$681</f>
        <v>ASHP-SEER16_ER1_SF</v>
      </c>
      <c r="G1199" s="2404"/>
      <c r="H1199" s="2404"/>
      <c r="I1199" s="2404"/>
      <c r="J1199" s="1506" t="str">
        <f>$C$681</f>
        <v>352550_2024_12_</v>
      </c>
      <c r="K1199" s="1977">
        <v>8</v>
      </c>
      <c r="L1199" s="913"/>
      <c r="M1199" s="2438"/>
      <c r="R1199" s="243"/>
      <c r="T1199" s="166"/>
      <c r="U1199" s="50"/>
      <c r="V1199" s="2434"/>
      <c r="W1199" s="1268">
        <v>9.5</v>
      </c>
      <c r="X1199" s="779">
        <v>8.69</v>
      </c>
      <c r="Y1199" s="779">
        <v>9.33</v>
      </c>
      <c r="Z1199" s="1268">
        <v>9.33</v>
      </c>
      <c r="AA1199" s="1268">
        <v>9.33</v>
      </c>
      <c r="AB1199" s="195">
        <v>8.8862149532710237</v>
      </c>
      <c r="AC1199" s="195">
        <v>9.11991341991342</v>
      </c>
      <c r="AD1199" s="910">
        <v>9.0582601054481522</v>
      </c>
      <c r="AE1199" s="910">
        <v>9.1268714011516288</v>
      </c>
      <c r="AF1199" s="253">
        <v>9.1268714011516288</v>
      </c>
      <c r="AG1199" s="253">
        <f t="shared" ref="AG1199:AG1270" si="206">IF(K1199&lt;&gt;"",K1199,"")</f>
        <v>8</v>
      </c>
      <c r="AI1199" s="899"/>
      <c r="DG1199" s="543"/>
      <c r="DH1199" s="149"/>
      <c r="DI1199" s="1020"/>
      <c r="DJ1199" s="2045"/>
    </row>
    <row r="1200" spans="1:114" ht="15" customHeight="1" outlineLevel="1" x14ac:dyDescent="0.25">
      <c r="A1200" s="2145"/>
      <c r="C1200" s="49"/>
      <c r="D1200" s="2394"/>
      <c r="E1200" s="2394"/>
      <c r="F1200" s="2404" t="str">
        <f>$E$683</f>
        <v>ASHP-SEER16_ER2_SF</v>
      </c>
      <c r="G1200" s="2404"/>
      <c r="H1200" s="2404"/>
      <c r="I1200" s="2404"/>
      <c r="J1200" s="1506" t="str">
        <f>$C$683</f>
        <v>352550_2024_12_</v>
      </c>
      <c r="K1200" s="1977">
        <v>8</v>
      </c>
      <c r="L1200" s="913"/>
      <c r="M1200" s="2438"/>
      <c r="P1200" s="243"/>
      <c r="Q1200" s="243"/>
      <c r="R1200" s="243"/>
      <c r="T1200" s="166"/>
      <c r="U1200" s="50"/>
      <c r="V1200" s="2434"/>
      <c r="W1200" s="1268">
        <v>9.5</v>
      </c>
      <c r="X1200" s="779">
        <v>8.69</v>
      </c>
      <c r="Y1200" s="779">
        <v>9.33</v>
      </c>
      <c r="Z1200" s="1268">
        <v>9.33</v>
      </c>
      <c r="AA1200" s="1268">
        <v>9.33</v>
      </c>
      <c r="AB1200" s="195">
        <v>8.8862149532710237</v>
      </c>
      <c r="AC1200" s="195">
        <f>AC1199</f>
        <v>9.11991341991342</v>
      </c>
      <c r="AD1200" s="910">
        <v>9.0582601054481522</v>
      </c>
      <c r="AE1200" s="910">
        <v>9.1268714011516288</v>
      </c>
      <c r="AF1200" s="253">
        <v>9.1268714011516288</v>
      </c>
      <c r="AG1200" s="253">
        <f t="shared" si="206"/>
        <v>8</v>
      </c>
      <c r="AI1200" s="899"/>
      <c r="DG1200" s="543"/>
      <c r="DH1200" s="149"/>
      <c r="DI1200" s="1020"/>
      <c r="DJ1200" s="2045"/>
    </row>
    <row r="1201" spans="1:114" ht="15" customHeight="1" outlineLevel="1" x14ac:dyDescent="0.25">
      <c r="A1201" s="2145"/>
      <c r="C1201" s="49"/>
      <c r="D1201" s="2394"/>
      <c r="E1201" s="2394"/>
      <c r="F1201" s="2404" t="str">
        <f>$E$685</f>
        <v>ASHP-SEER16-Replace_CAC_ElectricHeat_ROF_SF</v>
      </c>
      <c r="G1201" s="2404"/>
      <c r="H1201" s="2404"/>
      <c r="I1201" s="2404"/>
      <c r="J1201" s="1506" t="str">
        <f>$C$685</f>
        <v>352600_2024_12_</v>
      </c>
      <c r="K1201" s="1977">
        <v>8</v>
      </c>
      <c r="L1201" s="913"/>
      <c r="M1201" s="2438"/>
      <c r="P1201" s="243"/>
      <c r="Q1201" s="243"/>
      <c r="R1201" s="243"/>
      <c r="T1201" s="166"/>
      <c r="U1201" s="50"/>
      <c r="V1201" s="2434"/>
      <c r="W1201" s="1268">
        <v>9.6999999999999993</v>
      </c>
      <c r="X1201" s="779">
        <v>8.69</v>
      </c>
      <c r="Y1201" s="779">
        <v>9.43</v>
      </c>
      <c r="Z1201" s="1268">
        <v>9.43</v>
      </c>
      <c r="AA1201" s="1268">
        <v>9.43</v>
      </c>
      <c r="AB1201" s="195">
        <v>8.7769841269841269</v>
      </c>
      <c r="AC1201" s="195">
        <v>9.3470588235294123</v>
      </c>
      <c r="AD1201" s="910">
        <v>9.1536458333333339</v>
      </c>
      <c r="AE1201" s="910">
        <v>8.9733812949640299</v>
      </c>
      <c r="AF1201" s="253">
        <v>8.9733812949640299</v>
      </c>
      <c r="AG1201" s="253">
        <f t="shared" si="206"/>
        <v>8</v>
      </c>
      <c r="AI1201" s="899"/>
      <c r="DG1201" s="543"/>
      <c r="DH1201" s="149"/>
      <c r="DI1201" s="1020"/>
      <c r="DJ1201" s="2045"/>
    </row>
    <row r="1202" spans="1:114" ht="15.75" customHeight="1" outlineLevel="1" x14ac:dyDescent="0.25">
      <c r="A1202" s="2145"/>
      <c r="C1202" s="49"/>
      <c r="D1202" s="2394"/>
      <c r="E1202" s="2394"/>
      <c r="F1202" s="1968" t="s">
        <v>1149</v>
      </c>
      <c r="G1202" s="1969"/>
      <c r="H1202" s="1969"/>
      <c r="I1202" s="1970"/>
      <c r="J1202" s="2095" t="s">
        <v>1148</v>
      </c>
      <c r="K1202" s="1978">
        <v>8</v>
      </c>
      <c r="L1202" s="913"/>
      <c r="M1202" s="2438"/>
      <c r="T1202" s="50"/>
      <c r="U1202" s="50"/>
      <c r="V1202" s="2434"/>
      <c r="W1202" s="1268"/>
      <c r="X1202" s="1268"/>
      <c r="Y1202" s="1268"/>
      <c r="Z1202" s="1268"/>
      <c r="AA1202" s="1268"/>
      <c r="AB1202" s="1268"/>
      <c r="AC1202" s="752"/>
      <c r="AD1202" s="966"/>
      <c r="AE1202" s="909"/>
      <c r="AF1202" s="253"/>
      <c r="AG1202" s="253">
        <f>IF(K1202&lt;&gt;"",K1202,"")</f>
        <v>8</v>
      </c>
      <c r="DG1202" s="543"/>
      <c r="DH1202" s="149"/>
      <c r="DI1202" s="1020"/>
      <c r="DJ1202" s="2045"/>
    </row>
    <row r="1203" spans="1:114" ht="15" customHeight="1" outlineLevel="1" x14ac:dyDescent="0.25">
      <c r="A1203" s="2145"/>
      <c r="C1203" s="49"/>
      <c r="D1203" s="2394"/>
      <c r="E1203" s="2394"/>
      <c r="F1203" s="2404" t="str">
        <f>$E$689</f>
        <v>ASHP-SEER16-Replace_CAC_NonElectricHeat_ROF_SF</v>
      </c>
      <c r="G1203" s="2404"/>
      <c r="H1203" s="2404"/>
      <c r="I1203" s="2404"/>
      <c r="J1203" s="1506" t="str">
        <f>$C$689</f>
        <v>352610_2024_12_</v>
      </c>
      <c r="K1203" s="1977">
        <v>8</v>
      </c>
      <c r="L1203" s="913"/>
      <c r="M1203" s="2438"/>
      <c r="P1203" s="243"/>
      <c r="Q1203" s="243"/>
      <c r="R1203" s="243"/>
      <c r="T1203" s="166"/>
      <c r="U1203" s="50"/>
      <c r="V1203" s="2434"/>
      <c r="W1203" s="1268"/>
      <c r="X1203" s="779"/>
      <c r="Y1203" s="779"/>
      <c r="Z1203" s="1268"/>
      <c r="AA1203" s="1268"/>
      <c r="AB1203" s="195"/>
      <c r="AC1203" s="195"/>
      <c r="AD1203" s="910">
        <v>9.1536458333333339</v>
      </c>
      <c r="AE1203" s="910">
        <v>8.9733812949640299</v>
      </c>
      <c r="AF1203" s="253">
        <v>8.9733812949640299</v>
      </c>
      <c r="AG1203" s="253">
        <f t="shared" si="206"/>
        <v>8</v>
      </c>
      <c r="AI1203" s="899"/>
      <c r="DG1203" s="543"/>
      <c r="DH1203" s="149"/>
      <c r="DI1203" s="1020"/>
      <c r="DJ1203" s="2045"/>
    </row>
    <row r="1204" spans="1:114" ht="15" customHeight="1" outlineLevel="1" x14ac:dyDescent="0.25">
      <c r="A1204" s="2145"/>
      <c r="C1204" s="49"/>
      <c r="D1204" s="2394"/>
      <c r="E1204" s="2394"/>
      <c r="F1204" s="2404" t="str">
        <f>$E$691</f>
        <v>ASHP-SEER16_ROF_SF</v>
      </c>
      <c r="G1204" s="2404"/>
      <c r="H1204" s="2404"/>
      <c r="I1204" s="2404"/>
      <c r="J1204" s="1506" t="str">
        <f>$C$691</f>
        <v>352650_2024_12_</v>
      </c>
      <c r="K1204" s="1977">
        <v>8</v>
      </c>
      <c r="L1204" s="913"/>
      <c r="M1204" s="2438"/>
      <c r="P1204" s="243"/>
      <c r="Q1204" s="243"/>
      <c r="R1204" s="243"/>
      <c r="T1204" s="166"/>
      <c r="U1204" s="50"/>
      <c r="V1204" s="2434"/>
      <c r="W1204" s="1268">
        <v>9.8000000000000007</v>
      </c>
      <c r="X1204" s="779">
        <v>8.69</v>
      </c>
      <c r="Y1204" s="779">
        <v>9.43</v>
      </c>
      <c r="Z1204" s="1268">
        <v>9.43</v>
      </c>
      <c r="AA1204" s="1268">
        <v>9.43</v>
      </c>
      <c r="AB1204" s="1268">
        <v>9.43</v>
      </c>
      <c r="AC1204" s="195">
        <v>9.0519999999999996</v>
      </c>
      <c r="AD1204" s="910">
        <v>9.1536458333333339</v>
      </c>
      <c r="AE1204" s="910">
        <v>8.9733812949640299</v>
      </c>
      <c r="AF1204" s="253">
        <v>8.9733812949640299</v>
      </c>
      <c r="AG1204" s="253">
        <f t="shared" si="206"/>
        <v>8</v>
      </c>
      <c r="AI1204" s="899"/>
      <c r="DG1204" s="543"/>
      <c r="DH1204" s="149"/>
      <c r="DI1204" s="1020"/>
      <c r="DJ1204" s="2045"/>
    </row>
    <row r="1205" spans="1:114" ht="15.75" customHeight="1" outlineLevel="1" x14ac:dyDescent="0.25">
      <c r="A1205" s="2145"/>
      <c r="C1205" s="49"/>
      <c r="D1205" s="2394"/>
      <c r="E1205" s="2394"/>
      <c r="F1205" s="1968" t="s">
        <v>1155</v>
      </c>
      <c r="G1205" s="1969"/>
      <c r="H1205" s="1969"/>
      <c r="I1205" s="1970"/>
      <c r="J1205" s="2095" t="s">
        <v>1154</v>
      </c>
      <c r="K1205" s="1978">
        <v>8</v>
      </c>
      <c r="L1205" s="913"/>
      <c r="M1205" s="2438"/>
      <c r="T1205" s="50"/>
      <c r="U1205" s="50"/>
      <c r="V1205" s="2434"/>
      <c r="W1205" s="1268"/>
      <c r="X1205" s="1268"/>
      <c r="Y1205" s="1268"/>
      <c r="Z1205" s="1268"/>
      <c r="AA1205" s="1268"/>
      <c r="AB1205" s="1268"/>
      <c r="AC1205" s="752"/>
      <c r="AD1205" s="966"/>
      <c r="AE1205" s="909"/>
      <c r="AF1205" s="253"/>
      <c r="AG1205" s="253">
        <f>IF(K1205&lt;&gt;"",K1205,"")</f>
        <v>8</v>
      </c>
      <c r="DG1205" s="543"/>
      <c r="DH1205" s="149"/>
      <c r="DI1205" s="1020"/>
      <c r="DJ1205" s="2045"/>
    </row>
    <row r="1206" spans="1:114" ht="15" customHeight="1" outlineLevel="1" x14ac:dyDescent="0.25">
      <c r="A1206" s="2145"/>
      <c r="C1206" s="49"/>
      <c r="D1206" s="2394"/>
      <c r="E1206" s="2394"/>
      <c r="F1206" s="2404" t="str">
        <f>$E$695</f>
        <v>ASHP-SEER16-Replace_CAC_ElectricHeat_ER1_MF</v>
      </c>
      <c r="G1206" s="2404"/>
      <c r="H1206" s="2404"/>
      <c r="I1206" s="2404"/>
      <c r="J1206" s="1506" t="str">
        <f>$C$695</f>
        <v>353000_2024_12_</v>
      </c>
      <c r="K1206" s="1977">
        <v>8</v>
      </c>
      <c r="L1206" s="913"/>
      <c r="M1206" s="2438"/>
      <c r="P1206" s="243"/>
      <c r="Q1206" s="243"/>
      <c r="R1206" s="243"/>
      <c r="T1206" s="166"/>
      <c r="U1206" s="50"/>
      <c r="V1206" s="2434"/>
      <c r="W1206" s="1268">
        <v>9.4</v>
      </c>
      <c r="X1206" s="1268">
        <v>9.4</v>
      </c>
      <c r="Y1206" s="1268">
        <v>9.4</v>
      </c>
      <c r="Z1206" s="1268">
        <v>9.4</v>
      </c>
      <c r="AA1206" s="1268">
        <v>9.4</v>
      </c>
      <c r="AB1206" s="779">
        <v>7.42</v>
      </c>
      <c r="AC1206" s="195">
        <v>9</v>
      </c>
      <c r="AD1206" s="910">
        <v>9.2666666666666675</v>
      </c>
      <c r="AE1206" s="911">
        <v>9.2666666666666675</v>
      </c>
      <c r="AF1206" s="253">
        <v>9.2666666666666675</v>
      </c>
      <c r="AG1206" s="253">
        <f t="shared" si="206"/>
        <v>8</v>
      </c>
      <c r="AI1206" s="899"/>
      <c r="DG1206" s="543"/>
      <c r="DH1206" s="149"/>
      <c r="DI1206" s="1020"/>
      <c r="DJ1206" s="2045"/>
    </row>
    <row r="1207" spans="1:114" ht="15" customHeight="1" outlineLevel="1" x14ac:dyDescent="0.25">
      <c r="A1207" s="2145"/>
      <c r="C1207" s="49"/>
      <c r="D1207" s="2394"/>
      <c r="E1207" s="2394"/>
      <c r="F1207" s="2404" t="str">
        <f>$E$697</f>
        <v>ASHP-SEER16-Replace_CAC_ElectricHeat_ER2_MF</v>
      </c>
      <c r="G1207" s="2404"/>
      <c r="H1207" s="2404"/>
      <c r="I1207" s="2404"/>
      <c r="J1207" s="1506" t="str">
        <f>$C$697</f>
        <v>353000_2024_12_</v>
      </c>
      <c r="K1207" s="1977">
        <v>8</v>
      </c>
      <c r="L1207" s="913"/>
      <c r="M1207" s="2438"/>
      <c r="P1207" s="243"/>
      <c r="Q1207" s="243"/>
      <c r="R1207" s="243"/>
      <c r="T1207" s="166"/>
      <c r="U1207" s="50"/>
      <c r="V1207" s="2434"/>
      <c r="W1207" s="1268">
        <v>9.4</v>
      </c>
      <c r="X1207" s="1268">
        <v>9.4</v>
      </c>
      <c r="Y1207" s="1268">
        <v>9.4</v>
      </c>
      <c r="Z1207" s="1268">
        <v>9.4</v>
      </c>
      <c r="AA1207" s="1268">
        <v>9.4</v>
      </c>
      <c r="AB1207" s="779">
        <v>7.42</v>
      </c>
      <c r="AC1207" s="195">
        <f>AC1206</f>
        <v>9</v>
      </c>
      <c r="AD1207" s="910">
        <v>9.2666666666666675</v>
      </c>
      <c r="AE1207" s="911">
        <v>9.2666666666666675</v>
      </c>
      <c r="AF1207" s="253">
        <v>9.2666666666666675</v>
      </c>
      <c r="AG1207" s="253">
        <f t="shared" si="206"/>
        <v>8</v>
      </c>
      <c r="AI1207" s="899"/>
      <c r="DG1207" s="543"/>
      <c r="DH1207" s="149"/>
      <c r="DI1207" s="1020"/>
      <c r="DJ1207" s="2045"/>
    </row>
    <row r="1208" spans="1:114" ht="15" customHeight="1" outlineLevel="1" x14ac:dyDescent="0.25">
      <c r="A1208" s="2145"/>
      <c r="C1208" s="49"/>
      <c r="D1208" s="2394"/>
      <c r="E1208" s="2394"/>
      <c r="F1208" s="2404" t="str">
        <f>$E$699</f>
        <v>ASHP-SEER17-Replace_CAC_ElectricHeat_ROF_SF</v>
      </c>
      <c r="G1208" s="2404"/>
      <c r="H1208" s="2404"/>
      <c r="I1208" s="2404"/>
      <c r="J1208" s="1506" t="str">
        <f>$C$699</f>
        <v>353100_2024_12_</v>
      </c>
      <c r="K1208" s="1977">
        <v>8.4499999999999993</v>
      </c>
      <c r="L1208" s="913"/>
      <c r="M1208" s="2438"/>
      <c r="P1208" s="243"/>
      <c r="Q1208" s="243"/>
      <c r="R1208" s="243"/>
      <c r="T1208" s="166"/>
      <c r="U1208" s="50"/>
      <c r="V1208" s="2434"/>
      <c r="W1208" s="1268">
        <v>9.6999999999999993</v>
      </c>
      <c r="X1208" s="1268">
        <v>9.6999999999999993</v>
      </c>
      <c r="Y1208" s="1268">
        <v>9.6999999999999993</v>
      </c>
      <c r="Z1208" s="1268">
        <v>9.6999999999999993</v>
      </c>
      <c r="AA1208" s="1268">
        <v>9.6999999999999993</v>
      </c>
      <c r="AB1208" s="1268">
        <v>9.6999999999999993</v>
      </c>
      <c r="AC1208" s="195">
        <v>9.5</v>
      </c>
      <c r="AD1208" s="910">
        <v>9.4181159420289866</v>
      </c>
      <c r="AE1208" s="910">
        <v>9.4296296296296287</v>
      </c>
      <c r="AF1208" s="253">
        <v>9.4296296296296287</v>
      </c>
      <c r="AG1208" s="253">
        <f t="shared" si="206"/>
        <v>8.4499999999999993</v>
      </c>
      <c r="AI1208" s="899"/>
      <c r="DG1208" s="543"/>
      <c r="DH1208" s="149"/>
      <c r="DI1208" s="1020"/>
      <c r="DJ1208" s="2045"/>
    </row>
    <row r="1209" spans="1:114" ht="15.75" customHeight="1" outlineLevel="1" x14ac:dyDescent="0.25">
      <c r="A1209" s="2145"/>
      <c r="C1209" s="49"/>
      <c r="D1209" s="2394"/>
      <c r="E1209" s="2394"/>
      <c r="F1209" s="1968" t="s">
        <v>1162</v>
      </c>
      <c r="G1209" s="1969"/>
      <c r="H1209" s="1969"/>
      <c r="I1209" s="1970"/>
      <c r="J1209" s="2095" t="s">
        <v>1161</v>
      </c>
      <c r="K1209" s="1978">
        <v>8.4499999999999993</v>
      </c>
      <c r="L1209" s="913"/>
      <c r="M1209" s="2438"/>
      <c r="T1209" s="50"/>
      <c r="U1209" s="50"/>
      <c r="V1209" s="2434"/>
      <c r="W1209" s="1268"/>
      <c r="X1209" s="1268"/>
      <c r="Y1209" s="1268"/>
      <c r="Z1209" s="1268"/>
      <c r="AA1209" s="1268"/>
      <c r="AB1209" s="1268"/>
      <c r="AC1209" s="752"/>
      <c r="AD1209" s="966"/>
      <c r="AE1209" s="909"/>
      <c r="AF1209" s="253"/>
      <c r="AG1209" s="253">
        <f>IF(K1209&lt;&gt;"",K1209,"")</f>
        <v>8.4499999999999993</v>
      </c>
      <c r="DG1209" s="543"/>
      <c r="DH1209" s="149"/>
      <c r="DI1209" s="1020"/>
      <c r="DJ1209" s="2045"/>
    </row>
    <row r="1210" spans="1:114" ht="15" customHeight="1" outlineLevel="1" x14ac:dyDescent="0.25">
      <c r="A1210" s="2145"/>
      <c r="C1210" s="49"/>
      <c r="D1210" s="2394"/>
      <c r="E1210" s="2394"/>
      <c r="F1210" s="2404" t="str">
        <f>$E$703</f>
        <v>ASHP-SEER17-Replace_CAC_NonElectricHeat_ROF_SF</v>
      </c>
      <c r="G1210" s="2404"/>
      <c r="H1210" s="2404"/>
      <c r="I1210" s="2404"/>
      <c r="J1210" s="1506" t="str">
        <f>$C$703</f>
        <v>353110_2024_12_</v>
      </c>
      <c r="K1210" s="1977">
        <v>8.4499999999999993</v>
      </c>
      <c r="L1210" s="913"/>
      <c r="M1210" s="2438"/>
      <c r="P1210" s="243"/>
      <c r="Q1210" s="243"/>
      <c r="R1210" s="243"/>
      <c r="T1210" s="166"/>
      <c r="U1210" s="50"/>
      <c r="V1210" s="2434"/>
      <c r="W1210" s="1268"/>
      <c r="X1210" s="779"/>
      <c r="Y1210" s="779"/>
      <c r="Z1210" s="1268"/>
      <c r="AA1210" s="1268"/>
      <c r="AB1210" s="195"/>
      <c r="AC1210" s="195"/>
      <c r="AD1210" s="910">
        <v>9.4181159420289866</v>
      </c>
      <c r="AE1210" s="910">
        <v>9.4296296296296287</v>
      </c>
      <c r="AF1210" s="253">
        <v>9.4296296296296287</v>
      </c>
      <c r="AG1210" s="253">
        <f t="shared" si="206"/>
        <v>8.4499999999999993</v>
      </c>
      <c r="AI1210" s="899"/>
      <c r="DG1210" s="543"/>
      <c r="DH1210" s="149"/>
      <c r="DI1210" s="1020"/>
      <c r="DJ1210" s="2045"/>
    </row>
    <row r="1211" spans="1:114" ht="15" customHeight="1" outlineLevel="1" x14ac:dyDescent="0.25">
      <c r="A1211" s="2145"/>
      <c r="C1211" s="49"/>
      <c r="D1211" s="2394"/>
      <c r="E1211" s="2394"/>
      <c r="F1211" s="2404" t="str">
        <f>$E$705</f>
        <v>ASHP-SEER18-Replace_CAC_ElectricHeat_ROF_SF</v>
      </c>
      <c r="G1211" s="2404"/>
      <c r="H1211" s="2404"/>
      <c r="I1211" s="2404"/>
      <c r="J1211" s="1506" t="str">
        <f>$C$705</f>
        <v>353200_2024_12_</v>
      </c>
      <c r="K1211" s="1977">
        <v>8.5</v>
      </c>
      <c r="L1211" s="913"/>
      <c r="M1211" s="2438"/>
      <c r="P1211" s="243"/>
      <c r="Q1211" s="243"/>
      <c r="R1211" s="243"/>
      <c r="T1211" s="166"/>
      <c r="U1211" s="50"/>
      <c r="V1211" s="2434"/>
      <c r="W1211" s="1268">
        <v>9.6999999999999993</v>
      </c>
      <c r="X1211" s="1268">
        <v>9.6999999999999993</v>
      </c>
      <c r="Y1211" s="1268">
        <v>9.6999999999999993</v>
      </c>
      <c r="Z1211" s="1268">
        <v>9.6999999999999993</v>
      </c>
      <c r="AA1211" s="1268">
        <v>9.6999999999999993</v>
      </c>
      <c r="AB1211" s="779">
        <v>10.5</v>
      </c>
      <c r="AC1211" s="195">
        <v>9.7852941176470605</v>
      </c>
      <c r="AD1211" s="910">
        <v>10.148936170212766</v>
      </c>
      <c r="AE1211" s="910">
        <v>9.8957142857142895</v>
      </c>
      <c r="AF1211" s="253">
        <v>9.8957142857142895</v>
      </c>
      <c r="AG1211" s="253">
        <f t="shared" si="206"/>
        <v>8.5</v>
      </c>
      <c r="AI1211" s="899"/>
      <c r="DG1211" s="543"/>
      <c r="DH1211" s="149"/>
      <c r="DI1211" s="1020"/>
      <c r="DJ1211" s="2045"/>
    </row>
    <row r="1212" spans="1:114" ht="15" customHeight="1" outlineLevel="1" x14ac:dyDescent="0.25">
      <c r="A1212" s="2145"/>
      <c r="C1212" s="49"/>
      <c r="D1212" s="2394"/>
      <c r="E1212" s="2394"/>
      <c r="F1212" s="2404" t="str">
        <f>$E$707</f>
        <v>ASHP-SEER18-Replace_CAC_NonElectricHeat_ROF_SF</v>
      </c>
      <c r="G1212" s="2404"/>
      <c r="H1212" s="2404"/>
      <c r="I1212" s="2404"/>
      <c r="J1212" s="1506" t="str">
        <f>$C$707</f>
        <v>353210_2024_12_</v>
      </c>
      <c r="K1212" s="1977">
        <v>8.5</v>
      </c>
      <c r="L1212" s="913"/>
      <c r="M1212" s="2438"/>
      <c r="P1212" s="243"/>
      <c r="Q1212" s="243"/>
      <c r="R1212" s="243"/>
      <c r="T1212" s="166"/>
      <c r="U1212" s="50"/>
      <c r="V1212" s="2434"/>
      <c r="W1212" s="1268"/>
      <c r="X1212" s="779"/>
      <c r="Y1212" s="779"/>
      <c r="Z1212" s="1268"/>
      <c r="AA1212" s="1268"/>
      <c r="AB1212" s="195"/>
      <c r="AC1212" s="195"/>
      <c r="AD1212" s="910">
        <v>10.148936170212766</v>
      </c>
      <c r="AE1212" s="910">
        <v>9.8957142857142895</v>
      </c>
      <c r="AF1212" s="253">
        <v>9.8957142857142895</v>
      </c>
      <c r="AG1212" s="253">
        <f t="shared" si="206"/>
        <v>8.5</v>
      </c>
      <c r="AI1212" s="899"/>
      <c r="DG1212" s="543"/>
      <c r="DH1212" s="149"/>
      <c r="DI1212" s="1020"/>
      <c r="DJ1212" s="2045"/>
    </row>
    <row r="1213" spans="1:114" ht="15" customHeight="1" outlineLevel="1" x14ac:dyDescent="0.25">
      <c r="A1213" s="2145"/>
      <c r="C1213" s="49"/>
      <c r="D1213" s="2394"/>
      <c r="E1213" s="2394"/>
      <c r="F1213" s="2404" t="str">
        <f>$E$709</f>
        <v>ASHP-SEER19-Replace_CAC_ElectricHeat_ROF_SF</v>
      </c>
      <c r="G1213" s="2404"/>
      <c r="H1213" s="2404"/>
      <c r="I1213" s="2404"/>
      <c r="J1213" s="1506" t="str">
        <f>$C$709</f>
        <v>353300_2024_12_</v>
      </c>
      <c r="K1213" s="1977">
        <v>8.6300000000000008</v>
      </c>
      <c r="L1213" s="913"/>
      <c r="M1213" s="2438"/>
      <c r="P1213" s="243"/>
      <c r="Q1213" s="243"/>
      <c r="R1213" s="243"/>
      <c r="T1213" s="166"/>
      <c r="U1213" s="50"/>
      <c r="V1213" s="2434"/>
      <c r="W1213" s="1268">
        <v>9.6999999999999993</v>
      </c>
      <c r="X1213" s="1268">
        <v>9.6999999999999993</v>
      </c>
      <c r="Y1213" s="1268">
        <v>9.6999999999999993</v>
      </c>
      <c r="Z1213" s="1268">
        <v>9.6999999999999993</v>
      </c>
      <c r="AA1213" s="1268">
        <v>9.6999999999999993</v>
      </c>
      <c r="AB1213" s="1268">
        <v>9.6999999999999993</v>
      </c>
      <c r="AC1213" s="195">
        <v>11</v>
      </c>
      <c r="AD1213" s="910">
        <v>10.115384615384615</v>
      </c>
      <c r="AE1213" s="911">
        <v>10.115384615384615</v>
      </c>
      <c r="AF1213" s="253">
        <v>10.115384615384615</v>
      </c>
      <c r="AG1213" s="253">
        <f t="shared" si="206"/>
        <v>8.6300000000000008</v>
      </c>
      <c r="AI1213" s="899"/>
      <c r="DG1213" s="543"/>
      <c r="DH1213" s="149"/>
      <c r="DI1213" s="1020"/>
      <c r="DJ1213" s="2045"/>
    </row>
    <row r="1214" spans="1:114" ht="15" customHeight="1" outlineLevel="1" x14ac:dyDescent="0.25">
      <c r="A1214" s="2145"/>
      <c r="C1214" s="49"/>
      <c r="D1214" s="2394"/>
      <c r="E1214" s="2394"/>
      <c r="F1214" s="2404" t="str">
        <f>$E$711</f>
        <v>ASHP-SEER19-Replace_CAC_NonElectricHeat_ROF_SF</v>
      </c>
      <c r="G1214" s="2404"/>
      <c r="H1214" s="2404"/>
      <c r="I1214" s="2404"/>
      <c r="J1214" s="1506" t="str">
        <f>$C$711</f>
        <v>353310_2024_12_</v>
      </c>
      <c r="K1214" s="1977">
        <v>8.6300000000000008</v>
      </c>
      <c r="L1214" s="913"/>
      <c r="M1214" s="2438"/>
      <c r="P1214" s="243"/>
      <c r="Q1214" s="243"/>
      <c r="R1214" s="243"/>
      <c r="T1214" s="166"/>
      <c r="U1214" s="50"/>
      <c r="V1214" s="2434"/>
      <c r="W1214" s="1268"/>
      <c r="X1214" s="779"/>
      <c r="Y1214" s="779"/>
      <c r="Z1214" s="1268"/>
      <c r="AA1214" s="1268"/>
      <c r="AB1214" s="195"/>
      <c r="AC1214" s="195"/>
      <c r="AD1214" s="910">
        <v>10.115384615384615</v>
      </c>
      <c r="AE1214" s="911">
        <v>10.115384615384615</v>
      </c>
      <c r="AF1214" s="253">
        <v>10.115384615384615</v>
      </c>
      <c r="AG1214" s="253">
        <f t="shared" si="206"/>
        <v>8.6300000000000008</v>
      </c>
      <c r="AI1214" s="899"/>
      <c r="DG1214" s="543"/>
      <c r="DH1214" s="149"/>
      <c r="DI1214" s="1020"/>
      <c r="DJ1214" s="2045"/>
    </row>
    <row r="1215" spans="1:114" ht="15" customHeight="1" outlineLevel="1" x14ac:dyDescent="0.25">
      <c r="A1215" s="2145"/>
      <c r="C1215" s="49"/>
      <c r="D1215" s="2394"/>
      <c r="E1215" s="2394"/>
      <c r="F1215" s="2404" t="str">
        <f>$E$713</f>
        <v>ASHP-SEER20-Replace_CAC_ElectricHeat_ER1_SF</v>
      </c>
      <c r="G1215" s="2404"/>
      <c r="H1215" s="2404"/>
      <c r="I1215" s="2404"/>
      <c r="J1215" s="1506" t="str">
        <f>$C$713</f>
        <v>353400_2024_12_</v>
      </c>
      <c r="K1215" s="1977">
        <v>8.8699999999999992</v>
      </c>
      <c r="L1215" s="913"/>
      <c r="M1215" s="2438"/>
      <c r="P1215" s="243"/>
      <c r="Q1215" s="243"/>
      <c r="R1215" s="243"/>
      <c r="T1215" s="166"/>
      <c r="U1215" s="50"/>
      <c r="V1215" s="2434"/>
      <c r="W1215" s="1268">
        <v>9.4</v>
      </c>
      <c r="X1215" s="1268">
        <v>9.4</v>
      </c>
      <c r="Y1215" s="1268">
        <v>9.4</v>
      </c>
      <c r="Z1215" s="1268">
        <v>9.4</v>
      </c>
      <c r="AA1215" s="1268">
        <v>9.4</v>
      </c>
      <c r="AB1215" s="1268">
        <v>9.4</v>
      </c>
      <c r="AC1215" s="195">
        <v>11.1</v>
      </c>
      <c r="AD1215" s="910">
        <v>10.135555555555554</v>
      </c>
      <c r="AE1215" s="910">
        <v>10.36212121212121</v>
      </c>
      <c r="AF1215" s="253">
        <v>10.36212121212121</v>
      </c>
      <c r="AG1215" s="253">
        <f t="shared" si="206"/>
        <v>8.8699999999999992</v>
      </c>
      <c r="AI1215" s="899"/>
      <c r="DG1215" s="543"/>
      <c r="DH1215" s="149"/>
      <c r="DI1215" s="1020"/>
      <c r="DJ1215" s="2045"/>
    </row>
    <row r="1216" spans="1:114" ht="15" customHeight="1" outlineLevel="1" x14ac:dyDescent="0.25">
      <c r="A1216" s="2145"/>
      <c r="C1216" s="49"/>
      <c r="D1216" s="2394"/>
      <c r="E1216" s="2394"/>
      <c r="F1216" s="2404" t="str">
        <f>$E$715</f>
        <v>ASHP-SEER20-Replace_CAC_ElectricHeat_ER2_SF</v>
      </c>
      <c r="G1216" s="2404"/>
      <c r="H1216" s="2404"/>
      <c r="I1216" s="2404"/>
      <c r="J1216" s="1506" t="str">
        <f>$C$715</f>
        <v>353400_2024_12_</v>
      </c>
      <c r="K1216" s="1977">
        <v>8.8699999999999992</v>
      </c>
      <c r="L1216" s="913"/>
      <c r="M1216" s="2438"/>
      <c r="P1216" s="243"/>
      <c r="Q1216" s="243"/>
      <c r="R1216" s="243"/>
      <c r="T1216" s="166"/>
      <c r="U1216" s="50"/>
      <c r="V1216" s="2434"/>
      <c r="W1216" s="1268">
        <v>9.4</v>
      </c>
      <c r="X1216" s="1268">
        <v>9.4</v>
      </c>
      <c r="Y1216" s="1268">
        <v>9.4</v>
      </c>
      <c r="Z1216" s="1268">
        <v>9.4</v>
      </c>
      <c r="AA1216" s="1268">
        <v>9.4</v>
      </c>
      <c r="AB1216" s="1268">
        <v>9.4</v>
      </c>
      <c r="AC1216" s="195">
        <f>AC1215</f>
        <v>11.1</v>
      </c>
      <c r="AD1216" s="910">
        <v>10.135555555555554</v>
      </c>
      <c r="AE1216" s="910">
        <v>10.36212121212121</v>
      </c>
      <c r="AF1216" s="253">
        <v>10.36212121212121</v>
      </c>
      <c r="AG1216" s="253">
        <f t="shared" si="206"/>
        <v>8.8699999999999992</v>
      </c>
      <c r="AI1216" s="899"/>
      <c r="DG1216" s="543"/>
      <c r="DH1216" s="149"/>
      <c r="DI1216" s="1020"/>
      <c r="DJ1216" s="2045"/>
    </row>
    <row r="1217" spans="1:114" ht="15" customHeight="1" outlineLevel="1" x14ac:dyDescent="0.25">
      <c r="A1217" s="2145"/>
      <c r="C1217" s="49"/>
      <c r="D1217" s="2394"/>
      <c r="E1217" s="2394"/>
      <c r="F1217" s="2404" t="str">
        <f>$E$717</f>
        <v>ASHP-SEER20-Replace_CAC_NonElectricHeat_ER1_SF</v>
      </c>
      <c r="G1217" s="2404"/>
      <c r="H1217" s="2404"/>
      <c r="I1217" s="2404"/>
      <c r="J1217" s="1506" t="str">
        <f>$C$717</f>
        <v>353410_2024_12_</v>
      </c>
      <c r="K1217" s="1977">
        <v>8.8699999999999992</v>
      </c>
      <c r="L1217" s="913"/>
      <c r="M1217" s="2438"/>
      <c r="P1217" s="243"/>
      <c r="Q1217" s="243"/>
      <c r="R1217" s="243"/>
      <c r="T1217" s="166"/>
      <c r="U1217" s="50"/>
      <c r="V1217" s="2434"/>
      <c r="W1217" s="1268"/>
      <c r="X1217" s="1268"/>
      <c r="Y1217" s="1268"/>
      <c r="Z1217" s="1268"/>
      <c r="AA1217" s="1268"/>
      <c r="AB1217" s="1268"/>
      <c r="AC1217" s="195">
        <v>11.1</v>
      </c>
      <c r="AD1217" s="910">
        <v>10.135555555555554</v>
      </c>
      <c r="AE1217" s="910">
        <v>10.36212121212121</v>
      </c>
      <c r="AF1217" s="253">
        <v>10.36212121212121</v>
      </c>
      <c r="AG1217" s="253">
        <f t="shared" si="206"/>
        <v>8.8699999999999992</v>
      </c>
      <c r="AI1217" s="899"/>
      <c r="DG1217" s="543"/>
      <c r="DH1217" s="149"/>
      <c r="DI1217" s="1020"/>
      <c r="DJ1217" s="2045"/>
    </row>
    <row r="1218" spans="1:114" ht="15" customHeight="1" outlineLevel="1" x14ac:dyDescent="0.25">
      <c r="A1218" s="2145"/>
      <c r="C1218" s="49"/>
      <c r="D1218" s="2394"/>
      <c r="E1218" s="2394"/>
      <c r="F1218" s="2404" t="str">
        <f>$E$719</f>
        <v>ASHP-SEER20-Replace_CAC_NonElectricHeat_ER2_SF</v>
      </c>
      <c r="G1218" s="2404"/>
      <c r="H1218" s="2404"/>
      <c r="I1218" s="2404"/>
      <c r="J1218" s="1506" t="str">
        <f>$C$719</f>
        <v>353410_2024_12_</v>
      </c>
      <c r="K1218" s="1977">
        <v>8.8699999999999992</v>
      </c>
      <c r="L1218" s="913"/>
      <c r="M1218" s="2438"/>
      <c r="P1218" s="243"/>
      <c r="Q1218" s="243"/>
      <c r="R1218" s="243"/>
      <c r="T1218" s="166"/>
      <c r="U1218" s="50"/>
      <c r="V1218" s="2434"/>
      <c r="W1218" s="1268"/>
      <c r="X1218" s="1268"/>
      <c r="Y1218" s="1268"/>
      <c r="Z1218" s="1268"/>
      <c r="AA1218" s="1268"/>
      <c r="AB1218" s="1268"/>
      <c r="AC1218" s="195">
        <f>AC1217</f>
        <v>11.1</v>
      </c>
      <c r="AD1218" s="910">
        <v>10.135555555555554</v>
      </c>
      <c r="AE1218" s="910">
        <v>10.36212121212121</v>
      </c>
      <c r="AF1218" s="253">
        <v>10.36212121212121</v>
      </c>
      <c r="AG1218" s="253">
        <f t="shared" si="206"/>
        <v>8.8699999999999992</v>
      </c>
      <c r="AI1218" s="899"/>
      <c r="DG1218" s="543"/>
      <c r="DH1218" s="149"/>
      <c r="DI1218" s="1020"/>
      <c r="DJ1218" s="2045"/>
    </row>
    <row r="1219" spans="1:114" ht="15.75" customHeight="1" outlineLevel="1" x14ac:dyDescent="0.25">
      <c r="A1219" s="2145"/>
      <c r="C1219" s="49"/>
      <c r="D1219" s="2394"/>
      <c r="E1219" s="2394"/>
      <c r="F1219" s="1968" t="s">
        <v>1180</v>
      </c>
      <c r="G1219" s="1969"/>
      <c r="H1219" s="1969"/>
      <c r="I1219" s="1970"/>
      <c r="J1219" s="2095" t="s">
        <v>1179</v>
      </c>
      <c r="K1219" s="1978">
        <v>8.8699999999999992</v>
      </c>
      <c r="L1219" s="913"/>
      <c r="M1219" s="2438"/>
      <c r="T1219" s="50"/>
      <c r="U1219" s="50"/>
      <c r="V1219" s="2434"/>
      <c r="W1219" s="1268"/>
      <c r="X1219" s="1268"/>
      <c r="Y1219" s="1268"/>
      <c r="Z1219" s="1268"/>
      <c r="AA1219" s="1268"/>
      <c r="AB1219" s="1268"/>
      <c r="AC1219" s="752"/>
      <c r="AD1219" s="966"/>
      <c r="AE1219" s="909"/>
      <c r="AF1219" s="253"/>
      <c r="AG1219" s="253">
        <f>IF(K1219&lt;&gt;"",K1219,"")</f>
        <v>8.8699999999999992</v>
      </c>
      <c r="DG1219" s="543"/>
      <c r="DH1219" s="149"/>
      <c r="DI1219" s="1020"/>
      <c r="DJ1219" s="2045"/>
    </row>
    <row r="1220" spans="1:114" ht="15.75" customHeight="1" outlineLevel="1" x14ac:dyDescent="0.25">
      <c r="A1220" s="2145"/>
      <c r="C1220" s="49"/>
      <c r="D1220" s="2394"/>
      <c r="E1220" s="2394"/>
      <c r="F1220" s="1968" t="s">
        <v>1181</v>
      </c>
      <c r="G1220" s="1969"/>
      <c r="H1220" s="1969"/>
      <c r="I1220" s="1970"/>
      <c r="J1220" s="2095" t="s">
        <v>1179</v>
      </c>
      <c r="K1220" s="1978">
        <v>8.8699999999999992</v>
      </c>
      <c r="L1220" s="913"/>
      <c r="M1220" s="2438"/>
      <c r="T1220" s="50"/>
      <c r="U1220" s="50"/>
      <c r="V1220" s="2434"/>
      <c r="W1220" s="1268"/>
      <c r="X1220" s="1268"/>
      <c r="Y1220" s="1268"/>
      <c r="Z1220" s="1268"/>
      <c r="AA1220" s="1268"/>
      <c r="AB1220" s="1268"/>
      <c r="AC1220" s="752"/>
      <c r="AD1220" s="966"/>
      <c r="AE1220" s="909"/>
      <c r="AF1220" s="253"/>
      <c r="AG1220" s="253">
        <f>IF(K1220&lt;&gt;"",K1220,"")</f>
        <v>8.8699999999999992</v>
      </c>
      <c r="DG1220" s="543"/>
      <c r="DH1220" s="149"/>
      <c r="DI1220" s="1020"/>
      <c r="DJ1220" s="2045"/>
    </row>
    <row r="1221" spans="1:114" ht="15" customHeight="1" outlineLevel="1" x14ac:dyDescent="0.25">
      <c r="A1221" s="2145"/>
      <c r="C1221" s="49"/>
      <c r="D1221" s="2394"/>
      <c r="E1221" s="2394"/>
      <c r="F1221" s="2404" t="str">
        <f>$E$725</f>
        <v>ASHP-SEER20-Replace_CAC_ElectricHeat_ROF_SF</v>
      </c>
      <c r="G1221" s="2404"/>
      <c r="H1221" s="2404"/>
      <c r="I1221" s="2404"/>
      <c r="J1221" s="1506" t="str">
        <f>$C$725</f>
        <v>353450_2024_12_</v>
      </c>
      <c r="K1221" s="1977">
        <v>8.8699999999999992</v>
      </c>
      <c r="L1221" s="913"/>
      <c r="M1221" s="2438"/>
      <c r="P1221" s="243"/>
      <c r="Q1221" s="243"/>
      <c r="R1221" s="243"/>
      <c r="T1221" s="166"/>
      <c r="U1221" s="50"/>
      <c r="V1221" s="2434"/>
      <c r="W1221" s="1268">
        <v>9.6999999999999993</v>
      </c>
      <c r="X1221" s="1268">
        <v>9.6999999999999993</v>
      </c>
      <c r="Y1221" s="1268">
        <v>9.6999999999999993</v>
      </c>
      <c r="Z1221" s="1268">
        <v>9.6999999999999993</v>
      </c>
      <c r="AA1221" s="1268">
        <v>9.6999999999999993</v>
      </c>
      <c r="AB1221" s="1268">
        <v>9.6999999999999993</v>
      </c>
      <c r="AC1221" s="195">
        <v>10.5</v>
      </c>
      <c r="AD1221" s="910">
        <v>10.403571428571428</v>
      </c>
      <c r="AE1221" s="911">
        <v>10.403571428571428</v>
      </c>
      <c r="AF1221" s="253">
        <v>10.403571428571428</v>
      </c>
      <c r="AG1221" s="253">
        <f t="shared" si="206"/>
        <v>8.8699999999999992</v>
      </c>
      <c r="AI1221" s="899"/>
      <c r="DG1221" s="543"/>
      <c r="DH1221" s="149"/>
      <c r="DI1221" s="1020"/>
      <c r="DJ1221" s="2045"/>
    </row>
    <row r="1222" spans="1:114" ht="15.75" customHeight="1" outlineLevel="1" x14ac:dyDescent="0.25">
      <c r="A1222" s="2145"/>
      <c r="C1222" s="49"/>
      <c r="D1222" s="2394"/>
      <c r="E1222" s="2394"/>
      <c r="F1222" s="1968" t="s">
        <v>1185</v>
      </c>
      <c r="G1222" s="1969"/>
      <c r="H1222" s="1969"/>
      <c r="I1222" s="1970"/>
      <c r="J1222" s="2095" t="s">
        <v>1184</v>
      </c>
      <c r="K1222" s="1978">
        <v>8.8699999999999992</v>
      </c>
      <c r="L1222" s="913"/>
      <c r="M1222" s="2438"/>
      <c r="T1222" s="50"/>
      <c r="U1222" s="50"/>
      <c r="V1222" s="2434"/>
      <c r="W1222" s="1268"/>
      <c r="X1222" s="1268"/>
      <c r="Y1222" s="1268"/>
      <c r="Z1222" s="1268"/>
      <c r="AA1222" s="1268"/>
      <c r="AB1222" s="1268"/>
      <c r="AC1222" s="752"/>
      <c r="AD1222" s="966"/>
      <c r="AE1222" s="909"/>
      <c r="AF1222" s="253"/>
      <c r="AG1222" s="253">
        <f>IF(K1222&lt;&gt;"",K1222,"")</f>
        <v>8.8699999999999992</v>
      </c>
      <c r="DG1222" s="543"/>
      <c r="DH1222" s="149"/>
      <c r="DI1222" s="1020"/>
      <c r="DJ1222" s="2045"/>
    </row>
    <row r="1223" spans="1:114" ht="15" customHeight="1" outlineLevel="1" x14ac:dyDescent="0.25">
      <c r="A1223" s="2145"/>
      <c r="C1223" s="49"/>
      <c r="D1223" s="2394"/>
      <c r="E1223" s="2394"/>
      <c r="F1223" s="2404" t="str">
        <f>$E$729</f>
        <v>ASHP-SEER20-Replace_CAC_NonElectricHeat_ROF_SF</v>
      </c>
      <c r="G1223" s="2404"/>
      <c r="H1223" s="2404"/>
      <c r="I1223" s="2404"/>
      <c r="J1223" s="1506" t="str">
        <f>$C$729</f>
        <v>353460_2024_12_</v>
      </c>
      <c r="K1223" s="1977">
        <v>8.8699999999999992</v>
      </c>
      <c r="L1223" s="913"/>
      <c r="M1223" s="2438"/>
      <c r="P1223" s="243"/>
      <c r="Q1223" s="243"/>
      <c r="R1223" s="243"/>
      <c r="T1223" s="166"/>
      <c r="U1223" s="50"/>
      <c r="V1223" s="2434"/>
      <c r="W1223" s="1268"/>
      <c r="X1223" s="779"/>
      <c r="Y1223" s="779"/>
      <c r="Z1223" s="1268"/>
      <c r="AA1223" s="1268"/>
      <c r="AB1223" s="195"/>
      <c r="AC1223" s="195"/>
      <c r="AD1223" s="910">
        <v>10.403571428571428</v>
      </c>
      <c r="AE1223" s="911">
        <v>10.403571428571428</v>
      </c>
      <c r="AF1223" s="253">
        <v>10.403571428571428</v>
      </c>
      <c r="AG1223" s="253">
        <f t="shared" si="206"/>
        <v>8.8699999999999992</v>
      </c>
      <c r="AI1223" s="899"/>
      <c r="DG1223" s="543"/>
      <c r="DH1223" s="149"/>
      <c r="DI1223" s="1020"/>
      <c r="DJ1223" s="2045"/>
    </row>
    <row r="1224" spans="1:114" ht="15" customHeight="1" outlineLevel="1" x14ac:dyDescent="0.25">
      <c r="A1224" s="2145"/>
      <c r="C1224" s="49"/>
      <c r="D1224" s="2394"/>
      <c r="E1224" s="2394"/>
      <c r="F1224" s="2404" t="str">
        <f>$E$731</f>
        <v>ASHP-SEER21-Replace_CAC_ElectricHeat_ER1_SF</v>
      </c>
      <c r="G1224" s="2404"/>
      <c r="H1224" s="2404"/>
      <c r="I1224" s="2404"/>
      <c r="J1224" s="1506" t="str">
        <f>$C$731</f>
        <v>353550_2024_12_</v>
      </c>
      <c r="K1224" s="1977">
        <v>8.9700000000000006</v>
      </c>
      <c r="L1224" s="913"/>
      <c r="M1224" s="2438"/>
      <c r="P1224" s="243"/>
      <c r="Q1224" s="192"/>
      <c r="R1224" s="243"/>
      <c r="T1224" s="166"/>
      <c r="U1224" s="50"/>
      <c r="V1224" s="2434"/>
      <c r="W1224" s="1268">
        <v>9.4</v>
      </c>
      <c r="X1224" s="1268">
        <v>9.4</v>
      </c>
      <c r="Y1224" s="1268">
        <v>9.4</v>
      </c>
      <c r="Z1224" s="1268">
        <v>9.4</v>
      </c>
      <c r="AA1224" s="1268">
        <v>9.4</v>
      </c>
      <c r="AB1224" s="1268">
        <v>9.4</v>
      </c>
      <c r="AC1224" s="195">
        <v>10.727272727272727</v>
      </c>
      <c r="AD1224" s="911">
        <v>10.727272727272727</v>
      </c>
      <c r="AE1224" s="910">
        <v>10.753333333333332</v>
      </c>
      <c r="AF1224" s="253">
        <v>10.753333333333332</v>
      </c>
      <c r="AG1224" s="253">
        <f t="shared" si="206"/>
        <v>8.9700000000000006</v>
      </c>
      <c r="AI1224" s="899"/>
      <c r="DG1224" s="543"/>
      <c r="DH1224" s="149"/>
      <c r="DI1224" s="1020"/>
      <c r="DJ1224" s="2045"/>
    </row>
    <row r="1225" spans="1:114" ht="15" customHeight="1" outlineLevel="1" x14ac:dyDescent="0.25">
      <c r="A1225" s="2145"/>
      <c r="C1225" s="49"/>
      <c r="D1225" s="2394"/>
      <c r="E1225" s="2394"/>
      <c r="F1225" s="2404" t="str">
        <f>$E$733</f>
        <v>ASHP-SEER21-Replace_CAC_ElectricHeat_ER2_SF</v>
      </c>
      <c r="G1225" s="2404"/>
      <c r="H1225" s="2404"/>
      <c r="I1225" s="2404"/>
      <c r="J1225" s="1506" t="str">
        <f>$C$733</f>
        <v>353550_2024_12_</v>
      </c>
      <c r="K1225" s="1977">
        <v>8.9700000000000006</v>
      </c>
      <c r="L1225" s="913"/>
      <c r="M1225" s="2438"/>
      <c r="P1225" s="243"/>
      <c r="Q1225" s="192"/>
      <c r="R1225" s="243"/>
      <c r="T1225" s="166"/>
      <c r="U1225" s="50"/>
      <c r="V1225" s="2434"/>
      <c r="W1225" s="1268">
        <v>9.4</v>
      </c>
      <c r="X1225" s="1268">
        <v>9.4</v>
      </c>
      <c r="Y1225" s="1268">
        <v>9.4</v>
      </c>
      <c r="Z1225" s="1268">
        <v>9.4</v>
      </c>
      <c r="AA1225" s="1268">
        <v>9.4</v>
      </c>
      <c r="AB1225" s="1268">
        <v>9.4</v>
      </c>
      <c r="AC1225" s="195">
        <f>AC1224</f>
        <v>10.727272727272727</v>
      </c>
      <c r="AD1225" s="911">
        <v>10.727272727272727</v>
      </c>
      <c r="AE1225" s="910">
        <v>10.753333333333332</v>
      </c>
      <c r="AF1225" s="253">
        <v>10.753333333333332</v>
      </c>
      <c r="AG1225" s="253">
        <f t="shared" si="206"/>
        <v>8.9700000000000006</v>
      </c>
      <c r="AI1225" s="899"/>
      <c r="DG1225" s="543"/>
      <c r="DH1225" s="149"/>
      <c r="DI1225" s="1020"/>
      <c r="DJ1225" s="2045"/>
    </row>
    <row r="1226" spans="1:114" ht="15" customHeight="1" outlineLevel="1" x14ac:dyDescent="0.25">
      <c r="A1226" s="2145"/>
      <c r="C1226" s="49"/>
      <c r="D1226" s="2394"/>
      <c r="E1226" s="2394"/>
      <c r="F1226" s="2404" t="str">
        <f>$E$735</f>
        <v>ASHP-SEER21-Replace_CAC_NonElectricHeat_ER1_SF</v>
      </c>
      <c r="G1226" s="2404"/>
      <c r="H1226" s="2404"/>
      <c r="I1226" s="2404"/>
      <c r="J1226" s="1506" t="str">
        <f>$C$735</f>
        <v>353560_2024_12_</v>
      </c>
      <c r="K1226" s="1977">
        <v>8.9700000000000006</v>
      </c>
      <c r="L1226" s="913"/>
      <c r="M1226" s="2438"/>
      <c r="P1226" s="243"/>
      <c r="Q1226" s="192"/>
      <c r="R1226" s="243"/>
      <c r="T1226" s="166"/>
      <c r="U1226" s="50"/>
      <c r="V1226" s="2434"/>
      <c r="W1226" s="1268"/>
      <c r="X1226" s="1268"/>
      <c r="Y1226" s="1268"/>
      <c r="Z1226" s="1268"/>
      <c r="AA1226" s="1268"/>
      <c r="AB1226" s="1268"/>
      <c r="AC1226" s="195">
        <v>10.727272727272727</v>
      </c>
      <c r="AD1226" s="911">
        <v>10.727272727272727</v>
      </c>
      <c r="AE1226" s="910">
        <v>10.753333333333332</v>
      </c>
      <c r="AF1226" s="253">
        <v>10.753333333333332</v>
      </c>
      <c r="AG1226" s="253">
        <f t="shared" si="206"/>
        <v>8.9700000000000006</v>
      </c>
      <c r="AI1226" s="899"/>
      <c r="DG1226" s="543"/>
      <c r="DH1226" s="149"/>
      <c r="DI1226" s="1020"/>
      <c r="DJ1226" s="2045"/>
    </row>
    <row r="1227" spans="1:114" ht="15" customHeight="1" outlineLevel="1" x14ac:dyDescent="0.25">
      <c r="A1227" s="2145"/>
      <c r="C1227" s="49"/>
      <c r="D1227" s="2394"/>
      <c r="E1227" s="2394"/>
      <c r="F1227" s="2404" t="str">
        <f>$E$737</f>
        <v>ASHP-SEER21-Replace_CAC_NonElectricHeat_ER2_SF</v>
      </c>
      <c r="G1227" s="2404"/>
      <c r="H1227" s="2404"/>
      <c r="I1227" s="2404"/>
      <c r="J1227" s="1506" t="str">
        <f>$C$737</f>
        <v>353560_2024_12_</v>
      </c>
      <c r="K1227" s="1977">
        <v>8.9700000000000006</v>
      </c>
      <c r="L1227" s="913"/>
      <c r="M1227" s="2438"/>
      <c r="P1227" s="243"/>
      <c r="Q1227" s="192"/>
      <c r="R1227" s="243"/>
      <c r="T1227" s="166"/>
      <c r="U1227" s="50"/>
      <c r="V1227" s="2434"/>
      <c r="W1227" s="1268"/>
      <c r="X1227" s="1268"/>
      <c r="Y1227" s="1268"/>
      <c r="Z1227" s="1268"/>
      <c r="AA1227" s="1268"/>
      <c r="AB1227" s="1268"/>
      <c r="AC1227" s="195">
        <f>AC1226</f>
        <v>10.727272727272727</v>
      </c>
      <c r="AD1227" s="911">
        <v>10.727272727272727</v>
      </c>
      <c r="AE1227" s="910">
        <v>10.753333333333332</v>
      </c>
      <c r="AF1227" s="253">
        <v>10.753333333333332</v>
      </c>
      <c r="AG1227" s="253">
        <f t="shared" si="206"/>
        <v>8.9700000000000006</v>
      </c>
      <c r="AI1227" s="899"/>
      <c r="DG1227" s="543"/>
      <c r="DH1227" s="149"/>
      <c r="DI1227" s="1020"/>
      <c r="DJ1227" s="2045"/>
    </row>
    <row r="1228" spans="1:114" ht="15" customHeight="1" outlineLevel="1" x14ac:dyDescent="0.25">
      <c r="A1228" s="2145"/>
      <c r="C1228" s="49"/>
      <c r="D1228" s="2394"/>
      <c r="E1228" s="2394"/>
      <c r="F1228" s="2404" t="str">
        <f>$E$739</f>
        <v>ASHP-SEER21-Replace_CAC_ElectricHeat_ER1_MF</v>
      </c>
      <c r="G1228" s="2404"/>
      <c r="H1228" s="2404"/>
      <c r="I1228" s="2404"/>
      <c r="J1228" s="1506" t="str">
        <f>$C$739</f>
        <v>353600_2024_12_</v>
      </c>
      <c r="K1228" s="1978">
        <v>8.9700000000000006</v>
      </c>
      <c r="L1228" s="913"/>
      <c r="M1228" s="2438"/>
      <c r="P1228" s="243"/>
      <c r="Q1228" s="192"/>
      <c r="R1228" s="243"/>
      <c r="T1228" s="166"/>
      <c r="U1228" s="50"/>
      <c r="V1228" s="2434"/>
      <c r="W1228" s="1268">
        <v>9.4</v>
      </c>
      <c r="X1228" s="1268">
        <v>9.4</v>
      </c>
      <c r="Y1228" s="1268">
        <v>9.4</v>
      </c>
      <c r="Z1228" s="1268">
        <v>9.4</v>
      </c>
      <c r="AA1228" s="1268">
        <v>9.4</v>
      </c>
      <c r="AB1228" s="1268">
        <v>9.4</v>
      </c>
      <c r="AC1228" s="194">
        <v>9.4</v>
      </c>
      <c r="AD1228" s="194">
        <v>9.4</v>
      </c>
      <c r="AE1228" s="912">
        <v>9.4</v>
      </c>
      <c r="AF1228" s="253">
        <v>9.4</v>
      </c>
      <c r="AG1228" s="253">
        <f t="shared" si="206"/>
        <v>8.9700000000000006</v>
      </c>
      <c r="AI1228" s="899"/>
      <c r="DG1228" s="543"/>
      <c r="DH1228" s="149"/>
      <c r="DI1228" s="1020"/>
      <c r="DJ1228" s="2045"/>
    </row>
    <row r="1229" spans="1:114" ht="15" customHeight="1" outlineLevel="1" x14ac:dyDescent="0.25">
      <c r="A1229" s="2145"/>
      <c r="C1229" s="49"/>
      <c r="D1229" s="2394"/>
      <c r="E1229" s="2394"/>
      <c r="F1229" s="2404" t="str">
        <f>$E$741</f>
        <v>ASHP-SEER21-Replace_CAC_ElectricHeat_ER2_MF</v>
      </c>
      <c r="G1229" s="2404"/>
      <c r="H1229" s="2404"/>
      <c r="I1229" s="2404"/>
      <c r="J1229" s="1506" t="str">
        <f>$C$741</f>
        <v>353600_2024_12_</v>
      </c>
      <c r="K1229" s="1978">
        <v>8.9700000000000006</v>
      </c>
      <c r="L1229" s="913"/>
      <c r="M1229" s="2438"/>
      <c r="P1229" s="243"/>
      <c r="Q1229" s="192"/>
      <c r="R1229" s="243"/>
      <c r="T1229" s="166"/>
      <c r="U1229" s="50"/>
      <c r="V1229" s="2434"/>
      <c r="W1229" s="1268">
        <v>9.4</v>
      </c>
      <c r="X1229" s="1268">
        <v>9.4</v>
      </c>
      <c r="Y1229" s="1268">
        <v>9.4</v>
      </c>
      <c r="Z1229" s="1268">
        <v>9.4</v>
      </c>
      <c r="AA1229" s="1268">
        <v>9.4</v>
      </c>
      <c r="AB1229" s="1268">
        <v>9.4</v>
      </c>
      <c r="AC1229" s="194">
        <v>9.4</v>
      </c>
      <c r="AD1229" s="194">
        <v>9.4</v>
      </c>
      <c r="AE1229" s="912">
        <v>9.4</v>
      </c>
      <c r="AF1229" s="253">
        <v>9.4</v>
      </c>
      <c r="AG1229" s="253">
        <f t="shared" si="206"/>
        <v>8.9700000000000006</v>
      </c>
      <c r="AI1229" s="899"/>
      <c r="DG1229" s="543"/>
      <c r="DH1229" s="149"/>
      <c r="DI1229" s="1020"/>
      <c r="DJ1229" s="2045"/>
    </row>
    <row r="1230" spans="1:114" ht="15" customHeight="1" outlineLevel="1" x14ac:dyDescent="0.25">
      <c r="A1230" s="2145"/>
      <c r="C1230" s="49"/>
      <c r="D1230" s="2394"/>
      <c r="E1230" s="2394"/>
      <c r="F1230" s="2404" t="str">
        <f>$E$743</f>
        <v>ASHP-SEER21-Replace_CAC_ElectricHeat_ROF_SF</v>
      </c>
      <c r="G1230" s="2404"/>
      <c r="H1230" s="2404"/>
      <c r="I1230" s="2404"/>
      <c r="J1230" s="1506" t="str">
        <f>$C$743</f>
        <v>353650_2024_12_</v>
      </c>
      <c r="K1230" s="1977">
        <v>8.9700000000000006</v>
      </c>
      <c r="L1230" s="913"/>
      <c r="M1230" s="2438"/>
      <c r="P1230" s="243"/>
      <c r="Q1230" s="192"/>
      <c r="R1230" s="243"/>
      <c r="T1230" s="166"/>
      <c r="U1230" s="50"/>
      <c r="V1230" s="2434"/>
      <c r="W1230" s="1268">
        <v>9.6999999999999993</v>
      </c>
      <c r="X1230" s="1268">
        <v>9.6999999999999993</v>
      </c>
      <c r="Y1230" s="1268">
        <v>9.6999999999999993</v>
      </c>
      <c r="Z1230" s="1268">
        <v>9.6999999999999993</v>
      </c>
      <c r="AA1230" s="1268">
        <v>9.6999999999999993</v>
      </c>
      <c r="AB1230" s="1268">
        <v>9.6999999999999993</v>
      </c>
      <c r="AC1230" s="195">
        <v>10.5</v>
      </c>
      <c r="AD1230" s="910">
        <v>11</v>
      </c>
      <c r="AE1230" s="910">
        <v>10.609090909090909</v>
      </c>
      <c r="AF1230" s="253">
        <v>10.609090909090909</v>
      </c>
      <c r="AG1230" s="253">
        <f t="shared" si="206"/>
        <v>8.9700000000000006</v>
      </c>
      <c r="AI1230" s="899"/>
      <c r="DG1230" s="543"/>
      <c r="DH1230" s="149"/>
      <c r="DI1230" s="1020"/>
      <c r="DJ1230" s="2045"/>
    </row>
    <row r="1231" spans="1:114" ht="15" customHeight="1" outlineLevel="1" x14ac:dyDescent="0.25">
      <c r="A1231" s="2145"/>
      <c r="C1231" s="49"/>
      <c r="D1231" s="2394"/>
      <c r="E1231" s="2394"/>
      <c r="F1231" s="2404" t="str">
        <f>$E$745</f>
        <v>ASHP-SEER21-Replace_CAC_NonElectricHeat_ROF_SF</v>
      </c>
      <c r="G1231" s="2404"/>
      <c r="H1231" s="2404"/>
      <c r="I1231" s="2404"/>
      <c r="J1231" s="1506" t="str">
        <f>$C$745</f>
        <v>353660_2024_12_</v>
      </c>
      <c r="K1231" s="1977">
        <v>8.9700000000000006</v>
      </c>
      <c r="L1231" s="913"/>
      <c r="M1231" s="2438"/>
      <c r="P1231" s="243"/>
      <c r="Q1231" s="192"/>
      <c r="R1231" s="243"/>
      <c r="T1231" s="166"/>
      <c r="U1231" s="50"/>
      <c r="V1231" s="2434"/>
      <c r="W1231" s="1268"/>
      <c r="X1231" s="779"/>
      <c r="Y1231" s="779"/>
      <c r="Z1231" s="1268"/>
      <c r="AA1231" s="1268"/>
      <c r="AB1231" s="195"/>
      <c r="AC1231" s="195"/>
      <c r="AD1231" s="910">
        <v>11</v>
      </c>
      <c r="AE1231" s="910">
        <v>10.609090909090909</v>
      </c>
      <c r="AF1231" s="253">
        <v>10.609090909090909</v>
      </c>
      <c r="AG1231" s="253">
        <f t="shared" si="206"/>
        <v>8.9700000000000006</v>
      </c>
      <c r="AI1231" s="899"/>
      <c r="DG1231" s="543"/>
      <c r="DH1231" s="149"/>
      <c r="DI1231" s="1020"/>
      <c r="DJ1231" s="2045"/>
    </row>
    <row r="1232" spans="1:114" ht="15" customHeight="1" outlineLevel="1" x14ac:dyDescent="0.25">
      <c r="A1232" s="2145"/>
      <c r="C1232" s="49"/>
      <c r="D1232" s="2394"/>
      <c r="E1232" s="2394"/>
      <c r="F1232" s="2404" t="str">
        <f>$E$747</f>
        <v>ASHP-SEER17_ER1_SF</v>
      </c>
      <c r="G1232" s="2404"/>
      <c r="H1232" s="2404"/>
      <c r="I1232" s="2404"/>
      <c r="J1232" s="1506" t="str">
        <f>$C$747</f>
        <v>353750_2024_12_</v>
      </c>
      <c r="K1232" s="1977">
        <v>8.4499999999999993</v>
      </c>
      <c r="L1232" s="913"/>
      <c r="M1232" s="2438"/>
      <c r="P1232" s="243"/>
      <c r="Q1232" s="192"/>
      <c r="R1232" s="243"/>
      <c r="T1232" s="166"/>
      <c r="U1232" s="50"/>
      <c r="V1232" s="2434"/>
      <c r="W1232" s="1268">
        <v>9.5</v>
      </c>
      <c r="X1232" s="1268">
        <v>9.5</v>
      </c>
      <c r="Y1232" s="1268">
        <v>9.5</v>
      </c>
      <c r="Z1232" s="1268">
        <v>9.5</v>
      </c>
      <c r="AA1232" s="1268">
        <v>9.5</v>
      </c>
      <c r="AB1232" s="1268">
        <v>9.5</v>
      </c>
      <c r="AC1232" s="195">
        <v>9.3857142857142861</v>
      </c>
      <c r="AD1232" s="910">
        <v>9.4631147540983651</v>
      </c>
      <c r="AE1232" s="910">
        <v>9.4688524590163912</v>
      </c>
      <c r="AF1232" s="253">
        <v>9.4688524590163912</v>
      </c>
      <c r="AG1232" s="253">
        <f t="shared" si="206"/>
        <v>8.4499999999999993</v>
      </c>
      <c r="AI1232" s="899"/>
      <c r="DG1232" s="543"/>
      <c r="DH1232" s="149"/>
      <c r="DI1232" s="1020"/>
      <c r="DJ1232" s="2045"/>
    </row>
    <row r="1233" spans="1:114" ht="15" customHeight="1" outlineLevel="1" x14ac:dyDescent="0.25">
      <c r="A1233" s="2145"/>
      <c r="C1233" s="49"/>
      <c r="D1233" s="2394"/>
      <c r="E1233" s="2394"/>
      <c r="F1233" s="2404" t="str">
        <f>$E$749</f>
        <v>ASHP-SEER17_ER2_SF</v>
      </c>
      <c r="G1233" s="2404"/>
      <c r="H1233" s="2404"/>
      <c r="I1233" s="2404"/>
      <c r="J1233" s="1506" t="str">
        <f>$C$749</f>
        <v>353750_2024_12_</v>
      </c>
      <c r="K1233" s="1977">
        <v>8.4499999999999993</v>
      </c>
      <c r="L1233" s="913"/>
      <c r="M1233" s="2438"/>
      <c r="T1233" s="50"/>
      <c r="U1233" s="50"/>
      <c r="V1233" s="2434"/>
      <c r="W1233" s="1268">
        <v>9.5</v>
      </c>
      <c r="X1233" s="1268">
        <v>9.5</v>
      </c>
      <c r="Y1233" s="1268">
        <v>9.5</v>
      </c>
      <c r="Z1233" s="1268">
        <v>9.5</v>
      </c>
      <c r="AA1233" s="1268">
        <v>9.5</v>
      </c>
      <c r="AB1233" s="1268">
        <v>9.5</v>
      </c>
      <c r="AC1233" s="195">
        <f>AC1232</f>
        <v>9.3857142857142861</v>
      </c>
      <c r="AD1233" s="910">
        <v>9.4631147540983651</v>
      </c>
      <c r="AE1233" s="910">
        <v>9.4688524590163912</v>
      </c>
      <c r="AF1233" s="253">
        <v>9.4688524590163912</v>
      </c>
      <c r="AG1233" s="253">
        <f t="shared" si="206"/>
        <v>8.4499999999999993</v>
      </c>
      <c r="AI1233" s="899"/>
      <c r="DG1233" s="543"/>
      <c r="DH1233" s="149"/>
      <c r="DI1233" s="1020"/>
      <c r="DJ1233" s="2045"/>
    </row>
    <row r="1234" spans="1:114" ht="15" customHeight="1" outlineLevel="1" x14ac:dyDescent="0.25">
      <c r="A1234" s="2145"/>
      <c r="C1234" s="49"/>
      <c r="D1234" s="2394"/>
      <c r="E1234" s="2394"/>
      <c r="F1234" s="2404" t="str">
        <f>$E$751</f>
        <v>ASHP-SEER17_ROF_SF</v>
      </c>
      <c r="G1234" s="2404"/>
      <c r="H1234" s="2404"/>
      <c r="I1234" s="2404"/>
      <c r="J1234" s="1506" t="str">
        <f>$C$751</f>
        <v>353800_2024_12_</v>
      </c>
      <c r="K1234" s="1977">
        <v>8.4499999999999993</v>
      </c>
      <c r="L1234" s="913"/>
      <c r="M1234" s="2438"/>
      <c r="P1234" s="243"/>
      <c r="Q1234" s="192"/>
      <c r="R1234" s="243"/>
      <c r="T1234" s="166"/>
      <c r="U1234" s="50"/>
      <c r="V1234" s="2434"/>
      <c r="W1234" s="1268">
        <v>9.8000000000000007</v>
      </c>
      <c r="X1234" s="1268">
        <v>9.8000000000000007</v>
      </c>
      <c r="Y1234" s="1268">
        <v>9.8000000000000007</v>
      </c>
      <c r="Z1234" s="1268">
        <v>9.8000000000000007</v>
      </c>
      <c r="AA1234" s="1268">
        <v>9.8000000000000007</v>
      </c>
      <c r="AB1234" s="1268">
        <v>9.8000000000000007</v>
      </c>
      <c r="AC1234" s="195">
        <v>9.6047619047619044</v>
      </c>
      <c r="AD1234" s="910">
        <v>9.4181159420289866</v>
      </c>
      <c r="AE1234" s="910">
        <v>9.4296296296296287</v>
      </c>
      <c r="AF1234" s="253">
        <v>9.4296296296296287</v>
      </c>
      <c r="AG1234" s="253">
        <f t="shared" si="206"/>
        <v>8.4499999999999993</v>
      </c>
      <c r="AI1234" s="899"/>
      <c r="DG1234" s="543"/>
      <c r="DH1234" s="149"/>
      <c r="DI1234" s="1020"/>
      <c r="DJ1234" s="2045"/>
    </row>
    <row r="1235" spans="1:114" ht="15" customHeight="1" outlineLevel="1" x14ac:dyDescent="0.25">
      <c r="A1235" s="2145"/>
      <c r="C1235" s="49"/>
      <c r="D1235" s="2394"/>
      <c r="E1235" s="2394"/>
      <c r="F1235" s="2404" t="str">
        <f>$E$753</f>
        <v>ASHP-SEER18_ER1_SF</v>
      </c>
      <c r="G1235" s="2404"/>
      <c r="H1235" s="2404"/>
      <c r="I1235" s="2404"/>
      <c r="J1235" s="1506" t="str">
        <f>$C$753</f>
        <v>353850_2024_12_</v>
      </c>
      <c r="K1235" s="1977">
        <v>8.5</v>
      </c>
      <c r="L1235" s="913"/>
      <c r="M1235" s="2438"/>
      <c r="T1235" s="50"/>
      <c r="U1235" s="50"/>
      <c r="V1235" s="2434"/>
      <c r="W1235" s="1268">
        <v>9.5</v>
      </c>
      <c r="X1235" s="1268">
        <v>9.5</v>
      </c>
      <c r="Y1235" s="1268">
        <v>9.5</v>
      </c>
      <c r="Z1235" s="1268">
        <v>9.5</v>
      </c>
      <c r="AA1235" s="1268">
        <v>9.5</v>
      </c>
      <c r="AB1235" s="232">
        <v>9.6830769230769231</v>
      </c>
      <c r="AC1235" s="195">
        <v>9.9742424242424281</v>
      </c>
      <c r="AD1235" s="910">
        <v>10.124561403508777</v>
      </c>
      <c r="AE1235" s="910">
        <v>10.033870967741937</v>
      </c>
      <c r="AF1235" s="253">
        <v>10.033870967741937</v>
      </c>
      <c r="AG1235" s="253">
        <f t="shared" si="206"/>
        <v>8.5</v>
      </c>
      <c r="AI1235" s="899"/>
      <c r="DG1235" s="543"/>
      <c r="DH1235" s="149"/>
      <c r="DI1235" s="1020"/>
      <c r="DJ1235" s="2045"/>
    </row>
    <row r="1236" spans="1:114" ht="15" customHeight="1" outlineLevel="1" x14ac:dyDescent="0.25">
      <c r="A1236" s="2145"/>
      <c r="C1236" s="49"/>
      <c r="D1236" s="2394"/>
      <c r="E1236" s="2394"/>
      <c r="F1236" s="2404" t="str">
        <f>$E$755</f>
        <v>ASHP-SEER18_ER2_SF</v>
      </c>
      <c r="G1236" s="2404"/>
      <c r="H1236" s="2404"/>
      <c r="I1236" s="2404"/>
      <c r="J1236" s="1506" t="str">
        <f>$C$755</f>
        <v>353850_2024_12_</v>
      </c>
      <c r="K1236" s="1977">
        <v>8.5</v>
      </c>
      <c r="L1236" s="913"/>
      <c r="M1236" s="2438"/>
      <c r="T1236" s="50"/>
      <c r="U1236" s="50"/>
      <c r="V1236" s="2434"/>
      <c r="W1236" s="1268">
        <v>9.5</v>
      </c>
      <c r="X1236" s="1268">
        <v>9.5</v>
      </c>
      <c r="Y1236" s="1268">
        <v>9.5</v>
      </c>
      <c r="Z1236" s="1268">
        <v>9.5</v>
      </c>
      <c r="AA1236" s="1268">
        <v>9.5</v>
      </c>
      <c r="AB1236" s="232">
        <v>9.6830769230769231</v>
      </c>
      <c r="AC1236" s="195">
        <f>AC1235</f>
        <v>9.9742424242424281</v>
      </c>
      <c r="AD1236" s="910">
        <v>10.124561403508777</v>
      </c>
      <c r="AE1236" s="910">
        <v>10.033870967741937</v>
      </c>
      <c r="AF1236" s="253">
        <v>10.033870967741937</v>
      </c>
      <c r="AG1236" s="253">
        <f t="shared" si="206"/>
        <v>8.5</v>
      </c>
      <c r="AI1236" s="899"/>
      <c r="DG1236" s="543"/>
      <c r="DH1236" s="149"/>
      <c r="DI1236" s="1020"/>
      <c r="DJ1236" s="2045"/>
    </row>
    <row r="1237" spans="1:114" ht="15" customHeight="1" outlineLevel="1" x14ac:dyDescent="0.25">
      <c r="A1237" s="2145"/>
      <c r="C1237" s="49"/>
      <c r="D1237" s="2394"/>
      <c r="E1237" s="2394"/>
      <c r="F1237" s="2404" t="str">
        <f>$E$757</f>
        <v>ASHP-SEER18_ROF_SF</v>
      </c>
      <c r="G1237" s="2404"/>
      <c r="H1237" s="2404"/>
      <c r="I1237" s="2404"/>
      <c r="J1237" s="1506" t="str">
        <f>$C$757</f>
        <v>353950_2024_12_</v>
      </c>
      <c r="K1237" s="1977">
        <v>8.5</v>
      </c>
      <c r="L1237" s="913"/>
      <c r="M1237" s="2438"/>
      <c r="P1237" s="243"/>
      <c r="Q1237" s="192"/>
      <c r="R1237" s="243"/>
      <c r="T1237" s="166"/>
      <c r="U1237" s="50"/>
      <c r="V1237" s="2434"/>
      <c r="W1237" s="1268">
        <v>9.8000000000000007</v>
      </c>
      <c r="X1237" s="1268">
        <v>9.8000000000000007</v>
      </c>
      <c r="Y1237" s="1268">
        <v>9.8000000000000007</v>
      </c>
      <c r="Z1237" s="1268">
        <v>9.8000000000000007</v>
      </c>
      <c r="AA1237" s="1268">
        <v>9.8000000000000007</v>
      </c>
      <c r="AB1237" s="1268">
        <v>9.8000000000000007</v>
      </c>
      <c r="AC1237" s="195">
        <v>10.549999999999999</v>
      </c>
      <c r="AD1237" s="910">
        <v>10.148936170212766</v>
      </c>
      <c r="AE1237" s="910">
        <v>9.8957142857142895</v>
      </c>
      <c r="AF1237" s="253">
        <v>9.8957142857142895</v>
      </c>
      <c r="AG1237" s="253">
        <f t="shared" si="206"/>
        <v>8.5</v>
      </c>
      <c r="AI1237" s="899"/>
      <c r="DG1237" s="543"/>
      <c r="DH1237" s="149"/>
      <c r="DI1237" s="1020"/>
      <c r="DJ1237" s="2045"/>
    </row>
    <row r="1238" spans="1:114" ht="15" customHeight="1" outlineLevel="1" x14ac:dyDescent="0.25">
      <c r="A1238" s="2145"/>
      <c r="C1238" s="49"/>
      <c r="D1238" s="2394"/>
      <c r="E1238" s="2394"/>
      <c r="F1238" s="2404" t="str">
        <f>$E$759</f>
        <v>ASHP-SEER19_ER1_SF</v>
      </c>
      <c r="G1238" s="2404"/>
      <c r="H1238" s="2404"/>
      <c r="I1238" s="2404"/>
      <c r="J1238" s="1506" t="str">
        <f>$C$759</f>
        <v>354000_2024_12_</v>
      </c>
      <c r="K1238" s="1977">
        <v>8.6300000000000008</v>
      </c>
      <c r="L1238" s="913"/>
      <c r="M1238" s="2438"/>
      <c r="T1238" s="50"/>
      <c r="U1238" s="50"/>
      <c r="V1238" s="2434"/>
      <c r="W1238" s="1268">
        <v>9.5</v>
      </c>
      <c r="X1238" s="1268">
        <v>9.5</v>
      </c>
      <c r="Y1238" s="1268">
        <v>9.5</v>
      </c>
      <c r="Z1238" s="1268">
        <v>9.5</v>
      </c>
      <c r="AA1238" s="1268">
        <v>9.5</v>
      </c>
      <c r="AB1238" s="1268">
        <v>9.5</v>
      </c>
      <c r="AC1238" s="195">
        <v>10.040000000000001</v>
      </c>
      <c r="AD1238" s="910">
        <v>9.815151515151511</v>
      </c>
      <c r="AE1238" s="910">
        <v>10.081818181818182</v>
      </c>
      <c r="AF1238" s="253">
        <v>10.081818181818182</v>
      </c>
      <c r="AG1238" s="253">
        <f t="shared" si="206"/>
        <v>8.6300000000000008</v>
      </c>
      <c r="AI1238" s="899"/>
      <c r="DG1238" s="543"/>
      <c r="DH1238" s="149"/>
      <c r="DI1238" s="1020"/>
      <c r="DJ1238" s="2045"/>
    </row>
    <row r="1239" spans="1:114" ht="15" customHeight="1" outlineLevel="1" x14ac:dyDescent="0.25">
      <c r="A1239" s="2145"/>
      <c r="C1239" s="49"/>
      <c r="D1239" s="2394"/>
      <c r="E1239" s="2394"/>
      <c r="F1239" s="2404" t="str">
        <f>$E$761</f>
        <v>ASHP-SEER19_ER2_SF</v>
      </c>
      <c r="G1239" s="2404"/>
      <c r="H1239" s="2404"/>
      <c r="I1239" s="2404"/>
      <c r="J1239" s="1506" t="str">
        <f>$C$761</f>
        <v>354000_2024_12_</v>
      </c>
      <c r="K1239" s="1977">
        <v>8.6300000000000008</v>
      </c>
      <c r="L1239" s="913"/>
      <c r="M1239" s="2438"/>
      <c r="T1239" s="50"/>
      <c r="U1239" s="50"/>
      <c r="V1239" s="2434"/>
      <c r="W1239" s="1268">
        <v>9.5</v>
      </c>
      <c r="X1239" s="1268">
        <v>9.5</v>
      </c>
      <c r="Y1239" s="1268">
        <v>9.5</v>
      </c>
      <c r="Z1239" s="1268">
        <v>9.5</v>
      </c>
      <c r="AA1239" s="1268">
        <v>9.5</v>
      </c>
      <c r="AB1239" s="1268">
        <v>9.5</v>
      </c>
      <c r="AC1239" s="195">
        <f>AC1238</f>
        <v>10.040000000000001</v>
      </c>
      <c r="AD1239" s="910">
        <v>9.815151515151511</v>
      </c>
      <c r="AE1239" s="910">
        <v>10.081818181818182</v>
      </c>
      <c r="AF1239" s="253">
        <v>10.081818181818182</v>
      </c>
      <c r="AG1239" s="253">
        <f t="shared" si="206"/>
        <v>8.6300000000000008</v>
      </c>
      <c r="AI1239" s="899"/>
      <c r="DG1239" s="543"/>
      <c r="DH1239" s="149"/>
      <c r="DI1239" s="1020"/>
      <c r="DJ1239" s="2045"/>
    </row>
    <row r="1240" spans="1:114" ht="15" customHeight="1" outlineLevel="1" x14ac:dyDescent="0.25">
      <c r="A1240" s="2145"/>
      <c r="C1240" s="49"/>
      <c r="D1240" s="2394"/>
      <c r="E1240" s="2394"/>
      <c r="F1240" s="2404" t="str">
        <f>$E$763</f>
        <v>ASHP-SEER19_ROF_SF</v>
      </c>
      <c r="G1240" s="2404"/>
      <c r="H1240" s="2404"/>
      <c r="I1240" s="2404"/>
      <c r="J1240" s="1506" t="str">
        <f>$C$763</f>
        <v>354050_2024_12_</v>
      </c>
      <c r="K1240" s="1977">
        <v>8.6300000000000008</v>
      </c>
      <c r="L1240" s="913"/>
      <c r="M1240" s="2438"/>
      <c r="P1240" s="243"/>
      <c r="Q1240" s="192"/>
      <c r="R1240" s="243"/>
      <c r="T1240" s="166"/>
      <c r="U1240" s="50"/>
      <c r="V1240" s="2434"/>
      <c r="W1240" s="1268">
        <v>9.8000000000000007</v>
      </c>
      <c r="X1240" s="1268">
        <v>9.8000000000000007</v>
      </c>
      <c r="Y1240" s="1268">
        <v>9.8000000000000007</v>
      </c>
      <c r="Z1240" s="1268">
        <v>9.8000000000000007</v>
      </c>
      <c r="AA1240" s="1268">
        <v>9.8000000000000007</v>
      </c>
      <c r="AB1240" s="1268">
        <v>9.8000000000000007</v>
      </c>
      <c r="AC1240" s="195">
        <v>10.502222222222223</v>
      </c>
      <c r="AD1240" s="910">
        <v>10.115384615384615</v>
      </c>
      <c r="AE1240" s="911">
        <v>10.115384615384615</v>
      </c>
      <c r="AF1240" s="253">
        <v>10.115384615384615</v>
      </c>
      <c r="AG1240" s="253">
        <f t="shared" si="206"/>
        <v>8.6300000000000008</v>
      </c>
      <c r="AI1240" s="899"/>
      <c r="DG1240" s="543"/>
      <c r="DH1240" s="149"/>
      <c r="DI1240" s="1020"/>
      <c r="DJ1240" s="2045"/>
    </row>
    <row r="1241" spans="1:114" ht="15" customHeight="1" outlineLevel="1" x14ac:dyDescent="0.25">
      <c r="A1241" s="2145"/>
      <c r="C1241" s="49"/>
      <c r="D1241" s="2394"/>
      <c r="E1241" s="2394"/>
      <c r="F1241" s="2404" t="str">
        <f>$E$765</f>
        <v>ASHP-SEER17-Replace_CAC_ElectricHeat_ER1_SF</v>
      </c>
      <c r="G1241" s="2404"/>
      <c r="H1241" s="2404"/>
      <c r="I1241" s="2404"/>
      <c r="J1241" s="1506" t="str">
        <f>$C$765</f>
        <v>354100_2024_12_</v>
      </c>
      <c r="K1241" s="1977">
        <v>8.4499999999999993</v>
      </c>
      <c r="L1241" s="913"/>
      <c r="M1241" s="2438"/>
      <c r="P1241" s="243"/>
      <c r="Q1241" s="192"/>
      <c r="R1241" s="243"/>
      <c r="T1241" s="166"/>
      <c r="U1241" s="50"/>
      <c r="V1241" s="2434"/>
      <c r="W1241" s="1268">
        <v>9.4</v>
      </c>
      <c r="X1241" s="1268">
        <v>9.4</v>
      </c>
      <c r="Y1241" s="1268">
        <v>9.4</v>
      </c>
      <c r="Z1241" s="1268">
        <v>9.4</v>
      </c>
      <c r="AA1241" s="1268">
        <v>9.4</v>
      </c>
      <c r="AB1241" s="1268">
        <v>9.4</v>
      </c>
      <c r="AC1241" s="195">
        <v>9.5113636363636349</v>
      </c>
      <c r="AD1241" s="910">
        <v>9.4631147540983651</v>
      </c>
      <c r="AE1241" s="910">
        <v>9.4688524590163912</v>
      </c>
      <c r="AF1241" s="253">
        <v>9.4688524590163912</v>
      </c>
      <c r="AG1241" s="253">
        <f t="shared" si="206"/>
        <v>8.4499999999999993</v>
      </c>
      <c r="AI1241" s="899"/>
      <c r="DG1241" s="543"/>
      <c r="DH1241" s="149"/>
      <c r="DI1241" s="1020"/>
      <c r="DJ1241" s="2045"/>
    </row>
    <row r="1242" spans="1:114" ht="15" customHeight="1" outlineLevel="1" x14ac:dyDescent="0.25">
      <c r="A1242" s="2145"/>
      <c r="C1242" s="49"/>
      <c r="D1242" s="2394"/>
      <c r="E1242" s="2394"/>
      <c r="F1242" s="2404" t="str">
        <f>$E$767</f>
        <v>ASHP-SEER17-Replace_CAC_ElectricHeat_ER2_SF</v>
      </c>
      <c r="G1242" s="2404"/>
      <c r="H1242" s="2404"/>
      <c r="I1242" s="2404"/>
      <c r="J1242" s="1506" t="str">
        <f>$C$767</f>
        <v>354100_2024_12_</v>
      </c>
      <c r="K1242" s="1977">
        <v>8.4499999999999993</v>
      </c>
      <c r="L1242" s="913"/>
      <c r="M1242" s="2438"/>
      <c r="P1242" s="243"/>
      <c r="Q1242" s="192"/>
      <c r="R1242" s="243"/>
      <c r="T1242" s="166"/>
      <c r="U1242" s="50"/>
      <c r="V1242" s="2434"/>
      <c r="W1242" s="1268">
        <v>9.4</v>
      </c>
      <c r="X1242" s="1268">
        <v>9.4</v>
      </c>
      <c r="Y1242" s="1268">
        <v>9.4</v>
      </c>
      <c r="Z1242" s="1268">
        <v>9.4</v>
      </c>
      <c r="AA1242" s="1268">
        <v>9.4</v>
      </c>
      <c r="AB1242" s="1268">
        <v>9.4</v>
      </c>
      <c r="AC1242" s="195">
        <f>AC1241</f>
        <v>9.5113636363636349</v>
      </c>
      <c r="AD1242" s="910">
        <v>9.4631147540983651</v>
      </c>
      <c r="AE1242" s="910">
        <v>9.4688524590163912</v>
      </c>
      <c r="AF1242" s="253">
        <v>9.4688524590163912</v>
      </c>
      <c r="AG1242" s="253">
        <f t="shared" si="206"/>
        <v>8.4499999999999993</v>
      </c>
      <c r="AI1242" s="899"/>
      <c r="DG1242" s="543"/>
      <c r="DH1242" s="149"/>
      <c r="DI1242" s="1020"/>
      <c r="DJ1242" s="2045"/>
    </row>
    <row r="1243" spans="1:114" ht="15" customHeight="1" outlineLevel="1" x14ac:dyDescent="0.25">
      <c r="A1243" s="2145"/>
      <c r="C1243" s="49"/>
      <c r="D1243" s="2394"/>
      <c r="E1243" s="2394"/>
      <c r="F1243" s="2404" t="str">
        <f>$E$769</f>
        <v>ASHP-SEER17-Replace_CAC_NonElectricHeat_ER1_SF</v>
      </c>
      <c r="G1243" s="2404"/>
      <c r="H1243" s="2404"/>
      <c r="I1243" s="2404"/>
      <c r="J1243" s="1506" t="str">
        <f>$C$769</f>
        <v>354110_2024_12_</v>
      </c>
      <c r="K1243" s="1977">
        <v>8.4499999999999993</v>
      </c>
      <c r="L1243" s="913"/>
      <c r="M1243" s="2438"/>
      <c r="P1243" s="243"/>
      <c r="Q1243" s="192"/>
      <c r="R1243" s="243"/>
      <c r="T1243" s="166"/>
      <c r="U1243" s="50"/>
      <c r="V1243" s="2434"/>
      <c r="W1243" s="1268"/>
      <c r="X1243" s="1268"/>
      <c r="Y1243" s="1268"/>
      <c r="Z1243" s="1268"/>
      <c r="AA1243" s="1268"/>
      <c r="AB1243" s="1268"/>
      <c r="AC1243" s="195">
        <v>9.5113636363636349</v>
      </c>
      <c r="AD1243" s="910">
        <v>9.4631147540983651</v>
      </c>
      <c r="AE1243" s="910">
        <v>9.4688524590163912</v>
      </c>
      <c r="AF1243" s="253">
        <v>9.4688524590163912</v>
      </c>
      <c r="AG1243" s="253">
        <f t="shared" si="206"/>
        <v>8.4499999999999993</v>
      </c>
      <c r="AI1243" s="899"/>
      <c r="DG1243" s="543"/>
      <c r="DH1243" s="149"/>
      <c r="DI1243" s="1020"/>
      <c r="DJ1243" s="2045"/>
    </row>
    <row r="1244" spans="1:114" ht="15" customHeight="1" outlineLevel="1" x14ac:dyDescent="0.25">
      <c r="A1244" s="2145"/>
      <c r="C1244" s="49"/>
      <c r="D1244" s="2394"/>
      <c r="E1244" s="2394"/>
      <c r="F1244" s="2404" t="str">
        <f>$E$771</f>
        <v>ASHP-SEER17-Replace_CAC_NonElectricHeat_ER2_SF</v>
      </c>
      <c r="G1244" s="2404"/>
      <c r="H1244" s="2404"/>
      <c r="I1244" s="2404"/>
      <c r="J1244" s="1506" t="str">
        <f>$C$771</f>
        <v>354110_2024_12_</v>
      </c>
      <c r="K1244" s="1977">
        <v>8.4499999999999993</v>
      </c>
      <c r="L1244" s="913"/>
      <c r="M1244" s="2438"/>
      <c r="P1244" s="243"/>
      <c r="Q1244" s="192"/>
      <c r="R1244" s="243"/>
      <c r="T1244" s="166"/>
      <c r="U1244" s="50"/>
      <c r="V1244" s="2434"/>
      <c r="W1244" s="1268"/>
      <c r="X1244" s="1268"/>
      <c r="Y1244" s="1268"/>
      <c r="Z1244" s="1268"/>
      <c r="AA1244" s="1268"/>
      <c r="AB1244" s="1268"/>
      <c r="AC1244" s="195">
        <f>AC1243</f>
        <v>9.5113636363636349</v>
      </c>
      <c r="AD1244" s="910">
        <v>9.4631147540983651</v>
      </c>
      <c r="AE1244" s="910">
        <v>9.4688524590163912</v>
      </c>
      <c r="AF1244" s="253">
        <v>9.4688524590163912</v>
      </c>
      <c r="AG1244" s="253">
        <f t="shared" si="206"/>
        <v>8.4499999999999993</v>
      </c>
      <c r="AI1244" s="899"/>
      <c r="DG1244" s="543"/>
      <c r="DH1244" s="149"/>
      <c r="DI1244" s="1020"/>
      <c r="DJ1244" s="2045"/>
    </row>
    <row r="1245" spans="1:114" ht="15.75" customHeight="1" outlineLevel="1" x14ac:dyDescent="0.25">
      <c r="A1245" s="2145"/>
      <c r="C1245" s="49"/>
      <c r="D1245" s="2394"/>
      <c r="E1245" s="2394"/>
      <c r="F1245" s="1968" t="s">
        <v>1223</v>
      </c>
      <c r="G1245" s="1969"/>
      <c r="H1245" s="1969"/>
      <c r="I1245" s="1970"/>
      <c r="J1245" s="2095" t="s">
        <v>1222</v>
      </c>
      <c r="K1245" s="1978">
        <v>8.4499999999999993</v>
      </c>
      <c r="L1245" s="913"/>
      <c r="M1245" s="2438"/>
      <c r="T1245" s="50"/>
      <c r="U1245" s="50"/>
      <c r="V1245" s="2434"/>
      <c r="W1245" s="1268"/>
      <c r="X1245" s="1268"/>
      <c r="Y1245" s="1268"/>
      <c r="Z1245" s="1268"/>
      <c r="AA1245" s="1268"/>
      <c r="AB1245" s="1268"/>
      <c r="AC1245" s="752"/>
      <c r="AD1245" s="966"/>
      <c r="AE1245" s="909"/>
      <c r="AF1245" s="253"/>
      <c r="AG1245" s="253">
        <f>IF(K1245&lt;&gt;"",K1245,"")</f>
        <v>8.4499999999999993</v>
      </c>
      <c r="DG1245" s="543"/>
      <c r="DH1245" s="149"/>
      <c r="DI1245" s="1020"/>
      <c r="DJ1245" s="2045"/>
    </row>
    <row r="1246" spans="1:114" ht="15.75" customHeight="1" outlineLevel="1" x14ac:dyDescent="0.25">
      <c r="A1246" s="2145"/>
      <c r="C1246" s="49"/>
      <c r="D1246" s="2394"/>
      <c r="E1246" s="2394"/>
      <c r="F1246" s="1968" t="s">
        <v>1224</v>
      </c>
      <c r="G1246" s="1969"/>
      <c r="H1246" s="1969"/>
      <c r="I1246" s="1970"/>
      <c r="J1246" s="2095" t="s">
        <v>1222</v>
      </c>
      <c r="K1246" s="1978">
        <v>8.4499999999999993</v>
      </c>
      <c r="L1246" s="913"/>
      <c r="M1246" s="2438"/>
      <c r="T1246" s="50"/>
      <c r="U1246" s="50"/>
      <c r="V1246" s="2434"/>
      <c r="W1246" s="1268"/>
      <c r="X1246" s="1268"/>
      <c r="Y1246" s="1268"/>
      <c r="Z1246" s="1268"/>
      <c r="AA1246" s="1268"/>
      <c r="AB1246" s="1268"/>
      <c r="AC1246" s="752"/>
      <c r="AD1246" s="966"/>
      <c r="AE1246" s="909"/>
      <c r="AF1246" s="253"/>
      <c r="AG1246" s="253">
        <f>IF(K1246&lt;&gt;"",K1246,"")</f>
        <v>8.4499999999999993</v>
      </c>
      <c r="DG1246" s="543"/>
      <c r="DH1246" s="149"/>
      <c r="DI1246" s="1020"/>
      <c r="DJ1246" s="2045"/>
    </row>
    <row r="1247" spans="1:114" ht="15" customHeight="1" outlineLevel="1" x14ac:dyDescent="0.25">
      <c r="A1247" s="2145"/>
      <c r="C1247" s="49"/>
      <c r="D1247" s="2394"/>
      <c r="E1247" s="2394"/>
      <c r="F1247" s="2404" t="str">
        <f>$E$777</f>
        <v>ASHP-SEER17-Replace_CAC_ElectricHeat_ER1_MF</v>
      </c>
      <c r="G1247" s="2404"/>
      <c r="H1247" s="2404"/>
      <c r="I1247" s="2404"/>
      <c r="J1247" s="1506" t="str">
        <f>$C$777</f>
        <v>354150_2024_12_</v>
      </c>
      <c r="K1247" s="1978">
        <v>8.4499999999999993</v>
      </c>
      <c r="L1247" s="913"/>
      <c r="M1247" s="2438"/>
      <c r="P1247" s="243"/>
      <c r="Q1247" s="192"/>
      <c r="R1247" s="243"/>
      <c r="T1247" s="166"/>
      <c r="U1247" s="50"/>
      <c r="V1247" s="2434"/>
      <c r="W1247" s="1268">
        <v>9.4</v>
      </c>
      <c r="X1247" s="1268">
        <v>9.4</v>
      </c>
      <c r="Y1247" s="1268">
        <v>9.4</v>
      </c>
      <c r="Z1247" s="1268">
        <v>9.4</v>
      </c>
      <c r="AA1247" s="1268">
        <v>9.4</v>
      </c>
      <c r="AB1247" s="1268">
        <v>9.4</v>
      </c>
      <c r="AC1247" s="194">
        <v>9.4</v>
      </c>
      <c r="AD1247" s="194">
        <v>9.4</v>
      </c>
      <c r="AE1247" s="912">
        <v>9.4</v>
      </c>
      <c r="AF1247" s="253">
        <v>9.4</v>
      </c>
      <c r="AG1247" s="253">
        <f t="shared" si="206"/>
        <v>8.4499999999999993</v>
      </c>
      <c r="AI1247" s="899"/>
      <c r="DG1247" s="543"/>
      <c r="DH1247" s="149"/>
      <c r="DI1247" s="1020"/>
      <c r="DJ1247" s="2045"/>
    </row>
    <row r="1248" spans="1:114" ht="15" customHeight="1" outlineLevel="1" x14ac:dyDescent="0.25">
      <c r="A1248" s="2145"/>
      <c r="C1248" s="49"/>
      <c r="D1248" s="2394"/>
      <c r="E1248" s="2394"/>
      <c r="F1248" s="2404" t="str">
        <f>$E$779</f>
        <v>ASHP-SEER17-Replace_CAC_ElectricHeat_ER2_MF</v>
      </c>
      <c r="G1248" s="2404"/>
      <c r="H1248" s="2404"/>
      <c r="I1248" s="2404"/>
      <c r="J1248" s="1506" t="str">
        <f>$C$779</f>
        <v>354150_2024_12_</v>
      </c>
      <c r="K1248" s="1978">
        <v>8.4499999999999993</v>
      </c>
      <c r="L1248" s="913"/>
      <c r="M1248" s="2438"/>
      <c r="P1248" s="243"/>
      <c r="Q1248" s="192"/>
      <c r="R1248" s="243"/>
      <c r="T1248" s="166"/>
      <c r="U1248" s="50"/>
      <c r="V1248" s="2434"/>
      <c r="W1248" s="1268">
        <v>9.4</v>
      </c>
      <c r="X1248" s="1268">
        <v>9.4</v>
      </c>
      <c r="Y1248" s="1268">
        <v>9.4</v>
      </c>
      <c r="Z1248" s="1268">
        <v>9.4</v>
      </c>
      <c r="AA1248" s="1268">
        <v>9.4</v>
      </c>
      <c r="AB1248" s="1268">
        <v>9.4</v>
      </c>
      <c r="AC1248" s="194">
        <v>9.4</v>
      </c>
      <c r="AD1248" s="194">
        <v>9.4</v>
      </c>
      <c r="AE1248" s="912">
        <v>9.4</v>
      </c>
      <c r="AF1248" s="253">
        <v>9.4</v>
      </c>
      <c r="AG1248" s="253">
        <f t="shared" si="206"/>
        <v>8.4499999999999993</v>
      </c>
      <c r="AI1248" s="899"/>
      <c r="DG1248" s="543"/>
      <c r="DH1248" s="149"/>
      <c r="DI1248" s="1020"/>
      <c r="DJ1248" s="2045"/>
    </row>
    <row r="1249" spans="1:114" ht="15" customHeight="1" outlineLevel="1" x14ac:dyDescent="0.25">
      <c r="A1249" s="2145"/>
      <c r="C1249" s="49"/>
      <c r="D1249" s="2394"/>
      <c r="E1249" s="2394"/>
      <c r="F1249" s="2404" t="str">
        <f>$E$781</f>
        <v>ASHP-SEER17_ER1_MF</v>
      </c>
      <c r="G1249" s="2404"/>
      <c r="H1249" s="2404"/>
      <c r="I1249" s="2404"/>
      <c r="J1249" s="1506" t="str">
        <f>$C$781</f>
        <v>354200_2024_12_</v>
      </c>
      <c r="K1249" s="1978">
        <v>8.4499999999999993</v>
      </c>
      <c r="L1249" s="913"/>
      <c r="M1249" s="2438"/>
      <c r="P1249" s="243"/>
      <c r="Q1249" s="192"/>
      <c r="R1249" s="243"/>
      <c r="T1249" s="166"/>
      <c r="U1249" s="50"/>
      <c r="V1249" s="2434"/>
      <c r="W1249" s="1268">
        <v>9.5</v>
      </c>
      <c r="X1249" s="1268">
        <v>9.5</v>
      </c>
      <c r="Y1249" s="1268">
        <v>9.5</v>
      </c>
      <c r="Z1249" s="1268">
        <v>9.5</v>
      </c>
      <c r="AA1249" s="1268">
        <v>9.5</v>
      </c>
      <c r="AB1249" s="1268">
        <v>9.5</v>
      </c>
      <c r="AC1249" s="194">
        <v>9.5</v>
      </c>
      <c r="AD1249" s="194">
        <v>9.5</v>
      </c>
      <c r="AE1249" s="912">
        <v>9.5</v>
      </c>
      <c r="AF1249" s="253">
        <v>9.5</v>
      </c>
      <c r="AG1249" s="253">
        <f t="shared" si="206"/>
        <v>8.4499999999999993</v>
      </c>
      <c r="AI1249" s="899"/>
      <c r="DG1249" s="543"/>
      <c r="DH1249" s="149"/>
      <c r="DI1249" s="1020"/>
      <c r="DJ1249" s="2045"/>
    </row>
    <row r="1250" spans="1:114" ht="15" customHeight="1" outlineLevel="1" x14ac:dyDescent="0.25">
      <c r="A1250" s="2145"/>
      <c r="C1250" s="49"/>
      <c r="D1250" s="2394"/>
      <c r="E1250" s="2394"/>
      <c r="F1250" s="2404" t="str">
        <f>$E$783</f>
        <v>ASHP-SEER17_ER2_MF</v>
      </c>
      <c r="G1250" s="2404"/>
      <c r="H1250" s="2404"/>
      <c r="I1250" s="2404"/>
      <c r="J1250" s="1506" t="str">
        <f>$C$783</f>
        <v>354200_2024_12_</v>
      </c>
      <c r="K1250" s="1978">
        <v>8.4499999999999993</v>
      </c>
      <c r="L1250" s="913"/>
      <c r="M1250" s="2438"/>
      <c r="P1250" s="243"/>
      <c r="Q1250" s="192"/>
      <c r="R1250" s="243"/>
      <c r="T1250" s="166"/>
      <c r="U1250" s="50"/>
      <c r="V1250" s="2434"/>
      <c r="W1250" s="1268">
        <v>9.5</v>
      </c>
      <c r="X1250" s="1268">
        <v>9.5</v>
      </c>
      <c r="Y1250" s="1268">
        <v>9.5</v>
      </c>
      <c r="Z1250" s="1268">
        <v>9.5</v>
      </c>
      <c r="AA1250" s="1268">
        <v>9.5</v>
      </c>
      <c r="AB1250" s="1268">
        <v>9.5</v>
      </c>
      <c r="AC1250" s="194">
        <v>9.5</v>
      </c>
      <c r="AD1250" s="194">
        <v>9.5</v>
      </c>
      <c r="AE1250" s="912">
        <v>9.5</v>
      </c>
      <c r="AF1250" s="253">
        <v>9.5</v>
      </c>
      <c r="AG1250" s="253">
        <f t="shared" si="206"/>
        <v>8.4499999999999993</v>
      </c>
      <c r="AI1250" s="899"/>
      <c r="DG1250" s="543"/>
      <c r="DH1250" s="149"/>
      <c r="DI1250" s="1020"/>
      <c r="DJ1250" s="2045"/>
    </row>
    <row r="1251" spans="1:114" ht="15" customHeight="1" outlineLevel="1" x14ac:dyDescent="0.25">
      <c r="A1251" s="2145"/>
      <c r="C1251" s="49"/>
      <c r="D1251" s="2394"/>
      <c r="E1251" s="2394"/>
      <c r="F1251" s="2404" t="str">
        <f>$E$785</f>
        <v>ASHP-SEER18-Replace_CAC_ElectricHeat_ER1_SF</v>
      </c>
      <c r="G1251" s="2404"/>
      <c r="H1251" s="2404"/>
      <c r="I1251" s="2404"/>
      <c r="J1251" s="1506" t="str">
        <f>$C$785</f>
        <v>354250_2024_12_</v>
      </c>
      <c r="K1251" s="1977">
        <v>8.5</v>
      </c>
      <c r="L1251" s="913"/>
      <c r="M1251" s="2438"/>
      <c r="P1251" s="243"/>
      <c r="Q1251" s="192"/>
      <c r="R1251" s="243"/>
      <c r="T1251" s="166"/>
      <c r="U1251" s="50"/>
      <c r="V1251" s="2434"/>
      <c r="W1251" s="1268">
        <v>9.4</v>
      </c>
      <c r="X1251" s="1268">
        <v>9.4</v>
      </c>
      <c r="Y1251" s="1268">
        <v>9.4</v>
      </c>
      <c r="Z1251" s="1268">
        <v>9.4</v>
      </c>
      <c r="AA1251" s="1268">
        <v>9.4</v>
      </c>
      <c r="AB1251" s="232">
        <v>9.8885057471264393</v>
      </c>
      <c r="AC1251" s="195">
        <v>10.084070796460182</v>
      </c>
      <c r="AD1251" s="910">
        <v>10.124561403508777</v>
      </c>
      <c r="AE1251" s="910">
        <v>10.033870967741937</v>
      </c>
      <c r="AF1251" s="253">
        <v>10.033870967741937</v>
      </c>
      <c r="AG1251" s="253">
        <f t="shared" si="206"/>
        <v>8.5</v>
      </c>
      <c r="AI1251" s="899"/>
      <c r="DG1251" s="543"/>
      <c r="DH1251" s="149"/>
      <c r="DI1251" s="1020"/>
      <c r="DJ1251" s="2045"/>
    </row>
    <row r="1252" spans="1:114" ht="15" customHeight="1" outlineLevel="1" x14ac:dyDescent="0.25">
      <c r="A1252" s="2145"/>
      <c r="C1252" s="49"/>
      <c r="D1252" s="2394"/>
      <c r="E1252" s="2394"/>
      <c r="F1252" s="2404" t="str">
        <f>$E$787</f>
        <v>ASHP-SEER18-Replace_CAC_ElectricHeat_ER2_SF</v>
      </c>
      <c r="G1252" s="2404"/>
      <c r="H1252" s="2404"/>
      <c r="I1252" s="2404"/>
      <c r="J1252" s="1506" t="str">
        <f>$C$787</f>
        <v>354250_2024_12_</v>
      </c>
      <c r="K1252" s="1977">
        <v>8.5</v>
      </c>
      <c r="L1252" s="913"/>
      <c r="M1252" s="2438"/>
      <c r="P1252" s="243"/>
      <c r="Q1252" s="192"/>
      <c r="R1252" s="243"/>
      <c r="T1252" s="166"/>
      <c r="U1252" s="50"/>
      <c r="V1252" s="2434"/>
      <c r="W1252" s="1268">
        <v>9.4</v>
      </c>
      <c r="X1252" s="1268">
        <v>9.4</v>
      </c>
      <c r="Y1252" s="1268">
        <v>9.4</v>
      </c>
      <c r="Z1252" s="1268">
        <v>9.4</v>
      </c>
      <c r="AA1252" s="1268">
        <v>9.4</v>
      </c>
      <c r="AB1252" s="232">
        <v>9.8885057471264393</v>
      </c>
      <c r="AC1252" s="195">
        <f>AC1251</f>
        <v>10.084070796460182</v>
      </c>
      <c r="AD1252" s="910">
        <v>10.124561403508777</v>
      </c>
      <c r="AE1252" s="910">
        <v>10.033870967741937</v>
      </c>
      <c r="AF1252" s="253">
        <v>10.033870967741937</v>
      </c>
      <c r="AG1252" s="253">
        <f t="shared" si="206"/>
        <v>8.5</v>
      </c>
      <c r="AI1252" s="899"/>
      <c r="DG1252" s="543"/>
      <c r="DH1252" s="149"/>
      <c r="DI1252" s="1020"/>
      <c r="DJ1252" s="2045"/>
    </row>
    <row r="1253" spans="1:114" ht="15" customHeight="1" outlineLevel="1" x14ac:dyDescent="0.25">
      <c r="A1253" s="2145"/>
      <c r="C1253" s="49"/>
      <c r="D1253" s="2394"/>
      <c r="E1253" s="2394"/>
      <c r="F1253" s="2404" t="str">
        <f>$E$789</f>
        <v>ASHP-SEER18-Replace_CAC_NonElectricHeat_ER1_SF</v>
      </c>
      <c r="G1253" s="2404"/>
      <c r="H1253" s="2404"/>
      <c r="I1253" s="2404"/>
      <c r="J1253" s="1506" t="str">
        <f>$C$789</f>
        <v>354260_2024_12_</v>
      </c>
      <c r="K1253" s="1977">
        <v>8.5</v>
      </c>
      <c r="L1253" s="913"/>
      <c r="M1253" s="2438"/>
      <c r="P1253" s="243"/>
      <c r="Q1253" s="192"/>
      <c r="R1253" s="243"/>
      <c r="T1253" s="166"/>
      <c r="U1253" s="50"/>
      <c r="V1253" s="2434"/>
      <c r="W1253" s="1268"/>
      <c r="X1253" s="1268"/>
      <c r="Y1253" s="1268"/>
      <c r="Z1253" s="1268"/>
      <c r="AA1253" s="1268"/>
      <c r="AB1253" s="232"/>
      <c r="AC1253" s="195">
        <v>10.084070796460182</v>
      </c>
      <c r="AD1253" s="910">
        <v>10.124561403508777</v>
      </c>
      <c r="AE1253" s="910">
        <v>10.033870967741937</v>
      </c>
      <c r="AF1253" s="253">
        <v>10.033870967741937</v>
      </c>
      <c r="AG1253" s="253">
        <f t="shared" si="206"/>
        <v>8.5</v>
      </c>
      <c r="AI1253" s="899"/>
      <c r="DG1253" s="543"/>
      <c r="DH1253" s="149"/>
      <c r="DI1253" s="1020"/>
      <c r="DJ1253" s="2045"/>
    </row>
    <row r="1254" spans="1:114" ht="15" customHeight="1" outlineLevel="1" x14ac:dyDescent="0.25">
      <c r="A1254" s="2145"/>
      <c r="C1254" s="49"/>
      <c r="D1254" s="2394"/>
      <c r="E1254" s="2394"/>
      <c r="F1254" s="2404" t="str">
        <f>$E$791</f>
        <v>ASHP-SEER18-Replace_CAC_NonElectricHeat_ER2_SF</v>
      </c>
      <c r="G1254" s="2404"/>
      <c r="H1254" s="2404"/>
      <c r="I1254" s="2404"/>
      <c r="J1254" s="1506" t="str">
        <f>$C$791</f>
        <v>354260_2024_12_</v>
      </c>
      <c r="K1254" s="1977">
        <v>8.5</v>
      </c>
      <c r="L1254" s="913"/>
      <c r="M1254" s="2438"/>
      <c r="P1254" s="243"/>
      <c r="Q1254" s="192"/>
      <c r="R1254" s="243"/>
      <c r="T1254" s="166"/>
      <c r="U1254" s="50"/>
      <c r="V1254" s="2434"/>
      <c r="W1254" s="1268"/>
      <c r="X1254" s="1268"/>
      <c r="Y1254" s="1268"/>
      <c r="Z1254" s="1268"/>
      <c r="AA1254" s="1268"/>
      <c r="AB1254" s="232"/>
      <c r="AC1254" s="195">
        <f>AC1253</f>
        <v>10.084070796460182</v>
      </c>
      <c r="AD1254" s="910">
        <v>10.124561403508777</v>
      </c>
      <c r="AE1254" s="910">
        <v>10.033870967741937</v>
      </c>
      <c r="AF1254" s="253">
        <v>10.033870967741937</v>
      </c>
      <c r="AG1254" s="253">
        <f t="shared" si="206"/>
        <v>8.5</v>
      </c>
      <c r="AI1254" s="899"/>
      <c r="DG1254" s="543"/>
      <c r="DH1254" s="149"/>
      <c r="DI1254" s="1020"/>
      <c r="DJ1254" s="2045"/>
    </row>
    <row r="1255" spans="1:114" ht="15" customHeight="1" outlineLevel="1" x14ac:dyDescent="0.25">
      <c r="A1255" s="2145"/>
      <c r="C1255" s="49"/>
      <c r="D1255" s="2394"/>
      <c r="E1255" s="2394"/>
      <c r="F1255" s="2404" t="str">
        <f>$E$793</f>
        <v>ASHP-SEER18-Replace_CAC_ElectricHeat_ER1_MF</v>
      </c>
      <c r="G1255" s="2404"/>
      <c r="H1255" s="2404"/>
      <c r="I1255" s="2404"/>
      <c r="J1255" s="1506" t="str">
        <f>$C$793</f>
        <v>354300_2024_12_</v>
      </c>
      <c r="K1255" s="1978">
        <v>8.5</v>
      </c>
      <c r="L1255" s="913"/>
      <c r="M1255" s="2438"/>
      <c r="P1255" s="243"/>
      <c r="Q1255" s="192"/>
      <c r="R1255" s="243"/>
      <c r="T1255" s="166"/>
      <c r="U1255" s="50"/>
      <c r="V1255" s="2434"/>
      <c r="W1255" s="1268">
        <v>9.4</v>
      </c>
      <c r="X1255" s="1268">
        <v>9.4</v>
      </c>
      <c r="Y1255" s="1268">
        <v>9.4</v>
      </c>
      <c r="Z1255" s="1268">
        <v>9.4</v>
      </c>
      <c r="AA1255" s="1268">
        <v>9.4</v>
      </c>
      <c r="AB1255" s="232">
        <v>10</v>
      </c>
      <c r="AC1255" s="194">
        <v>10</v>
      </c>
      <c r="AD1255" s="194">
        <v>10</v>
      </c>
      <c r="AE1255" s="912">
        <v>10</v>
      </c>
      <c r="AF1255" s="253">
        <v>10</v>
      </c>
      <c r="AG1255" s="253">
        <f t="shared" si="206"/>
        <v>8.5</v>
      </c>
      <c r="AI1255" s="899"/>
      <c r="DG1255" s="543"/>
      <c r="DH1255" s="149"/>
      <c r="DI1255" s="1020"/>
      <c r="DJ1255" s="2045"/>
    </row>
    <row r="1256" spans="1:114" ht="15" customHeight="1" outlineLevel="1" x14ac:dyDescent="0.25">
      <c r="A1256" s="2145"/>
      <c r="C1256" s="49"/>
      <c r="D1256" s="2394"/>
      <c r="E1256" s="2394"/>
      <c r="F1256" s="2404" t="str">
        <f>$E$795</f>
        <v>ASHP-SEER18-Replace_CAC_ElectricHeat_ER2_MF</v>
      </c>
      <c r="G1256" s="2404"/>
      <c r="H1256" s="2404"/>
      <c r="I1256" s="2404"/>
      <c r="J1256" s="1506" t="str">
        <f>$C$795</f>
        <v>354300_2024_12_</v>
      </c>
      <c r="K1256" s="1978">
        <v>8.5</v>
      </c>
      <c r="L1256" s="913"/>
      <c r="M1256" s="2438"/>
      <c r="P1256" s="243"/>
      <c r="Q1256" s="192"/>
      <c r="R1256" s="243"/>
      <c r="T1256" s="166"/>
      <c r="U1256" s="50"/>
      <c r="V1256" s="2434"/>
      <c r="W1256" s="1268">
        <v>9.4</v>
      </c>
      <c r="X1256" s="1268">
        <v>9.4</v>
      </c>
      <c r="Y1256" s="1268">
        <v>9.4</v>
      </c>
      <c r="Z1256" s="1268">
        <v>9.4</v>
      </c>
      <c r="AA1256" s="1268">
        <v>9.4</v>
      </c>
      <c r="AB1256" s="232">
        <v>10</v>
      </c>
      <c r="AC1256" s="194">
        <f>AC1255</f>
        <v>10</v>
      </c>
      <c r="AD1256" s="194">
        <v>10</v>
      </c>
      <c r="AE1256" s="912">
        <v>10</v>
      </c>
      <c r="AF1256" s="253">
        <v>10</v>
      </c>
      <c r="AG1256" s="253">
        <f t="shared" si="206"/>
        <v>8.5</v>
      </c>
      <c r="AI1256" s="899"/>
      <c r="DG1256" s="543"/>
      <c r="DH1256" s="149"/>
      <c r="DI1256" s="1020"/>
      <c r="DJ1256" s="2045"/>
    </row>
    <row r="1257" spans="1:114" ht="15" customHeight="1" outlineLevel="1" x14ac:dyDescent="0.25">
      <c r="A1257" s="2145"/>
      <c r="C1257" s="49"/>
      <c r="D1257" s="2394"/>
      <c r="E1257" s="2394"/>
      <c r="F1257" s="2404" t="str">
        <f>$E$797</f>
        <v>ASHP-SEER18_ER1_MF</v>
      </c>
      <c r="G1257" s="2404"/>
      <c r="H1257" s="2404"/>
      <c r="I1257" s="2404"/>
      <c r="J1257" s="1506" t="str">
        <f>$C$797</f>
        <v>354350_2024_12_</v>
      </c>
      <c r="K1257" s="1977">
        <v>8.5</v>
      </c>
      <c r="L1257" s="913"/>
      <c r="M1257" s="2438"/>
      <c r="P1257" s="243"/>
      <c r="Q1257" s="192"/>
      <c r="R1257" s="243"/>
      <c r="T1257" s="166"/>
      <c r="U1257" s="50"/>
      <c r="V1257" s="2434"/>
      <c r="W1257" s="1268">
        <v>9.5</v>
      </c>
      <c r="X1257" s="1268">
        <v>9.5</v>
      </c>
      <c r="Y1257" s="1268">
        <v>9.5</v>
      </c>
      <c r="Z1257" s="1268">
        <v>9.5</v>
      </c>
      <c r="AA1257" s="1268">
        <v>9.5</v>
      </c>
      <c r="AB1257" s="688">
        <v>9.5</v>
      </c>
      <c r="AC1257" s="194">
        <v>9.5</v>
      </c>
      <c r="AD1257" s="910">
        <v>10</v>
      </c>
      <c r="AE1257" s="911">
        <v>10</v>
      </c>
      <c r="AF1257" s="253">
        <v>10</v>
      </c>
      <c r="AG1257" s="253">
        <f t="shared" si="206"/>
        <v>8.5</v>
      </c>
      <c r="AI1257" s="899"/>
      <c r="DG1257" s="543"/>
      <c r="DH1257" s="149"/>
      <c r="DI1257" s="1020"/>
      <c r="DJ1257" s="2045"/>
    </row>
    <row r="1258" spans="1:114" ht="15" customHeight="1" outlineLevel="1" x14ac:dyDescent="0.25">
      <c r="A1258" s="2145"/>
      <c r="C1258" s="49"/>
      <c r="D1258" s="2394"/>
      <c r="E1258" s="2394"/>
      <c r="F1258" s="2404" t="str">
        <f>$E$799</f>
        <v>ASHP-SEER18_ER2_MF</v>
      </c>
      <c r="G1258" s="2404"/>
      <c r="H1258" s="2404"/>
      <c r="I1258" s="2404"/>
      <c r="J1258" s="1506" t="str">
        <f>$C$799</f>
        <v>354350_2024_12_</v>
      </c>
      <c r="K1258" s="1977">
        <v>8.5</v>
      </c>
      <c r="L1258" s="913"/>
      <c r="M1258" s="2438"/>
      <c r="P1258" s="243"/>
      <c r="Q1258" s="192"/>
      <c r="R1258" s="243"/>
      <c r="T1258" s="166"/>
      <c r="U1258" s="50"/>
      <c r="V1258" s="2434"/>
      <c r="W1258" s="1268">
        <v>9.5</v>
      </c>
      <c r="X1258" s="1268">
        <v>9.5</v>
      </c>
      <c r="Y1258" s="1268">
        <v>9.5</v>
      </c>
      <c r="Z1258" s="1268">
        <v>9.5</v>
      </c>
      <c r="AA1258" s="1268">
        <v>9.5</v>
      </c>
      <c r="AB1258" s="688">
        <v>9.5</v>
      </c>
      <c r="AC1258" s="194">
        <f>AC1257</f>
        <v>9.5</v>
      </c>
      <c r="AD1258" s="910">
        <v>10</v>
      </c>
      <c r="AE1258" s="911">
        <v>10</v>
      </c>
      <c r="AF1258" s="253">
        <v>10</v>
      </c>
      <c r="AG1258" s="253">
        <f t="shared" si="206"/>
        <v>8.5</v>
      </c>
      <c r="AI1258" s="899"/>
      <c r="DG1258" s="543"/>
      <c r="DH1258" s="149"/>
      <c r="DI1258" s="1020"/>
      <c r="DJ1258" s="2045"/>
    </row>
    <row r="1259" spans="1:114" ht="15" customHeight="1" outlineLevel="1" x14ac:dyDescent="0.25">
      <c r="A1259" s="2145"/>
      <c r="C1259" s="49"/>
      <c r="D1259" s="2394"/>
      <c r="E1259" s="2394"/>
      <c r="F1259" s="2404" t="str">
        <f>$E$801</f>
        <v>ASHP-SEER19-Replace_CAC_ElectricHeat_ER1_SF</v>
      </c>
      <c r="G1259" s="2404"/>
      <c r="H1259" s="2404"/>
      <c r="I1259" s="2404"/>
      <c r="J1259" s="1506" t="str">
        <f>$C$801</f>
        <v>354400_2024_12_</v>
      </c>
      <c r="K1259" s="1977">
        <v>8.6300000000000008</v>
      </c>
      <c r="L1259" s="913"/>
      <c r="M1259" s="2438"/>
      <c r="P1259" s="243"/>
      <c r="Q1259" s="192"/>
      <c r="R1259" s="243"/>
      <c r="T1259" s="166"/>
      <c r="U1259" s="50"/>
      <c r="V1259" s="2434"/>
      <c r="W1259" s="1268">
        <v>9.4</v>
      </c>
      <c r="X1259" s="1268">
        <v>9.4</v>
      </c>
      <c r="Y1259" s="1268">
        <v>9.4</v>
      </c>
      <c r="Z1259" s="1268">
        <v>9.4</v>
      </c>
      <c r="AA1259" s="1268">
        <v>9.4</v>
      </c>
      <c r="AB1259" s="1268">
        <v>9.4</v>
      </c>
      <c r="AC1259" s="195">
        <v>10.099999999999998</v>
      </c>
      <c r="AD1259" s="910">
        <v>9.815151515151511</v>
      </c>
      <c r="AE1259" s="910">
        <v>10.081818181818182</v>
      </c>
      <c r="AF1259" s="253">
        <v>10.081818181818182</v>
      </c>
      <c r="AG1259" s="253">
        <f t="shared" si="206"/>
        <v>8.6300000000000008</v>
      </c>
      <c r="AI1259" s="899"/>
      <c r="DG1259" s="543"/>
      <c r="DH1259" s="149"/>
      <c r="DI1259" s="1020"/>
      <c r="DJ1259" s="2045"/>
    </row>
    <row r="1260" spans="1:114" ht="15" customHeight="1" outlineLevel="1" x14ac:dyDescent="0.25">
      <c r="A1260" s="2145"/>
      <c r="C1260" s="49"/>
      <c r="D1260" s="2394"/>
      <c r="E1260" s="2394"/>
      <c r="F1260" s="2404" t="str">
        <f>$E$803</f>
        <v>ASHP-SEER19-Replace_CAC_ElectricHeat_ER2_SF</v>
      </c>
      <c r="G1260" s="2404"/>
      <c r="H1260" s="2404"/>
      <c r="I1260" s="2404"/>
      <c r="J1260" s="1506" t="str">
        <f>$C$803</f>
        <v>354400_2024_12_</v>
      </c>
      <c r="K1260" s="1977">
        <v>8.6300000000000008</v>
      </c>
      <c r="L1260" s="913"/>
      <c r="M1260" s="2438"/>
      <c r="P1260" s="243"/>
      <c r="Q1260" s="192"/>
      <c r="R1260" s="243"/>
      <c r="T1260" s="166"/>
      <c r="U1260" s="50"/>
      <c r="V1260" s="2434"/>
      <c r="W1260" s="1268">
        <v>9.4</v>
      </c>
      <c r="X1260" s="1268">
        <v>9.4</v>
      </c>
      <c r="Y1260" s="1268">
        <v>9.4</v>
      </c>
      <c r="Z1260" s="1268">
        <v>9.4</v>
      </c>
      <c r="AA1260" s="1268">
        <v>9.4</v>
      </c>
      <c r="AB1260" s="1268">
        <v>9.4</v>
      </c>
      <c r="AC1260" s="195">
        <f>AC1259</f>
        <v>10.099999999999998</v>
      </c>
      <c r="AD1260" s="910">
        <v>9.815151515151511</v>
      </c>
      <c r="AE1260" s="910">
        <v>10.081818181818182</v>
      </c>
      <c r="AF1260" s="253">
        <v>10.081818181818182</v>
      </c>
      <c r="AG1260" s="253">
        <f t="shared" si="206"/>
        <v>8.6300000000000008</v>
      </c>
      <c r="AI1260" s="899"/>
      <c r="DG1260" s="543"/>
      <c r="DH1260" s="149"/>
      <c r="DI1260" s="1020"/>
      <c r="DJ1260" s="2045"/>
    </row>
    <row r="1261" spans="1:114" ht="15" customHeight="1" outlineLevel="1" x14ac:dyDescent="0.25">
      <c r="A1261" s="2145"/>
      <c r="C1261" s="49"/>
      <c r="D1261" s="2394"/>
      <c r="E1261" s="2394"/>
      <c r="F1261" s="2404" t="str">
        <f>$E$805</f>
        <v>ASHP-SEER19-Replace_CAC_NonElectricHeat_ER1_SF</v>
      </c>
      <c r="G1261" s="2404"/>
      <c r="H1261" s="2404"/>
      <c r="I1261" s="2404"/>
      <c r="J1261" s="1506" t="str">
        <f>$C$805</f>
        <v>354410_2024_12_</v>
      </c>
      <c r="K1261" s="1978">
        <v>8.6300000000000008</v>
      </c>
      <c r="L1261" s="913"/>
      <c r="M1261" s="2438"/>
      <c r="P1261" s="243"/>
      <c r="Q1261" s="192"/>
      <c r="R1261" s="243"/>
      <c r="T1261" s="166"/>
      <c r="U1261" s="50"/>
      <c r="V1261" s="2434"/>
      <c r="W1261" s="1268"/>
      <c r="X1261" s="1268"/>
      <c r="Y1261" s="1268"/>
      <c r="Z1261" s="1268"/>
      <c r="AA1261" s="1268"/>
      <c r="AB1261" s="1268"/>
      <c r="AC1261" s="195">
        <v>10.099999999999998</v>
      </c>
      <c r="AD1261" s="194">
        <v>10.099999999999998</v>
      </c>
      <c r="AE1261" s="1034">
        <v>10.081818181818182</v>
      </c>
      <c r="AF1261" s="253">
        <v>10.081818181818182</v>
      </c>
      <c r="AG1261" s="253">
        <f t="shared" si="206"/>
        <v>8.6300000000000008</v>
      </c>
      <c r="AI1261" s="899"/>
      <c r="DG1261" s="543"/>
      <c r="DH1261" s="149"/>
      <c r="DI1261" s="1020"/>
      <c r="DJ1261" s="2045"/>
    </row>
    <row r="1262" spans="1:114" ht="15" customHeight="1" outlineLevel="1" x14ac:dyDescent="0.25">
      <c r="A1262" s="2145"/>
      <c r="C1262" s="49"/>
      <c r="D1262" s="2394"/>
      <c r="E1262" s="2394"/>
      <c r="F1262" s="2404" t="str">
        <f>$E$807</f>
        <v>ASHP-SEER19-Replace_CAC_NonElectricHeat_ER2_SF</v>
      </c>
      <c r="G1262" s="2404"/>
      <c r="H1262" s="2404"/>
      <c r="I1262" s="2404"/>
      <c r="J1262" s="1506" t="str">
        <f>$C$807</f>
        <v>354410_2024_12_</v>
      </c>
      <c r="K1262" s="1978">
        <v>8.6300000000000008</v>
      </c>
      <c r="L1262" s="913"/>
      <c r="M1262" s="2438"/>
      <c r="P1262" s="243"/>
      <c r="Q1262" s="192"/>
      <c r="R1262" s="243"/>
      <c r="T1262" s="166"/>
      <c r="U1262" s="50"/>
      <c r="V1262" s="2434"/>
      <c r="W1262" s="1268"/>
      <c r="X1262" s="1268"/>
      <c r="Y1262" s="1268"/>
      <c r="Z1262" s="1268"/>
      <c r="AA1262" s="1268"/>
      <c r="AB1262" s="1268"/>
      <c r="AC1262" s="195">
        <f>AC1261</f>
        <v>10.099999999999998</v>
      </c>
      <c r="AD1262" s="194">
        <v>10.099999999999998</v>
      </c>
      <c r="AE1262" s="1034">
        <v>10.081818181818182</v>
      </c>
      <c r="AF1262" s="253">
        <v>10.081818181818182</v>
      </c>
      <c r="AG1262" s="253">
        <f t="shared" si="206"/>
        <v>8.6300000000000008</v>
      </c>
      <c r="AI1262" s="899"/>
      <c r="DG1262" s="543"/>
      <c r="DH1262" s="149"/>
      <c r="DI1262" s="1020"/>
      <c r="DJ1262" s="2045"/>
    </row>
    <row r="1263" spans="1:114" ht="15" customHeight="1" outlineLevel="1" x14ac:dyDescent="0.25">
      <c r="A1263" s="2145"/>
      <c r="C1263" s="49"/>
      <c r="D1263" s="2394"/>
      <c r="E1263" s="2394"/>
      <c r="F1263" s="2404" t="str">
        <f>$E$809</f>
        <v>ASHP-SEER19-Replace_CAC_ElectricHeat_ER1_MF</v>
      </c>
      <c r="G1263" s="2404"/>
      <c r="H1263" s="2404"/>
      <c r="I1263" s="2404"/>
      <c r="J1263" s="1506" t="str">
        <f>$C$809</f>
        <v>354450_2024_12_</v>
      </c>
      <c r="K1263" s="1978">
        <v>8.6300000000000008</v>
      </c>
      <c r="L1263" s="913"/>
      <c r="M1263" s="2438"/>
      <c r="P1263" s="243"/>
      <c r="Q1263" s="192"/>
      <c r="R1263" s="243"/>
      <c r="T1263" s="166"/>
      <c r="U1263" s="50"/>
      <c r="V1263" s="2434"/>
      <c r="W1263" s="1268">
        <v>9.4</v>
      </c>
      <c r="X1263" s="1268">
        <v>9.4</v>
      </c>
      <c r="Y1263" s="1268">
        <v>9.4</v>
      </c>
      <c r="Z1263" s="1268">
        <v>9.4</v>
      </c>
      <c r="AA1263" s="1268">
        <v>9.4</v>
      </c>
      <c r="AB1263" s="1268">
        <v>9.4</v>
      </c>
      <c r="AC1263" s="194">
        <v>9.4</v>
      </c>
      <c r="AD1263" s="194">
        <v>9.4</v>
      </c>
      <c r="AE1263" s="912">
        <v>9.4</v>
      </c>
      <c r="AF1263" s="253">
        <v>9.4</v>
      </c>
      <c r="AG1263" s="253">
        <f t="shared" si="206"/>
        <v>8.6300000000000008</v>
      </c>
      <c r="AI1263" s="899"/>
      <c r="DG1263" s="543"/>
      <c r="DH1263" s="149"/>
      <c r="DI1263" s="1020"/>
      <c r="DJ1263" s="2045"/>
    </row>
    <row r="1264" spans="1:114" ht="15" customHeight="1" outlineLevel="1" x14ac:dyDescent="0.25">
      <c r="A1264" s="2145"/>
      <c r="C1264" s="49"/>
      <c r="D1264" s="2394"/>
      <c r="E1264" s="2394"/>
      <c r="F1264" s="2404" t="str">
        <f>$E$811</f>
        <v>ASHP-SEER19-Replace_CAC_ElectricHeat_ER2_MF</v>
      </c>
      <c r="G1264" s="2404"/>
      <c r="H1264" s="2404"/>
      <c r="I1264" s="2404"/>
      <c r="J1264" s="1506" t="str">
        <f>$C$811</f>
        <v>354450_2024_12_</v>
      </c>
      <c r="K1264" s="1978">
        <v>8.6300000000000008</v>
      </c>
      <c r="L1264" s="913"/>
      <c r="M1264" s="2438"/>
      <c r="P1264" s="243"/>
      <c r="Q1264" s="192"/>
      <c r="R1264" s="243"/>
      <c r="T1264" s="166"/>
      <c r="U1264" s="50"/>
      <c r="V1264" s="2434"/>
      <c r="W1264" s="1268">
        <v>9.4</v>
      </c>
      <c r="X1264" s="1268">
        <v>9.4</v>
      </c>
      <c r="Y1264" s="1268">
        <v>9.4</v>
      </c>
      <c r="Z1264" s="1268">
        <v>9.4</v>
      </c>
      <c r="AA1264" s="1268">
        <v>9.4</v>
      </c>
      <c r="AB1264" s="1268">
        <v>9.4</v>
      </c>
      <c r="AC1264" s="194">
        <v>9.4</v>
      </c>
      <c r="AD1264" s="194">
        <v>9.4</v>
      </c>
      <c r="AE1264" s="912">
        <v>9.4</v>
      </c>
      <c r="AF1264" s="253">
        <v>9.4</v>
      </c>
      <c r="AG1264" s="253">
        <f t="shared" si="206"/>
        <v>8.6300000000000008</v>
      </c>
      <c r="AI1264" s="899"/>
      <c r="DG1264" s="543"/>
      <c r="DH1264" s="149"/>
      <c r="DI1264" s="1020"/>
      <c r="DJ1264" s="2045"/>
    </row>
    <row r="1265" spans="1:114" ht="15" customHeight="1" outlineLevel="1" x14ac:dyDescent="0.25">
      <c r="A1265" s="2145"/>
      <c r="C1265" s="49"/>
      <c r="D1265" s="2394"/>
      <c r="E1265" s="2394"/>
      <c r="F1265" s="2404" t="str">
        <f>$E$813</f>
        <v>ASHP-SEER19_ER1_MF</v>
      </c>
      <c r="G1265" s="2404"/>
      <c r="H1265" s="2404"/>
      <c r="I1265" s="2404"/>
      <c r="J1265" s="1506" t="str">
        <f>$C$813</f>
        <v>354500_2024_12_</v>
      </c>
      <c r="K1265" s="1978">
        <v>8.6300000000000008</v>
      </c>
      <c r="L1265" s="913"/>
      <c r="M1265" s="2438"/>
      <c r="P1265" s="243"/>
      <c r="Q1265" s="192"/>
      <c r="R1265" s="243"/>
      <c r="T1265" s="166"/>
      <c r="U1265" s="50"/>
      <c r="V1265" s="2434"/>
      <c r="W1265" s="1268">
        <v>9.5</v>
      </c>
      <c r="X1265" s="1268">
        <v>9.5</v>
      </c>
      <c r="Y1265" s="1268">
        <v>9.5</v>
      </c>
      <c r="Z1265" s="1268">
        <v>9.5</v>
      </c>
      <c r="AA1265" s="1268">
        <v>9.5</v>
      </c>
      <c r="AB1265" s="1268">
        <v>9.5</v>
      </c>
      <c r="AC1265" s="194">
        <v>9.5</v>
      </c>
      <c r="AD1265" s="194">
        <v>9.5</v>
      </c>
      <c r="AE1265" s="912">
        <v>9.5</v>
      </c>
      <c r="AF1265" s="253">
        <v>9.5</v>
      </c>
      <c r="AG1265" s="253">
        <f t="shared" si="206"/>
        <v>8.6300000000000008</v>
      </c>
      <c r="AI1265" s="899"/>
      <c r="DG1265" s="543"/>
      <c r="DH1265" s="149"/>
      <c r="DI1265" s="1020"/>
      <c r="DJ1265" s="2045"/>
    </row>
    <row r="1266" spans="1:114" ht="15" customHeight="1" outlineLevel="1" x14ac:dyDescent="0.25">
      <c r="A1266" s="2145"/>
      <c r="C1266" s="49"/>
      <c r="D1266" s="2394"/>
      <c r="E1266" s="2394"/>
      <c r="F1266" s="2404" t="str">
        <f>$E$815</f>
        <v>ASHP-SEER19_ER2_MF</v>
      </c>
      <c r="G1266" s="2404"/>
      <c r="H1266" s="2404"/>
      <c r="I1266" s="2404"/>
      <c r="J1266" s="1506" t="str">
        <f>$C$815</f>
        <v>354500_2024_12_</v>
      </c>
      <c r="K1266" s="1978">
        <v>8.6300000000000008</v>
      </c>
      <c r="L1266" s="913"/>
      <c r="M1266" s="2438"/>
      <c r="P1266" s="243"/>
      <c r="Q1266" s="192"/>
      <c r="R1266" s="243"/>
      <c r="T1266" s="166"/>
      <c r="U1266" s="50"/>
      <c r="V1266" s="2434"/>
      <c r="W1266" s="1268">
        <v>9.5</v>
      </c>
      <c r="X1266" s="1268">
        <v>9.5</v>
      </c>
      <c r="Y1266" s="1268">
        <v>9.5</v>
      </c>
      <c r="Z1266" s="1268">
        <v>9.5</v>
      </c>
      <c r="AA1266" s="1268">
        <v>9.5</v>
      </c>
      <c r="AB1266" s="1268">
        <v>9.5</v>
      </c>
      <c r="AC1266" s="194">
        <v>9.5</v>
      </c>
      <c r="AD1266" s="194">
        <v>9.5</v>
      </c>
      <c r="AE1266" s="912">
        <v>9.5</v>
      </c>
      <c r="AF1266" s="253">
        <v>9.5</v>
      </c>
      <c r="AG1266" s="253">
        <f t="shared" si="206"/>
        <v>8.6300000000000008</v>
      </c>
      <c r="AI1266" s="899"/>
      <c r="DG1266" s="543"/>
      <c r="DH1266" s="149"/>
      <c r="DI1266" s="1020"/>
      <c r="DJ1266" s="2045"/>
    </row>
    <row r="1267" spans="1:114" ht="15" customHeight="1" outlineLevel="1" x14ac:dyDescent="0.25">
      <c r="A1267" s="2145"/>
      <c r="C1267" s="49"/>
      <c r="D1267" s="2394"/>
      <c r="E1267" s="2394"/>
      <c r="F1267" s="2404" t="str">
        <f>$E$817</f>
        <v>ASHP-SEER20_ER1_SF</v>
      </c>
      <c r="G1267" s="2404"/>
      <c r="H1267" s="2404"/>
      <c r="I1267" s="2404"/>
      <c r="J1267" s="1506" t="str">
        <f>$C$817</f>
        <v>354550_2024_12_</v>
      </c>
      <c r="K1267" s="1977">
        <v>8.8699999999999992</v>
      </c>
      <c r="L1267" s="913"/>
      <c r="M1267" s="2438"/>
      <c r="P1267" s="243"/>
      <c r="Q1267" s="192"/>
      <c r="R1267" s="243"/>
      <c r="T1267" s="166"/>
      <c r="U1267" s="50"/>
      <c r="V1267" s="2434"/>
      <c r="W1267" s="1268">
        <v>9.5</v>
      </c>
      <c r="X1267" s="1268">
        <v>9.5</v>
      </c>
      <c r="Y1267" s="1268">
        <v>9.5</v>
      </c>
      <c r="Z1267" s="1268">
        <v>9.5</v>
      </c>
      <c r="AA1267" s="1268">
        <v>9.5</v>
      </c>
      <c r="AB1267" s="1268">
        <v>9.5</v>
      </c>
      <c r="AC1267" s="195">
        <v>10.5</v>
      </c>
      <c r="AD1267" s="910">
        <v>10.135555555555554</v>
      </c>
      <c r="AE1267" s="910">
        <v>10.36212121212121</v>
      </c>
      <c r="AF1267" s="253">
        <v>10.36212121212121</v>
      </c>
      <c r="AG1267" s="253">
        <f t="shared" si="206"/>
        <v>8.8699999999999992</v>
      </c>
      <c r="AI1267" s="899"/>
      <c r="DG1267" s="543"/>
      <c r="DH1267" s="149"/>
      <c r="DI1267" s="1020"/>
      <c r="DJ1267" s="2045"/>
    </row>
    <row r="1268" spans="1:114" ht="15" customHeight="1" outlineLevel="1" x14ac:dyDescent="0.25">
      <c r="A1268" s="2145"/>
      <c r="C1268" s="49"/>
      <c r="D1268" s="2394"/>
      <c r="E1268" s="2394"/>
      <c r="F1268" s="2404" t="str">
        <f>$E$819</f>
        <v>ASHP-SEER20_ER2_SF</v>
      </c>
      <c r="G1268" s="2404"/>
      <c r="H1268" s="2404"/>
      <c r="I1268" s="2404"/>
      <c r="J1268" s="1506" t="str">
        <f>$C$819</f>
        <v>354550_2024_12_</v>
      </c>
      <c r="K1268" s="1977">
        <v>8.8699999999999992</v>
      </c>
      <c r="L1268" s="913"/>
      <c r="M1268" s="2438"/>
      <c r="P1268" s="243"/>
      <c r="Q1268" s="192"/>
      <c r="R1268" s="243"/>
      <c r="T1268" s="166"/>
      <c r="U1268" s="50"/>
      <c r="V1268" s="2434"/>
      <c r="W1268" s="1268">
        <v>9.5</v>
      </c>
      <c r="X1268" s="1268">
        <v>9.5</v>
      </c>
      <c r="Y1268" s="1268">
        <v>9.5</v>
      </c>
      <c r="Z1268" s="1268">
        <v>9.5</v>
      </c>
      <c r="AA1268" s="1268">
        <v>9.5</v>
      </c>
      <c r="AB1268" s="1268">
        <v>9.5</v>
      </c>
      <c r="AC1268" s="195">
        <f>AC1267</f>
        <v>10.5</v>
      </c>
      <c r="AD1268" s="910">
        <v>10.135555555555554</v>
      </c>
      <c r="AE1268" s="910">
        <v>10.36212121212121</v>
      </c>
      <c r="AF1268" s="253">
        <v>10.36212121212121</v>
      </c>
      <c r="AG1268" s="253">
        <f t="shared" si="206"/>
        <v>8.8699999999999992</v>
      </c>
      <c r="AI1268" s="899"/>
      <c r="DG1268" s="543"/>
      <c r="DH1268" s="149"/>
      <c r="DI1268" s="1020"/>
      <c r="DJ1268" s="2045"/>
    </row>
    <row r="1269" spans="1:114" ht="15" customHeight="1" outlineLevel="1" x14ac:dyDescent="0.25">
      <c r="A1269" s="2145"/>
      <c r="C1269" s="49"/>
      <c r="D1269" s="2394"/>
      <c r="E1269" s="2394"/>
      <c r="F1269" s="2404" t="str">
        <f>$E$821</f>
        <v>ASHP-SEER20_ROF_SF</v>
      </c>
      <c r="G1269" s="2404"/>
      <c r="H1269" s="2404"/>
      <c r="I1269" s="2404"/>
      <c r="J1269" s="1506" t="str">
        <f>$C$821</f>
        <v>354600_2024_12_</v>
      </c>
      <c r="K1269" s="1977">
        <v>8.8699999999999992</v>
      </c>
      <c r="L1269" s="913"/>
      <c r="M1269" s="2438"/>
      <c r="P1269" s="243"/>
      <c r="Q1269" s="192"/>
      <c r="R1269" s="243"/>
      <c r="T1269" s="166"/>
      <c r="U1269" s="50"/>
      <c r="V1269" s="2434"/>
      <c r="W1269" s="1268">
        <v>9.8000000000000007</v>
      </c>
      <c r="X1269" s="1268">
        <v>9.8000000000000007</v>
      </c>
      <c r="Y1269" s="1268">
        <v>9.8000000000000007</v>
      </c>
      <c r="Z1269" s="1268">
        <v>9.8000000000000007</v>
      </c>
      <c r="AA1269" s="1268">
        <v>9.8000000000000007</v>
      </c>
      <c r="AB1269" s="1268">
        <v>9.8000000000000007</v>
      </c>
      <c r="AC1269" s="195">
        <v>10.866666666666667</v>
      </c>
      <c r="AD1269" s="910">
        <v>10.403571428571428</v>
      </c>
      <c r="AE1269" s="911">
        <v>10.403571428571428</v>
      </c>
      <c r="AF1269" s="253">
        <v>10.403571428571428</v>
      </c>
      <c r="AG1269" s="253">
        <f t="shared" si="206"/>
        <v>8.8699999999999992</v>
      </c>
      <c r="AI1269" s="899"/>
      <c r="DG1269" s="543"/>
      <c r="DH1269" s="149"/>
      <c r="DI1269" s="1020"/>
      <c r="DJ1269" s="2045"/>
    </row>
    <row r="1270" spans="1:114" ht="15" customHeight="1" outlineLevel="1" x14ac:dyDescent="0.25">
      <c r="A1270" s="2145"/>
      <c r="C1270" s="49"/>
      <c r="D1270" s="2394"/>
      <c r="E1270" s="2394"/>
      <c r="F1270" s="2404" t="str">
        <f>$E$823</f>
        <v>ASHP-SEER20-Replace_CAC_ElectricHeat_ER1_MF</v>
      </c>
      <c r="G1270" s="2404"/>
      <c r="H1270" s="2404"/>
      <c r="I1270" s="2404"/>
      <c r="J1270" s="1506" t="str">
        <f>$C$823</f>
        <v>354650_2024_12_</v>
      </c>
      <c r="K1270" s="1978">
        <v>8.8699999999999992</v>
      </c>
      <c r="L1270" s="913"/>
      <c r="M1270" s="2438"/>
      <c r="P1270" s="243"/>
      <c r="Q1270" s="192"/>
      <c r="R1270" s="243"/>
      <c r="T1270" s="166"/>
      <c r="U1270" s="50"/>
      <c r="V1270" s="2434"/>
      <c r="W1270" s="1268">
        <v>9.4</v>
      </c>
      <c r="X1270" s="1268">
        <v>9.4</v>
      </c>
      <c r="Y1270" s="1268">
        <v>9.4</v>
      </c>
      <c r="Z1270" s="1268">
        <v>9.4</v>
      </c>
      <c r="AA1270" s="1268">
        <v>9.4</v>
      </c>
      <c r="AB1270" s="1268">
        <v>9.4</v>
      </c>
      <c r="AC1270" s="194">
        <v>9.4</v>
      </c>
      <c r="AD1270" s="194">
        <v>9.4</v>
      </c>
      <c r="AE1270" s="912">
        <v>9.4</v>
      </c>
      <c r="AF1270" s="253">
        <v>9.4</v>
      </c>
      <c r="AG1270" s="253">
        <f t="shared" si="206"/>
        <v>8.8699999999999992</v>
      </c>
      <c r="AI1270" s="899"/>
      <c r="DG1270" s="543"/>
      <c r="DH1270" s="149"/>
      <c r="DI1270" s="1020"/>
      <c r="DJ1270" s="2045"/>
    </row>
    <row r="1271" spans="1:114" ht="15" customHeight="1" outlineLevel="1" x14ac:dyDescent="0.25">
      <c r="A1271" s="2145"/>
      <c r="C1271" s="49"/>
      <c r="D1271" s="2394"/>
      <c r="E1271" s="2394"/>
      <c r="F1271" s="2404" t="str">
        <f>$E$825</f>
        <v>ASHP-SEER20-Replace_CAC_ElectricHeat_ER2_MF</v>
      </c>
      <c r="G1271" s="2404"/>
      <c r="H1271" s="2404"/>
      <c r="I1271" s="2404"/>
      <c r="J1271" s="1506" t="str">
        <f>$C$825</f>
        <v>354650_2024_12_</v>
      </c>
      <c r="K1271" s="1978">
        <v>8.8699999999999992</v>
      </c>
      <c r="L1271" s="913"/>
      <c r="M1271" s="2438"/>
      <c r="P1271" s="243"/>
      <c r="Q1271" s="192"/>
      <c r="R1271" s="243"/>
      <c r="T1271" s="166"/>
      <c r="U1271" s="50"/>
      <c r="V1271" s="2434"/>
      <c r="W1271" s="1268">
        <v>9.4</v>
      </c>
      <c r="X1271" s="1268">
        <v>9.4</v>
      </c>
      <c r="Y1271" s="1268">
        <v>9.4</v>
      </c>
      <c r="Z1271" s="1268">
        <v>9.4</v>
      </c>
      <c r="AA1271" s="1268">
        <v>9.4</v>
      </c>
      <c r="AB1271" s="1268">
        <v>9.4</v>
      </c>
      <c r="AC1271" s="194">
        <v>9.4</v>
      </c>
      <c r="AD1271" s="194">
        <v>9.4</v>
      </c>
      <c r="AE1271" s="912">
        <v>9.4</v>
      </c>
      <c r="AF1271" s="253">
        <v>9.4</v>
      </c>
      <c r="AG1271" s="253">
        <f t="shared" ref="AG1271:AG1332" si="207">IF(K1271&lt;&gt;"",K1271,"")</f>
        <v>8.8699999999999992</v>
      </c>
      <c r="AI1271" s="899"/>
      <c r="DG1271" s="543"/>
      <c r="DH1271" s="149"/>
      <c r="DI1271" s="1020"/>
      <c r="DJ1271" s="2045"/>
    </row>
    <row r="1272" spans="1:114" ht="15" customHeight="1" outlineLevel="1" x14ac:dyDescent="0.25">
      <c r="A1272" s="2145"/>
      <c r="C1272" s="49"/>
      <c r="D1272" s="2394"/>
      <c r="E1272" s="2394"/>
      <c r="F1272" s="2404" t="str">
        <f>$E$827</f>
        <v>ASHP-SEER20_ER1_MF</v>
      </c>
      <c r="G1272" s="2404"/>
      <c r="H1272" s="2404"/>
      <c r="I1272" s="2404"/>
      <c r="J1272" s="1506" t="str">
        <f>$C$827</f>
        <v>354700_2024_12_</v>
      </c>
      <c r="K1272" s="1978">
        <v>8.8699999999999992</v>
      </c>
      <c r="L1272" s="913"/>
      <c r="M1272" s="2438"/>
      <c r="P1272" s="243"/>
      <c r="Q1272" s="192"/>
      <c r="R1272" s="243"/>
      <c r="T1272" s="166"/>
      <c r="U1272" s="50"/>
      <c r="V1272" s="2434"/>
      <c r="W1272" s="1268">
        <v>9.5</v>
      </c>
      <c r="X1272" s="1268">
        <v>9.5</v>
      </c>
      <c r="Y1272" s="1268">
        <v>9.5</v>
      </c>
      <c r="Z1272" s="1268">
        <v>9.5</v>
      </c>
      <c r="AA1272" s="1268">
        <v>9.5</v>
      </c>
      <c r="AB1272" s="1268">
        <v>9.5</v>
      </c>
      <c r="AC1272" s="194">
        <v>9.5</v>
      </c>
      <c r="AD1272" s="194">
        <v>9.5</v>
      </c>
      <c r="AE1272" s="912">
        <v>9.5</v>
      </c>
      <c r="AF1272" s="253">
        <v>9.5</v>
      </c>
      <c r="AG1272" s="253">
        <f t="shared" si="207"/>
        <v>8.8699999999999992</v>
      </c>
      <c r="AI1272" s="899"/>
      <c r="DG1272" s="543"/>
      <c r="DH1272" s="149"/>
      <c r="DI1272" s="1020"/>
      <c r="DJ1272" s="2045"/>
    </row>
    <row r="1273" spans="1:114" ht="15" customHeight="1" outlineLevel="1" x14ac:dyDescent="0.25">
      <c r="A1273" s="2145"/>
      <c r="C1273" s="49"/>
      <c r="D1273" s="2394"/>
      <c r="E1273" s="2394"/>
      <c r="F1273" s="2404" t="str">
        <f>$E$829</f>
        <v>ASHP-SEER20_ER2_MF</v>
      </c>
      <c r="G1273" s="2404"/>
      <c r="H1273" s="2404"/>
      <c r="I1273" s="2404"/>
      <c r="J1273" s="1506" t="str">
        <f>$C$829</f>
        <v>354700_2024_12_</v>
      </c>
      <c r="K1273" s="1978">
        <v>8.8699999999999992</v>
      </c>
      <c r="L1273" s="913"/>
      <c r="M1273" s="2438"/>
      <c r="P1273" s="243"/>
      <c r="Q1273" s="192"/>
      <c r="R1273" s="243"/>
      <c r="T1273" s="166"/>
      <c r="U1273" s="50"/>
      <c r="V1273" s="2434"/>
      <c r="W1273" s="1268">
        <v>9.5</v>
      </c>
      <c r="X1273" s="1268">
        <v>9.5</v>
      </c>
      <c r="Y1273" s="1268">
        <v>9.5</v>
      </c>
      <c r="Z1273" s="1268">
        <v>9.5</v>
      </c>
      <c r="AA1273" s="1268">
        <v>9.5</v>
      </c>
      <c r="AB1273" s="1268">
        <v>9.5</v>
      </c>
      <c r="AC1273" s="194">
        <v>9.5</v>
      </c>
      <c r="AD1273" s="194">
        <v>9.5</v>
      </c>
      <c r="AE1273" s="912">
        <v>9.5</v>
      </c>
      <c r="AF1273" s="253">
        <v>9.5</v>
      </c>
      <c r="AG1273" s="253">
        <f t="shared" si="207"/>
        <v>8.8699999999999992</v>
      </c>
      <c r="AI1273" s="899"/>
      <c r="DG1273" s="543"/>
      <c r="DH1273" s="149"/>
      <c r="DI1273" s="1020"/>
      <c r="DJ1273" s="2045"/>
    </row>
    <row r="1274" spans="1:114" ht="15" customHeight="1" outlineLevel="1" x14ac:dyDescent="0.25">
      <c r="A1274" s="2145"/>
      <c r="C1274" s="49"/>
      <c r="D1274" s="2394"/>
      <c r="E1274" s="2394"/>
      <c r="F1274" s="2404" t="str">
        <f>$E$831</f>
        <v>ASHP-SEER21_ER1_SF</v>
      </c>
      <c r="G1274" s="2404"/>
      <c r="H1274" s="2404"/>
      <c r="I1274" s="2404"/>
      <c r="J1274" s="1506" t="str">
        <f>$C$831</f>
        <v>354750_2024_12_</v>
      </c>
      <c r="K1274" s="1977">
        <v>8.9700000000000006</v>
      </c>
      <c r="L1274" s="913"/>
      <c r="M1274" s="2438"/>
      <c r="P1274" s="243"/>
      <c r="Q1274" s="192"/>
      <c r="R1274" s="243"/>
      <c r="T1274" s="166"/>
      <c r="U1274" s="50"/>
      <c r="V1274" s="2434"/>
      <c r="W1274" s="1268">
        <v>9.5</v>
      </c>
      <c r="X1274" s="1268">
        <v>9.5</v>
      </c>
      <c r="Y1274" s="1268">
        <v>9.5</v>
      </c>
      <c r="Z1274" s="1268">
        <v>9.5</v>
      </c>
      <c r="AA1274" s="1268">
        <v>9.5</v>
      </c>
      <c r="AB1274" s="1268">
        <v>9.5</v>
      </c>
      <c r="AC1274" s="195">
        <v>10.807692307692308</v>
      </c>
      <c r="AD1274" s="910">
        <v>10.727272727272727</v>
      </c>
      <c r="AE1274" s="910">
        <v>10.753333333333332</v>
      </c>
      <c r="AF1274" s="253">
        <v>10.753333333333332</v>
      </c>
      <c r="AG1274" s="253">
        <f t="shared" si="207"/>
        <v>8.9700000000000006</v>
      </c>
      <c r="AI1274" s="899"/>
      <c r="DG1274" s="543"/>
      <c r="DH1274" s="149"/>
      <c r="DI1274" s="1020"/>
      <c r="DJ1274" s="2045"/>
    </row>
    <row r="1275" spans="1:114" ht="15" customHeight="1" outlineLevel="1" x14ac:dyDescent="0.25">
      <c r="A1275" s="2145"/>
      <c r="C1275" s="49"/>
      <c r="D1275" s="2394"/>
      <c r="E1275" s="2394"/>
      <c r="F1275" s="2404" t="str">
        <f>$E$833</f>
        <v>ASHP-SEER21_ER2_SF</v>
      </c>
      <c r="G1275" s="2404"/>
      <c r="H1275" s="2404"/>
      <c r="I1275" s="2404"/>
      <c r="J1275" s="1506" t="str">
        <f>$C$833</f>
        <v>354750_2024_12_</v>
      </c>
      <c r="K1275" s="1977">
        <v>8.9700000000000006</v>
      </c>
      <c r="L1275" s="913"/>
      <c r="M1275" s="2438"/>
      <c r="P1275" s="243"/>
      <c r="Q1275" s="192"/>
      <c r="R1275" s="243"/>
      <c r="T1275" s="166"/>
      <c r="U1275" s="50"/>
      <c r="V1275" s="2434"/>
      <c r="W1275" s="1268">
        <v>9.5</v>
      </c>
      <c r="X1275" s="1268">
        <v>9.5</v>
      </c>
      <c r="Y1275" s="1268">
        <v>9.5</v>
      </c>
      <c r="Z1275" s="1268">
        <v>9.5</v>
      </c>
      <c r="AA1275" s="1268">
        <v>9.5</v>
      </c>
      <c r="AB1275" s="1268">
        <v>9.5</v>
      </c>
      <c r="AC1275" s="195">
        <f>AC1274</f>
        <v>10.807692307692308</v>
      </c>
      <c r="AD1275" s="910">
        <v>10.727272727272727</v>
      </c>
      <c r="AE1275" s="910">
        <v>10.753333333333332</v>
      </c>
      <c r="AF1275" s="253">
        <v>10.753333333333332</v>
      </c>
      <c r="AG1275" s="253">
        <f t="shared" si="207"/>
        <v>8.9700000000000006</v>
      </c>
      <c r="AI1275" s="899"/>
      <c r="DG1275" s="543"/>
      <c r="DH1275" s="149"/>
      <c r="DI1275" s="1020"/>
      <c r="DJ1275" s="2045"/>
    </row>
    <row r="1276" spans="1:114" ht="15" customHeight="1" outlineLevel="1" x14ac:dyDescent="0.25">
      <c r="A1276" s="2145"/>
      <c r="C1276" s="49"/>
      <c r="D1276" s="2394"/>
      <c r="E1276" s="2394"/>
      <c r="F1276" s="2404" t="str">
        <f>$E$835</f>
        <v>ASHP-SEER21_ROF_SF</v>
      </c>
      <c r="G1276" s="2404"/>
      <c r="H1276" s="2404"/>
      <c r="I1276" s="2404"/>
      <c r="J1276" s="1506" t="str">
        <f>$C$835</f>
        <v>354800_2024_12_</v>
      </c>
      <c r="K1276" s="1977">
        <v>8.9700000000000006</v>
      </c>
      <c r="L1276" s="913"/>
      <c r="M1276" s="2438"/>
      <c r="P1276" s="243"/>
      <c r="Q1276" s="192"/>
      <c r="R1276" s="243"/>
      <c r="T1276" s="166"/>
      <c r="U1276" s="50"/>
      <c r="V1276" s="2434"/>
      <c r="W1276" s="1268">
        <v>9.8000000000000007</v>
      </c>
      <c r="X1276" s="1268">
        <v>9.8000000000000007</v>
      </c>
      <c r="Y1276" s="1268">
        <v>9.8000000000000007</v>
      </c>
      <c r="Z1276" s="1268">
        <v>9.8000000000000007</v>
      </c>
      <c r="AA1276" s="1268">
        <v>9.8000000000000007</v>
      </c>
      <c r="AB1276" s="1268">
        <v>9.8000000000000007</v>
      </c>
      <c r="AC1276" s="195">
        <v>10.875</v>
      </c>
      <c r="AD1276" s="910">
        <v>11</v>
      </c>
      <c r="AE1276" s="910">
        <v>10.609090909090909</v>
      </c>
      <c r="AF1276" s="253">
        <v>10.609090909090909</v>
      </c>
      <c r="AG1276" s="253">
        <f t="shared" si="207"/>
        <v>8.9700000000000006</v>
      </c>
      <c r="AI1276" s="899"/>
      <c r="DG1276" s="543"/>
      <c r="DH1276" s="149"/>
      <c r="DI1276" s="1020"/>
      <c r="DJ1276" s="2045"/>
    </row>
    <row r="1277" spans="1:114" ht="15" customHeight="1" outlineLevel="1" x14ac:dyDescent="0.25">
      <c r="A1277" s="2145"/>
      <c r="C1277" s="49"/>
      <c r="D1277" s="2394"/>
      <c r="E1277" s="2394"/>
      <c r="F1277" s="2404" t="str">
        <f>$E$837</f>
        <v>ASHP-SEER21-Replace_CAC_ElectricHeat_ROF_MF</v>
      </c>
      <c r="G1277" s="2404"/>
      <c r="H1277" s="2404"/>
      <c r="I1277" s="2404"/>
      <c r="J1277" s="1506" t="str">
        <f>$C$837</f>
        <v>354850_2024_12_</v>
      </c>
      <c r="K1277" s="1978">
        <v>8.9700000000000006</v>
      </c>
      <c r="L1277" s="913"/>
      <c r="M1277" s="2438"/>
      <c r="P1277" s="243"/>
      <c r="Q1277" s="192"/>
      <c r="R1277" s="243"/>
      <c r="T1277" s="166"/>
      <c r="U1277" s="50"/>
      <c r="V1277" s="2434"/>
      <c r="W1277" s="1268">
        <v>9.6999999999999993</v>
      </c>
      <c r="X1277" s="1268">
        <v>9.6999999999999993</v>
      </c>
      <c r="Y1277" s="1268">
        <v>9.6999999999999993</v>
      </c>
      <c r="Z1277" s="1268">
        <v>9.6999999999999993</v>
      </c>
      <c r="AA1277" s="1268">
        <v>9.6999999999999993</v>
      </c>
      <c r="AB1277" s="1268">
        <v>9.6999999999999993</v>
      </c>
      <c r="AC1277" s="194">
        <v>9.6999999999999993</v>
      </c>
      <c r="AD1277" s="194">
        <v>9.6999999999999993</v>
      </c>
      <c r="AE1277" s="912">
        <v>9.6999999999999993</v>
      </c>
      <c r="AF1277" s="253">
        <v>9.6999999999999993</v>
      </c>
      <c r="AG1277" s="253">
        <f t="shared" si="207"/>
        <v>8.9700000000000006</v>
      </c>
      <c r="AI1277" s="899"/>
      <c r="DG1277" s="543"/>
      <c r="DH1277" s="149"/>
      <c r="DI1277" s="1020"/>
      <c r="DJ1277" s="2045"/>
    </row>
    <row r="1278" spans="1:114" ht="15" customHeight="1" outlineLevel="1" x14ac:dyDescent="0.25">
      <c r="A1278" s="2145"/>
      <c r="C1278" s="49"/>
      <c r="D1278" s="2394"/>
      <c r="E1278" s="2394"/>
      <c r="F1278" s="2404" t="str">
        <f>$E$839</f>
        <v>ASHP-SEER21_ER1_MF</v>
      </c>
      <c r="G1278" s="2404"/>
      <c r="H1278" s="2404"/>
      <c r="I1278" s="2404"/>
      <c r="J1278" s="1506" t="str">
        <f>$C$839</f>
        <v>354900_2024_12_</v>
      </c>
      <c r="K1278" s="1978">
        <v>8.9700000000000006</v>
      </c>
      <c r="L1278" s="913"/>
      <c r="M1278" s="2438"/>
      <c r="P1278" s="243"/>
      <c r="Q1278" s="192"/>
      <c r="R1278" s="243"/>
      <c r="T1278" s="166"/>
      <c r="U1278" s="50"/>
      <c r="V1278" s="2434"/>
      <c r="W1278" s="1268">
        <v>9.5</v>
      </c>
      <c r="X1278" s="1268">
        <v>9.5</v>
      </c>
      <c r="Y1278" s="1268">
        <v>9.5</v>
      </c>
      <c r="Z1278" s="1268">
        <v>9.5</v>
      </c>
      <c r="AA1278" s="1268">
        <v>9.5</v>
      </c>
      <c r="AB1278" s="1268">
        <v>9.5</v>
      </c>
      <c r="AC1278" s="194">
        <v>9.5</v>
      </c>
      <c r="AD1278" s="194">
        <v>9.5</v>
      </c>
      <c r="AE1278" s="912">
        <v>9.5</v>
      </c>
      <c r="AF1278" s="253">
        <v>9.5</v>
      </c>
      <c r="AG1278" s="253">
        <f t="shared" si="207"/>
        <v>8.9700000000000006</v>
      </c>
      <c r="AI1278" s="899"/>
      <c r="DG1278" s="543"/>
      <c r="DH1278" s="149"/>
      <c r="DI1278" s="1020"/>
      <c r="DJ1278" s="2045"/>
    </row>
    <row r="1279" spans="1:114" ht="15" customHeight="1" outlineLevel="1" x14ac:dyDescent="0.25">
      <c r="A1279" s="2145"/>
      <c r="C1279" s="49"/>
      <c r="D1279" s="2394"/>
      <c r="E1279" s="2394"/>
      <c r="F1279" s="2404" t="str">
        <f>$E$841</f>
        <v>ASHP-SEER21_ER2_MF</v>
      </c>
      <c r="G1279" s="2404"/>
      <c r="H1279" s="2404"/>
      <c r="I1279" s="2404"/>
      <c r="J1279" s="1506" t="str">
        <f>$C$841</f>
        <v>354900_2024_12_</v>
      </c>
      <c r="K1279" s="1978">
        <v>8.9700000000000006</v>
      </c>
      <c r="L1279" s="913"/>
      <c r="M1279" s="2438"/>
      <c r="P1279" s="243"/>
      <c r="Q1279" s="192"/>
      <c r="R1279" s="243"/>
      <c r="T1279" s="166"/>
      <c r="U1279" s="50"/>
      <c r="V1279" s="2434"/>
      <c r="W1279" s="1268">
        <v>9.5</v>
      </c>
      <c r="X1279" s="1268">
        <v>9.5</v>
      </c>
      <c r="Y1279" s="1268">
        <v>9.5</v>
      </c>
      <c r="Z1279" s="1268">
        <v>9.5</v>
      </c>
      <c r="AA1279" s="1268">
        <v>9.5</v>
      </c>
      <c r="AB1279" s="1268">
        <v>9.5</v>
      </c>
      <c r="AC1279" s="194">
        <v>9.5</v>
      </c>
      <c r="AD1279" s="194">
        <v>9.5</v>
      </c>
      <c r="AE1279" s="912">
        <v>9.5</v>
      </c>
      <c r="AF1279" s="253">
        <v>9.5</v>
      </c>
      <c r="AG1279" s="253">
        <f t="shared" si="207"/>
        <v>8.9700000000000006</v>
      </c>
      <c r="AI1279" s="899"/>
      <c r="DG1279" s="543"/>
      <c r="DH1279" s="149"/>
      <c r="DI1279" s="1020"/>
      <c r="DJ1279" s="2045"/>
    </row>
    <row r="1280" spans="1:114" ht="15" customHeight="1" outlineLevel="1" x14ac:dyDescent="0.25">
      <c r="A1280" s="2145"/>
      <c r="C1280" s="49"/>
      <c r="D1280" s="2394"/>
      <c r="E1280" s="2394"/>
      <c r="F1280" s="2404" t="str">
        <f>$E$843</f>
        <v>ASHP-SEER17_ROF_MF</v>
      </c>
      <c r="G1280" s="2404"/>
      <c r="H1280" s="2404"/>
      <c r="I1280" s="2404"/>
      <c r="J1280" s="1506" t="str">
        <f>$C$843</f>
        <v>354950_2024_12_</v>
      </c>
      <c r="K1280" s="1978">
        <v>8.4499999999999993</v>
      </c>
      <c r="L1280" s="913"/>
      <c r="M1280" s="2438"/>
      <c r="P1280" s="243"/>
      <c r="Q1280" s="192"/>
      <c r="R1280" s="243"/>
      <c r="T1280" s="166"/>
      <c r="U1280" s="50"/>
      <c r="V1280" s="2434"/>
      <c r="W1280" s="1268">
        <v>9.8000000000000007</v>
      </c>
      <c r="X1280" s="1268">
        <v>9.8000000000000007</v>
      </c>
      <c r="Y1280" s="1268">
        <v>9.8000000000000007</v>
      </c>
      <c r="Z1280" s="1268">
        <v>9.8000000000000007</v>
      </c>
      <c r="AA1280" s="1268">
        <v>9.8000000000000007</v>
      </c>
      <c r="AB1280" s="1268">
        <v>9.8000000000000007</v>
      </c>
      <c r="AC1280" s="194">
        <v>9.8000000000000007</v>
      </c>
      <c r="AD1280" s="194">
        <v>9.8000000000000007</v>
      </c>
      <c r="AE1280" s="912">
        <v>9.8000000000000007</v>
      </c>
      <c r="AF1280" s="253">
        <v>9.8000000000000007</v>
      </c>
      <c r="AG1280" s="253">
        <f t="shared" si="207"/>
        <v>8.4499999999999993</v>
      </c>
      <c r="AI1280" s="899"/>
      <c r="DG1280" s="543"/>
      <c r="DH1280" s="149"/>
      <c r="DI1280" s="1020"/>
      <c r="DJ1280" s="2045"/>
    </row>
    <row r="1281" spans="1:114" ht="15" customHeight="1" outlineLevel="1" x14ac:dyDescent="0.25">
      <c r="A1281" s="2145"/>
      <c r="C1281" s="49"/>
      <c r="D1281" s="2394"/>
      <c r="E1281" s="2394"/>
      <c r="F1281" s="2404" t="str">
        <f>$E$845</f>
        <v>ASHP-SEER18_ROF_MF</v>
      </c>
      <c r="G1281" s="2404"/>
      <c r="H1281" s="2404"/>
      <c r="I1281" s="2404"/>
      <c r="J1281" s="962" t="str">
        <f>$C$845</f>
        <v>355000_2024_12_</v>
      </c>
      <c r="K1281" s="1978">
        <v>8.5</v>
      </c>
      <c r="L1281" s="913"/>
      <c r="M1281" s="2438"/>
      <c r="T1281" s="50"/>
      <c r="U1281" s="50"/>
      <c r="V1281" s="2434"/>
      <c r="W1281" s="1268">
        <v>9.8000000000000007</v>
      </c>
      <c r="X1281" s="1268">
        <v>9.8000000000000007</v>
      </c>
      <c r="Y1281" s="1268">
        <v>9.8000000000000007</v>
      </c>
      <c r="Z1281" s="1268">
        <v>9.8000000000000007</v>
      </c>
      <c r="AA1281" s="1268">
        <v>9.8000000000000007</v>
      </c>
      <c r="AB1281" s="1268">
        <v>9.8000000000000007</v>
      </c>
      <c r="AC1281" s="194">
        <v>9.8000000000000007</v>
      </c>
      <c r="AD1281" s="194">
        <v>9.8000000000000007</v>
      </c>
      <c r="AE1281" s="912">
        <v>9.8000000000000007</v>
      </c>
      <c r="AF1281" s="253">
        <v>9.8000000000000007</v>
      </c>
      <c r="AG1281" s="253">
        <f t="shared" si="207"/>
        <v>8.5</v>
      </c>
      <c r="AI1281" s="899"/>
      <c r="DG1281" s="543"/>
      <c r="DH1281" s="149"/>
      <c r="DI1281" s="1020"/>
      <c r="DJ1281" s="2045"/>
    </row>
    <row r="1282" spans="1:114" ht="15" customHeight="1" outlineLevel="1" x14ac:dyDescent="0.25">
      <c r="A1282" s="2145"/>
      <c r="C1282" s="49"/>
      <c r="D1282" s="2394"/>
      <c r="E1282" s="2394"/>
      <c r="F1282" s="2404" t="str">
        <f>$E$847</f>
        <v>ASHP-SEER19_ROF_MF</v>
      </c>
      <c r="G1282" s="2404"/>
      <c r="H1282" s="2404"/>
      <c r="I1282" s="2404"/>
      <c r="J1282" s="962" t="str">
        <f>$C$847</f>
        <v>355050_2024_12_</v>
      </c>
      <c r="K1282" s="1978">
        <v>8.6300000000000008</v>
      </c>
      <c r="L1282" s="913"/>
      <c r="M1282" s="2438"/>
      <c r="T1282" s="50"/>
      <c r="U1282" s="50"/>
      <c r="V1282" s="2434"/>
      <c r="W1282" s="1268">
        <v>9.8000000000000007</v>
      </c>
      <c r="X1282" s="1268">
        <v>9.8000000000000007</v>
      </c>
      <c r="Y1282" s="1268">
        <v>9.8000000000000007</v>
      </c>
      <c r="Z1282" s="1268">
        <v>9.8000000000000007</v>
      </c>
      <c r="AA1282" s="1268">
        <v>9.8000000000000007</v>
      </c>
      <c r="AB1282" s="1268">
        <v>9.8000000000000007</v>
      </c>
      <c r="AC1282" s="194">
        <v>9.8000000000000007</v>
      </c>
      <c r="AD1282" s="194">
        <v>9.8000000000000007</v>
      </c>
      <c r="AE1282" s="912">
        <v>9.8000000000000007</v>
      </c>
      <c r="AF1282" s="253">
        <v>9.8000000000000007</v>
      </c>
      <c r="AG1282" s="253">
        <f t="shared" si="207"/>
        <v>8.6300000000000008</v>
      </c>
      <c r="AI1282" s="899"/>
      <c r="DG1282" s="543"/>
      <c r="DH1282" s="149"/>
      <c r="DI1282" s="1020"/>
      <c r="DJ1282" s="2045"/>
    </row>
    <row r="1283" spans="1:114" ht="15" customHeight="1" outlineLevel="1" x14ac:dyDescent="0.25">
      <c r="A1283" s="2145"/>
      <c r="C1283" s="49"/>
      <c r="D1283" s="2394"/>
      <c r="E1283" s="2394"/>
      <c r="F1283" s="2404" t="str">
        <f>$E$849</f>
        <v>ASHP-SEER20_ROF_MF</v>
      </c>
      <c r="G1283" s="2404"/>
      <c r="H1283" s="2404"/>
      <c r="I1283" s="2404"/>
      <c r="J1283" s="962" t="str">
        <f>$C$849</f>
        <v>355100_2024_12_</v>
      </c>
      <c r="K1283" s="1978">
        <v>8.8699999999999992</v>
      </c>
      <c r="L1283" s="913"/>
      <c r="M1283" s="2438"/>
      <c r="P1283" s="243"/>
      <c r="Q1283" s="192"/>
      <c r="R1283" s="243"/>
      <c r="T1283" s="166"/>
      <c r="U1283" s="50"/>
      <c r="V1283" s="2434"/>
      <c r="W1283" s="1268">
        <v>9.8000000000000007</v>
      </c>
      <c r="X1283" s="1268">
        <v>9.8000000000000007</v>
      </c>
      <c r="Y1283" s="1268">
        <v>9.8000000000000007</v>
      </c>
      <c r="Z1283" s="1268">
        <v>9.8000000000000007</v>
      </c>
      <c r="AA1283" s="1268">
        <v>9.8000000000000007</v>
      </c>
      <c r="AB1283" s="1268">
        <v>9.8000000000000007</v>
      </c>
      <c r="AC1283" s="194">
        <v>9.8000000000000007</v>
      </c>
      <c r="AD1283" s="194">
        <v>9.8000000000000007</v>
      </c>
      <c r="AE1283" s="912">
        <v>9.8000000000000007</v>
      </c>
      <c r="AF1283" s="253">
        <v>9.8000000000000007</v>
      </c>
      <c r="AG1283" s="253">
        <f t="shared" si="207"/>
        <v>8.8699999999999992</v>
      </c>
      <c r="AI1283" s="899"/>
      <c r="DG1283" s="543"/>
      <c r="DH1283" s="149"/>
      <c r="DI1283" s="1020"/>
      <c r="DJ1283" s="2045"/>
    </row>
    <row r="1284" spans="1:114" ht="15.75" customHeight="1" outlineLevel="1" x14ac:dyDescent="0.25">
      <c r="A1284" s="2145"/>
      <c r="C1284" s="49"/>
      <c r="D1284" s="2395"/>
      <c r="E1284" s="2395"/>
      <c r="F1284" s="2404" t="str">
        <f>$E$851</f>
        <v>ASHP-SEER21_ROF_MF</v>
      </c>
      <c r="G1284" s="2404"/>
      <c r="H1284" s="2404"/>
      <c r="I1284" s="2404"/>
      <c r="J1284" s="962" t="str">
        <f>$C$851</f>
        <v>355150_2024_12_</v>
      </c>
      <c r="K1284" s="1978">
        <v>8.9700000000000006</v>
      </c>
      <c r="L1284" s="913"/>
      <c r="M1284" s="2439"/>
      <c r="P1284" s="243"/>
      <c r="Q1284" s="192"/>
      <c r="R1284" s="243"/>
      <c r="T1284" s="166"/>
      <c r="U1284" s="50"/>
      <c r="V1284" s="2435"/>
      <c r="W1284" s="1268">
        <v>9.8000000000000007</v>
      </c>
      <c r="X1284" s="1268">
        <v>9.8000000000000007</v>
      </c>
      <c r="Y1284" s="1268">
        <v>9.8000000000000007</v>
      </c>
      <c r="Z1284" s="1268">
        <v>9.8000000000000007</v>
      </c>
      <c r="AA1284" s="1268">
        <v>9.8000000000000007</v>
      </c>
      <c r="AB1284" s="1268">
        <v>9.8000000000000007</v>
      </c>
      <c r="AC1284" s="194">
        <v>9.8000000000000007</v>
      </c>
      <c r="AD1284" s="194">
        <v>9.8000000000000007</v>
      </c>
      <c r="AE1284" s="912">
        <v>9.8000000000000007</v>
      </c>
      <c r="AF1284" s="253">
        <v>9.8000000000000007</v>
      </c>
      <c r="AG1284" s="253">
        <f t="shared" si="207"/>
        <v>8.9700000000000006</v>
      </c>
      <c r="AI1284" s="899"/>
      <c r="DG1284" s="543"/>
      <c r="DH1284" s="149"/>
      <c r="DI1284" s="1020"/>
      <c r="DJ1284" s="2045"/>
    </row>
    <row r="1285" spans="1:114" outlineLevel="1" x14ac:dyDescent="0.25">
      <c r="A1285" s="2145"/>
      <c r="C1285" s="49"/>
      <c r="D1285" s="2393" t="s">
        <v>1064</v>
      </c>
      <c r="E1285" s="2393" t="s">
        <v>1296</v>
      </c>
      <c r="F1285" s="2404" t="str">
        <f>$E$647</f>
        <v>ASHP-SEER15-Replace_CAC_ElectricHeat_ER1_SF</v>
      </c>
      <c r="G1285" s="2404"/>
      <c r="H1285" s="2404"/>
      <c r="I1285" s="2404"/>
      <c r="J1285" s="962" t="str">
        <f>$C$647</f>
        <v>352300_2024_12_</v>
      </c>
      <c r="K1285" s="1515">
        <v>35979.397590361448</v>
      </c>
      <c r="L1285" s="888">
        <f t="shared" ref="L1285:L1316" si="208">K1285/12000</f>
        <v>2.9982831325301205</v>
      </c>
      <c r="M1285" s="1503" t="s">
        <v>929</v>
      </c>
      <c r="P1285" s="243"/>
      <c r="Q1285" s="192"/>
      <c r="R1285" s="243"/>
      <c r="T1285" s="166"/>
      <c r="U1285" s="50"/>
      <c r="V1285" s="2393" t="s">
        <v>1064</v>
      </c>
      <c r="W1285" s="1268">
        <v>33600</v>
      </c>
      <c r="X1285" s="779">
        <f>3.06*12000</f>
        <v>36720</v>
      </c>
      <c r="Y1285" s="779">
        <v>34800</v>
      </c>
      <c r="Z1285" s="1268">
        <v>34800</v>
      </c>
      <c r="AA1285" s="1268">
        <v>34800</v>
      </c>
      <c r="AB1285" s="775">
        <v>34457.142857142855</v>
      </c>
      <c r="AC1285" s="775">
        <v>34555.932203389835</v>
      </c>
      <c r="AD1285" s="775">
        <v>35530.201342281878</v>
      </c>
      <c r="AE1285" s="908">
        <v>35979.397590361448</v>
      </c>
      <c r="AF1285" s="253">
        <v>35979.397590361448</v>
      </c>
      <c r="AG1285" s="253">
        <f t="shared" si="207"/>
        <v>35979.397590361448</v>
      </c>
      <c r="DG1285" s="543"/>
      <c r="DH1285" s="149"/>
      <c r="DI1285" s="1020"/>
      <c r="DJ1285" s="2045"/>
    </row>
    <row r="1286" spans="1:114" outlineLevel="1" x14ac:dyDescent="0.25">
      <c r="A1286" s="2145"/>
      <c r="C1286" s="49"/>
      <c r="D1286" s="2394"/>
      <c r="E1286" s="2394"/>
      <c r="F1286" s="2404" t="str">
        <f>$E$649</f>
        <v>ASHP-SEER15-Replace_CAC_ElectricHeat_ER2_SF</v>
      </c>
      <c r="G1286" s="2404"/>
      <c r="H1286" s="2404"/>
      <c r="I1286" s="2404"/>
      <c r="J1286" s="962" t="str">
        <f>$C$649</f>
        <v>352300_2024_12_</v>
      </c>
      <c r="K1286" s="1515">
        <v>35979.397590361448</v>
      </c>
      <c r="L1286" s="888">
        <f t="shared" si="208"/>
        <v>2.9982831325301205</v>
      </c>
      <c r="M1286" s="1503" t="s">
        <v>1018</v>
      </c>
      <c r="P1286" s="243"/>
      <c r="Q1286" s="192"/>
      <c r="R1286" s="243"/>
      <c r="T1286" s="166"/>
      <c r="U1286" s="50"/>
      <c r="V1286" s="2394"/>
      <c r="W1286" s="1268">
        <v>33600</v>
      </c>
      <c r="X1286" s="779">
        <f t="shared" ref="X1286:X1307" si="209">3.06*12000</f>
        <v>36720</v>
      </c>
      <c r="Y1286" s="779">
        <v>34800</v>
      </c>
      <c r="Z1286" s="1268">
        <v>34800</v>
      </c>
      <c r="AA1286" s="1268">
        <v>34800</v>
      </c>
      <c r="AB1286" s="775">
        <v>34457.142857142855</v>
      </c>
      <c r="AC1286" s="775">
        <f>AC1285</f>
        <v>34555.932203389835</v>
      </c>
      <c r="AD1286" s="775">
        <v>35530.201342281878</v>
      </c>
      <c r="AE1286" s="908">
        <v>35979.397590361448</v>
      </c>
      <c r="AF1286" s="253">
        <v>35979.397590361448</v>
      </c>
      <c r="AG1286" s="253">
        <f t="shared" si="207"/>
        <v>35979.397590361448</v>
      </c>
      <c r="DG1286" s="543"/>
      <c r="DH1286" s="149"/>
      <c r="DI1286" s="1020"/>
      <c r="DJ1286" s="2045"/>
    </row>
    <row r="1287" spans="1:114" outlineLevel="1" x14ac:dyDescent="0.25">
      <c r="A1287" s="2145"/>
      <c r="C1287" s="49"/>
      <c r="D1287" s="2394"/>
      <c r="E1287" s="2394"/>
      <c r="F1287" s="2404" t="str">
        <f>$E$651</f>
        <v>ASHP-SEER15-Replace_CAC_NonElectricHeat_ER1_SF</v>
      </c>
      <c r="G1287" s="2404"/>
      <c r="H1287" s="2404"/>
      <c r="I1287" s="2404"/>
      <c r="J1287" s="962" t="str">
        <f>$C$651</f>
        <v>352310_2024_12_</v>
      </c>
      <c r="K1287" s="1515">
        <v>35979.397590361448</v>
      </c>
      <c r="L1287" s="888">
        <f t="shared" si="208"/>
        <v>2.9982831325301205</v>
      </c>
      <c r="M1287" s="1504" t="s">
        <v>1018</v>
      </c>
      <c r="P1287" s="243"/>
      <c r="Q1287" s="192"/>
      <c r="R1287" s="243"/>
      <c r="T1287" s="166"/>
      <c r="U1287" s="50"/>
      <c r="V1287" s="2394"/>
      <c r="W1287" s="1268"/>
      <c r="X1287" s="779"/>
      <c r="Y1287" s="779"/>
      <c r="Z1287" s="1268"/>
      <c r="AA1287" s="1268"/>
      <c r="AB1287" s="775"/>
      <c r="AC1287" s="775">
        <v>34555.932203389835</v>
      </c>
      <c r="AD1287" s="775">
        <v>35530.201342281878</v>
      </c>
      <c r="AE1287" s="908">
        <v>35979.397590361448</v>
      </c>
      <c r="AF1287" s="253">
        <v>35979.397590361448</v>
      </c>
      <c r="AG1287" s="253">
        <f t="shared" si="207"/>
        <v>35979.397590361448</v>
      </c>
      <c r="DG1287" s="543"/>
      <c r="DH1287" s="149"/>
      <c r="DI1287" s="1020"/>
      <c r="DJ1287" s="2045"/>
    </row>
    <row r="1288" spans="1:114" outlineLevel="1" x14ac:dyDescent="0.25">
      <c r="A1288" s="2145"/>
      <c r="C1288" s="49"/>
      <c r="D1288" s="2394"/>
      <c r="E1288" s="2394"/>
      <c r="F1288" s="2404" t="str">
        <f>$E$653</f>
        <v>ASHP-SEER15-Replace_CAC_NonElectricHeat_ER2_SF</v>
      </c>
      <c r="G1288" s="2404"/>
      <c r="H1288" s="2404"/>
      <c r="I1288" s="2404"/>
      <c r="J1288" s="962" t="str">
        <f>$C$653</f>
        <v>352310_2024_12_</v>
      </c>
      <c r="K1288" s="1515">
        <v>35979.397590361448</v>
      </c>
      <c r="L1288" s="888">
        <f t="shared" si="208"/>
        <v>2.9982831325301205</v>
      </c>
      <c r="M1288" s="1504" t="s">
        <v>1018</v>
      </c>
      <c r="P1288" s="243"/>
      <c r="Q1288" s="192"/>
      <c r="R1288" s="243"/>
      <c r="T1288" s="166"/>
      <c r="U1288" s="50"/>
      <c r="V1288" s="2394"/>
      <c r="W1288" s="1268"/>
      <c r="X1288" s="779"/>
      <c r="Y1288" s="779"/>
      <c r="Z1288" s="1268"/>
      <c r="AA1288" s="1268"/>
      <c r="AB1288" s="775"/>
      <c r="AC1288" s="775">
        <f>AC1287</f>
        <v>34555.932203389835</v>
      </c>
      <c r="AD1288" s="775">
        <v>35530.201342281878</v>
      </c>
      <c r="AE1288" s="908">
        <v>35979.397590361448</v>
      </c>
      <c r="AF1288" s="253">
        <v>35979.397590361448</v>
      </c>
      <c r="AG1288" s="253">
        <f t="shared" si="207"/>
        <v>35979.397590361448</v>
      </c>
      <c r="DG1288" s="543"/>
      <c r="DH1288" s="149"/>
      <c r="DI1288" s="1020"/>
      <c r="DJ1288" s="2045"/>
    </row>
    <row r="1289" spans="1:114" outlineLevel="1" x14ac:dyDescent="0.25">
      <c r="A1289" s="2145"/>
      <c r="C1289" s="49"/>
      <c r="D1289" s="2394"/>
      <c r="E1289" s="2394"/>
      <c r="F1289" s="2404" t="str">
        <f>$E$655</f>
        <v>ASHP-SEER15_ER1_SF</v>
      </c>
      <c r="G1289" s="2404"/>
      <c r="H1289" s="2404"/>
      <c r="I1289" s="2404"/>
      <c r="J1289" s="962" t="str">
        <f>$C$655</f>
        <v>352350_2024_12_</v>
      </c>
      <c r="K1289" s="1515">
        <v>35979.397590361448</v>
      </c>
      <c r="L1289" s="888">
        <f t="shared" si="208"/>
        <v>2.9982831325301205</v>
      </c>
      <c r="M1289" s="1503" t="s">
        <v>1018</v>
      </c>
      <c r="P1289" s="243"/>
      <c r="Q1289" s="192"/>
      <c r="R1289" s="243"/>
      <c r="T1289" s="166"/>
      <c r="U1289" s="50"/>
      <c r="V1289" s="2394"/>
      <c r="W1289" s="1268">
        <v>37200</v>
      </c>
      <c r="X1289" s="779">
        <f t="shared" si="209"/>
        <v>36720</v>
      </c>
      <c r="Y1289" s="779">
        <v>35160</v>
      </c>
      <c r="Z1289" s="1268">
        <v>35160</v>
      </c>
      <c r="AA1289" s="1268">
        <v>35160</v>
      </c>
      <c r="AB1289" s="775">
        <v>37222.222222222219</v>
      </c>
      <c r="AC1289" s="775">
        <v>37480.519480519484</v>
      </c>
      <c r="AD1289" s="775">
        <v>35530.201342281878</v>
      </c>
      <c r="AE1289" s="908">
        <v>35979.397590361448</v>
      </c>
      <c r="AF1289" s="253">
        <v>35979.397590361448</v>
      </c>
      <c r="AG1289" s="253">
        <f t="shared" si="207"/>
        <v>35979.397590361448</v>
      </c>
      <c r="DG1289" s="543"/>
      <c r="DH1289" s="149"/>
      <c r="DI1289" s="1020"/>
      <c r="DJ1289" s="2045"/>
    </row>
    <row r="1290" spans="1:114" outlineLevel="1" x14ac:dyDescent="0.25">
      <c r="A1290" s="2145"/>
      <c r="C1290" s="49"/>
      <c r="D1290" s="2394"/>
      <c r="E1290" s="2394"/>
      <c r="F1290" s="2404" t="str">
        <f>$E$657</f>
        <v>ASHP-SEER15_ER2_SF</v>
      </c>
      <c r="G1290" s="2404"/>
      <c r="H1290" s="2404"/>
      <c r="I1290" s="2404"/>
      <c r="J1290" s="962" t="str">
        <f>$C$657</f>
        <v>352350_2024_12_</v>
      </c>
      <c r="K1290" s="1515">
        <v>35979.397590361448</v>
      </c>
      <c r="L1290" s="888">
        <f t="shared" si="208"/>
        <v>2.9982831325301205</v>
      </c>
      <c r="M1290" s="1503" t="s">
        <v>1018</v>
      </c>
      <c r="P1290" s="243"/>
      <c r="Q1290" s="192"/>
      <c r="R1290" s="243"/>
      <c r="T1290" s="166"/>
      <c r="U1290" s="50"/>
      <c r="V1290" s="2394"/>
      <c r="W1290" s="1268">
        <v>37200</v>
      </c>
      <c r="X1290" s="779">
        <f t="shared" si="209"/>
        <v>36720</v>
      </c>
      <c r="Y1290" s="779">
        <v>35160</v>
      </c>
      <c r="Z1290" s="1268">
        <v>35160</v>
      </c>
      <c r="AA1290" s="1268">
        <v>35160</v>
      </c>
      <c r="AB1290" s="775">
        <v>37222.222222222219</v>
      </c>
      <c r="AC1290" s="775">
        <f>AC1289</f>
        <v>37480.519480519484</v>
      </c>
      <c r="AD1290" s="775">
        <v>35530.201342281878</v>
      </c>
      <c r="AE1290" s="908">
        <v>35979.397590361448</v>
      </c>
      <c r="AF1290" s="253">
        <v>35979.397590361448</v>
      </c>
      <c r="AG1290" s="253">
        <f t="shared" si="207"/>
        <v>35979.397590361448</v>
      </c>
      <c r="DG1290" s="543"/>
      <c r="DH1290" s="149"/>
      <c r="DI1290" s="1020"/>
      <c r="DJ1290" s="2045"/>
    </row>
    <row r="1291" spans="1:114" outlineLevel="1" x14ac:dyDescent="0.25">
      <c r="A1291" s="2145"/>
      <c r="C1291" s="49"/>
      <c r="D1291" s="2394"/>
      <c r="E1291" s="2394"/>
      <c r="F1291" s="2404" t="str">
        <f>$E$659</f>
        <v>ASHP-SEER15-Replace_CAC_ElectricHeat_ROF_SF</v>
      </c>
      <c r="G1291" s="2404"/>
      <c r="H1291" s="2404"/>
      <c r="I1291" s="2404"/>
      <c r="J1291" s="962" t="str">
        <f>$C$659</f>
        <v>352400_2024_12_</v>
      </c>
      <c r="K1291" s="1515">
        <v>36788.235294117643</v>
      </c>
      <c r="L1291" s="888">
        <f t="shared" si="208"/>
        <v>3.0656862745098037</v>
      </c>
      <c r="M1291" s="1503" t="s">
        <v>929</v>
      </c>
      <c r="P1291" s="243"/>
      <c r="Q1291" s="192"/>
      <c r="R1291" s="243"/>
      <c r="T1291" s="166"/>
      <c r="U1291" s="50"/>
      <c r="V1291" s="2394"/>
      <c r="W1291" s="1268">
        <v>31200</v>
      </c>
      <c r="X1291" s="779">
        <f t="shared" si="209"/>
        <v>36720</v>
      </c>
      <c r="Y1291" s="779">
        <v>34320</v>
      </c>
      <c r="Z1291" s="1268">
        <v>34320</v>
      </c>
      <c r="AA1291" s="1268">
        <v>34320</v>
      </c>
      <c r="AB1291" s="775">
        <v>35872.340425531918</v>
      </c>
      <c r="AC1291" s="775">
        <v>37047.619047619046</v>
      </c>
      <c r="AD1291" s="775">
        <v>36495.412844036699</v>
      </c>
      <c r="AE1291" s="908">
        <v>36788.235294117643</v>
      </c>
      <c r="AF1291" s="253">
        <v>36788.235294117643</v>
      </c>
      <c r="AG1291" s="253">
        <f t="shared" si="207"/>
        <v>36788.235294117643</v>
      </c>
      <c r="DG1291" s="543"/>
      <c r="DH1291" s="149"/>
      <c r="DI1291" s="1020"/>
      <c r="DJ1291" s="2045"/>
    </row>
    <row r="1292" spans="1:114" outlineLevel="1" x14ac:dyDescent="0.25">
      <c r="A1292" s="2145"/>
      <c r="C1292" s="49"/>
      <c r="D1292" s="2394"/>
      <c r="E1292" s="2394"/>
      <c r="F1292" s="2404" t="str">
        <f>$E$661</f>
        <v>ASHP-SEER15-Replace_CAC_NonElectricHeat_ROF_SF</v>
      </c>
      <c r="G1292" s="2404"/>
      <c r="H1292" s="2404"/>
      <c r="I1292" s="2404"/>
      <c r="J1292" s="962" t="str">
        <f>$C$661</f>
        <v>352410_2024_12_</v>
      </c>
      <c r="K1292" s="1515">
        <v>36788.235294117643</v>
      </c>
      <c r="L1292" s="888">
        <f t="shared" si="208"/>
        <v>3.0656862745098037</v>
      </c>
      <c r="M1292" s="1504" t="s">
        <v>1018</v>
      </c>
      <c r="P1292" s="243"/>
      <c r="Q1292" s="192"/>
      <c r="R1292" s="243"/>
      <c r="T1292" s="166"/>
      <c r="U1292" s="50"/>
      <c r="V1292" s="2394"/>
      <c r="W1292" s="1268"/>
      <c r="X1292" s="779"/>
      <c r="Y1292" s="779"/>
      <c r="Z1292" s="1268"/>
      <c r="AA1292" s="1268"/>
      <c r="AB1292" s="775"/>
      <c r="AC1292" s="775">
        <v>37047.619047619046</v>
      </c>
      <c r="AD1292" s="775">
        <v>36495.412844036699</v>
      </c>
      <c r="AE1292" s="908">
        <v>36788.235294117643</v>
      </c>
      <c r="AF1292" s="253">
        <v>36788.235294117643</v>
      </c>
      <c r="AG1292" s="253">
        <f t="shared" si="207"/>
        <v>36788.235294117643</v>
      </c>
      <c r="DG1292" s="543"/>
      <c r="DH1292" s="149"/>
      <c r="DI1292" s="1020"/>
      <c r="DJ1292" s="2045"/>
    </row>
    <row r="1293" spans="1:114" ht="15.75" customHeight="1" outlineLevel="1" x14ac:dyDescent="0.25">
      <c r="A1293" s="2145"/>
      <c r="C1293" s="49"/>
      <c r="D1293" s="2394"/>
      <c r="E1293" s="2394"/>
      <c r="F1293" s="1968" t="s">
        <v>1130</v>
      </c>
      <c r="G1293" s="1969"/>
      <c r="H1293" s="1969"/>
      <c r="I1293" s="1970"/>
      <c r="J1293" s="2095" t="str">
        <f>$C$663</f>
        <v>352420_2025_12_</v>
      </c>
      <c r="K1293" s="1966">
        <v>25283</v>
      </c>
      <c r="L1293" s="2096">
        <f t="shared" si="208"/>
        <v>2.1069166666666668</v>
      </c>
      <c r="M1293" s="1976" t="s">
        <v>1297</v>
      </c>
      <c r="T1293" s="50"/>
      <c r="U1293" s="50"/>
      <c r="V1293" s="2394"/>
      <c r="W1293" s="1268"/>
      <c r="X1293" s="1268"/>
      <c r="Y1293" s="1268"/>
      <c r="Z1293" s="1268"/>
      <c r="AA1293" s="1268"/>
      <c r="AB1293" s="1268"/>
      <c r="AC1293" s="752"/>
      <c r="AD1293" s="966"/>
      <c r="AE1293" s="909"/>
      <c r="AF1293" s="253"/>
      <c r="AG1293" s="253">
        <f>IF(K1293&lt;&gt;"",K1293,"")</f>
        <v>25283</v>
      </c>
      <c r="DG1293" s="543"/>
      <c r="DH1293" s="149"/>
      <c r="DI1293" s="1020"/>
      <c r="DJ1293" s="2045"/>
    </row>
    <row r="1294" spans="1:114" ht="15.75" customHeight="1" outlineLevel="1" x14ac:dyDescent="0.25">
      <c r="A1294" s="2145"/>
      <c r="C1294" s="49"/>
      <c r="D1294" s="2394"/>
      <c r="E1294" s="2394"/>
      <c r="F1294" s="1968" t="s">
        <v>1131</v>
      </c>
      <c r="G1294" s="1969"/>
      <c r="H1294" s="1969"/>
      <c r="I1294" s="1970"/>
      <c r="J1294" s="2095" t="str">
        <f>$C$664</f>
        <v>352420_2025_12_</v>
      </c>
      <c r="K1294" s="1966">
        <v>25283</v>
      </c>
      <c r="L1294" s="2096">
        <f t="shared" si="208"/>
        <v>2.1069166666666668</v>
      </c>
      <c r="M1294" s="1976" t="s">
        <v>1297</v>
      </c>
      <c r="T1294" s="50"/>
      <c r="U1294" s="50"/>
      <c r="V1294" s="2394"/>
      <c r="W1294" s="1268"/>
      <c r="X1294" s="1268"/>
      <c r="Y1294" s="1268"/>
      <c r="Z1294" s="1268"/>
      <c r="AA1294" s="1268"/>
      <c r="AB1294" s="1268"/>
      <c r="AC1294" s="752"/>
      <c r="AD1294" s="966"/>
      <c r="AE1294" s="909"/>
      <c r="AF1294" s="253"/>
      <c r="AG1294" s="253">
        <f>IF(K1294&lt;&gt;"",K1294,"")</f>
        <v>25283</v>
      </c>
      <c r="DG1294" s="543"/>
      <c r="DH1294" s="149"/>
      <c r="DI1294" s="1020"/>
      <c r="DJ1294" s="2045"/>
    </row>
    <row r="1295" spans="1:114" ht="15.75" customHeight="1" outlineLevel="1" x14ac:dyDescent="0.25">
      <c r="A1295" s="2145"/>
      <c r="C1295" s="49"/>
      <c r="D1295" s="2394"/>
      <c r="E1295" s="2394"/>
      <c r="F1295" s="1968" t="s">
        <v>1133</v>
      </c>
      <c r="G1295" s="1969"/>
      <c r="H1295" s="1969"/>
      <c r="I1295" s="1970"/>
      <c r="J1295" s="2095" t="str">
        <f>$C$667</f>
        <v>352425_2025_12_</v>
      </c>
      <c r="K1295" s="1966">
        <v>34200</v>
      </c>
      <c r="L1295" s="2096">
        <f t="shared" si="208"/>
        <v>2.85</v>
      </c>
      <c r="M1295" s="1976" t="s">
        <v>1297</v>
      </c>
      <c r="T1295" s="50"/>
      <c r="U1295" s="50"/>
      <c r="V1295" s="2394"/>
      <c r="W1295" s="1268"/>
      <c r="X1295" s="1268"/>
      <c r="Y1295" s="1268"/>
      <c r="Z1295" s="1268"/>
      <c r="AA1295" s="1268"/>
      <c r="AB1295" s="1268"/>
      <c r="AC1295" s="752"/>
      <c r="AD1295" s="966"/>
      <c r="AE1295" s="909"/>
      <c r="AF1295" s="253"/>
      <c r="AG1295" s="253">
        <f>IF(K1295&lt;&gt;"",K1295,"")</f>
        <v>34200</v>
      </c>
      <c r="DG1295" s="543"/>
      <c r="DH1295" s="149"/>
      <c r="DI1295" s="1020"/>
      <c r="DJ1295" s="2045"/>
    </row>
    <row r="1296" spans="1:114" outlineLevel="1" x14ac:dyDescent="0.25">
      <c r="A1296" s="2145"/>
      <c r="C1296" s="49"/>
      <c r="D1296" s="2394"/>
      <c r="E1296" s="2394"/>
      <c r="F1296" s="2404" t="str">
        <f>$E$669</f>
        <v>ASHP-SEER16-Replace_CAC_ElectricHeat_ER1_SF</v>
      </c>
      <c r="G1296" s="2404"/>
      <c r="H1296" s="2404"/>
      <c r="I1296" s="2404"/>
      <c r="J1296" s="1506" t="str">
        <f>$C$669</f>
        <v>352500_2024_12_</v>
      </c>
      <c r="K1296" s="1515">
        <v>36180.821917808222</v>
      </c>
      <c r="L1296" s="888">
        <f t="shared" si="208"/>
        <v>3.015068493150685</v>
      </c>
      <c r="M1296" s="1518" t="s">
        <v>930</v>
      </c>
      <c r="P1296" s="243"/>
      <c r="Q1296" s="192"/>
      <c r="R1296" s="243"/>
      <c r="T1296" s="166"/>
      <c r="U1296" s="50"/>
      <c r="V1296" s="2394"/>
      <c r="W1296" s="1268">
        <v>37200</v>
      </c>
      <c r="X1296" s="779">
        <f t="shared" si="209"/>
        <v>36720</v>
      </c>
      <c r="Y1296" s="779">
        <v>38160</v>
      </c>
      <c r="Z1296" s="1268">
        <v>38160</v>
      </c>
      <c r="AA1296" s="1268">
        <v>38160</v>
      </c>
      <c r="AB1296" s="775">
        <v>35375.776397515532</v>
      </c>
      <c r="AC1296" s="775">
        <v>35069.908814589668</v>
      </c>
      <c r="AD1296" s="775">
        <v>35478.530884808017</v>
      </c>
      <c r="AE1296" s="908">
        <v>35329.608938547484</v>
      </c>
      <c r="AF1296" s="253">
        <v>36180.821917808222</v>
      </c>
      <c r="AG1296" s="253">
        <f t="shared" si="207"/>
        <v>36180.821917808222</v>
      </c>
      <c r="DG1296" s="543"/>
      <c r="DH1296" s="149"/>
      <c r="DI1296" s="1020"/>
      <c r="DJ1296" s="2045"/>
    </row>
    <row r="1297" spans="1:114" outlineLevel="1" x14ac:dyDescent="0.25">
      <c r="A1297" s="2145"/>
      <c r="C1297" s="49"/>
      <c r="D1297" s="2394"/>
      <c r="E1297" s="2394"/>
      <c r="F1297" s="2404" t="str">
        <f>$E$671</f>
        <v>ASHP-SEER16-Replace_CAC_ElectricHeat_ER2_SF</v>
      </c>
      <c r="G1297" s="2404"/>
      <c r="H1297" s="2404"/>
      <c r="I1297" s="2404"/>
      <c r="J1297" s="1506" t="str">
        <f>$C$671</f>
        <v>352500_2024_12_</v>
      </c>
      <c r="K1297" s="1515">
        <f>$K$1296</f>
        <v>36180.821917808222</v>
      </c>
      <c r="L1297" s="888">
        <f t="shared" si="208"/>
        <v>3.015068493150685</v>
      </c>
      <c r="M1297" s="1518" t="s">
        <v>930</v>
      </c>
      <c r="P1297" s="243"/>
      <c r="Q1297" s="192"/>
      <c r="R1297" s="243"/>
      <c r="T1297" s="166"/>
      <c r="U1297" s="50"/>
      <c r="V1297" s="2394"/>
      <c r="W1297" s="1268">
        <v>37200</v>
      </c>
      <c r="X1297" s="779">
        <f t="shared" si="209"/>
        <v>36720</v>
      </c>
      <c r="Y1297" s="779">
        <v>38160</v>
      </c>
      <c r="Z1297" s="1268">
        <v>38160</v>
      </c>
      <c r="AA1297" s="1268">
        <v>38160</v>
      </c>
      <c r="AB1297" s="775">
        <v>35375.776397515532</v>
      </c>
      <c r="AC1297" s="775">
        <f>AC1296</f>
        <v>35069.908814589668</v>
      </c>
      <c r="AD1297" s="775">
        <v>35478.530884808017</v>
      </c>
      <c r="AE1297" s="908">
        <v>35329.608938547484</v>
      </c>
      <c r="AF1297" s="253">
        <v>36180.821917808222</v>
      </c>
      <c r="AG1297" s="253">
        <f t="shared" si="207"/>
        <v>36180.821917808222</v>
      </c>
      <c r="DG1297" s="543"/>
      <c r="DH1297" s="149"/>
      <c r="DI1297" s="1020"/>
      <c r="DJ1297" s="2045"/>
    </row>
    <row r="1298" spans="1:114" outlineLevel="1" x14ac:dyDescent="0.25">
      <c r="A1298" s="2145"/>
      <c r="C1298" s="49"/>
      <c r="D1298" s="2394"/>
      <c r="E1298" s="2394"/>
      <c r="F1298" s="2404" t="str">
        <f>$E$673</f>
        <v>ASHP-SEER16-Replace_CAC_NonElectricHeat_ER1_SF</v>
      </c>
      <c r="G1298" s="2404"/>
      <c r="H1298" s="2404"/>
      <c r="I1298" s="2404"/>
      <c r="J1298" s="1506" t="str">
        <f>$C$673</f>
        <v>352510_2024_12_</v>
      </c>
      <c r="K1298" s="1515">
        <f t="shared" ref="K1298:K1303" si="210">$K$1296</f>
        <v>36180.821917808222</v>
      </c>
      <c r="L1298" s="888">
        <f t="shared" si="208"/>
        <v>3.015068493150685</v>
      </c>
      <c r="M1298" s="1518" t="s">
        <v>930</v>
      </c>
      <c r="P1298" s="243"/>
      <c r="Q1298" s="192"/>
      <c r="R1298" s="243"/>
      <c r="T1298" s="166"/>
      <c r="U1298" s="50"/>
      <c r="V1298" s="2394"/>
      <c r="W1298" s="1268"/>
      <c r="X1298" s="779"/>
      <c r="Y1298" s="779"/>
      <c r="Z1298" s="1268"/>
      <c r="AA1298" s="1268"/>
      <c r="AB1298" s="775"/>
      <c r="AC1298" s="775">
        <v>35069.908814589668</v>
      </c>
      <c r="AD1298" s="775">
        <v>35478.530884808017</v>
      </c>
      <c r="AE1298" s="908">
        <v>35329.608938547484</v>
      </c>
      <c r="AF1298" s="253">
        <v>36180.821917808222</v>
      </c>
      <c r="AG1298" s="253">
        <f t="shared" si="207"/>
        <v>36180.821917808222</v>
      </c>
      <c r="DG1298" s="543"/>
      <c r="DH1298" s="149"/>
      <c r="DI1298" s="1020"/>
      <c r="DJ1298" s="2045"/>
    </row>
    <row r="1299" spans="1:114" outlineLevel="1" x14ac:dyDescent="0.25">
      <c r="A1299" s="2145"/>
      <c r="C1299" s="49"/>
      <c r="D1299" s="2394"/>
      <c r="E1299" s="2394"/>
      <c r="F1299" s="2404" t="str">
        <f>$E$675</f>
        <v>ASHP-SEER16-Replace_CAC_NonElectricHeat_ER2_SF</v>
      </c>
      <c r="G1299" s="2404"/>
      <c r="H1299" s="2404"/>
      <c r="I1299" s="2404"/>
      <c r="J1299" s="1506" t="str">
        <f>$C$675</f>
        <v>352510_2024_12_</v>
      </c>
      <c r="K1299" s="1515">
        <f t="shared" si="210"/>
        <v>36180.821917808222</v>
      </c>
      <c r="L1299" s="888">
        <f t="shared" si="208"/>
        <v>3.015068493150685</v>
      </c>
      <c r="M1299" s="1518" t="s">
        <v>930</v>
      </c>
      <c r="P1299" s="243"/>
      <c r="Q1299" s="192"/>
      <c r="R1299" s="243"/>
      <c r="T1299" s="166"/>
      <c r="U1299" s="50"/>
      <c r="V1299" s="2394"/>
      <c r="W1299" s="1268"/>
      <c r="X1299" s="779"/>
      <c r="Y1299" s="779"/>
      <c r="Z1299" s="1268"/>
      <c r="AA1299" s="1268"/>
      <c r="AB1299" s="775"/>
      <c r="AC1299" s="775">
        <f>AC1298</f>
        <v>35069.908814589668</v>
      </c>
      <c r="AD1299" s="775">
        <v>35478.530884808017</v>
      </c>
      <c r="AE1299" s="908">
        <v>35329.608938547484</v>
      </c>
      <c r="AF1299" s="253">
        <v>36180.821917808222</v>
      </c>
      <c r="AG1299" s="253">
        <f t="shared" si="207"/>
        <v>36180.821917808222</v>
      </c>
      <c r="DG1299" s="543"/>
      <c r="DH1299" s="149"/>
      <c r="DI1299" s="1020"/>
      <c r="DJ1299" s="2045"/>
    </row>
    <row r="1300" spans="1:114" ht="15.75" customHeight="1" outlineLevel="1" x14ac:dyDescent="0.25">
      <c r="A1300" s="2145"/>
      <c r="C1300" s="49"/>
      <c r="D1300" s="2394"/>
      <c r="E1300" s="2394"/>
      <c r="F1300" s="1968" t="s">
        <v>1141</v>
      </c>
      <c r="G1300" s="1969"/>
      <c r="H1300" s="1969"/>
      <c r="I1300" s="1970"/>
      <c r="J1300" s="2095" t="s">
        <v>1140</v>
      </c>
      <c r="K1300" s="1966">
        <f>K1348</f>
        <v>23000</v>
      </c>
      <c r="L1300" s="888">
        <f>K1300/12000</f>
        <v>1.9166666666666667</v>
      </c>
      <c r="M1300" s="1976" t="s">
        <v>1298</v>
      </c>
      <c r="T1300" s="50"/>
      <c r="U1300" s="50"/>
      <c r="V1300" s="2394"/>
      <c r="W1300" s="1268"/>
      <c r="X1300" s="1268"/>
      <c r="Y1300" s="1268"/>
      <c r="Z1300" s="1268"/>
      <c r="AA1300" s="1268"/>
      <c r="AB1300" s="1268"/>
      <c r="AC1300" s="752"/>
      <c r="AD1300" s="966"/>
      <c r="AE1300" s="909"/>
      <c r="AF1300" s="253"/>
      <c r="AG1300" s="253">
        <f>IF(K1300&lt;&gt;"",K1300,"")</f>
        <v>23000</v>
      </c>
      <c r="DG1300" s="543"/>
      <c r="DH1300" s="149"/>
      <c r="DI1300" s="1020"/>
      <c r="DJ1300" s="2045"/>
    </row>
    <row r="1301" spans="1:114" ht="15.75" customHeight="1" outlineLevel="1" x14ac:dyDescent="0.25">
      <c r="A1301" s="2145"/>
      <c r="C1301" s="49"/>
      <c r="D1301" s="2394"/>
      <c r="E1301" s="2394"/>
      <c r="F1301" s="1968" t="s">
        <v>1142</v>
      </c>
      <c r="G1301" s="1969"/>
      <c r="H1301" s="1969"/>
      <c r="I1301" s="1970"/>
      <c r="J1301" s="2095" t="s">
        <v>1140</v>
      </c>
      <c r="K1301" s="1966">
        <f>K1349</f>
        <v>23000</v>
      </c>
      <c r="L1301" s="888">
        <f>K1301/12000</f>
        <v>1.9166666666666667</v>
      </c>
      <c r="M1301" s="1976" t="s">
        <v>1298</v>
      </c>
      <c r="T1301" s="50"/>
      <c r="U1301" s="50"/>
      <c r="V1301" s="2394"/>
      <c r="W1301" s="1268"/>
      <c r="X1301" s="1268"/>
      <c r="Y1301" s="1268"/>
      <c r="Z1301" s="1268"/>
      <c r="AA1301" s="1268"/>
      <c r="AB1301" s="1268"/>
      <c r="AC1301" s="752"/>
      <c r="AD1301" s="966"/>
      <c r="AE1301" s="909"/>
      <c r="AF1301" s="253"/>
      <c r="AG1301" s="253">
        <f>IF(K1301&lt;&gt;"",K1301,"")</f>
        <v>23000</v>
      </c>
      <c r="DG1301" s="543"/>
      <c r="DH1301" s="149"/>
      <c r="DI1301" s="1020"/>
      <c r="DJ1301" s="2045"/>
    </row>
    <row r="1302" spans="1:114" outlineLevel="1" x14ac:dyDescent="0.25">
      <c r="A1302" s="2145"/>
      <c r="C1302" s="49"/>
      <c r="D1302" s="2394"/>
      <c r="E1302" s="2394"/>
      <c r="F1302" s="2404" t="str">
        <f>$E$681</f>
        <v>ASHP-SEER16_ER1_SF</v>
      </c>
      <c r="G1302" s="2404"/>
      <c r="H1302" s="2404"/>
      <c r="I1302" s="2404"/>
      <c r="J1302" s="1506" t="str">
        <f>$C$681</f>
        <v>352550_2024_12_</v>
      </c>
      <c r="K1302" s="1515">
        <f t="shared" si="210"/>
        <v>36180.821917808222</v>
      </c>
      <c r="L1302" s="888">
        <f t="shared" si="208"/>
        <v>3.015068493150685</v>
      </c>
      <c r="M1302" s="1518" t="s">
        <v>930</v>
      </c>
      <c r="P1302" s="243"/>
      <c r="Q1302" s="192"/>
      <c r="R1302" s="243"/>
      <c r="T1302" s="166"/>
      <c r="U1302" s="50"/>
      <c r="V1302" s="2394"/>
      <c r="W1302" s="1268">
        <v>39600</v>
      </c>
      <c r="X1302" s="779">
        <f t="shared" si="209"/>
        <v>36720</v>
      </c>
      <c r="Y1302" s="779">
        <v>37800</v>
      </c>
      <c r="Z1302" s="1268">
        <v>37800</v>
      </c>
      <c r="AA1302" s="1268">
        <v>37800</v>
      </c>
      <c r="AB1302" s="775">
        <v>37317.757009345798</v>
      </c>
      <c r="AC1302" s="775">
        <v>36536.170212765959</v>
      </c>
      <c r="AD1302" s="775">
        <v>35478.530884808017</v>
      </c>
      <c r="AE1302" s="908">
        <v>35329.608938547484</v>
      </c>
      <c r="AF1302" s="253">
        <v>36180.821917808222</v>
      </c>
      <c r="AG1302" s="253">
        <f t="shared" si="207"/>
        <v>36180.821917808222</v>
      </c>
      <c r="DG1302" s="543"/>
      <c r="DH1302" s="149"/>
      <c r="DI1302" s="1020"/>
      <c r="DJ1302" s="2045"/>
    </row>
    <row r="1303" spans="1:114" outlineLevel="1" x14ac:dyDescent="0.25">
      <c r="A1303" s="2145"/>
      <c r="C1303" s="49"/>
      <c r="D1303" s="2394"/>
      <c r="E1303" s="2394"/>
      <c r="F1303" s="2404" t="str">
        <f>$E$683</f>
        <v>ASHP-SEER16_ER2_SF</v>
      </c>
      <c r="G1303" s="2404"/>
      <c r="H1303" s="2404"/>
      <c r="I1303" s="2404"/>
      <c r="J1303" s="1506" t="str">
        <f>$C$683</f>
        <v>352550_2024_12_</v>
      </c>
      <c r="K1303" s="1515">
        <f t="shared" si="210"/>
        <v>36180.821917808222</v>
      </c>
      <c r="L1303" s="888">
        <f t="shared" si="208"/>
        <v>3.015068493150685</v>
      </c>
      <c r="M1303" s="1518" t="s">
        <v>930</v>
      </c>
      <c r="P1303" s="243"/>
      <c r="Q1303" s="192"/>
      <c r="R1303" s="243"/>
      <c r="T1303" s="166"/>
      <c r="U1303" s="50"/>
      <c r="V1303" s="2394"/>
      <c r="W1303" s="1268">
        <v>39600</v>
      </c>
      <c r="X1303" s="779">
        <f t="shared" si="209"/>
        <v>36720</v>
      </c>
      <c r="Y1303" s="779">
        <v>37800</v>
      </c>
      <c r="Z1303" s="1268">
        <v>37800</v>
      </c>
      <c r="AA1303" s="1268">
        <v>37800</v>
      </c>
      <c r="AB1303" s="775">
        <v>37317.757009345798</v>
      </c>
      <c r="AC1303" s="775">
        <f>AC1302</f>
        <v>36536.170212765959</v>
      </c>
      <c r="AD1303" s="775">
        <v>35478.530884808017</v>
      </c>
      <c r="AE1303" s="908">
        <v>35329.608938547484</v>
      </c>
      <c r="AF1303" s="253">
        <v>36180.821917808222</v>
      </c>
      <c r="AG1303" s="253">
        <f t="shared" si="207"/>
        <v>36180.821917808222</v>
      </c>
      <c r="DG1303" s="543"/>
      <c r="DH1303" s="149"/>
      <c r="DI1303" s="1020"/>
      <c r="DJ1303" s="2045"/>
    </row>
    <row r="1304" spans="1:114" outlineLevel="1" x14ac:dyDescent="0.25">
      <c r="A1304" s="2145"/>
      <c r="C1304" s="49"/>
      <c r="D1304" s="2394"/>
      <c r="E1304" s="2394"/>
      <c r="F1304" s="2404" t="str">
        <f>$E$685</f>
        <v>ASHP-SEER16-Replace_CAC_ElectricHeat_ROF_SF</v>
      </c>
      <c r="G1304" s="2404"/>
      <c r="H1304" s="2404"/>
      <c r="I1304" s="2404"/>
      <c r="J1304" s="1506" t="str">
        <f>$C$685</f>
        <v>352600_2024_12_</v>
      </c>
      <c r="K1304" s="1515">
        <v>36887.323943661962</v>
      </c>
      <c r="L1304" s="888">
        <f t="shared" si="208"/>
        <v>3.0739436619718301</v>
      </c>
      <c r="M1304" s="1503" t="s">
        <v>931</v>
      </c>
      <c r="P1304" s="243"/>
      <c r="Q1304" s="192"/>
      <c r="R1304" s="243"/>
      <c r="T1304" s="166"/>
      <c r="U1304" s="50"/>
      <c r="V1304" s="2394"/>
      <c r="W1304" s="1268">
        <v>38400</v>
      </c>
      <c r="X1304" s="779">
        <f t="shared" si="209"/>
        <v>36720</v>
      </c>
      <c r="Y1304" s="779">
        <v>37320</v>
      </c>
      <c r="Z1304" s="1268">
        <v>37320</v>
      </c>
      <c r="AA1304" s="1268">
        <v>37320</v>
      </c>
      <c r="AB1304" s="775">
        <v>35428.571428571428</v>
      </c>
      <c r="AC1304" s="775">
        <v>35468.354430379746</v>
      </c>
      <c r="AD1304" s="775">
        <v>37756.097560975613</v>
      </c>
      <c r="AE1304" s="908">
        <v>36887.323943661962</v>
      </c>
      <c r="AF1304" s="253">
        <v>36887.323943661962</v>
      </c>
      <c r="AG1304" s="253">
        <f t="shared" si="207"/>
        <v>36887.323943661962</v>
      </c>
      <c r="DG1304" s="543"/>
      <c r="DH1304" s="149"/>
      <c r="DI1304" s="1020"/>
      <c r="DJ1304" s="2045"/>
    </row>
    <row r="1305" spans="1:114" ht="15.75" customHeight="1" outlineLevel="1" x14ac:dyDescent="0.25">
      <c r="A1305" s="2145"/>
      <c r="C1305" s="49"/>
      <c r="D1305" s="2394"/>
      <c r="E1305" s="2394"/>
      <c r="F1305" s="1968" t="s">
        <v>1149</v>
      </c>
      <c r="G1305" s="1969"/>
      <c r="H1305" s="1969"/>
      <c r="I1305" s="1970"/>
      <c r="J1305" s="2095" t="s">
        <v>1148</v>
      </c>
      <c r="K1305" s="1966">
        <v>33600</v>
      </c>
      <c r="L1305" s="888">
        <f>K1305/12000</f>
        <v>2.8</v>
      </c>
      <c r="M1305" s="1976" t="s">
        <v>1297</v>
      </c>
      <c r="T1305" s="50"/>
      <c r="U1305" s="50"/>
      <c r="V1305" s="2394"/>
      <c r="W1305" s="1268"/>
      <c r="X1305" s="1268"/>
      <c r="Y1305" s="1268"/>
      <c r="Z1305" s="1268"/>
      <c r="AA1305" s="1268"/>
      <c r="AB1305" s="1268"/>
      <c r="AC1305" s="752"/>
      <c r="AD1305" s="966"/>
      <c r="AE1305" s="909"/>
      <c r="AF1305" s="253"/>
      <c r="AG1305" s="253">
        <f>IF(K1305&lt;&gt;"",K1305,"")</f>
        <v>33600</v>
      </c>
      <c r="DG1305" s="543"/>
      <c r="DH1305" s="149"/>
      <c r="DI1305" s="1020"/>
      <c r="DJ1305" s="2045"/>
    </row>
    <row r="1306" spans="1:114" outlineLevel="1" x14ac:dyDescent="0.25">
      <c r="A1306" s="2145"/>
      <c r="C1306" s="49"/>
      <c r="D1306" s="2394"/>
      <c r="E1306" s="2394"/>
      <c r="F1306" s="2404" t="str">
        <f>$E$689</f>
        <v>ASHP-SEER16-Replace_CAC_NonElectricHeat_ROF_SF</v>
      </c>
      <c r="G1306" s="2404"/>
      <c r="H1306" s="2404"/>
      <c r="I1306" s="2404"/>
      <c r="J1306" s="1506" t="str">
        <f>$C$689</f>
        <v>352610_2024_12_</v>
      </c>
      <c r="K1306" s="1515">
        <v>36887.323943661962</v>
      </c>
      <c r="L1306" s="888">
        <f>K1306/12000</f>
        <v>3.0739436619718301</v>
      </c>
      <c r="M1306" s="1503" t="s">
        <v>1018</v>
      </c>
      <c r="P1306" s="243"/>
      <c r="Q1306" s="192"/>
      <c r="R1306" s="243"/>
      <c r="T1306" s="166"/>
      <c r="U1306" s="50"/>
      <c r="V1306" s="2394"/>
      <c r="W1306" s="1268"/>
      <c r="X1306" s="779"/>
      <c r="Y1306" s="779"/>
      <c r="Z1306" s="1268"/>
      <c r="AA1306" s="1268"/>
      <c r="AB1306" s="775"/>
      <c r="AC1306" s="775"/>
      <c r="AD1306" s="775">
        <v>37756.097560975613</v>
      </c>
      <c r="AE1306" s="908">
        <v>36887.323943661962</v>
      </c>
      <c r="AF1306" s="253">
        <v>36887.323943661962</v>
      </c>
      <c r="AG1306" s="253">
        <f t="shared" si="207"/>
        <v>36887.323943661962</v>
      </c>
      <c r="DG1306" s="543"/>
      <c r="DH1306" s="149"/>
      <c r="DI1306" s="1020"/>
      <c r="DJ1306" s="2045"/>
    </row>
    <row r="1307" spans="1:114" outlineLevel="1" x14ac:dyDescent="0.25">
      <c r="A1307" s="2145"/>
      <c r="C1307" s="49"/>
      <c r="D1307" s="2394"/>
      <c r="E1307" s="2394"/>
      <c r="F1307" s="2404" t="str">
        <f>$E$691</f>
        <v>ASHP-SEER16_ROF_SF</v>
      </c>
      <c r="G1307" s="2404"/>
      <c r="H1307" s="2404"/>
      <c r="I1307" s="2404"/>
      <c r="J1307" s="1506" t="str">
        <f>$C$691</f>
        <v>352650_2024_12_</v>
      </c>
      <c r="K1307" s="1515">
        <v>36887.323943661962</v>
      </c>
      <c r="L1307" s="888">
        <f t="shared" si="208"/>
        <v>3.0739436619718301</v>
      </c>
      <c r="M1307" s="1503" t="s">
        <v>931</v>
      </c>
      <c r="P1307" s="243"/>
      <c r="Q1307" s="192"/>
      <c r="R1307" s="243"/>
      <c r="T1307" s="166"/>
      <c r="U1307" s="50"/>
      <c r="V1307" s="2394"/>
      <c r="W1307" s="1268">
        <v>39600</v>
      </c>
      <c r="X1307" s="779">
        <f t="shared" si="209"/>
        <v>36720</v>
      </c>
      <c r="Y1307" s="779">
        <v>39000</v>
      </c>
      <c r="Z1307" s="1268">
        <v>39000</v>
      </c>
      <c r="AA1307" s="1268">
        <v>39000</v>
      </c>
      <c r="AB1307" s="1268">
        <v>39000</v>
      </c>
      <c r="AC1307" s="775">
        <v>37105.263157894733</v>
      </c>
      <c r="AD1307" s="775">
        <v>37756.097560975613</v>
      </c>
      <c r="AE1307" s="908">
        <v>36887.323943661962</v>
      </c>
      <c r="AF1307" s="253">
        <v>36887.323943661962</v>
      </c>
      <c r="AG1307" s="253">
        <f t="shared" si="207"/>
        <v>36887.323943661962</v>
      </c>
      <c r="DG1307" s="543"/>
      <c r="DH1307" s="149"/>
      <c r="DI1307" s="1020"/>
      <c r="DJ1307" s="2045"/>
    </row>
    <row r="1308" spans="1:114" ht="15.75" customHeight="1" outlineLevel="1" x14ac:dyDescent="0.25">
      <c r="A1308" s="2145"/>
      <c r="C1308" s="49"/>
      <c r="D1308" s="2394"/>
      <c r="E1308" s="2394"/>
      <c r="F1308" s="1968" t="s">
        <v>1155</v>
      </c>
      <c r="G1308" s="1969"/>
      <c r="H1308" s="1969"/>
      <c r="I1308" s="1970"/>
      <c r="J1308" s="2095" t="s">
        <v>1154</v>
      </c>
      <c r="K1308" s="1966">
        <v>32467</v>
      </c>
      <c r="L1308" s="888">
        <f>K1308/12000</f>
        <v>2.7055833333333332</v>
      </c>
      <c r="M1308" s="1976" t="s">
        <v>1297</v>
      </c>
      <c r="T1308" s="50"/>
      <c r="U1308" s="50"/>
      <c r="V1308" s="2394"/>
      <c r="W1308" s="1268"/>
      <c r="X1308" s="1268"/>
      <c r="Y1308" s="1268"/>
      <c r="Z1308" s="1268"/>
      <c r="AA1308" s="1268"/>
      <c r="AB1308" s="1268"/>
      <c r="AC1308" s="752"/>
      <c r="AD1308" s="966"/>
      <c r="AE1308" s="909"/>
      <c r="AF1308" s="253"/>
      <c r="AG1308" s="253">
        <f>IF(K1308&lt;&gt;"",K1308,"")</f>
        <v>32467</v>
      </c>
      <c r="DG1308" s="543"/>
      <c r="DH1308" s="149"/>
      <c r="DI1308" s="1020"/>
      <c r="DJ1308" s="2045"/>
    </row>
    <row r="1309" spans="1:114" outlineLevel="1" x14ac:dyDescent="0.25">
      <c r="A1309" s="2145"/>
      <c r="C1309" s="49"/>
      <c r="D1309" s="2394"/>
      <c r="E1309" s="2394"/>
      <c r="F1309" s="2404" t="str">
        <f>$E$695</f>
        <v>ASHP-SEER16-Replace_CAC_ElectricHeat_ER1_MF</v>
      </c>
      <c r="G1309" s="2404"/>
      <c r="H1309" s="2404"/>
      <c r="I1309" s="2404"/>
      <c r="J1309" s="1506" t="str">
        <f>$C$695</f>
        <v>353000_2024_12_</v>
      </c>
      <c r="K1309" s="1515">
        <v>38000</v>
      </c>
      <c r="L1309" s="888">
        <f t="shared" si="208"/>
        <v>3.1666666666666665</v>
      </c>
      <c r="M1309" s="1503" t="s">
        <v>931</v>
      </c>
      <c r="P1309" s="243"/>
      <c r="Q1309" s="192"/>
      <c r="R1309" s="243"/>
      <c r="T1309" s="166"/>
      <c r="U1309" s="50"/>
      <c r="V1309" s="2394"/>
      <c r="W1309" s="1268">
        <v>37200</v>
      </c>
      <c r="X1309" s="1268">
        <v>37200</v>
      </c>
      <c r="Y1309" s="1268">
        <v>37200</v>
      </c>
      <c r="Z1309" s="1268">
        <v>37200</v>
      </c>
      <c r="AA1309" s="1268">
        <v>37200</v>
      </c>
      <c r="AB1309" s="779">
        <v>39600</v>
      </c>
      <c r="AC1309" s="775">
        <v>24000</v>
      </c>
      <c r="AD1309" s="775">
        <v>38000</v>
      </c>
      <c r="AE1309" s="966">
        <v>38000</v>
      </c>
      <c r="AF1309" s="253">
        <v>38000</v>
      </c>
      <c r="AG1309" s="253">
        <f t="shared" si="207"/>
        <v>38000</v>
      </c>
      <c r="DG1309" s="543"/>
      <c r="DH1309" s="149"/>
      <c r="DI1309" s="1020"/>
      <c r="DJ1309" s="2045"/>
    </row>
    <row r="1310" spans="1:114" outlineLevel="1" x14ac:dyDescent="0.25">
      <c r="A1310" s="2145"/>
      <c r="C1310" s="49"/>
      <c r="D1310" s="2394"/>
      <c r="E1310" s="2394"/>
      <c r="F1310" s="2404" t="str">
        <f>$E$697</f>
        <v>ASHP-SEER16-Replace_CAC_ElectricHeat_ER2_MF</v>
      </c>
      <c r="G1310" s="2404"/>
      <c r="H1310" s="2404"/>
      <c r="I1310" s="2404"/>
      <c r="J1310" s="1506" t="str">
        <f>$C$697</f>
        <v>353000_2024_12_</v>
      </c>
      <c r="K1310" s="1515">
        <v>38000</v>
      </c>
      <c r="L1310" s="888">
        <f t="shared" si="208"/>
        <v>3.1666666666666665</v>
      </c>
      <c r="M1310" s="1503" t="s">
        <v>931</v>
      </c>
      <c r="P1310" s="243"/>
      <c r="Q1310" s="192"/>
      <c r="R1310" s="243"/>
      <c r="T1310" s="166"/>
      <c r="U1310" s="50"/>
      <c r="V1310" s="2394"/>
      <c r="W1310" s="1268">
        <v>37200</v>
      </c>
      <c r="X1310" s="1268">
        <v>37200</v>
      </c>
      <c r="Y1310" s="1268">
        <v>37200</v>
      </c>
      <c r="Z1310" s="1268">
        <v>37200</v>
      </c>
      <c r="AA1310" s="1268">
        <v>37200</v>
      </c>
      <c r="AB1310" s="779">
        <v>39600</v>
      </c>
      <c r="AC1310" s="775">
        <f>AC1309</f>
        <v>24000</v>
      </c>
      <c r="AD1310" s="775">
        <v>38000</v>
      </c>
      <c r="AE1310" s="966">
        <v>38000</v>
      </c>
      <c r="AF1310" s="253">
        <v>38000</v>
      </c>
      <c r="AG1310" s="253">
        <f t="shared" si="207"/>
        <v>38000</v>
      </c>
      <c r="DG1310" s="543"/>
      <c r="DH1310" s="149"/>
      <c r="DI1310" s="1020"/>
      <c r="DJ1310" s="2045"/>
    </row>
    <row r="1311" spans="1:114" outlineLevel="1" x14ac:dyDescent="0.25">
      <c r="A1311" s="2145"/>
      <c r="C1311" s="49"/>
      <c r="D1311" s="2394"/>
      <c r="E1311" s="2394"/>
      <c r="F1311" s="2404" t="str">
        <f>$E$699</f>
        <v>ASHP-SEER17-Replace_CAC_ElectricHeat_ROF_SF</v>
      </c>
      <c r="G1311" s="2404"/>
      <c r="H1311" s="2404"/>
      <c r="I1311" s="2404"/>
      <c r="J1311" s="1506" t="str">
        <f>$C$699</f>
        <v>353100_2024_12_</v>
      </c>
      <c r="K1311" s="1515">
        <v>36000</v>
      </c>
      <c r="L1311" s="888">
        <f t="shared" si="208"/>
        <v>3</v>
      </c>
      <c r="M1311" s="1518" t="s">
        <v>930</v>
      </c>
      <c r="P1311" s="243"/>
      <c r="Q1311" s="192"/>
      <c r="R1311" s="243"/>
      <c r="T1311" s="166"/>
      <c r="U1311" s="50"/>
      <c r="V1311" s="2394"/>
      <c r="W1311" s="1268">
        <v>33600</v>
      </c>
      <c r="X1311" s="1268">
        <v>33600</v>
      </c>
      <c r="Y1311" s="1268">
        <v>33600</v>
      </c>
      <c r="Z1311" s="1268">
        <v>33600</v>
      </c>
      <c r="AA1311" s="1268">
        <v>33600</v>
      </c>
      <c r="AB1311" s="1268">
        <v>33600</v>
      </c>
      <c r="AC1311" s="775">
        <v>32400.000000000004</v>
      </c>
      <c r="AD1311" s="775">
        <v>36857.142857142855</v>
      </c>
      <c r="AE1311" s="908">
        <v>37200</v>
      </c>
      <c r="AF1311" s="253">
        <v>36000</v>
      </c>
      <c r="AG1311" s="253">
        <f t="shared" si="207"/>
        <v>36000</v>
      </c>
      <c r="DG1311" s="543"/>
      <c r="DH1311" s="149"/>
      <c r="DI1311" s="1020"/>
      <c r="DJ1311" s="2045"/>
    </row>
    <row r="1312" spans="1:114" ht="15.75" customHeight="1" outlineLevel="1" x14ac:dyDescent="0.25">
      <c r="A1312" s="2145"/>
      <c r="C1312" s="49"/>
      <c r="D1312" s="2394"/>
      <c r="E1312" s="2394"/>
      <c r="F1312" s="1968" t="s">
        <v>1162</v>
      </c>
      <c r="G1312" s="1969"/>
      <c r="H1312" s="1969"/>
      <c r="I1312" s="1970"/>
      <c r="J1312" s="2095" t="s">
        <v>1161</v>
      </c>
      <c r="K1312" s="1966">
        <v>27800</v>
      </c>
      <c r="L1312" s="888">
        <f>K1312/12000</f>
        <v>2.3166666666666669</v>
      </c>
      <c r="M1312" s="1976" t="s">
        <v>1297</v>
      </c>
      <c r="T1312" s="50"/>
      <c r="U1312" s="50"/>
      <c r="V1312" s="2394"/>
      <c r="W1312" s="1268"/>
      <c r="X1312" s="1268"/>
      <c r="Y1312" s="1268"/>
      <c r="Z1312" s="1268"/>
      <c r="AA1312" s="1268"/>
      <c r="AB1312" s="1268"/>
      <c r="AC1312" s="752"/>
      <c r="AD1312" s="966"/>
      <c r="AE1312" s="909"/>
      <c r="AF1312" s="253"/>
      <c r="AG1312" s="253">
        <f>IF(K1312&lt;&gt;"",K1312,"")</f>
        <v>27800</v>
      </c>
      <c r="DG1312" s="543"/>
      <c r="DH1312" s="149"/>
      <c r="DI1312" s="1020"/>
      <c r="DJ1312" s="2045"/>
    </row>
    <row r="1313" spans="1:114" outlineLevel="1" x14ac:dyDescent="0.25">
      <c r="A1313" s="2145"/>
      <c r="C1313" s="49"/>
      <c r="D1313" s="2394"/>
      <c r="E1313" s="2394"/>
      <c r="F1313" s="2404" t="str">
        <f>$E$703</f>
        <v>ASHP-SEER17-Replace_CAC_NonElectricHeat_ROF_SF</v>
      </c>
      <c r="G1313" s="2404"/>
      <c r="H1313" s="2404"/>
      <c r="I1313" s="2404"/>
      <c r="J1313" s="1506" t="str">
        <f>$C$703</f>
        <v>353110_2024_12_</v>
      </c>
      <c r="K1313" s="1515">
        <f>$K$1311</f>
        <v>36000</v>
      </c>
      <c r="L1313" s="888">
        <f t="shared" si="208"/>
        <v>3</v>
      </c>
      <c r="M1313" s="1518" t="s">
        <v>930</v>
      </c>
      <c r="P1313" s="243"/>
      <c r="Q1313" s="192"/>
      <c r="R1313" s="243"/>
      <c r="T1313" s="166"/>
      <c r="U1313" s="50"/>
      <c r="V1313" s="2394"/>
      <c r="W1313" s="1268"/>
      <c r="X1313" s="779"/>
      <c r="Y1313" s="779"/>
      <c r="Z1313" s="1268"/>
      <c r="AA1313" s="1268"/>
      <c r="AB1313" s="775"/>
      <c r="AC1313" s="775"/>
      <c r="AD1313" s="775">
        <v>36857.142857142855</v>
      </c>
      <c r="AE1313" s="908">
        <v>37200</v>
      </c>
      <c r="AF1313" s="253">
        <v>36000</v>
      </c>
      <c r="AG1313" s="253">
        <f t="shared" si="207"/>
        <v>36000</v>
      </c>
      <c r="DG1313" s="543"/>
      <c r="DH1313" s="149"/>
      <c r="DI1313" s="1020"/>
      <c r="DJ1313" s="2045"/>
    </row>
    <row r="1314" spans="1:114" outlineLevel="1" x14ac:dyDescent="0.25">
      <c r="A1314" s="2145"/>
      <c r="C1314" s="49"/>
      <c r="D1314" s="2394"/>
      <c r="E1314" s="2394"/>
      <c r="F1314" s="2404" t="str">
        <f>$E$705</f>
        <v>ASHP-SEER18-Replace_CAC_ElectricHeat_ROF_SF</v>
      </c>
      <c r="G1314" s="2404"/>
      <c r="H1314" s="2404"/>
      <c r="I1314" s="2404"/>
      <c r="J1314" s="1506" t="str">
        <f>$C$705</f>
        <v>353200_2024_12_</v>
      </c>
      <c r="K1314" s="1515">
        <v>42078.431372470586</v>
      </c>
      <c r="L1314" s="888">
        <f t="shared" si="208"/>
        <v>3.5065359477058822</v>
      </c>
      <c r="M1314" s="1518" t="s">
        <v>930</v>
      </c>
      <c r="P1314" s="243"/>
      <c r="Q1314" s="192"/>
      <c r="R1314" s="243"/>
      <c r="T1314" s="166"/>
      <c r="U1314" s="50"/>
      <c r="V1314" s="2394"/>
      <c r="W1314" s="1268">
        <v>33600</v>
      </c>
      <c r="X1314" s="1268">
        <v>33600</v>
      </c>
      <c r="Y1314" s="1268">
        <v>33600</v>
      </c>
      <c r="Z1314" s="1268">
        <v>33600</v>
      </c>
      <c r="AA1314" s="1268">
        <v>33600</v>
      </c>
      <c r="AB1314" s="779">
        <v>36000</v>
      </c>
      <c r="AC1314" s="775">
        <v>36486.486486486487</v>
      </c>
      <c r="AD1314" s="775">
        <v>38808.51063829787</v>
      </c>
      <c r="AE1314" s="908">
        <v>35780</v>
      </c>
      <c r="AF1314" s="253">
        <v>42078.431372470586</v>
      </c>
      <c r="AG1314" s="253">
        <f t="shared" si="207"/>
        <v>42078.431372470586</v>
      </c>
      <c r="DG1314" s="543"/>
      <c r="DH1314" s="149"/>
      <c r="DI1314" s="1020"/>
      <c r="DJ1314" s="2045"/>
    </row>
    <row r="1315" spans="1:114" outlineLevel="1" x14ac:dyDescent="0.25">
      <c r="A1315" s="2145"/>
      <c r="C1315" s="49"/>
      <c r="D1315" s="2394"/>
      <c r="E1315" s="2394"/>
      <c r="F1315" s="2404" t="str">
        <f>$E$707</f>
        <v>ASHP-SEER18-Replace_CAC_NonElectricHeat_ROF_SF</v>
      </c>
      <c r="G1315" s="2404"/>
      <c r="H1315" s="2404"/>
      <c r="I1315" s="2404"/>
      <c r="J1315" s="1506" t="str">
        <f>$C$707</f>
        <v>353210_2024_12_</v>
      </c>
      <c r="K1315" s="1515">
        <v>42078.431372470586</v>
      </c>
      <c r="L1315" s="888">
        <f t="shared" si="208"/>
        <v>3.5065359477058822</v>
      </c>
      <c r="M1315" s="1518" t="s">
        <v>930</v>
      </c>
      <c r="P1315" s="243"/>
      <c r="Q1315" s="192"/>
      <c r="R1315" s="243"/>
      <c r="T1315" s="166"/>
      <c r="U1315" s="50"/>
      <c r="V1315" s="2394"/>
      <c r="W1315" s="1268"/>
      <c r="X1315" s="779"/>
      <c r="Y1315" s="779"/>
      <c r="Z1315" s="1268"/>
      <c r="AA1315" s="1268"/>
      <c r="AB1315" s="775"/>
      <c r="AC1315" s="775"/>
      <c r="AD1315" s="775">
        <v>38808.51063829787</v>
      </c>
      <c r="AE1315" s="908">
        <v>35780</v>
      </c>
      <c r="AF1315" s="253">
        <v>42078.431372470586</v>
      </c>
      <c r="AG1315" s="253">
        <f t="shared" si="207"/>
        <v>42078.431372470586</v>
      </c>
      <c r="DG1315" s="543"/>
      <c r="DH1315" s="149"/>
      <c r="DI1315" s="1020"/>
      <c r="DJ1315" s="2045"/>
    </row>
    <row r="1316" spans="1:114" outlineLevel="1" x14ac:dyDescent="0.25">
      <c r="A1316" s="2145"/>
      <c r="C1316" s="49"/>
      <c r="D1316" s="2394"/>
      <c r="E1316" s="2394"/>
      <c r="F1316" s="2404" t="str">
        <f>$E$709</f>
        <v>ASHP-SEER19-Replace_CAC_ElectricHeat_ROF_SF</v>
      </c>
      <c r="G1316" s="2404"/>
      <c r="H1316" s="2404"/>
      <c r="I1316" s="2404"/>
      <c r="J1316" s="1506" t="str">
        <f>$C$709</f>
        <v>353300_2024_12_</v>
      </c>
      <c r="K1316" s="1515">
        <v>42333.333333333336</v>
      </c>
      <c r="L1316" s="888">
        <f t="shared" si="208"/>
        <v>3.5277777777777781</v>
      </c>
      <c r="M1316" s="1518" t="s">
        <v>930</v>
      </c>
      <c r="P1316" s="243"/>
      <c r="Q1316" s="192"/>
      <c r="R1316" s="243"/>
      <c r="T1316" s="166"/>
      <c r="U1316" s="50"/>
      <c r="V1316" s="2394"/>
      <c r="W1316" s="1268">
        <v>33600</v>
      </c>
      <c r="X1316" s="1268">
        <v>33600</v>
      </c>
      <c r="Y1316" s="1268">
        <v>33600</v>
      </c>
      <c r="Z1316" s="1268">
        <v>33600</v>
      </c>
      <c r="AA1316" s="1268">
        <v>33600</v>
      </c>
      <c r="AB1316" s="1268">
        <v>33600</v>
      </c>
      <c r="AC1316" s="775">
        <v>48000</v>
      </c>
      <c r="AD1316" s="775">
        <v>41076.923076923078</v>
      </c>
      <c r="AE1316" s="966">
        <v>41076.923076923078</v>
      </c>
      <c r="AF1316" s="253">
        <v>42333.333333333336</v>
      </c>
      <c r="AG1316" s="253">
        <f t="shared" si="207"/>
        <v>42333.333333333336</v>
      </c>
      <c r="DG1316" s="543"/>
      <c r="DH1316" s="149"/>
      <c r="DI1316" s="1020"/>
      <c r="DJ1316" s="2045"/>
    </row>
    <row r="1317" spans="1:114" outlineLevel="1" x14ac:dyDescent="0.25">
      <c r="A1317" s="2145"/>
      <c r="C1317" s="49"/>
      <c r="D1317" s="2394"/>
      <c r="E1317" s="2394"/>
      <c r="F1317" s="2404" t="str">
        <f>$E$711</f>
        <v>ASHP-SEER19-Replace_CAC_NonElectricHeat_ROF_SF</v>
      </c>
      <c r="G1317" s="2404"/>
      <c r="H1317" s="2404"/>
      <c r="I1317" s="2404"/>
      <c r="J1317" s="1506" t="str">
        <f>$C$711</f>
        <v>353310_2024_12_</v>
      </c>
      <c r="K1317" s="1515">
        <v>42333.333333333336</v>
      </c>
      <c r="L1317" s="888">
        <f>K1317/12000</f>
        <v>3.5277777777777781</v>
      </c>
      <c r="M1317" s="1518" t="s">
        <v>930</v>
      </c>
      <c r="P1317" s="243"/>
      <c r="Q1317" s="192"/>
      <c r="R1317" s="243"/>
      <c r="T1317" s="166"/>
      <c r="U1317" s="50"/>
      <c r="V1317" s="2394"/>
      <c r="W1317" s="1268"/>
      <c r="X1317" s="779"/>
      <c r="Y1317" s="779"/>
      <c r="Z1317" s="1268"/>
      <c r="AA1317" s="1268"/>
      <c r="AB1317" s="775"/>
      <c r="AC1317" s="775"/>
      <c r="AD1317" s="775">
        <v>41076.923076923078</v>
      </c>
      <c r="AE1317" s="966">
        <v>41076.923076923078</v>
      </c>
      <c r="AF1317" s="253">
        <v>42333.333333333336</v>
      </c>
      <c r="AG1317" s="253">
        <f t="shared" si="207"/>
        <v>42333.333333333336</v>
      </c>
      <c r="DG1317" s="543"/>
      <c r="DH1317" s="149"/>
      <c r="DI1317" s="1020"/>
      <c r="DJ1317" s="2045"/>
    </row>
    <row r="1318" spans="1:114" outlineLevel="1" x14ac:dyDescent="0.25">
      <c r="A1318" s="2145"/>
      <c r="C1318" s="49"/>
      <c r="D1318" s="2394"/>
      <c r="E1318" s="2394"/>
      <c r="F1318" s="2404" t="str">
        <f>$E$713</f>
        <v>ASHP-SEER20-Replace_CAC_ElectricHeat_ER1_SF</v>
      </c>
      <c r="G1318" s="2404"/>
      <c r="H1318" s="2404"/>
      <c r="I1318" s="2404"/>
      <c r="J1318" s="1506" t="str">
        <f>$C$713</f>
        <v>353400_2024_12_</v>
      </c>
      <c r="K1318" s="1515">
        <v>35275.324675324671</v>
      </c>
      <c r="L1318" s="888">
        <f t="shared" ref="L1318:L1359" si="211">K1318/12000</f>
        <v>2.9396103896103893</v>
      </c>
      <c r="M1318" s="1518" t="s">
        <v>930</v>
      </c>
      <c r="P1318" s="243"/>
      <c r="Q1318" s="192"/>
      <c r="R1318" s="243"/>
      <c r="T1318" s="166"/>
      <c r="U1318" s="50"/>
      <c r="V1318" s="2394"/>
      <c r="W1318" s="1268">
        <v>37200</v>
      </c>
      <c r="X1318" s="1268">
        <v>37200</v>
      </c>
      <c r="Y1318" s="1268">
        <v>37200</v>
      </c>
      <c r="Z1318" s="1268">
        <v>37200</v>
      </c>
      <c r="AA1318" s="1268">
        <v>37200</v>
      </c>
      <c r="AB1318" s="1268">
        <v>37200</v>
      </c>
      <c r="AC1318" s="775">
        <v>36000</v>
      </c>
      <c r="AD1318" s="775">
        <v>36754.666666666664</v>
      </c>
      <c r="AE1318" s="908">
        <v>38333.333333333336</v>
      </c>
      <c r="AF1318" s="253">
        <v>35275.324675324671</v>
      </c>
      <c r="AG1318" s="253">
        <f t="shared" si="207"/>
        <v>35275.324675324671</v>
      </c>
      <c r="DG1318" s="543"/>
      <c r="DH1318" s="149"/>
      <c r="DI1318" s="1020"/>
      <c r="DJ1318" s="2045"/>
    </row>
    <row r="1319" spans="1:114" outlineLevel="1" x14ac:dyDescent="0.25">
      <c r="A1319" s="2145"/>
      <c r="C1319" s="49"/>
      <c r="D1319" s="2394"/>
      <c r="E1319" s="2394"/>
      <c r="F1319" s="2404" t="str">
        <f>$E$715</f>
        <v>ASHP-SEER20-Replace_CAC_ElectricHeat_ER2_SF</v>
      </c>
      <c r="G1319" s="2404"/>
      <c r="H1319" s="2404"/>
      <c r="I1319" s="2404"/>
      <c r="J1319" s="1506" t="str">
        <f>$C$715</f>
        <v>353400_2024_12_</v>
      </c>
      <c r="K1319" s="1515">
        <f>$K$1318</f>
        <v>35275.324675324671</v>
      </c>
      <c r="L1319" s="888">
        <f t="shared" si="211"/>
        <v>2.9396103896103893</v>
      </c>
      <c r="M1319" s="1518" t="s">
        <v>930</v>
      </c>
      <c r="P1319" s="243"/>
      <c r="Q1319" s="192"/>
      <c r="R1319" s="243"/>
      <c r="T1319" s="166"/>
      <c r="U1319" s="50"/>
      <c r="V1319" s="2394"/>
      <c r="W1319" s="1268">
        <v>37200</v>
      </c>
      <c r="X1319" s="1268">
        <v>37200</v>
      </c>
      <c r="Y1319" s="1268">
        <v>37200</v>
      </c>
      <c r="Z1319" s="1268">
        <v>37200</v>
      </c>
      <c r="AA1319" s="1268">
        <v>37200</v>
      </c>
      <c r="AB1319" s="1268">
        <v>37200</v>
      </c>
      <c r="AC1319" s="775">
        <f>AC1318</f>
        <v>36000</v>
      </c>
      <c r="AD1319" s="775">
        <v>36754.666666666664</v>
      </c>
      <c r="AE1319" s="908">
        <v>38333.333333333336</v>
      </c>
      <c r="AF1319" s="253">
        <v>35275.324675324671</v>
      </c>
      <c r="AG1319" s="253">
        <f t="shared" si="207"/>
        <v>35275.324675324671</v>
      </c>
      <c r="DG1319" s="543"/>
      <c r="DH1319" s="149"/>
      <c r="DI1319" s="1020"/>
      <c r="DJ1319" s="2045"/>
    </row>
    <row r="1320" spans="1:114" outlineLevel="1" x14ac:dyDescent="0.25">
      <c r="A1320" s="2145"/>
      <c r="C1320" s="49"/>
      <c r="D1320" s="2394"/>
      <c r="E1320" s="2394"/>
      <c r="F1320" s="2404" t="str">
        <f>$E$717</f>
        <v>ASHP-SEER20-Replace_CAC_NonElectricHeat_ER1_SF</v>
      </c>
      <c r="G1320" s="2404"/>
      <c r="H1320" s="2404"/>
      <c r="I1320" s="2404"/>
      <c r="J1320" s="1506" t="str">
        <f>$C$717</f>
        <v>353410_2024_12_</v>
      </c>
      <c r="K1320" s="1515">
        <f t="shared" ref="K1320:K1321" si="212">$K$1318</f>
        <v>35275.324675324671</v>
      </c>
      <c r="L1320" s="888">
        <f t="shared" si="211"/>
        <v>2.9396103896103893</v>
      </c>
      <c r="M1320" s="1518" t="s">
        <v>930</v>
      </c>
      <c r="P1320" s="243"/>
      <c r="Q1320" s="192"/>
      <c r="R1320" s="243"/>
      <c r="T1320" s="166"/>
      <c r="U1320" s="50"/>
      <c r="V1320" s="2394"/>
      <c r="W1320" s="1268"/>
      <c r="X1320" s="1268"/>
      <c r="Y1320" s="1268"/>
      <c r="Z1320" s="1268"/>
      <c r="AA1320" s="1268"/>
      <c r="AB1320" s="1268"/>
      <c r="AC1320" s="775">
        <v>36000</v>
      </c>
      <c r="AD1320" s="775">
        <v>36754.666666666664</v>
      </c>
      <c r="AE1320" s="908">
        <v>38333.333333333336</v>
      </c>
      <c r="AF1320" s="253">
        <v>35275.324675324671</v>
      </c>
      <c r="AG1320" s="253">
        <f t="shared" si="207"/>
        <v>35275.324675324671</v>
      </c>
      <c r="DG1320" s="543"/>
      <c r="DH1320" s="149"/>
      <c r="DI1320" s="1020"/>
      <c r="DJ1320" s="2045"/>
    </row>
    <row r="1321" spans="1:114" outlineLevel="1" x14ac:dyDescent="0.25">
      <c r="A1321" s="2145"/>
      <c r="C1321" s="49"/>
      <c r="D1321" s="2394"/>
      <c r="E1321" s="2394"/>
      <c r="F1321" s="2404" t="str">
        <f>$E$719</f>
        <v>ASHP-SEER20-Replace_CAC_NonElectricHeat_ER2_SF</v>
      </c>
      <c r="G1321" s="2404"/>
      <c r="H1321" s="2404"/>
      <c r="I1321" s="2404"/>
      <c r="J1321" s="1506" t="str">
        <f>$C$719</f>
        <v>353410_2024_12_</v>
      </c>
      <c r="K1321" s="1515">
        <f t="shared" si="212"/>
        <v>35275.324675324671</v>
      </c>
      <c r="L1321" s="888">
        <f t="shared" si="211"/>
        <v>2.9396103896103893</v>
      </c>
      <c r="M1321" s="1518" t="s">
        <v>930</v>
      </c>
      <c r="P1321" s="243"/>
      <c r="Q1321" s="192"/>
      <c r="R1321" s="243"/>
      <c r="T1321" s="166"/>
      <c r="U1321" s="50"/>
      <c r="V1321" s="2394"/>
      <c r="W1321" s="1268"/>
      <c r="X1321" s="1268"/>
      <c r="Y1321" s="1268"/>
      <c r="Z1321" s="1268"/>
      <c r="AA1321" s="1268"/>
      <c r="AB1321" s="1268"/>
      <c r="AC1321" s="775">
        <f>AC1320</f>
        <v>36000</v>
      </c>
      <c r="AD1321" s="775">
        <v>36754.666666666664</v>
      </c>
      <c r="AE1321" s="908">
        <v>38333.333333333336</v>
      </c>
      <c r="AF1321" s="253">
        <v>35275.324675324671</v>
      </c>
      <c r="AG1321" s="253">
        <f t="shared" si="207"/>
        <v>35275.324675324671</v>
      </c>
      <c r="DG1321" s="543"/>
      <c r="DH1321" s="149"/>
      <c r="DI1321" s="1020"/>
      <c r="DJ1321" s="2045"/>
    </row>
    <row r="1322" spans="1:114" ht="15.75" customHeight="1" outlineLevel="1" x14ac:dyDescent="0.25">
      <c r="A1322" s="2145"/>
      <c r="C1322" s="49"/>
      <c r="D1322" s="2394"/>
      <c r="E1322" s="2394"/>
      <c r="F1322" s="1968" t="s">
        <v>1180</v>
      </c>
      <c r="G1322" s="1969"/>
      <c r="H1322" s="1969"/>
      <c r="I1322" s="1970"/>
      <c r="J1322" s="2095" t="s">
        <v>1179</v>
      </c>
      <c r="K1322" s="1966">
        <v>23200</v>
      </c>
      <c r="L1322" s="888">
        <f>K1322/12000</f>
        <v>1.9333333333333333</v>
      </c>
      <c r="M1322" s="1976" t="s">
        <v>1297</v>
      </c>
      <c r="T1322" s="50"/>
      <c r="U1322" s="50"/>
      <c r="V1322" s="2394"/>
      <c r="W1322" s="1268"/>
      <c r="X1322" s="1268"/>
      <c r="Y1322" s="1268"/>
      <c r="Z1322" s="1268"/>
      <c r="AA1322" s="1268"/>
      <c r="AB1322" s="1268"/>
      <c r="AC1322" s="752"/>
      <c r="AD1322" s="966"/>
      <c r="AE1322" s="909"/>
      <c r="AF1322" s="253"/>
      <c r="AG1322" s="253">
        <f>IF(K1322&lt;&gt;"",K1322,"")</f>
        <v>23200</v>
      </c>
      <c r="DG1322" s="543"/>
      <c r="DH1322" s="149"/>
      <c r="DI1322" s="1020"/>
      <c r="DJ1322" s="2045"/>
    </row>
    <row r="1323" spans="1:114" ht="15.75" customHeight="1" outlineLevel="1" x14ac:dyDescent="0.25">
      <c r="A1323" s="2145"/>
      <c r="C1323" s="49"/>
      <c r="D1323" s="2394"/>
      <c r="E1323" s="2394"/>
      <c r="F1323" s="1968" t="s">
        <v>1181</v>
      </c>
      <c r="G1323" s="1969"/>
      <c r="H1323" s="1969"/>
      <c r="I1323" s="1970"/>
      <c r="J1323" s="2095" t="s">
        <v>1179</v>
      </c>
      <c r="K1323" s="1966">
        <v>23200</v>
      </c>
      <c r="L1323" s="888">
        <f>K1323/12000</f>
        <v>1.9333333333333333</v>
      </c>
      <c r="M1323" s="1976" t="s">
        <v>1297</v>
      </c>
      <c r="T1323" s="50"/>
      <c r="U1323" s="50"/>
      <c r="V1323" s="2394"/>
      <c r="W1323" s="1268"/>
      <c r="X1323" s="1268"/>
      <c r="Y1323" s="1268"/>
      <c r="Z1323" s="1268"/>
      <c r="AA1323" s="1268"/>
      <c r="AB1323" s="1268"/>
      <c r="AC1323" s="752"/>
      <c r="AD1323" s="966"/>
      <c r="AE1323" s="909"/>
      <c r="AF1323" s="253"/>
      <c r="AG1323" s="253">
        <f>IF(K1323&lt;&gt;"",K1323,"")</f>
        <v>23200</v>
      </c>
      <c r="DG1323" s="543"/>
      <c r="DH1323" s="149"/>
      <c r="DI1323" s="1020"/>
      <c r="DJ1323" s="2045"/>
    </row>
    <row r="1324" spans="1:114" outlineLevel="1" x14ac:dyDescent="0.25">
      <c r="A1324" s="2145"/>
      <c r="C1324" s="49"/>
      <c r="D1324" s="2394"/>
      <c r="E1324" s="2394"/>
      <c r="F1324" s="2404" t="str">
        <f>$E$725</f>
        <v>ASHP-SEER20-Replace_CAC_ElectricHeat_ROF_SF</v>
      </c>
      <c r="G1324" s="2404"/>
      <c r="H1324" s="2404"/>
      <c r="I1324" s="2404"/>
      <c r="J1324" s="1506" t="str">
        <f>$C$725</f>
        <v>353450_2024_12_</v>
      </c>
      <c r="K1324" s="1515">
        <v>38142.857142857138</v>
      </c>
      <c r="L1324" s="888">
        <f t="shared" si="211"/>
        <v>3.1785714285714279</v>
      </c>
      <c r="M1324" s="1503" t="s">
        <v>931</v>
      </c>
      <c r="P1324" s="243"/>
      <c r="Q1324" s="192"/>
      <c r="R1324" s="243"/>
      <c r="T1324" s="166"/>
      <c r="U1324" s="50"/>
      <c r="V1324" s="2394"/>
      <c r="W1324" s="1268">
        <v>38400</v>
      </c>
      <c r="X1324" s="1268">
        <v>38400</v>
      </c>
      <c r="Y1324" s="1268">
        <v>38400</v>
      </c>
      <c r="Z1324" s="1268">
        <v>38400</v>
      </c>
      <c r="AA1324" s="1268">
        <v>38400</v>
      </c>
      <c r="AB1324" s="1268">
        <v>38400</v>
      </c>
      <c r="AC1324" s="775">
        <v>30000</v>
      </c>
      <c r="AD1324" s="775">
        <v>38142.857142857138</v>
      </c>
      <c r="AE1324" s="966">
        <v>38142.857142857138</v>
      </c>
      <c r="AF1324" s="253">
        <v>38142.857142857138</v>
      </c>
      <c r="AG1324" s="253">
        <f t="shared" si="207"/>
        <v>38142.857142857138</v>
      </c>
      <c r="DG1324" s="543"/>
      <c r="DH1324" s="149"/>
      <c r="DI1324" s="1020"/>
      <c r="DJ1324" s="2045"/>
    </row>
    <row r="1325" spans="1:114" ht="15.75" customHeight="1" outlineLevel="1" x14ac:dyDescent="0.25">
      <c r="A1325" s="2145"/>
      <c r="C1325" s="49"/>
      <c r="D1325" s="2394"/>
      <c r="E1325" s="2394"/>
      <c r="F1325" s="1968" t="s">
        <v>1185</v>
      </c>
      <c r="G1325" s="1969"/>
      <c r="H1325" s="1969"/>
      <c r="I1325" s="1970"/>
      <c r="J1325" s="2095" t="s">
        <v>1184</v>
      </c>
      <c r="K1325" s="1966">
        <v>23400</v>
      </c>
      <c r="L1325" s="888">
        <f>K1325/12000</f>
        <v>1.95</v>
      </c>
      <c r="M1325" s="1976" t="s">
        <v>1297</v>
      </c>
      <c r="T1325" s="50"/>
      <c r="U1325" s="50"/>
      <c r="V1325" s="2394"/>
      <c r="W1325" s="1268"/>
      <c r="X1325" s="1268"/>
      <c r="Y1325" s="1268"/>
      <c r="Z1325" s="1268"/>
      <c r="AA1325" s="1268"/>
      <c r="AB1325" s="1268"/>
      <c r="AC1325" s="752"/>
      <c r="AD1325" s="966"/>
      <c r="AE1325" s="909"/>
      <c r="AF1325" s="253"/>
      <c r="AG1325" s="253">
        <f>IF(K1325&lt;&gt;"",K1325,"")</f>
        <v>23400</v>
      </c>
      <c r="DG1325" s="543"/>
      <c r="DH1325" s="149"/>
      <c r="DI1325" s="1020"/>
      <c r="DJ1325" s="2045"/>
    </row>
    <row r="1326" spans="1:114" outlineLevel="1" x14ac:dyDescent="0.25">
      <c r="A1326" s="2145"/>
      <c r="C1326" s="49"/>
      <c r="D1326" s="2394"/>
      <c r="E1326" s="2394"/>
      <c r="F1326" s="2404" t="str">
        <f>$E$729</f>
        <v>ASHP-SEER20-Replace_CAC_NonElectricHeat_ROF_SF</v>
      </c>
      <c r="G1326" s="2404"/>
      <c r="H1326" s="2404"/>
      <c r="I1326" s="2404"/>
      <c r="J1326" s="1506" t="str">
        <f>$C$729</f>
        <v>353460_2024_12_</v>
      </c>
      <c r="K1326" s="1515">
        <v>38142.857142857138</v>
      </c>
      <c r="L1326" s="888">
        <f t="shared" si="211"/>
        <v>3.1785714285714279</v>
      </c>
      <c r="M1326" s="1503" t="s">
        <v>1018</v>
      </c>
      <c r="P1326" s="243"/>
      <c r="Q1326" s="192"/>
      <c r="R1326" s="243"/>
      <c r="T1326" s="166"/>
      <c r="U1326" s="50"/>
      <c r="V1326" s="2394"/>
      <c r="W1326" s="1268"/>
      <c r="X1326" s="779"/>
      <c r="Y1326" s="779"/>
      <c r="Z1326" s="1268"/>
      <c r="AA1326" s="1268"/>
      <c r="AB1326" s="775"/>
      <c r="AC1326" s="775"/>
      <c r="AD1326" s="775">
        <v>38142.857142857138</v>
      </c>
      <c r="AE1326" s="966">
        <v>38142.857142857138</v>
      </c>
      <c r="AF1326" s="253">
        <v>38142.857142857138</v>
      </c>
      <c r="AG1326" s="253">
        <f t="shared" si="207"/>
        <v>38142.857142857138</v>
      </c>
      <c r="DG1326" s="543"/>
      <c r="DH1326" s="149"/>
      <c r="DI1326" s="1020"/>
      <c r="DJ1326" s="2045"/>
    </row>
    <row r="1327" spans="1:114" outlineLevel="1" x14ac:dyDescent="0.25">
      <c r="A1327" s="2145"/>
      <c r="C1327" s="49"/>
      <c r="D1327" s="2394"/>
      <c r="E1327" s="2394"/>
      <c r="F1327" s="2404" t="str">
        <f>$E$731</f>
        <v>ASHP-SEER21-Replace_CAC_ElectricHeat_ER1_SF</v>
      </c>
      <c r="G1327" s="2404"/>
      <c r="H1327" s="2404"/>
      <c r="I1327" s="2404"/>
      <c r="J1327" s="1506" t="str">
        <f>$C$731</f>
        <v>353550_2024_12_</v>
      </c>
      <c r="K1327" s="1515">
        <v>39084.507042253521</v>
      </c>
      <c r="L1327" s="888">
        <f t="shared" si="211"/>
        <v>3.2570422535211265</v>
      </c>
      <c r="M1327" s="1518" t="s">
        <v>930</v>
      </c>
      <c r="P1327" s="243"/>
      <c r="Q1327" s="192"/>
      <c r="R1327" s="243"/>
      <c r="T1327" s="166"/>
      <c r="U1327" s="50"/>
      <c r="V1327" s="2394"/>
      <c r="W1327" s="1268">
        <v>37200</v>
      </c>
      <c r="X1327" s="1268">
        <v>37200</v>
      </c>
      <c r="Y1327" s="1268">
        <v>37200</v>
      </c>
      <c r="Z1327" s="1268">
        <v>37200</v>
      </c>
      <c r="AA1327" s="1268">
        <v>37200</v>
      </c>
      <c r="AB1327" s="1268">
        <v>37200</v>
      </c>
      <c r="AC1327" s="775">
        <v>43090.909090909088</v>
      </c>
      <c r="AD1327" s="775">
        <v>40343.181818181816</v>
      </c>
      <c r="AE1327" s="908">
        <v>40812.765957446805</v>
      </c>
      <c r="AF1327" s="253">
        <v>39084.507042253521</v>
      </c>
      <c r="AG1327" s="253">
        <f t="shared" si="207"/>
        <v>39084.507042253521</v>
      </c>
      <c r="DG1327" s="543"/>
      <c r="DH1327" s="149"/>
      <c r="DI1327" s="1020"/>
      <c r="DJ1327" s="2045"/>
    </row>
    <row r="1328" spans="1:114" outlineLevel="1" x14ac:dyDescent="0.25">
      <c r="A1328" s="2145"/>
      <c r="C1328" s="49"/>
      <c r="D1328" s="2394"/>
      <c r="E1328" s="2394"/>
      <c r="F1328" s="2404" t="str">
        <f>$E$733</f>
        <v>ASHP-SEER21-Replace_CAC_ElectricHeat_ER2_SF</v>
      </c>
      <c r="G1328" s="2404"/>
      <c r="H1328" s="2404"/>
      <c r="I1328" s="2404"/>
      <c r="J1328" s="1506" t="str">
        <f>$C$733</f>
        <v>353550_2024_12_</v>
      </c>
      <c r="K1328" s="1515">
        <f>$K$1327</f>
        <v>39084.507042253521</v>
      </c>
      <c r="L1328" s="888">
        <f t="shared" si="211"/>
        <v>3.2570422535211265</v>
      </c>
      <c r="M1328" s="1518" t="s">
        <v>930</v>
      </c>
      <c r="P1328" s="243"/>
      <c r="Q1328" s="192"/>
      <c r="R1328" s="243"/>
      <c r="T1328" s="166"/>
      <c r="U1328" s="50"/>
      <c r="V1328" s="2394"/>
      <c r="W1328" s="1268">
        <v>37200</v>
      </c>
      <c r="X1328" s="1268">
        <v>37200</v>
      </c>
      <c r="Y1328" s="1268">
        <v>37200</v>
      </c>
      <c r="Z1328" s="1268">
        <v>37200</v>
      </c>
      <c r="AA1328" s="1268">
        <v>37200</v>
      </c>
      <c r="AB1328" s="1268">
        <v>37200</v>
      </c>
      <c r="AC1328" s="775">
        <f>AC1327</f>
        <v>43090.909090909088</v>
      </c>
      <c r="AD1328" s="775">
        <v>40343.181818181816</v>
      </c>
      <c r="AE1328" s="908">
        <v>40812.765957446805</v>
      </c>
      <c r="AF1328" s="253">
        <v>39084.507042253521</v>
      </c>
      <c r="AG1328" s="253">
        <f t="shared" si="207"/>
        <v>39084.507042253521</v>
      </c>
      <c r="DG1328" s="543"/>
      <c r="DH1328" s="149"/>
      <c r="DI1328" s="1020"/>
      <c r="DJ1328" s="2045"/>
    </row>
    <row r="1329" spans="1:114" outlineLevel="1" x14ac:dyDescent="0.25">
      <c r="A1329" s="2145"/>
      <c r="C1329" s="49"/>
      <c r="D1329" s="2394"/>
      <c r="E1329" s="2394"/>
      <c r="F1329" s="2404" t="str">
        <f>$E$735</f>
        <v>ASHP-SEER21-Replace_CAC_NonElectricHeat_ER1_SF</v>
      </c>
      <c r="G1329" s="2404"/>
      <c r="H1329" s="2404"/>
      <c r="I1329" s="2404"/>
      <c r="J1329" s="1506" t="str">
        <f>$C$735</f>
        <v>353560_2024_12_</v>
      </c>
      <c r="K1329" s="1515">
        <f t="shared" ref="K1329:K1330" si="213">$K$1327</f>
        <v>39084.507042253521</v>
      </c>
      <c r="L1329" s="888">
        <f t="shared" si="211"/>
        <v>3.2570422535211265</v>
      </c>
      <c r="M1329" s="1518" t="s">
        <v>930</v>
      </c>
      <c r="P1329" s="243"/>
      <c r="Q1329" s="192"/>
      <c r="R1329" s="243"/>
      <c r="T1329" s="166"/>
      <c r="U1329" s="50"/>
      <c r="V1329" s="2394"/>
      <c r="W1329" s="1268"/>
      <c r="X1329" s="1268"/>
      <c r="Y1329" s="1268"/>
      <c r="Z1329" s="1268"/>
      <c r="AA1329" s="1268"/>
      <c r="AB1329" s="1268"/>
      <c r="AC1329" s="775">
        <v>43090.909090909088</v>
      </c>
      <c r="AD1329" s="775">
        <v>40343.181818181816</v>
      </c>
      <c r="AE1329" s="908">
        <v>40812.765957446805</v>
      </c>
      <c r="AF1329" s="253">
        <v>39084.507042253521</v>
      </c>
      <c r="AG1329" s="253">
        <f t="shared" si="207"/>
        <v>39084.507042253521</v>
      </c>
      <c r="DG1329" s="543"/>
      <c r="DH1329" s="149"/>
      <c r="DI1329" s="1020"/>
      <c r="DJ1329" s="2045"/>
    </row>
    <row r="1330" spans="1:114" outlineLevel="1" x14ac:dyDescent="0.25">
      <c r="A1330" s="2145"/>
      <c r="C1330" s="49"/>
      <c r="D1330" s="2394"/>
      <c r="E1330" s="2394"/>
      <c r="F1330" s="2404" t="str">
        <f>$E$737</f>
        <v>ASHP-SEER21-Replace_CAC_NonElectricHeat_ER2_SF</v>
      </c>
      <c r="G1330" s="2404"/>
      <c r="H1330" s="2404"/>
      <c r="I1330" s="2404"/>
      <c r="J1330" s="1506" t="str">
        <f>$C$737</f>
        <v>353560_2024_12_</v>
      </c>
      <c r="K1330" s="1515">
        <f t="shared" si="213"/>
        <v>39084.507042253521</v>
      </c>
      <c r="L1330" s="888">
        <f t="shared" si="211"/>
        <v>3.2570422535211265</v>
      </c>
      <c r="M1330" s="1518" t="s">
        <v>930</v>
      </c>
      <c r="P1330" s="243"/>
      <c r="Q1330" s="192"/>
      <c r="R1330" s="243"/>
      <c r="T1330" s="166"/>
      <c r="U1330" s="50"/>
      <c r="V1330" s="2394"/>
      <c r="W1330" s="1268"/>
      <c r="X1330" s="1268"/>
      <c r="Y1330" s="1268"/>
      <c r="Z1330" s="1268"/>
      <c r="AA1330" s="1268"/>
      <c r="AB1330" s="1268"/>
      <c r="AC1330" s="775">
        <f>AC1329</f>
        <v>43090.909090909088</v>
      </c>
      <c r="AD1330" s="775">
        <v>40343.181818181816</v>
      </c>
      <c r="AE1330" s="908">
        <v>40812.765957446805</v>
      </c>
      <c r="AF1330" s="253">
        <v>39084.507042253521</v>
      </c>
      <c r="AG1330" s="253">
        <f t="shared" si="207"/>
        <v>39084.507042253521</v>
      </c>
      <c r="DG1330" s="543"/>
      <c r="DH1330" s="149"/>
      <c r="DI1330" s="1020"/>
      <c r="DJ1330" s="2045"/>
    </row>
    <row r="1331" spans="1:114" outlineLevel="1" x14ac:dyDescent="0.25">
      <c r="A1331" s="2145"/>
      <c r="C1331" s="49"/>
      <c r="D1331" s="2394"/>
      <c r="E1331" s="2394"/>
      <c r="F1331" s="2404" t="str">
        <f>$E$739</f>
        <v>ASHP-SEER21-Replace_CAC_ElectricHeat_ER1_MF</v>
      </c>
      <c r="G1331" s="2404"/>
      <c r="H1331" s="2404"/>
      <c r="I1331" s="2404"/>
      <c r="J1331" s="1506" t="str">
        <f>$C$739</f>
        <v>353600_2024_12_</v>
      </c>
      <c r="K1331" s="1516">
        <v>37200</v>
      </c>
      <c r="L1331" s="888">
        <f t="shared" si="211"/>
        <v>3.1</v>
      </c>
      <c r="M1331" s="1504" t="s">
        <v>1287</v>
      </c>
      <c r="P1331" s="243"/>
      <c r="Q1331" s="192"/>
      <c r="R1331" s="243"/>
      <c r="T1331" s="166"/>
      <c r="U1331" s="50"/>
      <c r="V1331" s="2394"/>
      <c r="W1331" s="1268">
        <v>37200</v>
      </c>
      <c r="X1331" s="1268">
        <v>37200</v>
      </c>
      <c r="Y1331" s="1268">
        <v>37200</v>
      </c>
      <c r="Z1331" s="1268">
        <v>37200</v>
      </c>
      <c r="AA1331" s="1268">
        <v>37200</v>
      </c>
      <c r="AB1331" s="1268">
        <v>37200</v>
      </c>
      <c r="AC1331" s="752">
        <v>37200</v>
      </c>
      <c r="AD1331" s="752">
        <v>37200</v>
      </c>
      <c r="AE1331" s="909">
        <v>37200</v>
      </c>
      <c r="AF1331" s="253">
        <v>37200</v>
      </c>
      <c r="AG1331" s="253">
        <f t="shared" si="207"/>
        <v>37200</v>
      </c>
      <c r="DG1331" s="543"/>
      <c r="DH1331" s="149"/>
      <c r="DI1331" s="1020"/>
      <c r="DJ1331" s="2045"/>
    </row>
    <row r="1332" spans="1:114" outlineLevel="1" x14ac:dyDescent="0.25">
      <c r="A1332" s="2145"/>
      <c r="C1332" s="49"/>
      <c r="D1332" s="2394"/>
      <c r="E1332" s="2394"/>
      <c r="F1332" s="2404" t="str">
        <f>$E$741</f>
        <v>ASHP-SEER21-Replace_CAC_ElectricHeat_ER2_MF</v>
      </c>
      <c r="G1332" s="2404"/>
      <c r="H1332" s="2404"/>
      <c r="I1332" s="2404"/>
      <c r="J1332" s="1506" t="str">
        <f>$C$741</f>
        <v>353600_2024_12_</v>
      </c>
      <c r="K1332" s="1516">
        <v>37200</v>
      </c>
      <c r="L1332" s="888">
        <f t="shared" si="211"/>
        <v>3.1</v>
      </c>
      <c r="M1332" s="1504" t="s">
        <v>1287</v>
      </c>
      <c r="P1332" s="243"/>
      <c r="Q1332" s="192"/>
      <c r="R1332" s="243"/>
      <c r="T1332" s="166"/>
      <c r="U1332" s="50"/>
      <c r="V1332" s="2394"/>
      <c r="W1332" s="1268">
        <v>37200</v>
      </c>
      <c r="X1332" s="1268">
        <v>37200</v>
      </c>
      <c r="Y1332" s="1268">
        <v>37200</v>
      </c>
      <c r="Z1332" s="1268">
        <v>37200</v>
      </c>
      <c r="AA1332" s="1268">
        <v>37200</v>
      </c>
      <c r="AB1332" s="1268">
        <v>37200</v>
      </c>
      <c r="AC1332" s="752">
        <v>37200</v>
      </c>
      <c r="AD1332" s="752">
        <v>37200</v>
      </c>
      <c r="AE1332" s="909">
        <v>37200</v>
      </c>
      <c r="AF1332" s="253">
        <v>37200</v>
      </c>
      <c r="AG1332" s="253">
        <f t="shared" si="207"/>
        <v>37200</v>
      </c>
      <c r="DG1332" s="543"/>
      <c r="DH1332" s="149"/>
      <c r="DI1332" s="1020"/>
      <c r="DJ1332" s="2045"/>
    </row>
    <row r="1333" spans="1:114" outlineLevel="1" x14ac:dyDescent="0.25">
      <c r="A1333" s="2145"/>
      <c r="C1333" s="49"/>
      <c r="D1333" s="2394"/>
      <c r="E1333" s="2394"/>
      <c r="F1333" s="2404" t="str">
        <f>$E$743</f>
        <v>ASHP-SEER21-Replace_CAC_ElectricHeat_ROF_SF</v>
      </c>
      <c r="G1333" s="2404"/>
      <c r="H1333" s="2404"/>
      <c r="I1333" s="2404"/>
      <c r="J1333" s="1506" t="str">
        <f>$C$743</f>
        <v>353650_2024_12_</v>
      </c>
      <c r="K1333" s="1515">
        <v>39473.684210526313</v>
      </c>
      <c r="L1333" s="888">
        <f t="shared" si="211"/>
        <v>3.2894736842105261</v>
      </c>
      <c r="M1333" s="1518" t="s">
        <v>930</v>
      </c>
      <c r="P1333" s="243"/>
      <c r="Q1333" s="192"/>
      <c r="R1333" s="243"/>
      <c r="T1333" s="166"/>
      <c r="U1333" s="50"/>
      <c r="V1333" s="2394"/>
      <c r="W1333" s="1268">
        <v>38400</v>
      </c>
      <c r="X1333" s="1268">
        <v>38400</v>
      </c>
      <c r="Y1333" s="1268">
        <v>38400</v>
      </c>
      <c r="Z1333" s="1268">
        <v>38400</v>
      </c>
      <c r="AA1333" s="1268">
        <v>38400</v>
      </c>
      <c r="AB1333" s="1268">
        <v>38400</v>
      </c>
      <c r="AC1333" s="775">
        <v>42000</v>
      </c>
      <c r="AD1333" s="775">
        <v>42375</v>
      </c>
      <c r="AE1333" s="908">
        <v>45272.727272727272</v>
      </c>
      <c r="AF1333" s="253">
        <v>39473.684210526313</v>
      </c>
      <c r="AG1333" s="253">
        <f t="shared" ref="AG1333:AG1387" si="214">IF(K1333&lt;&gt;"",K1333,"")</f>
        <v>39473.684210526313</v>
      </c>
      <c r="DG1333" s="543"/>
      <c r="DH1333" s="149"/>
      <c r="DI1333" s="1020"/>
      <c r="DJ1333" s="2045"/>
    </row>
    <row r="1334" spans="1:114" outlineLevel="1" x14ac:dyDescent="0.25">
      <c r="A1334" s="2145"/>
      <c r="C1334" s="49"/>
      <c r="D1334" s="2394"/>
      <c r="E1334" s="2394"/>
      <c r="F1334" s="2404" t="str">
        <f>$E$745</f>
        <v>ASHP-SEER21-Replace_CAC_NonElectricHeat_ROF_SF</v>
      </c>
      <c r="G1334" s="2404"/>
      <c r="H1334" s="2404"/>
      <c r="I1334" s="2404"/>
      <c r="J1334" s="1506" t="str">
        <f>$C$745</f>
        <v>353660_2024_12_</v>
      </c>
      <c r="K1334" s="1515">
        <v>39473.684210526313</v>
      </c>
      <c r="L1334" s="888">
        <f t="shared" si="211"/>
        <v>3.2894736842105261</v>
      </c>
      <c r="M1334" s="1518" t="s">
        <v>930</v>
      </c>
      <c r="P1334" s="243"/>
      <c r="Q1334" s="192"/>
      <c r="R1334" s="243"/>
      <c r="T1334" s="166"/>
      <c r="U1334" s="50"/>
      <c r="V1334" s="2394"/>
      <c r="W1334" s="1268"/>
      <c r="X1334" s="779"/>
      <c r="Y1334" s="779"/>
      <c r="Z1334" s="1268"/>
      <c r="AA1334" s="1268"/>
      <c r="AB1334" s="775"/>
      <c r="AC1334" s="775"/>
      <c r="AD1334" s="775">
        <v>42375</v>
      </c>
      <c r="AE1334" s="908">
        <v>45272.727272727272</v>
      </c>
      <c r="AF1334" s="253">
        <v>39473.684210526313</v>
      </c>
      <c r="AG1334" s="253">
        <f t="shared" si="214"/>
        <v>39473.684210526313</v>
      </c>
      <c r="DG1334" s="543"/>
      <c r="DH1334" s="149"/>
      <c r="DI1334" s="1020"/>
      <c r="DJ1334" s="2045"/>
    </row>
    <row r="1335" spans="1:114" outlineLevel="1" x14ac:dyDescent="0.25">
      <c r="A1335" s="2145"/>
      <c r="C1335" s="49"/>
      <c r="D1335" s="2394"/>
      <c r="E1335" s="2394"/>
      <c r="F1335" s="2404" t="str">
        <f>$E$747</f>
        <v>ASHP-SEER17_ER1_SF</v>
      </c>
      <c r="G1335" s="2404"/>
      <c r="H1335" s="2404"/>
      <c r="I1335" s="2404"/>
      <c r="J1335" s="1506" t="str">
        <f>$C$747</f>
        <v>353750_2024_12_</v>
      </c>
      <c r="K1335" s="1515">
        <v>35271.966527196659</v>
      </c>
      <c r="L1335" s="888">
        <f t="shared" si="211"/>
        <v>2.939330543933055</v>
      </c>
      <c r="M1335" s="1518" t="s">
        <v>930</v>
      </c>
      <c r="Q1335" s="192"/>
      <c r="R1335" s="243"/>
      <c r="T1335" s="50"/>
      <c r="U1335" s="50"/>
      <c r="V1335" s="2394"/>
      <c r="W1335" s="1268">
        <v>39600</v>
      </c>
      <c r="X1335" s="1268">
        <v>39600</v>
      </c>
      <c r="Y1335" s="1268">
        <v>39600</v>
      </c>
      <c r="Z1335" s="1268">
        <v>39600</v>
      </c>
      <c r="AA1335" s="1268">
        <v>39600</v>
      </c>
      <c r="AB1335" s="1268">
        <v>39600</v>
      </c>
      <c r="AC1335" s="775">
        <v>35142.857142857138</v>
      </c>
      <c r="AD1335" s="775">
        <v>37099.236641221374</v>
      </c>
      <c r="AE1335" s="908">
        <v>37411.764705882364</v>
      </c>
      <c r="AF1335" s="253">
        <v>35271.966527196659</v>
      </c>
      <c r="AG1335" s="253">
        <f t="shared" si="214"/>
        <v>35271.966527196659</v>
      </c>
      <c r="DG1335" s="543"/>
      <c r="DH1335" s="149"/>
      <c r="DI1335" s="1020"/>
      <c r="DJ1335" s="2045"/>
    </row>
    <row r="1336" spans="1:114" outlineLevel="1" x14ac:dyDescent="0.25">
      <c r="A1336" s="2145"/>
      <c r="C1336" s="49"/>
      <c r="D1336" s="2394"/>
      <c r="E1336" s="2394"/>
      <c r="F1336" s="2404" t="str">
        <f>$E$749</f>
        <v>ASHP-SEER17_ER2_SF</v>
      </c>
      <c r="G1336" s="2404"/>
      <c r="H1336" s="2404"/>
      <c r="I1336" s="2404"/>
      <c r="J1336" s="1506" t="str">
        <f>$C$749</f>
        <v>353750_2024_12_</v>
      </c>
      <c r="K1336" s="1515">
        <v>35271.966527196659</v>
      </c>
      <c r="L1336" s="888">
        <f t="shared" si="211"/>
        <v>2.939330543933055</v>
      </c>
      <c r="M1336" s="1518" t="s">
        <v>930</v>
      </c>
      <c r="P1336" s="243"/>
      <c r="Q1336" s="192"/>
      <c r="R1336" s="243"/>
      <c r="T1336" s="166"/>
      <c r="U1336" s="50"/>
      <c r="V1336" s="2394"/>
      <c r="W1336" s="1268">
        <v>39600</v>
      </c>
      <c r="X1336" s="1268">
        <v>39600</v>
      </c>
      <c r="Y1336" s="1268">
        <v>39600</v>
      </c>
      <c r="Z1336" s="1268">
        <v>39600</v>
      </c>
      <c r="AA1336" s="1268">
        <v>39600</v>
      </c>
      <c r="AB1336" s="1268">
        <v>39600</v>
      </c>
      <c r="AC1336" s="775">
        <f>AC1335</f>
        <v>35142.857142857138</v>
      </c>
      <c r="AD1336" s="775">
        <v>37099.236641221374</v>
      </c>
      <c r="AE1336" s="908">
        <v>37411.764705882364</v>
      </c>
      <c r="AF1336" s="253">
        <v>35271.966527196659</v>
      </c>
      <c r="AG1336" s="253">
        <f t="shared" si="214"/>
        <v>35271.966527196659</v>
      </c>
      <c r="DG1336" s="543"/>
      <c r="DH1336" s="149"/>
      <c r="DI1336" s="1020"/>
      <c r="DJ1336" s="2045"/>
    </row>
    <row r="1337" spans="1:114" outlineLevel="1" x14ac:dyDescent="0.25">
      <c r="A1337" s="2145"/>
      <c r="C1337" s="49"/>
      <c r="D1337" s="2394"/>
      <c r="E1337" s="2394"/>
      <c r="F1337" s="2404" t="str">
        <f>$E$751</f>
        <v>ASHP-SEER17_ROF_SF</v>
      </c>
      <c r="G1337" s="2404"/>
      <c r="H1337" s="2404"/>
      <c r="I1337" s="2404"/>
      <c r="J1337" s="1506" t="str">
        <f>$C$751</f>
        <v>353800_2024_12_</v>
      </c>
      <c r="K1337" s="1515">
        <v>36000</v>
      </c>
      <c r="L1337" s="888">
        <f t="shared" si="211"/>
        <v>3</v>
      </c>
      <c r="M1337" s="1518" t="s">
        <v>930</v>
      </c>
      <c r="Q1337" s="192"/>
      <c r="R1337" s="243"/>
      <c r="T1337" s="50"/>
      <c r="U1337" s="50"/>
      <c r="V1337" s="2394"/>
      <c r="W1337" s="1268">
        <v>39600</v>
      </c>
      <c r="X1337" s="1268">
        <v>39600</v>
      </c>
      <c r="Y1337" s="1268">
        <v>39600</v>
      </c>
      <c r="Z1337" s="1268">
        <v>39600</v>
      </c>
      <c r="AA1337" s="1268">
        <v>39600</v>
      </c>
      <c r="AB1337" s="1268">
        <v>39600</v>
      </c>
      <c r="AC1337" s="775">
        <v>46285.71428571429</v>
      </c>
      <c r="AD1337" s="775">
        <v>36857.142857142855</v>
      </c>
      <c r="AE1337" s="908">
        <v>37200</v>
      </c>
      <c r="AF1337" s="253">
        <v>36000</v>
      </c>
      <c r="AG1337" s="253">
        <f t="shared" si="214"/>
        <v>36000</v>
      </c>
      <c r="DG1337" s="543"/>
      <c r="DH1337" s="149"/>
      <c r="DI1337" s="1020"/>
      <c r="DJ1337" s="2045"/>
    </row>
    <row r="1338" spans="1:114" outlineLevel="1" x14ac:dyDescent="0.25">
      <c r="A1338" s="2145"/>
      <c r="C1338" s="49"/>
      <c r="D1338" s="2394"/>
      <c r="E1338" s="2394"/>
      <c r="F1338" s="2404" t="str">
        <f>$E$753</f>
        <v>ASHP-SEER18_ER1_SF</v>
      </c>
      <c r="G1338" s="2404"/>
      <c r="H1338" s="2404"/>
      <c r="I1338" s="2404"/>
      <c r="J1338" s="1506" t="str">
        <f>$C$753</f>
        <v>353850_2024_12_</v>
      </c>
      <c r="K1338" s="1515">
        <v>39921.182266049262</v>
      </c>
      <c r="L1338" s="888">
        <f t="shared" si="211"/>
        <v>3.3267651888374385</v>
      </c>
      <c r="M1338" s="1518" t="s">
        <v>930</v>
      </c>
      <c r="P1338" s="243"/>
      <c r="Q1338" s="192"/>
      <c r="R1338" s="243"/>
      <c r="T1338" s="166"/>
      <c r="U1338" s="50"/>
      <c r="V1338" s="2394"/>
      <c r="W1338" s="1268">
        <v>39600</v>
      </c>
      <c r="X1338" s="1268">
        <v>39600</v>
      </c>
      <c r="Y1338" s="1268">
        <v>39600</v>
      </c>
      <c r="Z1338" s="1268">
        <v>39600</v>
      </c>
      <c r="AA1338" s="1268">
        <v>39600</v>
      </c>
      <c r="AB1338" s="779">
        <v>42600</v>
      </c>
      <c r="AC1338" s="775">
        <v>38521.739130434784</v>
      </c>
      <c r="AD1338" s="775">
        <v>38000</v>
      </c>
      <c r="AE1338" s="908">
        <v>38157.165354330711</v>
      </c>
      <c r="AF1338" s="253">
        <v>39921.182266049262</v>
      </c>
      <c r="AG1338" s="253">
        <f t="shared" si="214"/>
        <v>39921.182266049262</v>
      </c>
      <c r="DG1338" s="543"/>
      <c r="DH1338" s="149"/>
      <c r="DI1338" s="1020"/>
      <c r="DJ1338" s="2045"/>
    </row>
    <row r="1339" spans="1:114" outlineLevel="1" x14ac:dyDescent="0.25">
      <c r="A1339" s="2145"/>
      <c r="C1339" s="49"/>
      <c r="D1339" s="2394"/>
      <c r="E1339" s="2394"/>
      <c r="F1339" s="2407" t="str">
        <f>$E$755</f>
        <v>ASHP-SEER18_ER2_SF</v>
      </c>
      <c r="G1339" s="2407"/>
      <c r="H1339" s="2407"/>
      <c r="I1339" s="2407"/>
      <c r="J1339" s="1506" t="str">
        <f>$C$755</f>
        <v>353850_2024_12_</v>
      </c>
      <c r="K1339" s="1515">
        <v>39921.182266049262</v>
      </c>
      <c r="L1339" s="888">
        <f t="shared" si="211"/>
        <v>3.3267651888374385</v>
      </c>
      <c r="M1339" s="1518" t="s">
        <v>930</v>
      </c>
      <c r="Q1339" s="192"/>
      <c r="R1339" s="243"/>
      <c r="T1339" s="50"/>
      <c r="U1339" s="50"/>
      <c r="V1339" s="2394"/>
      <c r="W1339" s="1276">
        <v>39600</v>
      </c>
      <c r="X1339" s="1276">
        <v>39600</v>
      </c>
      <c r="Y1339" s="1276">
        <v>39600</v>
      </c>
      <c r="Z1339" s="1276">
        <v>39600</v>
      </c>
      <c r="AA1339" s="1276">
        <v>39600</v>
      </c>
      <c r="AB1339" s="906">
        <v>42600</v>
      </c>
      <c r="AC1339" s="690">
        <f>AC1338</f>
        <v>38521.739130434784</v>
      </c>
      <c r="AD1339" s="690">
        <v>38000</v>
      </c>
      <c r="AE1339" s="1035">
        <v>38157.165354330711</v>
      </c>
      <c r="AF1339" s="253">
        <v>39921.182266049262</v>
      </c>
      <c r="AG1339" s="253">
        <f t="shared" si="214"/>
        <v>39921.182266049262</v>
      </c>
      <c r="DG1339" s="1015"/>
      <c r="DI1339" s="1020"/>
      <c r="DJ1339" s="2045"/>
    </row>
    <row r="1340" spans="1:114" outlineLevel="1" x14ac:dyDescent="0.25">
      <c r="A1340" s="2145"/>
      <c r="C1340" s="49"/>
      <c r="D1340" s="2394"/>
      <c r="E1340" s="2394"/>
      <c r="F1340" s="2404" t="str">
        <f>$E$757</f>
        <v>ASHP-SEER18_ROF_SF</v>
      </c>
      <c r="G1340" s="2404"/>
      <c r="H1340" s="2404"/>
      <c r="I1340" s="2404"/>
      <c r="J1340" s="1506" t="str">
        <f>$C$757</f>
        <v>353950_2024_12_</v>
      </c>
      <c r="K1340" s="1515">
        <v>42078.431372470586</v>
      </c>
      <c r="L1340" s="888">
        <f t="shared" si="211"/>
        <v>3.5065359477058822</v>
      </c>
      <c r="M1340" s="1518" t="s">
        <v>930</v>
      </c>
      <c r="P1340" s="243"/>
      <c r="Q1340" s="192"/>
      <c r="R1340" s="243"/>
      <c r="T1340" s="166"/>
      <c r="U1340" s="50"/>
      <c r="V1340" s="2394"/>
      <c r="W1340" s="1268">
        <v>39600</v>
      </c>
      <c r="X1340" s="1268">
        <v>39600</v>
      </c>
      <c r="Y1340" s="1268">
        <v>39600</v>
      </c>
      <c r="Z1340" s="1268">
        <v>39600</v>
      </c>
      <c r="AA1340" s="1268">
        <v>39600</v>
      </c>
      <c r="AB1340" s="1268">
        <v>39600</v>
      </c>
      <c r="AC1340" s="775">
        <v>41250</v>
      </c>
      <c r="AD1340" s="775">
        <v>38808.51063829787</v>
      </c>
      <c r="AE1340" s="908">
        <v>35780</v>
      </c>
      <c r="AF1340" s="253">
        <v>42078.431372470586</v>
      </c>
      <c r="AG1340" s="253">
        <f t="shared" si="214"/>
        <v>42078.431372470586</v>
      </c>
      <c r="DG1340" s="543"/>
      <c r="DH1340" s="149"/>
      <c r="DI1340" s="1020"/>
      <c r="DJ1340" s="2045"/>
    </row>
    <row r="1341" spans="1:114" outlineLevel="1" x14ac:dyDescent="0.25">
      <c r="A1341" s="2145"/>
      <c r="C1341" s="49"/>
      <c r="D1341" s="2394"/>
      <c r="E1341" s="2394"/>
      <c r="F1341" s="2404" t="str">
        <f>$E$759</f>
        <v>ASHP-SEER19_ER1_SF</v>
      </c>
      <c r="G1341" s="2404"/>
      <c r="H1341" s="2404"/>
      <c r="I1341" s="2404"/>
      <c r="J1341" s="1506" t="str">
        <f>$C$759</f>
        <v>354000_2024_12_</v>
      </c>
      <c r="K1341" s="1515">
        <v>43047.619047619046</v>
      </c>
      <c r="L1341" s="888">
        <f t="shared" si="211"/>
        <v>3.587301587301587</v>
      </c>
      <c r="M1341" s="1518" t="s">
        <v>930</v>
      </c>
      <c r="P1341" s="243"/>
      <c r="Q1341" s="192"/>
      <c r="R1341" s="243"/>
      <c r="T1341" s="166"/>
      <c r="U1341" s="50"/>
      <c r="V1341" s="2394"/>
      <c r="W1341" s="1268">
        <v>39600</v>
      </c>
      <c r="X1341" s="1268">
        <v>39600</v>
      </c>
      <c r="Y1341" s="1268">
        <v>39600</v>
      </c>
      <c r="Z1341" s="1268">
        <v>39600</v>
      </c>
      <c r="AA1341" s="1268">
        <v>39600</v>
      </c>
      <c r="AB1341" s="1268">
        <v>39600</v>
      </c>
      <c r="AC1341" s="775">
        <v>48000</v>
      </c>
      <c r="AD1341" s="775">
        <v>49058.823529411762</v>
      </c>
      <c r="AE1341" s="908">
        <v>43304.34782608696</v>
      </c>
      <c r="AF1341" s="253">
        <v>43047.619047619046</v>
      </c>
      <c r="AG1341" s="253">
        <f t="shared" si="214"/>
        <v>43047.619047619046</v>
      </c>
      <c r="DG1341" s="543"/>
      <c r="DH1341" s="149"/>
      <c r="DI1341" s="1020"/>
      <c r="DJ1341" s="2045"/>
    </row>
    <row r="1342" spans="1:114" outlineLevel="1" x14ac:dyDescent="0.25">
      <c r="A1342" s="2145"/>
      <c r="C1342" s="49"/>
      <c r="D1342" s="2394"/>
      <c r="E1342" s="2394"/>
      <c r="F1342" s="2404" t="str">
        <f>$E$761</f>
        <v>ASHP-SEER19_ER2_SF</v>
      </c>
      <c r="G1342" s="2404"/>
      <c r="H1342" s="2404"/>
      <c r="I1342" s="2404"/>
      <c r="J1342" s="1506" t="str">
        <f>$C$761</f>
        <v>354000_2024_12_</v>
      </c>
      <c r="K1342" s="1515">
        <v>43047.619047619046</v>
      </c>
      <c r="L1342" s="888">
        <f t="shared" si="211"/>
        <v>3.587301587301587</v>
      </c>
      <c r="M1342" s="1518" t="s">
        <v>930</v>
      </c>
      <c r="Q1342" s="192"/>
      <c r="R1342" s="243"/>
      <c r="T1342" s="50"/>
      <c r="U1342" s="50"/>
      <c r="V1342" s="2394"/>
      <c r="W1342" s="1268">
        <v>39600</v>
      </c>
      <c r="X1342" s="1268">
        <v>39600</v>
      </c>
      <c r="Y1342" s="1268">
        <v>39600</v>
      </c>
      <c r="Z1342" s="1268">
        <v>39600</v>
      </c>
      <c r="AA1342" s="1268">
        <v>39600</v>
      </c>
      <c r="AB1342" s="1268">
        <v>39600</v>
      </c>
      <c r="AC1342" s="775">
        <f>AC1341</f>
        <v>48000</v>
      </c>
      <c r="AD1342" s="775">
        <v>49058.823529411762</v>
      </c>
      <c r="AE1342" s="908">
        <v>43304.34782608696</v>
      </c>
      <c r="AF1342" s="253">
        <v>43047.619047619046</v>
      </c>
      <c r="AG1342" s="253">
        <f t="shared" si="214"/>
        <v>43047.619047619046</v>
      </c>
      <c r="DG1342" s="543"/>
      <c r="DH1342" s="149"/>
      <c r="DI1342" s="1020"/>
      <c r="DJ1342" s="2045"/>
    </row>
    <row r="1343" spans="1:114" outlineLevel="1" x14ac:dyDescent="0.25">
      <c r="A1343" s="2145"/>
      <c r="C1343" s="49"/>
      <c r="D1343" s="2394"/>
      <c r="E1343" s="2394"/>
      <c r="F1343" s="2404" t="str">
        <f>$E$763</f>
        <v>ASHP-SEER19_ROF_SF</v>
      </c>
      <c r="G1343" s="2404"/>
      <c r="H1343" s="2404"/>
      <c r="I1343" s="2404"/>
      <c r="J1343" s="1506" t="str">
        <f>$C$763</f>
        <v>354050_2024_12_</v>
      </c>
      <c r="K1343" s="1515">
        <v>42333.333333333336</v>
      </c>
      <c r="L1343" s="888">
        <f t="shared" si="211"/>
        <v>3.5277777777777781</v>
      </c>
      <c r="M1343" s="1518" t="s">
        <v>930</v>
      </c>
      <c r="Q1343" s="192"/>
      <c r="R1343" s="243"/>
      <c r="T1343" s="50"/>
      <c r="U1343" s="50"/>
      <c r="V1343" s="2394"/>
      <c r="W1343" s="1268">
        <v>39600</v>
      </c>
      <c r="X1343" s="1268">
        <v>39600</v>
      </c>
      <c r="Y1343" s="1268">
        <v>39600</v>
      </c>
      <c r="Z1343" s="1268">
        <v>39600</v>
      </c>
      <c r="AA1343" s="1268">
        <v>39600</v>
      </c>
      <c r="AB1343" s="1268">
        <v>39600</v>
      </c>
      <c r="AC1343" s="775">
        <v>26133.333333333332</v>
      </c>
      <c r="AD1343" s="775">
        <v>41076.923076923078</v>
      </c>
      <c r="AE1343" s="966">
        <v>41076.923076923078</v>
      </c>
      <c r="AF1343" s="253">
        <v>42333.333333333336</v>
      </c>
      <c r="AG1343" s="253">
        <f t="shared" si="214"/>
        <v>42333.333333333336</v>
      </c>
      <c r="DG1343" s="543"/>
      <c r="DH1343" s="149"/>
      <c r="DI1343" s="1020"/>
      <c r="DJ1343" s="2045"/>
    </row>
    <row r="1344" spans="1:114" outlineLevel="1" x14ac:dyDescent="0.25">
      <c r="A1344" s="2145"/>
      <c r="C1344" s="49"/>
      <c r="D1344" s="2394"/>
      <c r="E1344" s="2394"/>
      <c r="F1344" s="2404" t="str">
        <f>$E$765</f>
        <v>ASHP-SEER17-Replace_CAC_ElectricHeat_ER1_SF</v>
      </c>
      <c r="G1344" s="2404"/>
      <c r="H1344" s="2404"/>
      <c r="I1344" s="2404"/>
      <c r="J1344" s="1506" t="str">
        <f>$C$765</f>
        <v>354100_2024_12_</v>
      </c>
      <c r="K1344" s="1515">
        <v>35271.966527196659</v>
      </c>
      <c r="L1344" s="888">
        <f t="shared" si="211"/>
        <v>2.939330543933055</v>
      </c>
      <c r="M1344" s="1518" t="s">
        <v>930</v>
      </c>
      <c r="Q1344" s="192"/>
      <c r="R1344" s="243"/>
      <c r="T1344" s="50"/>
      <c r="U1344" s="50"/>
      <c r="V1344" s="2394"/>
      <c r="W1344" s="1268">
        <v>37200</v>
      </c>
      <c r="X1344" s="1268">
        <v>37200</v>
      </c>
      <c r="Y1344" s="1268">
        <v>37200</v>
      </c>
      <c r="Z1344" s="1268">
        <v>37200</v>
      </c>
      <c r="AA1344" s="1268">
        <v>37200</v>
      </c>
      <c r="AB1344" s="1268">
        <v>37200</v>
      </c>
      <c r="AC1344" s="775">
        <v>34090.909090909088</v>
      </c>
      <c r="AD1344" s="775">
        <v>37099.236641221374</v>
      </c>
      <c r="AE1344" s="908">
        <v>37411.764705882364</v>
      </c>
      <c r="AF1344" s="253">
        <v>35271.966527196659</v>
      </c>
      <c r="AG1344" s="253">
        <f t="shared" si="214"/>
        <v>35271.966527196659</v>
      </c>
      <c r="DG1344" s="543"/>
      <c r="DH1344" s="149"/>
      <c r="DI1344" s="1020"/>
      <c r="DJ1344" s="2045"/>
    </row>
    <row r="1345" spans="1:114" outlineLevel="1" x14ac:dyDescent="0.25">
      <c r="A1345" s="2145"/>
      <c r="C1345" s="49"/>
      <c r="D1345" s="2394"/>
      <c r="E1345" s="2394"/>
      <c r="F1345" s="2404" t="str">
        <f>$E$767</f>
        <v>ASHP-SEER17-Replace_CAC_ElectricHeat_ER2_SF</v>
      </c>
      <c r="G1345" s="2404"/>
      <c r="H1345" s="2404"/>
      <c r="I1345" s="2404"/>
      <c r="J1345" s="1506" t="str">
        <f>$C$767</f>
        <v>354100_2024_12_</v>
      </c>
      <c r="K1345" s="1515">
        <f>$K$1344</f>
        <v>35271.966527196659</v>
      </c>
      <c r="L1345" s="888">
        <f t="shared" si="211"/>
        <v>2.939330543933055</v>
      </c>
      <c r="M1345" s="1518" t="s">
        <v>930</v>
      </c>
      <c r="Q1345" s="192"/>
      <c r="R1345" s="243"/>
      <c r="T1345" s="50"/>
      <c r="U1345" s="50"/>
      <c r="V1345" s="2394"/>
      <c r="W1345" s="1268">
        <v>37200</v>
      </c>
      <c r="X1345" s="1268">
        <v>37200</v>
      </c>
      <c r="Y1345" s="1268">
        <v>37200</v>
      </c>
      <c r="Z1345" s="1268">
        <v>37200</v>
      </c>
      <c r="AA1345" s="1268">
        <v>37200</v>
      </c>
      <c r="AB1345" s="1268">
        <v>37200</v>
      </c>
      <c r="AC1345" s="775">
        <v>34090.909090909088</v>
      </c>
      <c r="AD1345" s="775">
        <v>37099.236641221374</v>
      </c>
      <c r="AE1345" s="908">
        <v>37411.764705882364</v>
      </c>
      <c r="AF1345" s="253">
        <v>35271.966527196659</v>
      </c>
      <c r="AG1345" s="253">
        <f t="shared" si="214"/>
        <v>35271.966527196659</v>
      </c>
      <c r="DG1345" s="543"/>
      <c r="DH1345" s="149"/>
      <c r="DI1345" s="1020"/>
      <c r="DJ1345" s="2045"/>
    </row>
    <row r="1346" spans="1:114" outlineLevel="1" x14ac:dyDescent="0.25">
      <c r="A1346" s="2145"/>
      <c r="C1346" s="49"/>
      <c r="D1346" s="2394"/>
      <c r="E1346" s="2394"/>
      <c r="F1346" s="2404" t="str">
        <f>$E$769</f>
        <v>ASHP-SEER17-Replace_CAC_NonElectricHeat_ER1_SF</v>
      </c>
      <c r="G1346" s="2404"/>
      <c r="H1346" s="2404"/>
      <c r="I1346" s="2404"/>
      <c r="J1346" s="1506" t="str">
        <f>$C$769</f>
        <v>354110_2024_12_</v>
      </c>
      <c r="K1346" s="1515">
        <f t="shared" ref="K1346:K1347" si="215">$K$1344</f>
        <v>35271.966527196659</v>
      </c>
      <c r="L1346" s="888">
        <f t="shared" si="211"/>
        <v>2.939330543933055</v>
      </c>
      <c r="M1346" s="1518" t="s">
        <v>930</v>
      </c>
      <c r="Q1346" s="192"/>
      <c r="R1346" s="243"/>
      <c r="T1346" s="50"/>
      <c r="U1346" s="50"/>
      <c r="V1346" s="2394"/>
      <c r="W1346" s="1268"/>
      <c r="X1346" s="1268"/>
      <c r="Y1346" s="1268"/>
      <c r="Z1346" s="1268"/>
      <c r="AA1346" s="1268"/>
      <c r="AB1346" s="1268"/>
      <c r="AC1346" s="775">
        <v>34090.909090909088</v>
      </c>
      <c r="AD1346" s="775">
        <v>37099.236641221374</v>
      </c>
      <c r="AE1346" s="908">
        <v>37411.764705882364</v>
      </c>
      <c r="AF1346" s="253">
        <v>35271.966527196659</v>
      </c>
      <c r="AG1346" s="253">
        <f t="shared" si="214"/>
        <v>35271.966527196659</v>
      </c>
      <c r="DG1346" s="543"/>
      <c r="DH1346" s="149"/>
      <c r="DI1346" s="1020"/>
      <c r="DJ1346" s="2045"/>
    </row>
    <row r="1347" spans="1:114" outlineLevel="1" x14ac:dyDescent="0.25">
      <c r="A1347" s="2145"/>
      <c r="C1347" s="49"/>
      <c r="D1347" s="2394"/>
      <c r="E1347" s="2394"/>
      <c r="F1347" s="2404" t="str">
        <f>$E$771</f>
        <v>ASHP-SEER17-Replace_CAC_NonElectricHeat_ER2_SF</v>
      </c>
      <c r="G1347" s="2404"/>
      <c r="H1347" s="2404"/>
      <c r="I1347" s="2404"/>
      <c r="J1347" s="1506" t="str">
        <f>$C$771</f>
        <v>354110_2024_12_</v>
      </c>
      <c r="K1347" s="1515">
        <f t="shared" si="215"/>
        <v>35271.966527196659</v>
      </c>
      <c r="L1347" s="888">
        <f t="shared" si="211"/>
        <v>2.939330543933055</v>
      </c>
      <c r="M1347" s="1518" t="s">
        <v>930</v>
      </c>
      <c r="Q1347" s="192"/>
      <c r="R1347" s="243"/>
      <c r="T1347" s="50"/>
      <c r="U1347" s="50"/>
      <c r="V1347" s="2394"/>
      <c r="W1347" s="1268"/>
      <c r="X1347" s="1268"/>
      <c r="Y1347" s="1268"/>
      <c r="Z1347" s="1268"/>
      <c r="AA1347" s="1268"/>
      <c r="AB1347" s="1268"/>
      <c r="AC1347" s="775">
        <v>34090.909090909088</v>
      </c>
      <c r="AD1347" s="775">
        <v>37099.236641221374</v>
      </c>
      <c r="AE1347" s="908">
        <v>37411.764705882364</v>
      </c>
      <c r="AF1347" s="253">
        <v>35271.966527196659</v>
      </c>
      <c r="AG1347" s="253">
        <f t="shared" si="214"/>
        <v>35271.966527196659</v>
      </c>
      <c r="DG1347" s="543"/>
      <c r="DH1347" s="149"/>
      <c r="DI1347" s="1020"/>
      <c r="DJ1347" s="2045"/>
    </row>
    <row r="1348" spans="1:114" ht="15.75" customHeight="1" outlineLevel="1" x14ac:dyDescent="0.25">
      <c r="A1348" s="2145"/>
      <c r="C1348" s="49"/>
      <c r="D1348" s="2394"/>
      <c r="E1348" s="2394"/>
      <c r="F1348" s="1968" t="s">
        <v>1223</v>
      </c>
      <c r="G1348" s="1969"/>
      <c r="H1348" s="1969"/>
      <c r="I1348" s="1970"/>
      <c r="J1348" s="2095" t="s">
        <v>1222</v>
      </c>
      <c r="K1348" s="1966">
        <v>23000</v>
      </c>
      <c r="L1348" s="888">
        <f>K1348/12000</f>
        <v>1.9166666666666667</v>
      </c>
      <c r="M1348" s="1976" t="s">
        <v>1297</v>
      </c>
      <c r="T1348" s="50"/>
      <c r="U1348" s="50"/>
      <c r="V1348" s="2394"/>
      <c r="W1348" s="1268"/>
      <c r="X1348" s="1268"/>
      <c r="Y1348" s="1268"/>
      <c r="Z1348" s="1268"/>
      <c r="AA1348" s="1268"/>
      <c r="AB1348" s="1268"/>
      <c r="AC1348" s="752"/>
      <c r="AD1348" s="966"/>
      <c r="AE1348" s="909"/>
      <c r="AF1348" s="253"/>
      <c r="AG1348" s="253">
        <f>IF(K1348&lt;&gt;"",K1348,"")</f>
        <v>23000</v>
      </c>
      <c r="DG1348" s="543"/>
      <c r="DH1348" s="149"/>
      <c r="DI1348" s="1020"/>
      <c r="DJ1348" s="2045"/>
    </row>
    <row r="1349" spans="1:114" ht="15.75" customHeight="1" outlineLevel="1" x14ac:dyDescent="0.25">
      <c r="A1349" s="2145"/>
      <c r="C1349" s="49"/>
      <c r="D1349" s="2394"/>
      <c r="E1349" s="2394"/>
      <c r="F1349" s="1968" t="s">
        <v>1224</v>
      </c>
      <c r="G1349" s="1969"/>
      <c r="H1349" s="1969"/>
      <c r="I1349" s="1970"/>
      <c r="J1349" s="2095" t="s">
        <v>1222</v>
      </c>
      <c r="K1349" s="1966">
        <v>23000</v>
      </c>
      <c r="L1349" s="888">
        <f>K1349/12000</f>
        <v>1.9166666666666667</v>
      </c>
      <c r="M1349" s="1976" t="s">
        <v>1297</v>
      </c>
      <c r="T1349" s="50"/>
      <c r="U1349" s="50"/>
      <c r="V1349" s="2394"/>
      <c r="W1349" s="1268"/>
      <c r="X1349" s="1268"/>
      <c r="Y1349" s="1268"/>
      <c r="Z1349" s="1268"/>
      <c r="AA1349" s="1268"/>
      <c r="AB1349" s="1268"/>
      <c r="AC1349" s="752"/>
      <c r="AD1349" s="966"/>
      <c r="AE1349" s="909"/>
      <c r="AF1349" s="253"/>
      <c r="AG1349" s="253">
        <f>IF(K1349&lt;&gt;"",K1349,"")</f>
        <v>23000</v>
      </c>
      <c r="DG1349" s="543"/>
      <c r="DH1349" s="149"/>
      <c r="DI1349" s="1020"/>
      <c r="DJ1349" s="2045"/>
    </row>
    <row r="1350" spans="1:114" outlineLevel="1" x14ac:dyDescent="0.25">
      <c r="A1350" s="2145"/>
      <c r="C1350" s="49"/>
      <c r="D1350" s="2394"/>
      <c r="E1350" s="2394"/>
      <c r="F1350" s="2404" t="str">
        <f>$E$777</f>
        <v>ASHP-SEER17-Replace_CAC_ElectricHeat_ER1_MF</v>
      </c>
      <c r="G1350" s="2404"/>
      <c r="H1350" s="2404"/>
      <c r="I1350" s="2404"/>
      <c r="J1350" s="1506" t="str">
        <f>$C$777</f>
        <v>354150_2024_12_</v>
      </c>
      <c r="K1350" s="1516">
        <v>37200</v>
      </c>
      <c r="L1350" s="888">
        <f t="shared" si="211"/>
        <v>3.1</v>
      </c>
      <c r="M1350" s="1504" t="s">
        <v>1018</v>
      </c>
      <c r="Q1350" s="192"/>
      <c r="R1350" s="243"/>
      <c r="T1350" s="50"/>
      <c r="U1350" s="50"/>
      <c r="V1350" s="2394"/>
      <c r="W1350" s="1268">
        <v>37200</v>
      </c>
      <c r="X1350" s="1268">
        <v>37200</v>
      </c>
      <c r="Y1350" s="1268">
        <v>37200</v>
      </c>
      <c r="Z1350" s="1268">
        <v>37200</v>
      </c>
      <c r="AA1350" s="1268">
        <v>37200</v>
      </c>
      <c r="AB1350" s="1268">
        <v>37200</v>
      </c>
      <c r="AC1350" s="752">
        <v>37200</v>
      </c>
      <c r="AD1350" s="752">
        <v>37200</v>
      </c>
      <c r="AE1350" s="909">
        <v>37200</v>
      </c>
      <c r="AF1350" s="253">
        <v>37200</v>
      </c>
      <c r="AG1350" s="253">
        <f t="shared" si="214"/>
        <v>37200</v>
      </c>
      <c r="DG1350" s="543"/>
      <c r="DH1350" s="149"/>
      <c r="DI1350" s="1020"/>
      <c r="DJ1350" s="2045"/>
    </row>
    <row r="1351" spans="1:114" outlineLevel="1" x14ac:dyDescent="0.25">
      <c r="A1351" s="2145"/>
      <c r="C1351" s="49"/>
      <c r="D1351" s="2394"/>
      <c r="E1351" s="2394"/>
      <c r="F1351" s="2404" t="str">
        <f>$E$779</f>
        <v>ASHP-SEER17-Replace_CAC_ElectricHeat_ER2_MF</v>
      </c>
      <c r="G1351" s="2404"/>
      <c r="H1351" s="2404"/>
      <c r="I1351" s="2404"/>
      <c r="J1351" s="1506" t="str">
        <f>$C$779</f>
        <v>354150_2024_12_</v>
      </c>
      <c r="K1351" s="1516">
        <v>37200</v>
      </c>
      <c r="L1351" s="888">
        <f t="shared" si="211"/>
        <v>3.1</v>
      </c>
      <c r="M1351" s="1504" t="s">
        <v>1018</v>
      </c>
      <c r="Q1351" s="192"/>
      <c r="R1351" s="243"/>
      <c r="T1351" s="50"/>
      <c r="U1351" s="50"/>
      <c r="V1351" s="2394"/>
      <c r="W1351" s="1268">
        <v>37200</v>
      </c>
      <c r="X1351" s="1268">
        <v>37200</v>
      </c>
      <c r="Y1351" s="1268">
        <v>37200</v>
      </c>
      <c r="Z1351" s="1268">
        <v>37200</v>
      </c>
      <c r="AA1351" s="1268">
        <v>37200</v>
      </c>
      <c r="AB1351" s="1268">
        <v>37200</v>
      </c>
      <c r="AC1351" s="752">
        <v>37200</v>
      </c>
      <c r="AD1351" s="752">
        <v>37200</v>
      </c>
      <c r="AE1351" s="909">
        <v>37200</v>
      </c>
      <c r="AF1351" s="253">
        <v>37200</v>
      </c>
      <c r="AG1351" s="253">
        <f t="shared" si="214"/>
        <v>37200</v>
      </c>
      <c r="DG1351" s="543"/>
      <c r="DH1351" s="149"/>
      <c r="DI1351" s="1020"/>
      <c r="DJ1351" s="2045"/>
    </row>
    <row r="1352" spans="1:114" outlineLevel="1" x14ac:dyDescent="0.25">
      <c r="A1352" s="2145"/>
      <c r="C1352" s="49"/>
      <c r="D1352" s="2394"/>
      <c r="E1352" s="2394"/>
      <c r="F1352" s="2404" t="str">
        <f>$E$781</f>
        <v>ASHP-SEER17_ER1_MF</v>
      </c>
      <c r="G1352" s="2404"/>
      <c r="H1352" s="2404"/>
      <c r="I1352" s="2404"/>
      <c r="J1352" s="1506" t="str">
        <f>$C$781</f>
        <v>354200_2024_12_</v>
      </c>
      <c r="K1352" s="1516">
        <v>39600</v>
      </c>
      <c r="L1352" s="888">
        <f t="shared" si="211"/>
        <v>3.3</v>
      </c>
      <c r="M1352" s="1504" t="s">
        <v>1018</v>
      </c>
      <c r="Q1352" s="192"/>
      <c r="R1352" s="243"/>
      <c r="T1352" s="50"/>
      <c r="U1352" s="50"/>
      <c r="V1352" s="2394"/>
      <c r="W1352" s="1268">
        <v>39600</v>
      </c>
      <c r="X1352" s="1268">
        <v>39600</v>
      </c>
      <c r="Y1352" s="1268">
        <v>39600</v>
      </c>
      <c r="Z1352" s="1268">
        <v>39600</v>
      </c>
      <c r="AA1352" s="1268">
        <v>39600</v>
      </c>
      <c r="AB1352" s="1268">
        <v>39600</v>
      </c>
      <c r="AC1352" s="752">
        <v>39600</v>
      </c>
      <c r="AD1352" s="752">
        <v>39600</v>
      </c>
      <c r="AE1352" s="909">
        <v>39600</v>
      </c>
      <c r="AF1352" s="253">
        <v>39600</v>
      </c>
      <c r="AG1352" s="253">
        <f t="shared" si="214"/>
        <v>39600</v>
      </c>
      <c r="DG1352" s="543"/>
      <c r="DH1352" s="149"/>
      <c r="DI1352" s="1020"/>
      <c r="DJ1352" s="2045"/>
    </row>
    <row r="1353" spans="1:114" outlineLevel="1" x14ac:dyDescent="0.25">
      <c r="A1353" s="2145"/>
      <c r="C1353" s="49"/>
      <c r="D1353" s="2394"/>
      <c r="E1353" s="2394"/>
      <c r="F1353" s="2404" t="str">
        <f>$E$783</f>
        <v>ASHP-SEER17_ER2_MF</v>
      </c>
      <c r="G1353" s="2404"/>
      <c r="H1353" s="2404"/>
      <c r="I1353" s="2404"/>
      <c r="J1353" s="1506" t="str">
        <f>$C$783</f>
        <v>354200_2024_12_</v>
      </c>
      <c r="K1353" s="1516">
        <v>39600</v>
      </c>
      <c r="L1353" s="888">
        <f t="shared" si="211"/>
        <v>3.3</v>
      </c>
      <c r="M1353" s="1504" t="s">
        <v>1018</v>
      </c>
      <c r="Q1353" s="192"/>
      <c r="R1353" s="243"/>
      <c r="T1353" s="50"/>
      <c r="U1353" s="50"/>
      <c r="V1353" s="2394"/>
      <c r="W1353" s="1268">
        <v>39600</v>
      </c>
      <c r="X1353" s="1268">
        <v>39600</v>
      </c>
      <c r="Y1353" s="1268">
        <v>39600</v>
      </c>
      <c r="Z1353" s="1268">
        <v>39600</v>
      </c>
      <c r="AA1353" s="1268">
        <v>39600</v>
      </c>
      <c r="AB1353" s="1268">
        <v>39600</v>
      </c>
      <c r="AC1353" s="752">
        <v>39600</v>
      </c>
      <c r="AD1353" s="752">
        <v>39600</v>
      </c>
      <c r="AE1353" s="909">
        <v>39600</v>
      </c>
      <c r="AF1353" s="253">
        <v>39600</v>
      </c>
      <c r="AG1353" s="253">
        <f t="shared" si="214"/>
        <v>39600</v>
      </c>
      <c r="DG1353" s="543"/>
      <c r="DH1353" s="149"/>
      <c r="DI1353" s="1020"/>
      <c r="DJ1353" s="2045"/>
    </row>
    <row r="1354" spans="1:114" outlineLevel="1" x14ac:dyDescent="0.25">
      <c r="A1354" s="2145"/>
      <c r="C1354" s="49"/>
      <c r="D1354" s="2394"/>
      <c r="E1354" s="2394"/>
      <c r="F1354" s="2404" t="str">
        <f>$E$785</f>
        <v>ASHP-SEER18-Replace_CAC_ElectricHeat_ER1_SF</v>
      </c>
      <c r="G1354" s="2404"/>
      <c r="H1354" s="2404"/>
      <c r="I1354" s="2404"/>
      <c r="J1354" s="1506" t="str">
        <f>$C$785</f>
        <v>354250_2024_12_</v>
      </c>
      <c r="K1354" s="1515">
        <v>39921.182266049262</v>
      </c>
      <c r="L1354" s="888">
        <f t="shared" si="211"/>
        <v>3.3267651888374385</v>
      </c>
      <c r="M1354" s="1518" t="s">
        <v>930</v>
      </c>
      <c r="Q1354" s="192"/>
      <c r="R1354" s="243"/>
      <c r="T1354" s="50"/>
      <c r="U1354" s="50"/>
      <c r="V1354" s="2394"/>
      <c r="W1354" s="1268">
        <v>37200</v>
      </c>
      <c r="X1354" s="1268">
        <v>37200</v>
      </c>
      <c r="Y1354" s="1268">
        <v>37200</v>
      </c>
      <c r="Z1354" s="1268">
        <v>37200</v>
      </c>
      <c r="AA1354" s="1268">
        <v>37200</v>
      </c>
      <c r="AB1354" s="775">
        <v>40965.517241379312</v>
      </c>
      <c r="AC1354" s="775">
        <v>37721.739130434784</v>
      </c>
      <c r="AD1354" s="775">
        <v>38000</v>
      </c>
      <c r="AE1354" s="908">
        <v>38157.165354330711</v>
      </c>
      <c r="AF1354" s="253">
        <v>39921.182266049262</v>
      </c>
      <c r="AG1354" s="253">
        <f t="shared" si="214"/>
        <v>39921.182266049262</v>
      </c>
      <c r="DG1354" s="543"/>
      <c r="DH1354" s="149"/>
      <c r="DI1354" s="1020"/>
      <c r="DJ1354" s="2045"/>
    </row>
    <row r="1355" spans="1:114" outlineLevel="1" x14ac:dyDescent="0.25">
      <c r="A1355" s="2145"/>
      <c r="C1355" s="49"/>
      <c r="D1355" s="2394"/>
      <c r="E1355" s="2394"/>
      <c r="F1355" s="2404" t="str">
        <f>$E$787</f>
        <v>ASHP-SEER18-Replace_CAC_ElectricHeat_ER2_SF</v>
      </c>
      <c r="G1355" s="2404"/>
      <c r="H1355" s="2404"/>
      <c r="I1355" s="2404"/>
      <c r="J1355" s="1506" t="str">
        <f>$C$787</f>
        <v>354250_2024_12_</v>
      </c>
      <c r="K1355" s="1515">
        <f>$K$1354</f>
        <v>39921.182266049262</v>
      </c>
      <c r="L1355" s="888">
        <f t="shared" si="211"/>
        <v>3.3267651888374385</v>
      </c>
      <c r="M1355" s="1518" t="s">
        <v>930</v>
      </c>
      <c r="Q1355" s="192"/>
      <c r="R1355" s="243"/>
      <c r="T1355" s="50"/>
      <c r="U1355" s="50"/>
      <c r="V1355" s="2394"/>
      <c r="W1355" s="1268">
        <v>37200</v>
      </c>
      <c r="X1355" s="1268">
        <v>37200</v>
      </c>
      <c r="Y1355" s="1268">
        <v>37200</v>
      </c>
      <c r="Z1355" s="1268">
        <v>37200</v>
      </c>
      <c r="AA1355" s="1268">
        <v>37200</v>
      </c>
      <c r="AB1355" s="775">
        <v>40965.517241379312</v>
      </c>
      <c r="AC1355" s="775">
        <f>AC1354</f>
        <v>37721.739130434784</v>
      </c>
      <c r="AD1355" s="775">
        <v>38000</v>
      </c>
      <c r="AE1355" s="908">
        <v>38157.165354330711</v>
      </c>
      <c r="AF1355" s="253">
        <v>39921.182266049262</v>
      </c>
      <c r="AG1355" s="253">
        <f t="shared" si="214"/>
        <v>39921.182266049262</v>
      </c>
      <c r="DG1355" s="543"/>
      <c r="DH1355" s="149"/>
      <c r="DI1355" s="1020"/>
      <c r="DJ1355" s="2045"/>
    </row>
    <row r="1356" spans="1:114" outlineLevel="1" x14ac:dyDescent="0.25">
      <c r="A1356" s="2145"/>
      <c r="C1356" s="49"/>
      <c r="D1356" s="2394"/>
      <c r="E1356" s="2394"/>
      <c r="F1356" s="2404" t="str">
        <f>$E$789</f>
        <v>ASHP-SEER18-Replace_CAC_NonElectricHeat_ER1_SF</v>
      </c>
      <c r="G1356" s="2404"/>
      <c r="H1356" s="2404"/>
      <c r="I1356" s="2404"/>
      <c r="J1356" s="1506" t="str">
        <f>$C$789</f>
        <v>354260_2024_12_</v>
      </c>
      <c r="K1356" s="1515">
        <f t="shared" ref="K1356:K1357" si="216">$K$1354</f>
        <v>39921.182266049262</v>
      </c>
      <c r="L1356" s="888">
        <f t="shared" si="211"/>
        <v>3.3267651888374385</v>
      </c>
      <c r="M1356" s="1518" t="s">
        <v>930</v>
      </c>
      <c r="Q1356" s="192"/>
      <c r="R1356" s="243"/>
      <c r="T1356" s="50"/>
      <c r="U1356" s="50"/>
      <c r="V1356" s="2394"/>
      <c r="W1356" s="1268"/>
      <c r="X1356" s="1268"/>
      <c r="Y1356" s="1268"/>
      <c r="Z1356" s="1268"/>
      <c r="AA1356" s="1268"/>
      <c r="AB1356" s="775"/>
      <c r="AC1356" s="775">
        <v>37721.739130434784</v>
      </c>
      <c r="AD1356" s="775">
        <v>38000</v>
      </c>
      <c r="AE1356" s="908">
        <v>38157.165354330711</v>
      </c>
      <c r="AF1356" s="253">
        <v>39921.182266049262</v>
      </c>
      <c r="AG1356" s="253">
        <f t="shared" si="214"/>
        <v>39921.182266049262</v>
      </c>
      <c r="DG1356" s="543"/>
      <c r="DH1356" s="149"/>
      <c r="DI1356" s="1020"/>
      <c r="DJ1356" s="2045"/>
    </row>
    <row r="1357" spans="1:114" outlineLevel="1" x14ac:dyDescent="0.25">
      <c r="A1357" s="2145"/>
      <c r="C1357" s="49"/>
      <c r="D1357" s="2394"/>
      <c r="E1357" s="2394"/>
      <c r="F1357" s="2404" t="str">
        <f>$E$791</f>
        <v>ASHP-SEER18-Replace_CAC_NonElectricHeat_ER2_SF</v>
      </c>
      <c r="G1357" s="2404"/>
      <c r="H1357" s="2404"/>
      <c r="I1357" s="2404"/>
      <c r="J1357" s="1506" t="str">
        <f>$C$791</f>
        <v>354260_2024_12_</v>
      </c>
      <c r="K1357" s="1515">
        <f t="shared" si="216"/>
        <v>39921.182266049262</v>
      </c>
      <c r="L1357" s="888">
        <f t="shared" si="211"/>
        <v>3.3267651888374385</v>
      </c>
      <c r="M1357" s="1518" t="s">
        <v>930</v>
      </c>
      <c r="Q1357" s="192"/>
      <c r="R1357" s="243"/>
      <c r="T1357" s="50"/>
      <c r="U1357" s="50"/>
      <c r="V1357" s="2394"/>
      <c r="W1357" s="1268"/>
      <c r="X1357" s="1268"/>
      <c r="Y1357" s="1268"/>
      <c r="Z1357" s="1268"/>
      <c r="AA1357" s="1268"/>
      <c r="AB1357" s="775"/>
      <c r="AC1357" s="775">
        <f>AC1356</f>
        <v>37721.739130434784</v>
      </c>
      <c r="AD1357" s="775">
        <v>38000</v>
      </c>
      <c r="AE1357" s="908">
        <v>38157.165354330711</v>
      </c>
      <c r="AF1357" s="253">
        <v>39921.182266049262</v>
      </c>
      <c r="AG1357" s="253">
        <f t="shared" si="214"/>
        <v>39921.182266049262</v>
      </c>
      <c r="DG1357" s="543"/>
      <c r="DH1357" s="149"/>
      <c r="DI1357" s="1020"/>
      <c r="DJ1357" s="2045"/>
    </row>
    <row r="1358" spans="1:114" outlineLevel="1" x14ac:dyDescent="0.25">
      <c r="A1358" s="2145"/>
      <c r="C1358" s="49"/>
      <c r="D1358" s="2394"/>
      <c r="E1358" s="2394"/>
      <c r="F1358" s="2404" t="str">
        <f>$E$793</f>
        <v>ASHP-SEER18-Replace_CAC_ElectricHeat_ER1_MF</v>
      </c>
      <c r="G1358" s="2404"/>
      <c r="H1358" s="2404"/>
      <c r="I1358" s="2404"/>
      <c r="J1358" s="1506" t="str">
        <f>$C$793</f>
        <v>354300_2024_12_</v>
      </c>
      <c r="K1358" s="1516">
        <v>18000</v>
      </c>
      <c r="L1358" s="888">
        <f t="shared" si="211"/>
        <v>1.5</v>
      </c>
      <c r="M1358" s="1504" t="s">
        <v>1288</v>
      </c>
      <c r="Q1358" s="192"/>
      <c r="R1358" s="243"/>
      <c r="T1358" s="50"/>
      <c r="U1358" s="50"/>
      <c r="V1358" s="2394"/>
      <c r="W1358" s="1268">
        <v>37200</v>
      </c>
      <c r="X1358" s="1268">
        <v>37200</v>
      </c>
      <c r="Y1358" s="1268">
        <v>37200</v>
      </c>
      <c r="Z1358" s="1268">
        <v>37200</v>
      </c>
      <c r="AA1358" s="1268">
        <v>37200</v>
      </c>
      <c r="AB1358" s="775">
        <v>48000</v>
      </c>
      <c r="AC1358" s="775">
        <v>18000</v>
      </c>
      <c r="AD1358" s="752">
        <v>18000</v>
      </c>
      <c r="AE1358" s="909">
        <v>18000</v>
      </c>
      <c r="AF1358" s="253">
        <v>18000</v>
      </c>
      <c r="AG1358" s="253">
        <f t="shared" si="214"/>
        <v>18000</v>
      </c>
      <c r="DG1358" s="543"/>
      <c r="DH1358" s="149"/>
      <c r="DI1358" s="1020"/>
      <c r="DJ1358" s="2045"/>
    </row>
    <row r="1359" spans="1:114" outlineLevel="1" x14ac:dyDescent="0.25">
      <c r="A1359" s="2145"/>
      <c r="C1359" s="49"/>
      <c r="D1359" s="2394"/>
      <c r="E1359" s="2394"/>
      <c r="F1359" s="2404" t="str">
        <f>$E$795</f>
        <v>ASHP-SEER18-Replace_CAC_ElectricHeat_ER2_MF</v>
      </c>
      <c r="G1359" s="2404"/>
      <c r="H1359" s="2404"/>
      <c r="I1359" s="2404"/>
      <c r="J1359" s="1506" t="str">
        <f>$C$795</f>
        <v>354300_2024_12_</v>
      </c>
      <c r="K1359" s="1516">
        <v>18000</v>
      </c>
      <c r="L1359" s="888">
        <f t="shared" si="211"/>
        <v>1.5</v>
      </c>
      <c r="M1359" s="1504" t="s">
        <v>1288</v>
      </c>
      <c r="Q1359" s="192"/>
      <c r="R1359" s="243"/>
      <c r="T1359" s="50"/>
      <c r="U1359" s="50"/>
      <c r="V1359" s="2394"/>
      <c r="W1359" s="1268">
        <v>37200</v>
      </c>
      <c r="X1359" s="1268">
        <v>37200</v>
      </c>
      <c r="Y1359" s="1268">
        <v>37200</v>
      </c>
      <c r="Z1359" s="1268">
        <v>37200</v>
      </c>
      <c r="AA1359" s="1268">
        <v>37200</v>
      </c>
      <c r="AB1359" s="775">
        <v>48000</v>
      </c>
      <c r="AC1359" s="775">
        <f>AC1358</f>
        <v>18000</v>
      </c>
      <c r="AD1359" s="752">
        <v>18000</v>
      </c>
      <c r="AE1359" s="909">
        <v>18000</v>
      </c>
      <c r="AF1359" s="253">
        <v>18000</v>
      </c>
      <c r="AG1359" s="253">
        <f t="shared" si="214"/>
        <v>18000</v>
      </c>
      <c r="DG1359" s="543"/>
      <c r="DH1359" s="149"/>
      <c r="DI1359" s="1020"/>
      <c r="DJ1359" s="2045"/>
    </row>
    <row r="1360" spans="1:114" outlineLevel="1" x14ac:dyDescent="0.25">
      <c r="A1360" s="2145"/>
      <c r="C1360" s="49"/>
      <c r="D1360" s="2394"/>
      <c r="E1360" s="2394"/>
      <c r="F1360" s="2404" t="str">
        <f>$E$797</f>
        <v>ASHP-SEER18_ER1_MF</v>
      </c>
      <c r="G1360" s="2404"/>
      <c r="H1360" s="2404"/>
      <c r="I1360" s="2404"/>
      <c r="J1360" s="1506" t="str">
        <f>$C$797</f>
        <v>354350_2024_12_</v>
      </c>
      <c r="K1360" s="1515">
        <v>30000</v>
      </c>
      <c r="L1360" s="888">
        <f t="shared" ref="L1360:L1380" si="217">K1360/12000</f>
        <v>2.5</v>
      </c>
      <c r="M1360" s="1503" t="s">
        <v>931</v>
      </c>
      <c r="Q1360" s="192"/>
      <c r="R1360" s="243"/>
      <c r="T1360" s="50"/>
      <c r="U1360" s="50"/>
      <c r="V1360" s="2394"/>
      <c r="W1360" s="1268">
        <v>39600</v>
      </c>
      <c r="X1360" s="1268">
        <v>39600</v>
      </c>
      <c r="Y1360" s="1268">
        <v>39600</v>
      </c>
      <c r="Z1360" s="1268">
        <v>39600</v>
      </c>
      <c r="AA1360" s="1268">
        <v>39600</v>
      </c>
      <c r="AB1360" s="1268">
        <v>39600</v>
      </c>
      <c r="AC1360" s="775">
        <v>60000</v>
      </c>
      <c r="AD1360" s="775">
        <v>30000</v>
      </c>
      <c r="AE1360" s="966">
        <v>30000</v>
      </c>
      <c r="AF1360" s="253">
        <v>30000</v>
      </c>
      <c r="AG1360" s="253">
        <f t="shared" si="214"/>
        <v>30000</v>
      </c>
      <c r="DG1360" s="543"/>
      <c r="DH1360" s="149"/>
      <c r="DI1360" s="1020"/>
      <c r="DJ1360" s="2045"/>
    </row>
    <row r="1361" spans="1:114" outlineLevel="1" x14ac:dyDescent="0.25">
      <c r="A1361" s="2145"/>
      <c r="C1361" s="49"/>
      <c r="D1361" s="2394"/>
      <c r="E1361" s="2394"/>
      <c r="F1361" s="2404" t="str">
        <f>$E$799</f>
        <v>ASHP-SEER18_ER2_MF</v>
      </c>
      <c r="G1361" s="2404"/>
      <c r="H1361" s="2404"/>
      <c r="I1361" s="2404"/>
      <c r="J1361" s="1506" t="str">
        <f>$C$799</f>
        <v>354350_2024_12_</v>
      </c>
      <c r="K1361" s="1515">
        <v>30000</v>
      </c>
      <c r="L1361" s="888">
        <f t="shared" si="217"/>
        <v>2.5</v>
      </c>
      <c r="M1361" s="1504" t="s">
        <v>1018</v>
      </c>
      <c r="Q1361" s="192"/>
      <c r="R1361" s="243"/>
      <c r="T1361" s="50"/>
      <c r="U1361" s="50"/>
      <c r="V1361" s="2394"/>
      <c r="W1361" s="1268">
        <v>39600</v>
      </c>
      <c r="X1361" s="1268">
        <v>39600</v>
      </c>
      <c r="Y1361" s="1268">
        <v>39600</v>
      </c>
      <c r="Z1361" s="1268">
        <v>39600</v>
      </c>
      <c r="AA1361" s="1268">
        <v>39600</v>
      </c>
      <c r="AB1361" s="1268">
        <v>39600</v>
      </c>
      <c r="AC1361" s="775">
        <f>AC1360</f>
        <v>60000</v>
      </c>
      <c r="AD1361" s="775">
        <v>30000</v>
      </c>
      <c r="AE1361" s="966">
        <v>30000</v>
      </c>
      <c r="AF1361" s="253">
        <v>30000</v>
      </c>
      <c r="AG1361" s="253">
        <f t="shared" si="214"/>
        <v>30000</v>
      </c>
      <c r="DG1361" s="543"/>
      <c r="DH1361" s="149"/>
      <c r="DI1361" s="1020"/>
      <c r="DJ1361" s="2045"/>
    </row>
    <row r="1362" spans="1:114" outlineLevel="1" x14ac:dyDescent="0.25">
      <c r="A1362" s="2145"/>
      <c r="C1362" s="49"/>
      <c r="D1362" s="2394"/>
      <c r="E1362" s="2394"/>
      <c r="F1362" s="2404" t="str">
        <f>$E$801</f>
        <v>ASHP-SEER19-Replace_CAC_ElectricHeat_ER1_SF</v>
      </c>
      <c r="G1362" s="2404"/>
      <c r="H1362" s="2404"/>
      <c r="I1362" s="2404"/>
      <c r="J1362" s="1506" t="str">
        <f>$C$801</f>
        <v>354400_2024_12_</v>
      </c>
      <c r="K1362" s="1515">
        <v>43047.619047619046</v>
      </c>
      <c r="L1362" s="888">
        <f t="shared" si="217"/>
        <v>3.587301587301587</v>
      </c>
      <c r="M1362" s="1518" t="s">
        <v>930</v>
      </c>
      <c r="Q1362" s="192"/>
      <c r="R1362" s="243"/>
      <c r="T1362" s="50"/>
      <c r="U1362" s="50"/>
      <c r="V1362" s="2394"/>
      <c r="W1362" s="1268">
        <v>37200</v>
      </c>
      <c r="X1362" s="1268">
        <v>37200</v>
      </c>
      <c r="Y1362" s="1268">
        <v>37200</v>
      </c>
      <c r="Z1362" s="1268">
        <v>37200</v>
      </c>
      <c r="AA1362" s="1268">
        <v>37200</v>
      </c>
      <c r="AB1362" s="1268">
        <v>37200</v>
      </c>
      <c r="AC1362" s="775">
        <v>43200</v>
      </c>
      <c r="AD1362" s="775">
        <v>49058.823529411762</v>
      </c>
      <c r="AE1362" s="908">
        <v>43304.34782608696</v>
      </c>
      <c r="AF1362" s="253">
        <v>43047.619047619046</v>
      </c>
      <c r="AG1362" s="253">
        <f t="shared" si="214"/>
        <v>43047.619047619046</v>
      </c>
      <c r="DG1362" s="543"/>
      <c r="DH1362" s="149"/>
      <c r="DI1362" s="1020"/>
      <c r="DJ1362" s="2045"/>
    </row>
    <row r="1363" spans="1:114" outlineLevel="1" x14ac:dyDescent="0.25">
      <c r="A1363" s="2145"/>
      <c r="C1363" s="49"/>
      <c r="D1363" s="2394"/>
      <c r="E1363" s="2394"/>
      <c r="F1363" s="2404" t="str">
        <f>$E$803</f>
        <v>ASHP-SEER19-Replace_CAC_ElectricHeat_ER2_SF</v>
      </c>
      <c r="G1363" s="2404"/>
      <c r="H1363" s="2404"/>
      <c r="I1363" s="2404"/>
      <c r="J1363" s="1506" t="str">
        <f>$C$803</f>
        <v>354400_2024_12_</v>
      </c>
      <c r="K1363" s="1515">
        <f>$K$1362</f>
        <v>43047.619047619046</v>
      </c>
      <c r="L1363" s="888">
        <f t="shared" si="217"/>
        <v>3.587301587301587</v>
      </c>
      <c r="M1363" s="1518" t="s">
        <v>930</v>
      </c>
      <c r="Q1363" s="192"/>
      <c r="R1363" s="243"/>
      <c r="T1363" s="50"/>
      <c r="U1363" s="50"/>
      <c r="V1363" s="2394"/>
      <c r="W1363" s="1268">
        <v>37200</v>
      </c>
      <c r="X1363" s="1268">
        <v>37200</v>
      </c>
      <c r="Y1363" s="1268">
        <v>37200</v>
      </c>
      <c r="Z1363" s="1268">
        <v>37200</v>
      </c>
      <c r="AA1363" s="1268">
        <v>37200</v>
      </c>
      <c r="AB1363" s="1268">
        <v>37200</v>
      </c>
      <c r="AC1363" s="775">
        <f>AC1362</f>
        <v>43200</v>
      </c>
      <c r="AD1363" s="775">
        <v>49058.823529411762</v>
      </c>
      <c r="AE1363" s="908">
        <v>43304.34782608696</v>
      </c>
      <c r="AF1363" s="253">
        <v>43047.619047619046</v>
      </c>
      <c r="AG1363" s="253">
        <f t="shared" si="214"/>
        <v>43047.619047619046</v>
      </c>
      <c r="DG1363" s="543"/>
      <c r="DH1363" s="149"/>
      <c r="DI1363" s="1020"/>
      <c r="DJ1363" s="2045"/>
    </row>
    <row r="1364" spans="1:114" outlineLevel="1" x14ac:dyDescent="0.25">
      <c r="A1364" s="2145"/>
      <c r="C1364" s="49"/>
      <c r="D1364" s="2394"/>
      <c r="E1364" s="2394"/>
      <c r="F1364" s="2404" t="str">
        <f>$E$805</f>
        <v>ASHP-SEER19-Replace_CAC_NonElectricHeat_ER1_SF</v>
      </c>
      <c r="G1364" s="2404"/>
      <c r="H1364" s="2404"/>
      <c r="I1364" s="2404"/>
      <c r="J1364" s="1506" t="str">
        <f>$C$805</f>
        <v>354410_2024_12_</v>
      </c>
      <c r="K1364" s="1515">
        <f t="shared" ref="K1364:K1365" si="218">$K$1362</f>
        <v>43047.619047619046</v>
      </c>
      <c r="L1364" s="888">
        <f t="shared" si="217"/>
        <v>3.587301587301587</v>
      </c>
      <c r="M1364" s="1518" t="s">
        <v>930</v>
      </c>
      <c r="Q1364" s="192"/>
      <c r="R1364" s="243"/>
      <c r="T1364" s="50"/>
      <c r="U1364" s="50"/>
      <c r="V1364" s="2394"/>
      <c r="W1364" s="1268"/>
      <c r="X1364" s="1268"/>
      <c r="Y1364" s="1268"/>
      <c r="Z1364" s="1268"/>
      <c r="AA1364" s="1268"/>
      <c r="AB1364" s="1268"/>
      <c r="AC1364" s="775">
        <v>43200</v>
      </c>
      <c r="AD1364" s="752">
        <v>43200</v>
      </c>
      <c r="AE1364" s="1033">
        <v>43304.34782608696</v>
      </c>
      <c r="AF1364" s="253">
        <v>43047.619047619046</v>
      </c>
      <c r="AG1364" s="253">
        <f t="shared" si="214"/>
        <v>43047.619047619046</v>
      </c>
      <c r="DG1364" s="543"/>
      <c r="DH1364" s="149"/>
      <c r="DI1364" s="1020"/>
      <c r="DJ1364" s="2045"/>
    </row>
    <row r="1365" spans="1:114" outlineLevel="1" x14ac:dyDescent="0.25">
      <c r="A1365" s="2145"/>
      <c r="C1365" s="49"/>
      <c r="D1365" s="2394"/>
      <c r="E1365" s="2394"/>
      <c r="F1365" s="2404" t="str">
        <f>$E$807</f>
        <v>ASHP-SEER19-Replace_CAC_NonElectricHeat_ER2_SF</v>
      </c>
      <c r="G1365" s="2404"/>
      <c r="H1365" s="2404"/>
      <c r="I1365" s="2404"/>
      <c r="J1365" s="1506" t="str">
        <f>$C$807</f>
        <v>354410_2024_12_</v>
      </c>
      <c r="K1365" s="1515">
        <f t="shared" si="218"/>
        <v>43047.619047619046</v>
      </c>
      <c r="L1365" s="888">
        <f t="shared" si="217"/>
        <v>3.587301587301587</v>
      </c>
      <c r="M1365" s="1518" t="s">
        <v>930</v>
      </c>
      <c r="Q1365" s="192"/>
      <c r="R1365" s="243"/>
      <c r="T1365" s="50"/>
      <c r="U1365" s="50"/>
      <c r="V1365" s="2394"/>
      <c r="W1365" s="1268"/>
      <c r="X1365" s="1268"/>
      <c r="Y1365" s="1268"/>
      <c r="Z1365" s="1268"/>
      <c r="AA1365" s="1268"/>
      <c r="AB1365" s="1268"/>
      <c r="AC1365" s="775">
        <f>AC1364</f>
        <v>43200</v>
      </c>
      <c r="AD1365" s="752">
        <v>43200</v>
      </c>
      <c r="AE1365" s="1033">
        <v>43304.34782608696</v>
      </c>
      <c r="AF1365" s="253">
        <v>43047.619047619046</v>
      </c>
      <c r="AG1365" s="253">
        <f t="shared" si="214"/>
        <v>43047.619047619046</v>
      </c>
      <c r="DG1365" s="543"/>
      <c r="DH1365" s="149"/>
      <c r="DI1365" s="1020"/>
      <c r="DJ1365" s="2045"/>
    </row>
    <row r="1366" spans="1:114" outlineLevel="1" x14ac:dyDescent="0.25">
      <c r="A1366" s="2145"/>
      <c r="C1366" s="49"/>
      <c r="D1366" s="2394"/>
      <c r="E1366" s="2394"/>
      <c r="F1366" s="2404" t="str">
        <f>$E$809</f>
        <v>ASHP-SEER19-Replace_CAC_ElectricHeat_ER1_MF</v>
      </c>
      <c r="G1366" s="2404"/>
      <c r="H1366" s="2404"/>
      <c r="I1366" s="2404"/>
      <c r="J1366" s="1506" t="str">
        <f>$C$809</f>
        <v>354450_2024_12_</v>
      </c>
      <c r="K1366" s="1516">
        <v>37200</v>
      </c>
      <c r="L1366" s="888">
        <f t="shared" si="217"/>
        <v>3.1</v>
      </c>
      <c r="M1366" s="1504" t="s">
        <v>1018</v>
      </c>
      <c r="Q1366" s="192"/>
      <c r="R1366" s="243"/>
      <c r="T1366" s="50"/>
      <c r="U1366" s="50"/>
      <c r="V1366" s="2394"/>
      <c r="W1366" s="1268">
        <v>37200</v>
      </c>
      <c r="X1366" s="1268">
        <v>37200</v>
      </c>
      <c r="Y1366" s="1268">
        <v>37200</v>
      </c>
      <c r="Z1366" s="1268">
        <v>37200</v>
      </c>
      <c r="AA1366" s="1268">
        <v>37200</v>
      </c>
      <c r="AB1366" s="1268">
        <v>37200</v>
      </c>
      <c r="AC1366" s="752">
        <v>37200</v>
      </c>
      <c r="AD1366" s="752">
        <v>37200</v>
      </c>
      <c r="AE1366" s="909">
        <v>37200</v>
      </c>
      <c r="AF1366" s="253">
        <v>37200</v>
      </c>
      <c r="AG1366" s="253">
        <f t="shared" si="214"/>
        <v>37200</v>
      </c>
      <c r="DG1366" s="543"/>
      <c r="DH1366" s="149"/>
      <c r="DI1366" s="1020"/>
      <c r="DJ1366" s="2045"/>
    </row>
    <row r="1367" spans="1:114" outlineLevel="1" x14ac:dyDescent="0.25">
      <c r="A1367" s="2145"/>
      <c r="C1367" s="49"/>
      <c r="D1367" s="2394"/>
      <c r="E1367" s="2394"/>
      <c r="F1367" s="2404" t="str">
        <f>$E$811</f>
        <v>ASHP-SEER19-Replace_CAC_ElectricHeat_ER2_MF</v>
      </c>
      <c r="G1367" s="2404"/>
      <c r="H1367" s="2404"/>
      <c r="I1367" s="2404"/>
      <c r="J1367" s="1506" t="str">
        <f>$C$811</f>
        <v>354450_2024_12_</v>
      </c>
      <c r="K1367" s="1516">
        <v>37200</v>
      </c>
      <c r="L1367" s="888">
        <f t="shared" si="217"/>
        <v>3.1</v>
      </c>
      <c r="M1367" s="1504" t="s">
        <v>1018</v>
      </c>
      <c r="Q1367" s="192"/>
      <c r="R1367" s="243"/>
      <c r="T1367" s="50"/>
      <c r="U1367" s="50"/>
      <c r="V1367" s="2394"/>
      <c r="W1367" s="1268">
        <v>37200</v>
      </c>
      <c r="X1367" s="1268">
        <v>37200</v>
      </c>
      <c r="Y1367" s="1268">
        <v>37200</v>
      </c>
      <c r="Z1367" s="1268">
        <v>37200</v>
      </c>
      <c r="AA1367" s="1268">
        <v>37200</v>
      </c>
      <c r="AB1367" s="1268">
        <v>37200</v>
      </c>
      <c r="AC1367" s="752">
        <v>37200</v>
      </c>
      <c r="AD1367" s="752">
        <v>37200</v>
      </c>
      <c r="AE1367" s="909">
        <v>37200</v>
      </c>
      <c r="AF1367" s="253">
        <v>37200</v>
      </c>
      <c r="AG1367" s="253">
        <f t="shared" si="214"/>
        <v>37200</v>
      </c>
      <c r="DG1367" s="543"/>
      <c r="DH1367" s="149"/>
      <c r="DI1367" s="1020"/>
      <c r="DJ1367" s="2045"/>
    </row>
    <row r="1368" spans="1:114" outlineLevel="1" x14ac:dyDescent="0.25">
      <c r="A1368" s="2145"/>
      <c r="C1368" s="49"/>
      <c r="D1368" s="2394"/>
      <c r="E1368" s="2394"/>
      <c r="F1368" s="2404" t="str">
        <f>$E$813</f>
        <v>ASHP-SEER19_ER1_MF</v>
      </c>
      <c r="G1368" s="2404"/>
      <c r="H1368" s="2404"/>
      <c r="I1368" s="2404"/>
      <c r="J1368" s="1506" t="str">
        <f>$C$813</f>
        <v>354500_2024_12_</v>
      </c>
      <c r="K1368" s="1516">
        <v>39600</v>
      </c>
      <c r="L1368" s="888">
        <f t="shared" si="217"/>
        <v>3.3</v>
      </c>
      <c r="M1368" s="1504" t="s">
        <v>1018</v>
      </c>
      <c r="Q1368" s="192"/>
      <c r="R1368" s="243"/>
      <c r="T1368" s="50"/>
      <c r="U1368" s="50"/>
      <c r="V1368" s="2394"/>
      <c r="W1368" s="1268">
        <v>39600</v>
      </c>
      <c r="X1368" s="1268">
        <v>39600</v>
      </c>
      <c r="Y1368" s="1268">
        <v>39600</v>
      </c>
      <c r="Z1368" s="1268">
        <v>39600</v>
      </c>
      <c r="AA1368" s="1268">
        <v>39600</v>
      </c>
      <c r="AB1368" s="1268">
        <v>39600</v>
      </c>
      <c r="AC1368" s="752">
        <v>39600</v>
      </c>
      <c r="AD1368" s="752">
        <v>39600</v>
      </c>
      <c r="AE1368" s="909">
        <v>39600</v>
      </c>
      <c r="AF1368" s="253">
        <v>39600</v>
      </c>
      <c r="AG1368" s="253">
        <f t="shared" si="214"/>
        <v>39600</v>
      </c>
      <c r="DG1368" s="543"/>
      <c r="DH1368" s="149"/>
      <c r="DI1368" s="1020"/>
      <c r="DJ1368" s="2045"/>
    </row>
    <row r="1369" spans="1:114" outlineLevel="1" x14ac:dyDescent="0.25">
      <c r="A1369" s="2145"/>
      <c r="C1369" s="49"/>
      <c r="D1369" s="2394"/>
      <c r="E1369" s="2394"/>
      <c r="F1369" s="2404" t="str">
        <f>$E$815</f>
        <v>ASHP-SEER19_ER2_MF</v>
      </c>
      <c r="G1369" s="2404"/>
      <c r="H1369" s="2404"/>
      <c r="I1369" s="2404"/>
      <c r="J1369" s="1506" t="str">
        <f>$C$815</f>
        <v>354500_2024_12_</v>
      </c>
      <c r="K1369" s="1516">
        <v>39600</v>
      </c>
      <c r="L1369" s="888">
        <f t="shared" si="217"/>
        <v>3.3</v>
      </c>
      <c r="M1369" s="1504" t="s">
        <v>1018</v>
      </c>
      <c r="Q1369" s="192"/>
      <c r="R1369" s="243"/>
      <c r="T1369" s="50"/>
      <c r="U1369" s="50"/>
      <c r="V1369" s="2394"/>
      <c r="W1369" s="1268">
        <v>39600</v>
      </c>
      <c r="X1369" s="1268">
        <v>39600</v>
      </c>
      <c r="Y1369" s="1268">
        <v>39600</v>
      </c>
      <c r="Z1369" s="1268">
        <v>39600</v>
      </c>
      <c r="AA1369" s="1268">
        <v>39600</v>
      </c>
      <c r="AB1369" s="1268">
        <v>39600</v>
      </c>
      <c r="AC1369" s="752">
        <v>39600</v>
      </c>
      <c r="AD1369" s="752">
        <v>39600</v>
      </c>
      <c r="AE1369" s="909">
        <v>39600</v>
      </c>
      <c r="AF1369" s="253">
        <v>39600</v>
      </c>
      <c r="AG1369" s="253">
        <f t="shared" si="214"/>
        <v>39600</v>
      </c>
      <c r="DG1369" s="543"/>
      <c r="DH1369" s="149"/>
      <c r="DI1369" s="1020"/>
      <c r="DJ1369" s="2045"/>
    </row>
    <row r="1370" spans="1:114" outlineLevel="1" x14ac:dyDescent="0.25">
      <c r="A1370" s="2145"/>
      <c r="C1370" s="49"/>
      <c r="D1370" s="2394"/>
      <c r="E1370" s="2394"/>
      <c r="F1370" s="2404" t="str">
        <f>$E$817</f>
        <v>ASHP-SEER20_ER1_SF</v>
      </c>
      <c r="G1370" s="2404"/>
      <c r="H1370" s="2404"/>
      <c r="I1370" s="2404"/>
      <c r="J1370" s="1506" t="str">
        <f>$C$817</f>
        <v>354550_2024_12_</v>
      </c>
      <c r="K1370" s="1515">
        <v>35275.324675324671</v>
      </c>
      <c r="L1370" s="888">
        <f t="shared" si="217"/>
        <v>2.9396103896103893</v>
      </c>
      <c r="M1370" s="1518" t="s">
        <v>930</v>
      </c>
      <c r="Q1370" s="192"/>
      <c r="R1370" s="243"/>
      <c r="T1370" s="50"/>
      <c r="U1370" s="50"/>
      <c r="V1370" s="2394"/>
      <c r="W1370" s="1268">
        <v>39600</v>
      </c>
      <c r="X1370" s="1268">
        <v>39600</v>
      </c>
      <c r="Y1370" s="1268">
        <v>39600</v>
      </c>
      <c r="Z1370" s="1268">
        <v>39600</v>
      </c>
      <c r="AA1370" s="1268">
        <v>39600</v>
      </c>
      <c r="AB1370" s="1268">
        <v>39600</v>
      </c>
      <c r="AC1370" s="775">
        <v>60000</v>
      </c>
      <c r="AD1370" s="775">
        <v>36754.666666666664</v>
      </c>
      <c r="AE1370" s="908">
        <v>38333.333333333336</v>
      </c>
      <c r="AF1370" s="253">
        <v>35275.324675324671</v>
      </c>
      <c r="AG1370" s="253">
        <f t="shared" si="214"/>
        <v>35275.324675324671</v>
      </c>
      <c r="DG1370" s="543"/>
      <c r="DH1370" s="149"/>
      <c r="DI1370" s="1020"/>
      <c r="DJ1370" s="2045"/>
    </row>
    <row r="1371" spans="1:114" outlineLevel="1" x14ac:dyDescent="0.25">
      <c r="A1371" s="2145"/>
      <c r="C1371" s="49"/>
      <c r="D1371" s="2394"/>
      <c r="E1371" s="2394"/>
      <c r="F1371" s="2404" t="str">
        <f>$E$819</f>
        <v>ASHP-SEER20_ER2_SF</v>
      </c>
      <c r="G1371" s="2404"/>
      <c r="H1371" s="2404"/>
      <c r="I1371" s="2404"/>
      <c r="J1371" s="1506" t="str">
        <f>$C$819</f>
        <v>354550_2024_12_</v>
      </c>
      <c r="K1371" s="1515">
        <v>35275.324675324671</v>
      </c>
      <c r="L1371" s="888">
        <f t="shared" si="217"/>
        <v>2.9396103896103893</v>
      </c>
      <c r="M1371" s="1518" t="s">
        <v>930</v>
      </c>
      <c r="Q1371" s="192"/>
      <c r="R1371" s="243"/>
      <c r="T1371" s="50"/>
      <c r="U1371" s="50"/>
      <c r="V1371" s="2394"/>
      <c r="W1371" s="1268">
        <v>39600</v>
      </c>
      <c r="X1371" s="1268">
        <v>39600</v>
      </c>
      <c r="Y1371" s="1268">
        <v>39600</v>
      </c>
      <c r="Z1371" s="1268">
        <v>39600</v>
      </c>
      <c r="AA1371" s="1268">
        <v>39600</v>
      </c>
      <c r="AB1371" s="1268">
        <v>39600</v>
      </c>
      <c r="AC1371" s="775">
        <f>AC1370</f>
        <v>60000</v>
      </c>
      <c r="AD1371" s="775">
        <v>36754.666666666664</v>
      </c>
      <c r="AE1371" s="908">
        <v>38333.333333333336</v>
      </c>
      <c r="AF1371" s="253">
        <v>35275.324675324671</v>
      </c>
      <c r="AG1371" s="253">
        <f t="shared" si="214"/>
        <v>35275.324675324671</v>
      </c>
      <c r="DG1371" s="543"/>
      <c r="DH1371" s="149"/>
      <c r="DI1371" s="1020"/>
      <c r="DJ1371" s="2045"/>
    </row>
    <row r="1372" spans="1:114" outlineLevel="1" x14ac:dyDescent="0.25">
      <c r="A1372" s="2145"/>
      <c r="C1372" s="49"/>
      <c r="D1372" s="2394"/>
      <c r="E1372" s="2394"/>
      <c r="F1372" s="2404" t="str">
        <f>$E$821</f>
        <v>ASHP-SEER20_ROF_SF</v>
      </c>
      <c r="G1372" s="2404"/>
      <c r="H1372" s="2404"/>
      <c r="I1372" s="2404"/>
      <c r="J1372" s="1506" t="str">
        <f>$C$821</f>
        <v>354600_2024_12_</v>
      </c>
      <c r="K1372" s="1515">
        <v>38142.857142857138</v>
      </c>
      <c r="L1372" s="888">
        <f t="shared" si="217"/>
        <v>3.1785714285714279</v>
      </c>
      <c r="M1372" s="1503" t="s">
        <v>931</v>
      </c>
      <c r="Q1372" s="192"/>
      <c r="R1372" s="243"/>
      <c r="T1372" s="50"/>
      <c r="U1372" s="50"/>
      <c r="V1372" s="2394"/>
      <c r="W1372" s="1268">
        <v>39600</v>
      </c>
      <c r="X1372" s="1268">
        <v>39600</v>
      </c>
      <c r="Y1372" s="1268">
        <v>39600</v>
      </c>
      <c r="Z1372" s="1268">
        <v>39600</v>
      </c>
      <c r="AA1372" s="1268">
        <v>39600</v>
      </c>
      <c r="AB1372" s="1268">
        <v>39600</v>
      </c>
      <c r="AC1372" s="775">
        <v>36000</v>
      </c>
      <c r="AD1372" s="775">
        <v>38142.857142857138</v>
      </c>
      <c r="AE1372" s="966">
        <v>38142.857142857138</v>
      </c>
      <c r="AF1372" s="253">
        <v>38142.857142857138</v>
      </c>
      <c r="AG1372" s="253">
        <f t="shared" si="214"/>
        <v>38142.857142857138</v>
      </c>
      <c r="DG1372" s="543"/>
      <c r="DH1372" s="149"/>
      <c r="DI1372" s="1020"/>
      <c r="DJ1372" s="2045"/>
    </row>
    <row r="1373" spans="1:114" outlineLevel="1" x14ac:dyDescent="0.25">
      <c r="A1373" s="2145"/>
      <c r="C1373" s="49"/>
      <c r="D1373" s="2394"/>
      <c r="E1373" s="2394"/>
      <c r="F1373" s="2404" t="str">
        <f>$E$823</f>
        <v>ASHP-SEER20-Replace_CAC_ElectricHeat_ER1_MF</v>
      </c>
      <c r="G1373" s="2404"/>
      <c r="H1373" s="2404"/>
      <c r="I1373" s="2404"/>
      <c r="J1373" s="1506" t="str">
        <f>$C$823</f>
        <v>354650_2024_12_</v>
      </c>
      <c r="K1373" s="1516">
        <v>37200</v>
      </c>
      <c r="L1373" s="888">
        <f t="shared" si="217"/>
        <v>3.1</v>
      </c>
      <c r="M1373" s="1504" t="s">
        <v>1018</v>
      </c>
      <c r="Q1373" s="192"/>
      <c r="R1373" s="243"/>
      <c r="T1373" s="50"/>
      <c r="U1373" s="50"/>
      <c r="V1373" s="2394"/>
      <c r="W1373" s="1268">
        <v>37200</v>
      </c>
      <c r="X1373" s="1268">
        <v>37200</v>
      </c>
      <c r="Y1373" s="1268">
        <v>37200</v>
      </c>
      <c r="Z1373" s="1268">
        <v>37200</v>
      </c>
      <c r="AA1373" s="1268">
        <v>37200</v>
      </c>
      <c r="AB1373" s="1268">
        <v>37200</v>
      </c>
      <c r="AC1373" s="752">
        <v>37200</v>
      </c>
      <c r="AD1373" s="752">
        <v>37200</v>
      </c>
      <c r="AE1373" s="909">
        <v>37200</v>
      </c>
      <c r="AF1373" s="253">
        <v>37200</v>
      </c>
      <c r="AG1373" s="253">
        <f t="shared" si="214"/>
        <v>37200</v>
      </c>
      <c r="DG1373" s="543"/>
      <c r="DH1373" s="149"/>
      <c r="DI1373" s="1020"/>
      <c r="DJ1373" s="2045"/>
    </row>
    <row r="1374" spans="1:114" outlineLevel="1" x14ac:dyDescent="0.25">
      <c r="A1374" s="2145"/>
      <c r="C1374" s="49"/>
      <c r="D1374" s="2394"/>
      <c r="E1374" s="2394"/>
      <c r="F1374" s="2404" t="str">
        <f>$E$825</f>
        <v>ASHP-SEER20-Replace_CAC_ElectricHeat_ER2_MF</v>
      </c>
      <c r="G1374" s="2404"/>
      <c r="H1374" s="2404"/>
      <c r="I1374" s="2404"/>
      <c r="J1374" s="1506" t="str">
        <f>$C$825</f>
        <v>354650_2024_12_</v>
      </c>
      <c r="K1374" s="1516">
        <v>37200</v>
      </c>
      <c r="L1374" s="888">
        <f t="shared" si="217"/>
        <v>3.1</v>
      </c>
      <c r="M1374" s="1504" t="s">
        <v>1018</v>
      </c>
      <c r="Q1374" s="192"/>
      <c r="R1374" s="243"/>
      <c r="T1374" s="50"/>
      <c r="U1374" s="50"/>
      <c r="V1374" s="2394"/>
      <c r="W1374" s="1268">
        <v>37200</v>
      </c>
      <c r="X1374" s="1268">
        <v>37200</v>
      </c>
      <c r="Y1374" s="1268">
        <v>37200</v>
      </c>
      <c r="Z1374" s="1268">
        <v>37200</v>
      </c>
      <c r="AA1374" s="1268">
        <v>37200</v>
      </c>
      <c r="AB1374" s="1268">
        <v>37200</v>
      </c>
      <c r="AC1374" s="752">
        <v>37200</v>
      </c>
      <c r="AD1374" s="752">
        <v>37200</v>
      </c>
      <c r="AE1374" s="909">
        <v>37200</v>
      </c>
      <c r="AF1374" s="253">
        <v>37200</v>
      </c>
      <c r="AG1374" s="253">
        <f t="shared" si="214"/>
        <v>37200</v>
      </c>
      <c r="DG1374" s="543"/>
      <c r="DH1374" s="149"/>
      <c r="DI1374" s="1020"/>
      <c r="DJ1374" s="2045"/>
    </row>
    <row r="1375" spans="1:114" outlineLevel="1" x14ac:dyDescent="0.25">
      <c r="A1375" s="2145"/>
      <c r="C1375" s="49"/>
      <c r="D1375" s="2394"/>
      <c r="E1375" s="2394"/>
      <c r="F1375" s="2404" t="str">
        <f>$E$827</f>
        <v>ASHP-SEER20_ER1_MF</v>
      </c>
      <c r="G1375" s="2404"/>
      <c r="H1375" s="2404"/>
      <c r="I1375" s="2404"/>
      <c r="J1375" s="1506" t="str">
        <f>$C$827</f>
        <v>354700_2024_12_</v>
      </c>
      <c r="K1375" s="1516">
        <v>39600</v>
      </c>
      <c r="L1375" s="888">
        <f t="shared" si="217"/>
        <v>3.3</v>
      </c>
      <c r="M1375" s="1504" t="s">
        <v>1018</v>
      </c>
      <c r="Q1375" s="192"/>
      <c r="R1375" s="243"/>
      <c r="T1375" s="50"/>
      <c r="U1375" s="50"/>
      <c r="V1375" s="2394"/>
      <c r="W1375" s="1268">
        <v>39600</v>
      </c>
      <c r="X1375" s="1268">
        <v>39600</v>
      </c>
      <c r="Y1375" s="1268">
        <v>39600</v>
      </c>
      <c r="Z1375" s="1268">
        <v>39600</v>
      </c>
      <c r="AA1375" s="1268">
        <v>39600</v>
      </c>
      <c r="AB1375" s="1268">
        <v>39600</v>
      </c>
      <c r="AC1375" s="752">
        <v>39600</v>
      </c>
      <c r="AD1375" s="752">
        <v>39600</v>
      </c>
      <c r="AE1375" s="909">
        <v>39600</v>
      </c>
      <c r="AF1375" s="253">
        <v>39600</v>
      </c>
      <c r="AG1375" s="253">
        <f t="shared" si="214"/>
        <v>39600</v>
      </c>
      <c r="DG1375" s="543"/>
      <c r="DH1375" s="149"/>
      <c r="DI1375" s="1020"/>
      <c r="DJ1375" s="2045"/>
    </row>
    <row r="1376" spans="1:114" outlineLevel="1" x14ac:dyDescent="0.25">
      <c r="A1376" s="2145"/>
      <c r="C1376" s="49"/>
      <c r="D1376" s="2394"/>
      <c r="E1376" s="2394"/>
      <c r="F1376" s="2404" t="str">
        <f>$E$829</f>
        <v>ASHP-SEER20_ER2_MF</v>
      </c>
      <c r="G1376" s="2404"/>
      <c r="H1376" s="2404"/>
      <c r="I1376" s="2404"/>
      <c r="J1376" s="1506" t="str">
        <f>$C$829</f>
        <v>354700_2024_12_</v>
      </c>
      <c r="K1376" s="1516">
        <v>39600</v>
      </c>
      <c r="L1376" s="888">
        <f t="shared" si="217"/>
        <v>3.3</v>
      </c>
      <c r="M1376" s="1504" t="s">
        <v>1018</v>
      </c>
      <c r="Q1376" s="192"/>
      <c r="R1376" s="243"/>
      <c r="T1376" s="50"/>
      <c r="U1376" s="50"/>
      <c r="V1376" s="2394"/>
      <c r="W1376" s="1268">
        <v>39600</v>
      </c>
      <c r="X1376" s="1268">
        <v>39600</v>
      </c>
      <c r="Y1376" s="1268">
        <v>39600</v>
      </c>
      <c r="Z1376" s="1268">
        <v>39600</v>
      </c>
      <c r="AA1376" s="1268">
        <v>39600</v>
      </c>
      <c r="AB1376" s="1268">
        <v>39600</v>
      </c>
      <c r="AC1376" s="752">
        <v>39600</v>
      </c>
      <c r="AD1376" s="752">
        <v>39600</v>
      </c>
      <c r="AE1376" s="909">
        <v>39600</v>
      </c>
      <c r="AF1376" s="253">
        <v>39600</v>
      </c>
      <c r="AG1376" s="253">
        <f t="shared" si="214"/>
        <v>39600</v>
      </c>
      <c r="DG1376" s="543"/>
      <c r="DH1376" s="149"/>
      <c r="DI1376" s="1020"/>
      <c r="DJ1376" s="2045"/>
    </row>
    <row r="1377" spans="1:114" outlineLevel="1" x14ac:dyDescent="0.25">
      <c r="A1377" s="2145"/>
      <c r="C1377" s="49"/>
      <c r="D1377" s="2394"/>
      <c r="E1377" s="2394"/>
      <c r="F1377" s="2404" t="str">
        <f>$E$831</f>
        <v>ASHP-SEER21_ER1_SF</v>
      </c>
      <c r="G1377" s="2404"/>
      <c r="H1377" s="2404"/>
      <c r="I1377" s="2404"/>
      <c r="J1377" s="1506" t="str">
        <f>$C$831</f>
        <v>354750_2024_12_</v>
      </c>
      <c r="K1377" s="1515">
        <v>39084.507042253521</v>
      </c>
      <c r="L1377" s="888">
        <f t="shared" si="217"/>
        <v>3.2570422535211265</v>
      </c>
      <c r="M1377" s="1518" t="s">
        <v>930</v>
      </c>
      <c r="Q1377" s="192"/>
      <c r="R1377" s="243"/>
      <c r="T1377" s="50"/>
      <c r="U1377" s="50"/>
      <c r="V1377" s="2394"/>
      <c r="W1377" s="1268">
        <v>39600</v>
      </c>
      <c r="X1377" s="1268">
        <v>39600</v>
      </c>
      <c r="Y1377" s="1268">
        <v>39600</v>
      </c>
      <c r="Z1377" s="1268">
        <v>39600</v>
      </c>
      <c r="AA1377" s="1268">
        <v>39600</v>
      </c>
      <c r="AB1377" s="1268">
        <v>39600</v>
      </c>
      <c r="AC1377" s="775">
        <v>40615.384615384617</v>
      </c>
      <c r="AD1377" s="775">
        <v>40343.181818181816</v>
      </c>
      <c r="AE1377" s="908">
        <v>40812.765957446805</v>
      </c>
      <c r="AF1377" s="253">
        <v>39084.507042253521</v>
      </c>
      <c r="AG1377" s="253">
        <f t="shared" si="214"/>
        <v>39084.507042253521</v>
      </c>
      <c r="DG1377" s="543"/>
      <c r="DH1377" s="149"/>
      <c r="DI1377" s="1020"/>
      <c r="DJ1377" s="2045"/>
    </row>
    <row r="1378" spans="1:114" outlineLevel="1" x14ac:dyDescent="0.25">
      <c r="A1378" s="2145"/>
      <c r="C1378" s="49"/>
      <c r="D1378" s="2394"/>
      <c r="E1378" s="2394"/>
      <c r="F1378" s="2404" t="str">
        <f>$E$833</f>
        <v>ASHP-SEER21_ER2_SF</v>
      </c>
      <c r="G1378" s="2404"/>
      <c r="H1378" s="2404"/>
      <c r="I1378" s="2404"/>
      <c r="J1378" s="1506" t="str">
        <f>$C$833</f>
        <v>354750_2024_12_</v>
      </c>
      <c r="K1378" s="1515">
        <v>39084.507042253521</v>
      </c>
      <c r="L1378" s="888">
        <f t="shared" si="217"/>
        <v>3.2570422535211265</v>
      </c>
      <c r="M1378" s="1518" t="s">
        <v>930</v>
      </c>
      <c r="Q1378" s="192"/>
      <c r="R1378" s="243"/>
      <c r="T1378" s="50"/>
      <c r="U1378" s="50"/>
      <c r="V1378" s="2394"/>
      <c r="W1378" s="1268">
        <v>39600</v>
      </c>
      <c r="X1378" s="1268">
        <v>39600</v>
      </c>
      <c r="Y1378" s="1268">
        <v>39600</v>
      </c>
      <c r="Z1378" s="1268">
        <v>39600</v>
      </c>
      <c r="AA1378" s="1268">
        <v>39600</v>
      </c>
      <c r="AB1378" s="1268">
        <v>39600</v>
      </c>
      <c r="AC1378" s="775">
        <f>AC1377</f>
        <v>40615.384615384617</v>
      </c>
      <c r="AD1378" s="775">
        <v>40343.181818181816</v>
      </c>
      <c r="AE1378" s="908">
        <v>40812.765957446805</v>
      </c>
      <c r="AF1378" s="253">
        <v>39084.507042253521</v>
      </c>
      <c r="AG1378" s="253">
        <f t="shared" si="214"/>
        <v>39084.507042253521</v>
      </c>
      <c r="DG1378" s="543"/>
      <c r="DH1378" s="149"/>
      <c r="DI1378" s="1020"/>
      <c r="DJ1378" s="2045"/>
    </row>
    <row r="1379" spans="1:114" outlineLevel="1" x14ac:dyDescent="0.25">
      <c r="A1379" s="2145"/>
      <c r="C1379" s="49"/>
      <c r="D1379" s="2394"/>
      <c r="E1379" s="2394"/>
      <c r="F1379" s="2404" t="str">
        <f>$E$835</f>
        <v>ASHP-SEER21_ROF_SF</v>
      </c>
      <c r="G1379" s="2404"/>
      <c r="H1379" s="2404"/>
      <c r="I1379" s="2404"/>
      <c r="J1379" s="1506" t="str">
        <f>$C$835</f>
        <v>354800_2024_12_</v>
      </c>
      <c r="K1379" s="1515">
        <v>39473.684210526313</v>
      </c>
      <c r="L1379" s="888">
        <f t="shared" si="217"/>
        <v>3.2894736842105261</v>
      </c>
      <c r="M1379" s="1518" t="s">
        <v>930</v>
      </c>
      <c r="Q1379" s="192"/>
      <c r="R1379" s="243"/>
      <c r="T1379" s="50"/>
      <c r="U1379" s="50"/>
      <c r="V1379" s="2394"/>
      <c r="W1379" s="1268">
        <v>39600</v>
      </c>
      <c r="X1379" s="1268">
        <v>39600</v>
      </c>
      <c r="Y1379" s="1268">
        <v>39600</v>
      </c>
      <c r="Z1379" s="1268">
        <v>39600</v>
      </c>
      <c r="AA1379" s="1268">
        <v>39600</v>
      </c>
      <c r="AB1379" s="1268">
        <v>39600</v>
      </c>
      <c r="AC1379" s="775">
        <v>46500</v>
      </c>
      <c r="AD1379" s="775">
        <v>42375</v>
      </c>
      <c r="AE1379" s="908">
        <v>45272.727272727272</v>
      </c>
      <c r="AF1379" s="253">
        <v>39473.684210526313</v>
      </c>
      <c r="AG1379" s="253">
        <f t="shared" si="214"/>
        <v>39473.684210526313</v>
      </c>
      <c r="DG1379" s="543"/>
      <c r="DH1379" s="149"/>
      <c r="DI1379" s="1020"/>
      <c r="DJ1379" s="2045"/>
    </row>
    <row r="1380" spans="1:114" outlineLevel="1" x14ac:dyDescent="0.25">
      <c r="A1380" s="2145"/>
      <c r="C1380" s="49"/>
      <c r="D1380" s="2394"/>
      <c r="E1380" s="2394"/>
      <c r="F1380" s="2404" t="str">
        <f>$E$837</f>
        <v>ASHP-SEER21-Replace_CAC_ElectricHeat_ROF_MF</v>
      </c>
      <c r="G1380" s="2404"/>
      <c r="H1380" s="2404"/>
      <c r="I1380" s="2404"/>
      <c r="J1380" s="1506" t="str">
        <f>$C$837</f>
        <v>354850_2024_12_</v>
      </c>
      <c r="K1380" s="1516">
        <v>33600</v>
      </c>
      <c r="L1380" s="888">
        <f t="shared" si="217"/>
        <v>2.8</v>
      </c>
      <c r="M1380" s="1504" t="s">
        <v>1018</v>
      </c>
      <c r="Q1380" s="192"/>
      <c r="R1380" s="243"/>
      <c r="T1380" s="50"/>
      <c r="U1380" s="50"/>
      <c r="V1380" s="2394"/>
      <c r="W1380" s="1268">
        <v>33600</v>
      </c>
      <c r="X1380" s="1268">
        <v>33600</v>
      </c>
      <c r="Y1380" s="1268">
        <v>33600</v>
      </c>
      <c r="Z1380" s="1268">
        <v>33600</v>
      </c>
      <c r="AA1380" s="1268">
        <v>33600</v>
      </c>
      <c r="AB1380" s="1268">
        <v>33600</v>
      </c>
      <c r="AC1380" s="752">
        <v>33600</v>
      </c>
      <c r="AD1380" s="752">
        <v>33600</v>
      </c>
      <c r="AE1380" s="909">
        <v>33600</v>
      </c>
      <c r="AF1380" s="253">
        <v>33600</v>
      </c>
      <c r="AG1380" s="253">
        <f t="shared" si="214"/>
        <v>33600</v>
      </c>
      <c r="DG1380" s="543"/>
      <c r="DH1380" s="149"/>
      <c r="DI1380" s="1020"/>
      <c r="DJ1380" s="2045"/>
    </row>
    <row r="1381" spans="1:114" outlineLevel="1" x14ac:dyDescent="0.25">
      <c r="A1381" s="2145"/>
      <c r="C1381" s="49"/>
      <c r="D1381" s="2394"/>
      <c r="E1381" s="2394"/>
      <c r="F1381" s="2404" t="str">
        <f>$E$839</f>
        <v>ASHP-SEER21_ER1_MF</v>
      </c>
      <c r="G1381" s="2404"/>
      <c r="H1381" s="2404"/>
      <c r="I1381" s="2404"/>
      <c r="J1381" s="1506" t="str">
        <f>$C$839</f>
        <v>354900_2024_12_</v>
      </c>
      <c r="K1381" s="1516">
        <v>39600</v>
      </c>
      <c r="L1381" s="888">
        <f t="shared" ref="L1381:L1387" si="219">K1381/12000</f>
        <v>3.3</v>
      </c>
      <c r="M1381" s="1504" t="s">
        <v>1018</v>
      </c>
      <c r="Q1381" s="192"/>
      <c r="R1381" s="243"/>
      <c r="T1381" s="50"/>
      <c r="U1381" s="50"/>
      <c r="V1381" s="2394"/>
      <c r="W1381" s="1268">
        <v>39600</v>
      </c>
      <c r="X1381" s="1268">
        <v>39600</v>
      </c>
      <c r="Y1381" s="1268">
        <v>39600</v>
      </c>
      <c r="Z1381" s="1268">
        <v>39600</v>
      </c>
      <c r="AA1381" s="1268">
        <v>39600</v>
      </c>
      <c r="AB1381" s="1268">
        <v>39600</v>
      </c>
      <c r="AC1381" s="752">
        <v>39600</v>
      </c>
      <c r="AD1381" s="752">
        <v>39600</v>
      </c>
      <c r="AE1381" s="909">
        <v>39600</v>
      </c>
      <c r="AF1381" s="253">
        <v>39600</v>
      </c>
      <c r="AG1381" s="253">
        <f t="shared" si="214"/>
        <v>39600</v>
      </c>
      <c r="DG1381" s="543"/>
      <c r="DH1381" s="149"/>
      <c r="DI1381" s="1020"/>
      <c r="DJ1381" s="2045"/>
    </row>
    <row r="1382" spans="1:114" outlineLevel="1" x14ac:dyDescent="0.25">
      <c r="A1382" s="2145"/>
      <c r="C1382" s="49"/>
      <c r="D1382" s="2394"/>
      <c r="E1382" s="2394"/>
      <c r="F1382" s="2404" t="str">
        <f>$E$841</f>
        <v>ASHP-SEER21_ER2_MF</v>
      </c>
      <c r="G1382" s="2404"/>
      <c r="H1382" s="2404"/>
      <c r="I1382" s="2404"/>
      <c r="J1382" s="1506" t="str">
        <f>$C$841</f>
        <v>354900_2024_12_</v>
      </c>
      <c r="K1382" s="1516">
        <v>39600</v>
      </c>
      <c r="L1382" s="888">
        <f t="shared" si="219"/>
        <v>3.3</v>
      </c>
      <c r="M1382" s="1504" t="s">
        <v>1018</v>
      </c>
      <c r="Q1382" s="192"/>
      <c r="R1382" s="243"/>
      <c r="T1382" s="50"/>
      <c r="U1382" s="50"/>
      <c r="V1382" s="2394"/>
      <c r="W1382" s="1268">
        <v>39600</v>
      </c>
      <c r="X1382" s="1268">
        <v>39600</v>
      </c>
      <c r="Y1382" s="1268">
        <v>39600</v>
      </c>
      <c r="Z1382" s="1268">
        <v>39600</v>
      </c>
      <c r="AA1382" s="1268">
        <v>39600</v>
      </c>
      <c r="AB1382" s="1268">
        <v>39600</v>
      </c>
      <c r="AC1382" s="752">
        <v>39600</v>
      </c>
      <c r="AD1382" s="752">
        <v>39600</v>
      </c>
      <c r="AE1382" s="909">
        <v>39600</v>
      </c>
      <c r="AF1382" s="253">
        <v>39600</v>
      </c>
      <c r="AG1382" s="253">
        <f t="shared" si="214"/>
        <v>39600</v>
      </c>
      <c r="DG1382" s="543"/>
      <c r="DH1382" s="149"/>
      <c r="DI1382" s="1020"/>
      <c r="DJ1382" s="2045"/>
    </row>
    <row r="1383" spans="1:114" outlineLevel="1" x14ac:dyDescent="0.25">
      <c r="A1383" s="2145"/>
      <c r="C1383" s="49"/>
      <c r="D1383" s="2394"/>
      <c r="E1383" s="2394"/>
      <c r="F1383" s="2404" t="str">
        <f>$E$843</f>
        <v>ASHP-SEER17_ROF_MF</v>
      </c>
      <c r="G1383" s="2404"/>
      <c r="H1383" s="2404"/>
      <c r="I1383" s="2404"/>
      <c r="J1383" s="962" t="str">
        <f>$C$843</f>
        <v>354950_2024_12_</v>
      </c>
      <c r="K1383" s="1516">
        <v>39600</v>
      </c>
      <c r="L1383" s="888">
        <f t="shared" si="219"/>
        <v>3.3</v>
      </c>
      <c r="M1383" s="1504" t="s">
        <v>1287</v>
      </c>
      <c r="P1383" s="243"/>
      <c r="Q1383" s="192"/>
      <c r="R1383" s="243"/>
      <c r="T1383" s="166"/>
      <c r="U1383" s="50"/>
      <c r="V1383" s="2394"/>
      <c r="W1383" s="1268">
        <v>39600</v>
      </c>
      <c r="X1383" s="1268">
        <v>39600</v>
      </c>
      <c r="Y1383" s="1268">
        <v>39600</v>
      </c>
      <c r="Z1383" s="1268">
        <v>39600</v>
      </c>
      <c r="AA1383" s="1268">
        <v>39600</v>
      </c>
      <c r="AB1383" s="1268">
        <v>39600</v>
      </c>
      <c r="AC1383" s="752">
        <v>39600</v>
      </c>
      <c r="AD1383" s="752">
        <v>39600</v>
      </c>
      <c r="AE1383" s="909">
        <v>39600</v>
      </c>
      <c r="AF1383" s="253">
        <v>39600</v>
      </c>
      <c r="AG1383" s="253">
        <f t="shared" si="214"/>
        <v>39600</v>
      </c>
      <c r="DG1383" s="543"/>
      <c r="DH1383" s="149"/>
      <c r="DI1383" s="1020"/>
      <c r="DJ1383" s="2045"/>
    </row>
    <row r="1384" spans="1:114" outlineLevel="1" x14ac:dyDescent="0.25">
      <c r="A1384" s="2145"/>
      <c r="C1384" s="49"/>
      <c r="D1384" s="2394"/>
      <c r="E1384" s="2394"/>
      <c r="F1384" s="2404" t="str">
        <f>$E$845</f>
        <v>ASHP-SEER18_ROF_MF</v>
      </c>
      <c r="G1384" s="2404"/>
      <c r="H1384" s="2404"/>
      <c r="I1384" s="2404"/>
      <c r="J1384" s="962" t="str">
        <f>$C$845</f>
        <v>355000_2024_12_</v>
      </c>
      <c r="K1384" s="1516">
        <v>39600</v>
      </c>
      <c r="L1384" s="888">
        <f t="shared" si="219"/>
        <v>3.3</v>
      </c>
      <c r="M1384" s="1504" t="s">
        <v>1287</v>
      </c>
      <c r="P1384" s="243"/>
      <c r="Q1384" s="192"/>
      <c r="R1384" s="243"/>
      <c r="T1384" s="166"/>
      <c r="U1384" s="50"/>
      <c r="V1384" s="2394"/>
      <c r="W1384" s="1268">
        <v>39600</v>
      </c>
      <c r="X1384" s="1268">
        <v>39600</v>
      </c>
      <c r="Y1384" s="1268">
        <v>39600</v>
      </c>
      <c r="Z1384" s="1268">
        <v>39600</v>
      </c>
      <c r="AA1384" s="1268">
        <v>39600</v>
      </c>
      <c r="AB1384" s="1268">
        <v>39600</v>
      </c>
      <c r="AC1384" s="752">
        <v>39600</v>
      </c>
      <c r="AD1384" s="752">
        <v>39600</v>
      </c>
      <c r="AE1384" s="909">
        <v>39600</v>
      </c>
      <c r="AF1384" s="253">
        <v>39600</v>
      </c>
      <c r="AG1384" s="253">
        <f t="shared" si="214"/>
        <v>39600</v>
      </c>
      <c r="DG1384" s="543"/>
      <c r="DH1384" s="149"/>
      <c r="DI1384" s="1020"/>
      <c r="DJ1384" s="2045"/>
    </row>
    <row r="1385" spans="1:114" outlineLevel="1" x14ac:dyDescent="0.25">
      <c r="A1385" s="2145"/>
      <c r="C1385" s="49"/>
      <c r="D1385" s="2394"/>
      <c r="E1385" s="2394"/>
      <c r="F1385" s="2404" t="str">
        <f>$E$847</f>
        <v>ASHP-SEER19_ROF_MF</v>
      </c>
      <c r="G1385" s="2404"/>
      <c r="H1385" s="2404"/>
      <c r="I1385" s="2404"/>
      <c r="J1385" s="962" t="str">
        <f>$C$847</f>
        <v>355050_2024_12_</v>
      </c>
      <c r="K1385" s="1516">
        <v>39600</v>
      </c>
      <c r="L1385" s="888">
        <f t="shared" si="219"/>
        <v>3.3</v>
      </c>
      <c r="M1385" s="1504" t="s">
        <v>1287</v>
      </c>
      <c r="Q1385" s="192"/>
      <c r="R1385" s="243"/>
      <c r="T1385" s="50"/>
      <c r="U1385" s="50"/>
      <c r="V1385" s="2394"/>
      <c r="W1385" s="1268">
        <v>39600</v>
      </c>
      <c r="X1385" s="1268">
        <v>39600</v>
      </c>
      <c r="Y1385" s="1268">
        <v>39600</v>
      </c>
      <c r="Z1385" s="1268">
        <v>39600</v>
      </c>
      <c r="AA1385" s="1268">
        <v>39600</v>
      </c>
      <c r="AB1385" s="1268">
        <v>39600</v>
      </c>
      <c r="AC1385" s="752">
        <v>39600</v>
      </c>
      <c r="AD1385" s="752">
        <v>39600</v>
      </c>
      <c r="AE1385" s="909">
        <v>39600</v>
      </c>
      <c r="AF1385" s="253">
        <v>39600</v>
      </c>
      <c r="AG1385" s="253">
        <f t="shared" si="214"/>
        <v>39600</v>
      </c>
      <c r="DG1385" s="543"/>
      <c r="DH1385" s="149"/>
      <c r="DI1385" s="1020"/>
      <c r="DJ1385" s="2045"/>
    </row>
    <row r="1386" spans="1:114" outlineLevel="1" x14ac:dyDescent="0.25">
      <c r="A1386" s="2145"/>
      <c r="C1386" s="49"/>
      <c r="D1386" s="2394"/>
      <c r="E1386" s="2394"/>
      <c r="F1386" s="2404" t="str">
        <f>$E$849</f>
        <v>ASHP-SEER20_ROF_MF</v>
      </c>
      <c r="G1386" s="2404"/>
      <c r="H1386" s="2404"/>
      <c r="I1386" s="2404"/>
      <c r="J1386" s="962" t="str">
        <f>$C$849</f>
        <v>355100_2024_12_</v>
      </c>
      <c r="K1386" s="1516">
        <v>39600</v>
      </c>
      <c r="L1386" s="888">
        <f t="shared" si="219"/>
        <v>3.3</v>
      </c>
      <c r="M1386" s="1504" t="s">
        <v>1287</v>
      </c>
      <c r="Q1386" s="192"/>
      <c r="R1386" s="243"/>
      <c r="T1386" s="50"/>
      <c r="U1386" s="50"/>
      <c r="V1386" s="2394"/>
      <c r="W1386" s="1268">
        <v>39600</v>
      </c>
      <c r="X1386" s="1268">
        <v>39600</v>
      </c>
      <c r="Y1386" s="1268">
        <v>39600</v>
      </c>
      <c r="Z1386" s="1268">
        <v>39600</v>
      </c>
      <c r="AA1386" s="1268">
        <v>39600</v>
      </c>
      <c r="AB1386" s="1268">
        <v>39600</v>
      </c>
      <c r="AC1386" s="752">
        <v>39600</v>
      </c>
      <c r="AD1386" s="752">
        <v>39600</v>
      </c>
      <c r="AE1386" s="909">
        <v>39600</v>
      </c>
      <c r="AF1386" s="253">
        <v>39600</v>
      </c>
      <c r="AG1386" s="253">
        <f t="shared" si="214"/>
        <v>39600</v>
      </c>
      <c r="DG1386" s="543"/>
      <c r="DH1386" s="149"/>
      <c r="DI1386" s="1020"/>
      <c r="DJ1386" s="2045"/>
    </row>
    <row r="1387" spans="1:114" ht="15.75" customHeight="1" outlineLevel="1" x14ac:dyDescent="0.25">
      <c r="A1387" s="2145"/>
      <c r="C1387" s="49"/>
      <c r="D1387" s="2395"/>
      <c r="E1387" s="2395"/>
      <c r="F1387" s="2404" t="str">
        <f>$E$851</f>
        <v>ASHP-SEER21_ROF_MF</v>
      </c>
      <c r="G1387" s="2404"/>
      <c r="H1387" s="2404"/>
      <c r="I1387" s="2404"/>
      <c r="J1387" s="962" t="str">
        <f>$C$851</f>
        <v>355150_2024_12_</v>
      </c>
      <c r="K1387" s="1516">
        <v>39600</v>
      </c>
      <c r="L1387" s="888">
        <f t="shared" si="219"/>
        <v>3.3</v>
      </c>
      <c r="M1387" s="1504" t="s">
        <v>1287</v>
      </c>
      <c r="P1387" s="243"/>
      <c r="Q1387" s="192"/>
      <c r="R1387" s="243"/>
      <c r="T1387" s="166"/>
      <c r="U1387" s="50"/>
      <c r="V1387" s="2395"/>
      <c r="W1387" s="1268">
        <v>39600</v>
      </c>
      <c r="X1387" s="1268">
        <v>39600</v>
      </c>
      <c r="Y1387" s="1268">
        <v>39600</v>
      </c>
      <c r="Z1387" s="1268">
        <v>39600</v>
      </c>
      <c r="AA1387" s="1268">
        <v>39600</v>
      </c>
      <c r="AB1387" s="1268">
        <v>39600</v>
      </c>
      <c r="AC1387" s="752">
        <v>39600</v>
      </c>
      <c r="AD1387" s="752">
        <v>39600</v>
      </c>
      <c r="AE1387" s="909">
        <v>39600</v>
      </c>
      <c r="AF1387" s="253">
        <v>39600</v>
      </c>
      <c r="AG1387" s="253">
        <f t="shared" si="214"/>
        <v>39600</v>
      </c>
      <c r="DG1387" s="543"/>
      <c r="DH1387" s="149"/>
      <c r="DI1387" s="1020"/>
      <c r="DJ1387" s="2045"/>
    </row>
    <row r="1388" spans="1:114" ht="15" customHeight="1" outlineLevel="1" x14ac:dyDescent="0.25">
      <c r="A1388" s="2145"/>
      <c r="C1388" s="49"/>
      <c r="D1388" s="2393" t="s">
        <v>1066</v>
      </c>
      <c r="E1388" s="2393" t="s">
        <v>1067</v>
      </c>
      <c r="F1388" s="2404" t="str">
        <f>$E$647</f>
        <v>ASHP-SEER15-Replace_CAC_ElectricHeat_ER1_SF</v>
      </c>
      <c r="G1388" s="2404"/>
      <c r="H1388" s="2404"/>
      <c r="I1388" s="2404"/>
      <c r="J1388" s="962" t="str">
        <f>$C$647</f>
        <v>352300_2024_12_</v>
      </c>
      <c r="K1388" s="1534">
        <v>869</v>
      </c>
      <c r="L1388" s="12"/>
      <c r="M1388" s="1240" t="s">
        <v>1299</v>
      </c>
      <c r="P1388" s="243"/>
      <c r="Q1388" s="192"/>
      <c r="R1388" s="243"/>
      <c r="T1388" s="166"/>
      <c r="U1388" s="50"/>
      <c r="V1388" s="2393" t="s">
        <v>1066</v>
      </c>
      <c r="W1388" s="1268">
        <v>869</v>
      </c>
      <c r="X1388" s="1268">
        <v>869</v>
      </c>
      <c r="Y1388" s="1268">
        <v>869</v>
      </c>
      <c r="Z1388" s="1268">
        <v>869</v>
      </c>
      <c r="AA1388" s="1268">
        <v>869</v>
      </c>
      <c r="AB1388" s="1268">
        <v>869</v>
      </c>
      <c r="AC1388" s="1268">
        <v>869</v>
      </c>
      <c r="AD1388" s="1268">
        <v>869</v>
      </c>
      <c r="AE1388" s="1268">
        <v>869</v>
      </c>
      <c r="AF1388" s="253">
        <v>869</v>
      </c>
      <c r="AG1388" s="253">
        <f t="shared" ref="AG1388:AG1462" si="220">IF(K1388&lt;&gt;"",K1388,"")</f>
        <v>869</v>
      </c>
      <c r="DG1388" s="543"/>
      <c r="DH1388" s="149"/>
      <c r="DI1388" s="1020"/>
      <c r="DJ1388" s="2045"/>
    </row>
    <row r="1389" spans="1:114" ht="15" customHeight="1" outlineLevel="1" x14ac:dyDescent="0.25">
      <c r="A1389" s="2145"/>
      <c r="C1389" s="49"/>
      <c r="D1389" s="2394"/>
      <c r="E1389" s="2394"/>
      <c r="F1389" s="2404" t="str">
        <f>$E$649</f>
        <v>ASHP-SEER15-Replace_CAC_ElectricHeat_ER2_SF</v>
      </c>
      <c r="G1389" s="2404"/>
      <c r="H1389" s="2404"/>
      <c r="I1389" s="2404"/>
      <c r="J1389" s="962" t="str">
        <f>$C$649</f>
        <v>352300_2024_12_</v>
      </c>
      <c r="K1389" s="1534">
        <v>869</v>
      </c>
      <c r="L1389" s="12"/>
      <c r="M1389" s="1240" t="s">
        <v>1299</v>
      </c>
      <c r="P1389" s="243"/>
      <c r="Q1389" s="192"/>
      <c r="R1389" s="243"/>
      <c r="T1389" s="166"/>
      <c r="U1389" s="50"/>
      <c r="V1389" s="2394"/>
      <c r="W1389" s="1268">
        <v>869</v>
      </c>
      <c r="X1389" s="1268">
        <v>869</v>
      </c>
      <c r="Y1389" s="1268">
        <v>869</v>
      </c>
      <c r="Z1389" s="1268">
        <v>869</v>
      </c>
      <c r="AA1389" s="1268">
        <v>869</v>
      </c>
      <c r="AB1389" s="1268">
        <v>869</v>
      </c>
      <c r="AC1389" s="1268">
        <v>869</v>
      </c>
      <c r="AD1389" s="1268">
        <v>869</v>
      </c>
      <c r="AE1389" s="1268">
        <v>869</v>
      </c>
      <c r="AF1389" s="253">
        <v>869</v>
      </c>
      <c r="AG1389" s="253">
        <f t="shared" si="220"/>
        <v>869</v>
      </c>
      <c r="DG1389" s="543"/>
      <c r="DH1389" s="149"/>
      <c r="DI1389" s="1020"/>
      <c r="DJ1389" s="2045"/>
    </row>
    <row r="1390" spans="1:114" ht="15" customHeight="1" outlineLevel="1" x14ac:dyDescent="0.25">
      <c r="A1390" s="2145"/>
      <c r="C1390" s="49"/>
      <c r="D1390" s="2394"/>
      <c r="E1390" s="2394"/>
      <c r="F1390" s="2404" t="str">
        <f>$E$651</f>
        <v>ASHP-SEER15-Replace_CAC_NonElectricHeat_ER1_SF</v>
      </c>
      <c r="G1390" s="2404"/>
      <c r="H1390" s="2404"/>
      <c r="I1390" s="2404"/>
      <c r="J1390" s="962" t="str">
        <f>$C$651</f>
        <v>352310_2024_12_</v>
      </c>
      <c r="K1390" s="1534">
        <v>869</v>
      </c>
      <c r="L1390" s="12"/>
      <c r="M1390" s="1240" t="s">
        <v>1299</v>
      </c>
      <c r="P1390" s="243"/>
      <c r="Q1390" s="192"/>
      <c r="R1390" s="243"/>
      <c r="T1390" s="166"/>
      <c r="U1390" s="50"/>
      <c r="V1390" s="2394"/>
      <c r="W1390" s="1268"/>
      <c r="X1390" s="1268"/>
      <c r="Y1390" s="1268"/>
      <c r="Z1390" s="1268"/>
      <c r="AA1390" s="1268"/>
      <c r="AB1390" s="1268"/>
      <c r="AC1390" s="779">
        <v>869</v>
      </c>
      <c r="AD1390" s="1268">
        <v>869</v>
      </c>
      <c r="AE1390" s="1268">
        <v>869</v>
      </c>
      <c r="AF1390" s="253">
        <v>869</v>
      </c>
      <c r="AG1390" s="253">
        <f t="shared" si="220"/>
        <v>869</v>
      </c>
      <c r="DG1390" s="543"/>
      <c r="DH1390" s="149"/>
      <c r="DI1390" s="1020"/>
      <c r="DJ1390" s="2045"/>
    </row>
    <row r="1391" spans="1:114" ht="15" customHeight="1" outlineLevel="1" x14ac:dyDescent="0.25">
      <c r="A1391" s="2145"/>
      <c r="C1391" s="49"/>
      <c r="D1391" s="2394"/>
      <c r="E1391" s="2394"/>
      <c r="F1391" s="2404" t="str">
        <f>$E$653</f>
        <v>ASHP-SEER15-Replace_CAC_NonElectricHeat_ER2_SF</v>
      </c>
      <c r="G1391" s="2404"/>
      <c r="H1391" s="2404"/>
      <c r="I1391" s="2404"/>
      <c r="J1391" s="962" t="str">
        <f>$C$653</f>
        <v>352310_2024_12_</v>
      </c>
      <c r="K1391" s="1534">
        <v>869</v>
      </c>
      <c r="L1391" s="12"/>
      <c r="M1391" s="1240" t="s">
        <v>1299</v>
      </c>
      <c r="P1391" s="243"/>
      <c r="Q1391" s="192"/>
      <c r="R1391" s="243"/>
      <c r="T1391" s="166"/>
      <c r="U1391" s="50"/>
      <c r="V1391" s="2394"/>
      <c r="W1391" s="1268"/>
      <c r="X1391" s="1268"/>
      <c r="Y1391" s="1268"/>
      <c r="Z1391" s="1268"/>
      <c r="AA1391" s="1268"/>
      <c r="AB1391" s="1268"/>
      <c r="AC1391" s="779">
        <v>869</v>
      </c>
      <c r="AD1391" s="1268">
        <v>869</v>
      </c>
      <c r="AE1391" s="1268">
        <v>869</v>
      </c>
      <c r="AF1391" s="253">
        <v>869</v>
      </c>
      <c r="AG1391" s="253">
        <f t="shared" si="220"/>
        <v>869</v>
      </c>
      <c r="DG1391" s="543"/>
      <c r="DH1391" s="149"/>
      <c r="DI1391" s="1020"/>
      <c r="DJ1391" s="2045"/>
    </row>
    <row r="1392" spans="1:114" ht="15" customHeight="1" outlineLevel="1" x14ac:dyDescent="0.25">
      <c r="A1392" s="2145"/>
      <c r="C1392" s="49"/>
      <c r="D1392" s="2394"/>
      <c r="E1392" s="2394"/>
      <c r="F1392" s="2404" t="str">
        <f>$E$655</f>
        <v>ASHP-SEER15_ER1_SF</v>
      </c>
      <c r="G1392" s="2404"/>
      <c r="H1392" s="2404"/>
      <c r="I1392" s="2404"/>
      <c r="J1392" s="962" t="str">
        <f>$C$655</f>
        <v>352350_2024_12_</v>
      </c>
      <c r="K1392" s="1534">
        <v>869</v>
      </c>
      <c r="L1392" s="12"/>
      <c r="M1392" s="1240" t="s">
        <v>1299</v>
      </c>
      <c r="P1392" s="243"/>
      <c r="Q1392" s="192"/>
      <c r="R1392" s="243"/>
      <c r="T1392" s="166"/>
      <c r="U1392" s="50"/>
      <c r="V1392" s="2394"/>
      <c r="W1392" s="1268">
        <v>869</v>
      </c>
      <c r="X1392" s="1268">
        <v>869</v>
      </c>
      <c r="Y1392" s="1268">
        <v>869</v>
      </c>
      <c r="Z1392" s="1268">
        <v>869</v>
      </c>
      <c r="AA1392" s="1268">
        <v>869</v>
      </c>
      <c r="AB1392" s="1268">
        <v>869</v>
      </c>
      <c r="AC1392" s="1268">
        <v>869</v>
      </c>
      <c r="AD1392" s="1268">
        <v>869</v>
      </c>
      <c r="AE1392" s="1268">
        <v>869</v>
      </c>
      <c r="AF1392" s="253">
        <v>869</v>
      </c>
      <c r="AG1392" s="253">
        <f t="shared" si="220"/>
        <v>869</v>
      </c>
      <c r="DG1392" s="543"/>
      <c r="DH1392" s="149"/>
      <c r="DI1392" s="1020"/>
      <c r="DJ1392" s="2045"/>
    </row>
    <row r="1393" spans="1:114" ht="15" customHeight="1" outlineLevel="1" x14ac:dyDescent="0.25">
      <c r="A1393" s="2145"/>
      <c r="C1393" s="49"/>
      <c r="D1393" s="2394"/>
      <c r="E1393" s="2394"/>
      <c r="F1393" s="2404" t="str">
        <f>$E$657</f>
        <v>ASHP-SEER15_ER2_SF</v>
      </c>
      <c r="G1393" s="2404"/>
      <c r="H1393" s="2404"/>
      <c r="I1393" s="2404"/>
      <c r="J1393" s="1506" t="str">
        <f>$C$657</f>
        <v>352350_2024_12_</v>
      </c>
      <c r="K1393" s="1534">
        <v>869</v>
      </c>
      <c r="L1393" s="12"/>
      <c r="M1393" s="1240" t="s">
        <v>1299</v>
      </c>
      <c r="P1393" s="243"/>
      <c r="Q1393" s="192"/>
      <c r="R1393" s="243"/>
      <c r="T1393" s="166"/>
      <c r="U1393" s="50"/>
      <c r="V1393" s="2394"/>
      <c r="W1393" s="1268">
        <v>869</v>
      </c>
      <c r="X1393" s="1268">
        <v>869</v>
      </c>
      <c r="Y1393" s="1268">
        <v>869</v>
      </c>
      <c r="Z1393" s="1268">
        <v>869</v>
      </c>
      <c r="AA1393" s="1268">
        <v>869</v>
      </c>
      <c r="AB1393" s="1268">
        <v>869</v>
      </c>
      <c r="AC1393" s="1268">
        <v>869</v>
      </c>
      <c r="AD1393" s="1268">
        <v>869</v>
      </c>
      <c r="AE1393" s="1268">
        <v>869</v>
      </c>
      <c r="AF1393" s="253">
        <v>869</v>
      </c>
      <c r="AG1393" s="253">
        <f t="shared" si="220"/>
        <v>869</v>
      </c>
      <c r="DG1393" s="543"/>
      <c r="DH1393" s="149"/>
      <c r="DI1393" s="1020"/>
      <c r="DJ1393" s="2045"/>
    </row>
    <row r="1394" spans="1:114" ht="15" customHeight="1" outlineLevel="1" x14ac:dyDescent="0.25">
      <c r="A1394" s="2145"/>
      <c r="C1394" s="49"/>
      <c r="D1394" s="2394"/>
      <c r="E1394" s="2394"/>
      <c r="F1394" s="2404" t="str">
        <f>$E$659</f>
        <v>ASHP-SEER15-Replace_CAC_ElectricHeat_ROF_SF</v>
      </c>
      <c r="G1394" s="2404"/>
      <c r="H1394" s="2404"/>
      <c r="I1394" s="2404"/>
      <c r="J1394" s="1506" t="str">
        <f>$C$659</f>
        <v>352400_2024_12_</v>
      </c>
      <c r="K1394" s="1534">
        <v>869</v>
      </c>
      <c r="L1394" s="12"/>
      <c r="M1394" s="1240" t="s">
        <v>1299</v>
      </c>
      <c r="P1394" s="243"/>
      <c r="Q1394" s="243"/>
      <c r="R1394" s="243"/>
      <c r="T1394" s="166"/>
      <c r="U1394" s="50"/>
      <c r="V1394" s="2394"/>
      <c r="W1394" s="1268">
        <v>869</v>
      </c>
      <c r="X1394" s="1268">
        <v>869</v>
      </c>
      <c r="Y1394" s="1268">
        <v>869</v>
      </c>
      <c r="Z1394" s="1268">
        <v>869</v>
      </c>
      <c r="AA1394" s="1268">
        <v>869</v>
      </c>
      <c r="AB1394" s="1268">
        <v>869</v>
      </c>
      <c r="AC1394" s="1268">
        <v>869</v>
      </c>
      <c r="AD1394" s="1268">
        <v>869</v>
      </c>
      <c r="AE1394" s="1268">
        <v>869</v>
      </c>
      <c r="AF1394" s="253">
        <v>869</v>
      </c>
      <c r="AG1394" s="253">
        <f t="shared" si="220"/>
        <v>869</v>
      </c>
      <c r="DG1394" s="543"/>
      <c r="DH1394" s="149"/>
      <c r="DI1394" s="1020"/>
      <c r="DJ1394" s="2045"/>
    </row>
    <row r="1395" spans="1:114" ht="15" customHeight="1" outlineLevel="1" x14ac:dyDescent="0.25">
      <c r="A1395" s="2145"/>
      <c r="C1395" s="49"/>
      <c r="D1395" s="2394"/>
      <c r="E1395" s="2394"/>
      <c r="F1395" s="2404" t="str">
        <f>$E$661</f>
        <v>ASHP-SEER15-Replace_CAC_NonElectricHeat_ROF_SF</v>
      </c>
      <c r="G1395" s="2404"/>
      <c r="H1395" s="2404"/>
      <c r="I1395" s="2404"/>
      <c r="J1395" s="1506" t="str">
        <f>$C$661</f>
        <v>352410_2024_12_</v>
      </c>
      <c r="K1395" s="1534">
        <v>869</v>
      </c>
      <c r="L1395" s="12"/>
      <c r="M1395" s="1240" t="s">
        <v>1299</v>
      </c>
      <c r="P1395" s="243"/>
      <c r="Q1395" s="243"/>
      <c r="R1395" s="243"/>
      <c r="T1395" s="166"/>
      <c r="U1395" s="50"/>
      <c r="V1395" s="2394"/>
      <c r="W1395" s="1268"/>
      <c r="X1395" s="1268"/>
      <c r="Y1395" s="1268"/>
      <c r="Z1395" s="1268"/>
      <c r="AA1395" s="1268"/>
      <c r="AB1395" s="1268"/>
      <c r="AC1395" s="779">
        <v>869</v>
      </c>
      <c r="AD1395" s="1268">
        <v>869</v>
      </c>
      <c r="AE1395" s="1268">
        <v>869</v>
      </c>
      <c r="AF1395" s="253">
        <v>869</v>
      </c>
      <c r="AG1395" s="253">
        <f t="shared" si="220"/>
        <v>869</v>
      </c>
      <c r="DG1395" s="543"/>
      <c r="DH1395" s="149"/>
      <c r="DI1395" s="1020"/>
      <c r="DJ1395" s="2045"/>
    </row>
    <row r="1396" spans="1:114" ht="15.75" customHeight="1" outlineLevel="1" x14ac:dyDescent="0.25">
      <c r="A1396" s="2145"/>
      <c r="C1396" s="49"/>
      <c r="D1396" s="2394"/>
      <c r="E1396" s="2394"/>
      <c r="F1396" s="1968" t="s">
        <v>1130</v>
      </c>
      <c r="G1396" s="1969"/>
      <c r="H1396" s="1969"/>
      <c r="I1396" s="1970"/>
      <c r="J1396" s="2095" t="str">
        <f>$C$663</f>
        <v>352420_2025_12_</v>
      </c>
      <c r="K1396" s="1975">
        <v>869</v>
      </c>
      <c r="L1396" s="913"/>
      <c r="M1396" s="1959" t="s">
        <v>1299</v>
      </c>
      <c r="T1396" s="50"/>
      <c r="U1396" s="50"/>
      <c r="V1396" s="2394"/>
      <c r="W1396" s="1268"/>
      <c r="X1396" s="1268"/>
      <c r="Y1396" s="1268"/>
      <c r="Z1396" s="1268"/>
      <c r="AA1396" s="1268"/>
      <c r="AB1396" s="1268"/>
      <c r="AC1396" s="752"/>
      <c r="AD1396" s="966"/>
      <c r="AE1396" s="909"/>
      <c r="AF1396" s="253"/>
      <c r="AG1396" s="253">
        <f>IF(K1396&lt;&gt;"",K1396,"")</f>
        <v>869</v>
      </c>
      <c r="DG1396" s="543"/>
      <c r="DH1396" s="149"/>
      <c r="DI1396" s="1020"/>
      <c r="DJ1396" s="2045"/>
    </row>
    <row r="1397" spans="1:114" ht="15.75" customHeight="1" outlineLevel="1" x14ac:dyDescent="0.25">
      <c r="A1397" s="2145"/>
      <c r="C1397" s="49"/>
      <c r="D1397" s="2394"/>
      <c r="E1397" s="2394"/>
      <c r="F1397" s="1968" t="s">
        <v>1131</v>
      </c>
      <c r="G1397" s="1969"/>
      <c r="H1397" s="1969"/>
      <c r="I1397" s="1970"/>
      <c r="J1397" s="2095" t="str">
        <f>$C$664</f>
        <v>352420_2025_12_</v>
      </c>
      <c r="K1397" s="1975">
        <v>869</v>
      </c>
      <c r="L1397" s="913"/>
      <c r="M1397" s="1959" t="s">
        <v>1299</v>
      </c>
      <c r="T1397" s="50"/>
      <c r="U1397" s="50"/>
      <c r="V1397" s="2394"/>
      <c r="W1397" s="1268"/>
      <c r="X1397" s="1268"/>
      <c r="Y1397" s="1268"/>
      <c r="Z1397" s="1268"/>
      <c r="AA1397" s="1268"/>
      <c r="AB1397" s="1268"/>
      <c r="AC1397" s="752"/>
      <c r="AD1397" s="966"/>
      <c r="AE1397" s="909"/>
      <c r="AF1397" s="253"/>
      <c r="AG1397" s="253">
        <f>IF(K1397&lt;&gt;"",K1397,"")</f>
        <v>869</v>
      </c>
      <c r="DG1397" s="543"/>
      <c r="DH1397" s="149"/>
      <c r="DI1397" s="1020"/>
      <c r="DJ1397" s="2045"/>
    </row>
    <row r="1398" spans="1:114" ht="15.75" customHeight="1" outlineLevel="1" x14ac:dyDescent="0.25">
      <c r="A1398" s="2145"/>
      <c r="C1398" s="49"/>
      <c r="D1398" s="2394"/>
      <c r="E1398" s="2394"/>
      <c r="F1398" s="1968" t="s">
        <v>1133</v>
      </c>
      <c r="G1398" s="1969"/>
      <c r="H1398" s="1969"/>
      <c r="I1398" s="1970"/>
      <c r="J1398" s="2095" t="str">
        <f>$C$667</f>
        <v>352425_2025_12_</v>
      </c>
      <c r="K1398" s="1975">
        <v>869</v>
      </c>
      <c r="L1398" s="913"/>
      <c r="M1398" s="1959" t="s">
        <v>1299</v>
      </c>
      <c r="T1398" s="50"/>
      <c r="U1398" s="50"/>
      <c r="V1398" s="2394"/>
      <c r="W1398" s="1268"/>
      <c r="X1398" s="1268"/>
      <c r="Y1398" s="1268"/>
      <c r="Z1398" s="1268"/>
      <c r="AA1398" s="1268"/>
      <c r="AB1398" s="1268"/>
      <c r="AC1398" s="752"/>
      <c r="AD1398" s="966"/>
      <c r="AE1398" s="909"/>
      <c r="AF1398" s="253"/>
      <c r="AG1398" s="253">
        <f>IF(K1398&lt;&gt;"",K1398,"")</f>
        <v>869</v>
      </c>
      <c r="DG1398" s="543"/>
      <c r="DH1398" s="149"/>
      <c r="DI1398" s="1020"/>
      <c r="DJ1398" s="2045"/>
    </row>
    <row r="1399" spans="1:114" ht="15" customHeight="1" outlineLevel="1" x14ac:dyDescent="0.25">
      <c r="A1399" s="2145"/>
      <c r="C1399" s="49"/>
      <c r="D1399" s="2394"/>
      <c r="E1399" s="2394"/>
      <c r="F1399" s="2404" t="str">
        <f>$E$669</f>
        <v>ASHP-SEER16-Replace_CAC_ElectricHeat_ER1_SF</v>
      </c>
      <c r="G1399" s="2404"/>
      <c r="H1399" s="2404"/>
      <c r="I1399" s="2404"/>
      <c r="J1399" s="1506" t="str">
        <f>$C$669</f>
        <v>352500_2024_12_</v>
      </c>
      <c r="K1399" s="1534">
        <v>869</v>
      </c>
      <c r="L1399" s="12"/>
      <c r="M1399" s="1240" t="s">
        <v>1299</v>
      </c>
      <c r="P1399" s="243"/>
      <c r="Q1399" s="243"/>
      <c r="R1399" s="243"/>
      <c r="T1399" s="166"/>
      <c r="U1399" s="50"/>
      <c r="V1399" s="2394"/>
      <c r="W1399" s="1268">
        <v>869</v>
      </c>
      <c r="X1399" s="1268">
        <v>869</v>
      </c>
      <c r="Y1399" s="1268">
        <v>869</v>
      </c>
      <c r="Z1399" s="1268">
        <v>869</v>
      </c>
      <c r="AA1399" s="1268">
        <v>869</v>
      </c>
      <c r="AB1399" s="1268">
        <v>869</v>
      </c>
      <c r="AC1399" s="1268">
        <v>869</v>
      </c>
      <c r="AD1399" s="1268">
        <v>869</v>
      </c>
      <c r="AE1399" s="1268">
        <v>869</v>
      </c>
      <c r="AF1399" s="253">
        <v>869</v>
      </c>
      <c r="AG1399" s="253">
        <f t="shared" si="220"/>
        <v>869</v>
      </c>
      <c r="DG1399" s="543"/>
      <c r="DH1399" s="149"/>
      <c r="DI1399" s="1020"/>
      <c r="DJ1399" s="2045"/>
    </row>
    <row r="1400" spans="1:114" ht="15" customHeight="1" outlineLevel="1" x14ac:dyDescent="0.25">
      <c r="A1400" s="2145"/>
      <c r="C1400" s="49"/>
      <c r="D1400" s="2394"/>
      <c r="E1400" s="2394"/>
      <c r="F1400" s="2404" t="str">
        <f>$E$671</f>
        <v>ASHP-SEER16-Replace_CAC_ElectricHeat_ER2_SF</v>
      </c>
      <c r="G1400" s="2404"/>
      <c r="H1400" s="2404"/>
      <c r="I1400" s="2404"/>
      <c r="J1400" s="1506" t="str">
        <f>$C$671</f>
        <v>352500_2024_12_</v>
      </c>
      <c r="K1400" s="1534">
        <v>869</v>
      </c>
      <c r="L1400" s="12"/>
      <c r="M1400" s="1240" t="s">
        <v>1299</v>
      </c>
      <c r="P1400" s="243"/>
      <c r="Q1400" s="243"/>
      <c r="R1400" s="243"/>
      <c r="T1400" s="166"/>
      <c r="U1400" s="50"/>
      <c r="V1400" s="2394"/>
      <c r="W1400" s="1268">
        <v>869</v>
      </c>
      <c r="X1400" s="1268">
        <v>869</v>
      </c>
      <c r="Y1400" s="1268">
        <v>869</v>
      </c>
      <c r="Z1400" s="1268">
        <v>869</v>
      </c>
      <c r="AA1400" s="1268">
        <v>869</v>
      </c>
      <c r="AB1400" s="1268">
        <v>869</v>
      </c>
      <c r="AC1400" s="1268">
        <v>869</v>
      </c>
      <c r="AD1400" s="1268">
        <v>869</v>
      </c>
      <c r="AE1400" s="1268">
        <v>869</v>
      </c>
      <c r="AF1400" s="253">
        <v>869</v>
      </c>
      <c r="AG1400" s="253">
        <f t="shared" si="220"/>
        <v>869</v>
      </c>
      <c r="DG1400" s="543"/>
      <c r="DH1400" s="149"/>
      <c r="DI1400" s="1020"/>
      <c r="DJ1400" s="2045"/>
    </row>
    <row r="1401" spans="1:114" ht="15" customHeight="1" outlineLevel="1" x14ac:dyDescent="0.25">
      <c r="A1401" s="2145"/>
      <c r="C1401" s="49"/>
      <c r="D1401" s="2394"/>
      <c r="E1401" s="2394"/>
      <c r="F1401" s="2404" t="str">
        <f>$E$673</f>
        <v>ASHP-SEER16-Replace_CAC_NonElectricHeat_ER1_SF</v>
      </c>
      <c r="G1401" s="2404"/>
      <c r="H1401" s="2404"/>
      <c r="I1401" s="2404"/>
      <c r="J1401" s="1506" t="str">
        <f>$C$673</f>
        <v>352510_2024_12_</v>
      </c>
      <c r="K1401" s="1534">
        <v>869</v>
      </c>
      <c r="L1401" s="12"/>
      <c r="M1401" s="1240" t="s">
        <v>1299</v>
      </c>
      <c r="P1401" s="243"/>
      <c r="Q1401" s="243"/>
      <c r="R1401" s="243"/>
      <c r="T1401" s="166"/>
      <c r="U1401" s="50"/>
      <c r="V1401" s="2394"/>
      <c r="W1401" s="1268"/>
      <c r="X1401" s="1268"/>
      <c r="Y1401" s="1268"/>
      <c r="Z1401" s="1268"/>
      <c r="AA1401" s="1268"/>
      <c r="AB1401" s="1268"/>
      <c r="AC1401" s="779">
        <v>869</v>
      </c>
      <c r="AD1401" s="1268">
        <v>869</v>
      </c>
      <c r="AE1401" s="1268">
        <v>869</v>
      </c>
      <c r="AF1401" s="253">
        <v>869</v>
      </c>
      <c r="AG1401" s="253">
        <f t="shared" si="220"/>
        <v>869</v>
      </c>
      <c r="DG1401" s="543"/>
      <c r="DH1401" s="149"/>
      <c r="DI1401" s="1020"/>
      <c r="DJ1401" s="2045"/>
    </row>
    <row r="1402" spans="1:114" ht="15" customHeight="1" outlineLevel="1" x14ac:dyDescent="0.25">
      <c r="A1402" s="2145"/>
      <c r="C1402" s="49"/>
      <c r="D1402" s="2394"/>
      <c r="E1402" s="2394"/>
      <c r="F1402" s="2404" t="str">
        <f>$E$675</f>
        <v>ASHP-SEER16-Replace_CAC_NonElectricHeat_ER2_SF</v>
      </c>
      <c r="G1402" s="2404"/>
      <c r="H1402" s="2404"/>
      <c r="I1402" s="2404"/>
      <c r="J1402" s="1506" t="str">
        <f>$C$675</f>
        <v>352510_2024_12_</v>
      </c>
      <c r="K1402" s="1534">
        <v>869</v>
      </c>
      <c r="L1402" s="12"/>
      <c r="M1402" s="1240" t="s">
        <v>1299</v>
      </c>
      <c r="P1402" s="243"/>
      <c r="Q1402" s="243"/>
      <c r="R1402" s="243"/>
      <c r="T1402" s="166"/>
      <c r="U1402" s="50"/>
      <c r="V1402" s="2394"/>
      <c r="W1402" s="1268"/>
      <c r="X1402" s="1268"/>
      <c r="Y1402" s="1268"/>
      <c r="Z1402" s="1268"/>
      <c r="AA1402" s="1268"/>
      <c r="AB1402" s="1268"/>
      <c r="AC1402" s="779">
        <v>869</v>
      </c>
      <c r="AD1402" s="1268">
        <v>869</v>
      </c>
      <c r="AE1402" s="1268">
        <v>869</v>
      </c>
      <c r="AF1402" s="253">
        <v>869</v>
      </c>
      <c r="AG1402" s="253">
        <f t="shared" si="220"/>
        <v>869</v>
      </c>
      <c r="DG1402" s="543"/>
      <c r="DH1402" s="149"/>
      <c r="DI1402" s="1020"/>
      <c r="DJ1402" s="2045"/>
    </row>
    <row r="1403" spans="1:114" ht="15.75" customHeight="1" outlineLevel="1" x14ac:dyDescent="0.25">
      <c r="A1403" s="2145"/>
      <c r="C1403" s="49"/>
      <c r="D1403" s="2394"/>
      <c r="E1403" s="2394"/>
      <c r="F1403" s="1968" t="s">
        <v>1141</v>
      </c>
      <c r="G1403" s="1969"/>
      <c r="H1403" s="1969"/>
      <c r="I1403" s="1970"/>
      <c r="J1403" s="2095" t="s">
        <v>1140</v>
      </c>
      <c r="K1403" s="1975">
        <v>869</v>
      </c>
      <c r="L1403" s="913"/>
      <c r="M1403" s="1307" t="s">
        <v>1299</v>
      </c>
      <c r="T1403" s="50"/>
      <c r="U1403" s="50"/>
      <c r="V1403" s="2394"/>
      <c r="W1403" s="1268"/>
      <c r="X1403" s="1268"/>
      <c r="Y1403" s="1268"/>
      <c r="Z1403" s="1268"/>
      <c r="AA1403" s="1268"/>
      <c r="AB1403" s="1268"/>
      <c r="AC1403" s="752"/>
      <c r="AD1403" s="966"/>
      <c r="AE1403" s="909"/>
      <c r="AF1403" s="253"/>
      <c r="AG1403" s="253">
        <f>IF(K1403&lt;&gt;"",K1403,"")</f>
        <v>869</v>
      </c>
      <c r="DG1403" s="543"/>
      <c r="DH1403" s="149"/>
      <c r="DI1403" s="1020"/>
      <c r="DJ1403" s="2045"/>
    </row>
    <row r="1404" spans="1:114" ht="15.75" customHeight="1" outlineLevel="1" x14ac:dyDescent="0.25">
      <c r="A1404" s="2145"/>
      <c r="C1404" s="49"/>
      <c r="D1404" s="2394"/>
      <c r="E1404" s="2394"/>
      <c r="F1404" s="1968" t="s">
        <v>1142</v>
      </c>
      <c r="G1404" s="1969"/>
      <c r="H1404" s="1969"/>
      <c r="I1404" s="1970"/>
      <c r="J1404" s="2095" t="s">
        <v>1140</v>
      </c>
      <c r="K1404" s="1975">
        <v>869</v>
      </c>
      <c r="L1404" s="913"/>
      <c r="M1404" s="1307" t="s">
        <v>1299</v>
      </c>
      <c r="T1404" s="50"/>
      <c r="U1404" s="50"/>
      <c r="V1404" s="2394"/>
      <c r="W1404" s="1268"/>
      <c r="X1404" s="1268"/>
      <c r="Y1404" s="1268"/>
      <c r="Z1404" s="1268"/>
      <c r="AA1404" s="1268"/>
      <c r="AB1404" s="1268"/>
      <c r="AC1404" s="752"/>
      <c r="AD1404" s="966"/>
      <c r="AE1404" s="909"/>
      <c r="AF1404" s="253"/>
      <c r="AG1404" s="253">
        <f>IF(K1404&lt;&gt;"",K1404,"")</f>
        <v>869</v>
      </c>
      <c r="DG1404" s="543"/>
      <c r="DH1404" s="149"/>
      <c r="DI1404" s="1020"/>
      <c r="DJ1404" s="2045"/>
    </row>
    <row r="1405" spans="1:114" ht="15" customHeight="1" outlineLevel="1" x14ac:dyDescent="0.25">
      <c r="A1405" s="2145"/>
      <c r="C1405" s="49"/>
      <c r="D1405" s="2394"/>
      <c r="E1405" s="2394"/>
      <c r="F1405" s="2404" t="str">
        <f>$E$681</f>
        <v>ASHP-SEER16_ER1_SF</v>
      </c>
      <c r="G1405" s="2404"/>
      <c r="H1405" s="2404"/>
      <c r="I1405" s="2404"/>
      <c r="J1405" s="1506" t="str">
        <f>$C$681</f>
        <v>352550_2024_12_</v>
      </c>
      <c r="K1405" s="1534">
        <v>869</v>
      </c>
      <c r="L1405" s="12"/>
      <c r="M1405" s="1240" t="s">
        <v>1299</v>
      </c>
      <c r="P1405" s="243"/>
      <c r="Q1405" s="243"/>
      <c r="R1405" s="243"/>
      <c r="T1405" s="166"/>
      <c r="U1405" s="50"/>
      <c r="V1405" s="2394"/>
      <c r="W1405" s="1268">
        <v>869</v>
      </c>
      <c r="X1405" s="1268">
        <v>869</v>
      </c>
      <c r="Y1405" s="1268">
        <v>869</v>
      </c>
      <c r="Z1405" s="1268">
        <v>869</v>
      </c>
      <c r="AA1405" s="1268">
        <v>869</v>
      </c>
      <c r="AB1405" s="1268">
        <v>869</v>
      </c>
      <c r="AC1405" s="1268">
        <v>869</v>
      </c>
      <c r="AD1405" s="1268">
        <v>869</v>
      </c>
      <c r="AE1405" s="1268">
        <v>869</v>
      </c>
      <c r="AF1405" s="253">
        <v>869</v>
      </c>
      <c r="AG1405" s="253">
        <f t="shared" si="220"/>
        <v>869</v>
      </c>
      <c r="DG1405" s="543"/>
      <c r="DH1405" s="149"/>
      <c r="DI1405" s="1020"/>
      <c r="DJ1405" s="2045"/>
    </row>
    <row r="1406" spans="1:114" ht="15" customHeight="1" outlineLevel="1" x14ac:dyDescent="0.25">
      <c r="A1406" s="2145"/>
      <c r="C1406" s="49"/>
      <c r="D1406" s="2394"/>
      <c r="E1406" s="2394"/>
      <c r="F1406" s="2404" t="str">
        <f>$E$683</f>
        <v>ASHP-SEER16_ER2_SF</v>
      </c>
      <c r="G1406" s="2404"/>
      <c r="H1406" s="2404"/>
      <c r="I1406" s="2404"/>
      <c r="J1406" s="1506" t="str">
        <f>$C$683</f>
        <v>352550_2024_12_</v>
      </c>
      <c r="K1406" s="1534">
        <v>869</v>
      </c>
      <c r="L1406" s="244"/>
      <c r="M1406" s="1240" t="s">
        <v>1299</v>
      </c>
      <c r="P1406" s="243"/>
      <c r="Q1406" s="243"/>
      <c r="R1406" s="243"/>
      <c r="T1406" s="166"/>
      <c r="U1406" s="50"/>
      <c r="V1406" s="2394"/>
      <c r="W1406" s="1268">
        <v>869</v>
      </c>
      <c r="X1406" s="1268">
        <v>869</v>
      </c>
      <c r="Y1406" s="1268">
        <v>869</v>
      </c>
      <c r="Z1406" s="1268">
        <v>869</v>
      </c>
      <c r="AA1406" s="1268">
        <v>869</v>
      </c>
      <c r="AB1406" s="1268">
        <v>869</v>
      </c>
      <c r="AC1406" s="1268">
        <v>869</v>
      </c>
      <c r="AD1406" s="1268">
        <v>869</v>
      </c>
      <c r="AE1406" s="1268">
        <v>869</v>
      </c>
      <c r="AF1406" s="253">
        <v>869</v>
      </c>
      <c r="AG1406" s="253">
        <f t="shared" si="220"/>
        <v>869</v>
      </c>
      <c r="DG1406" s="543"/>
      <c r="DH1406" s="149"/>
      <c r="DI1406" s="1020"/>
      <c r="DJ1406" s="2045"/>
    </row>
    <row r="1407" spans="1:114" ht="15" customHeight="1" outlineLevel="1" x14ac:dyDescent="0.25">
      <c r="A1407" s="2145"/>
      <c r="C1407" s="49"/>
      <c r="D1407" s="2394"/>
      <c r="E1407" s="2394"/>
      <c r="F1407" s="2404" t="str">
        <f>$E$685</f>
        <v>ASHP-SEER16-Replace_CAC_ElectricHeat_ROF_SF</v>
      </c>
      <c r="G1407" s="2404"/>
      <c r="H1407" s="2404"/>
      <c r="I1407" s="2404"/>
      <c r="J1407" s="1506" t="str">
        <f>$C$685</f>
        <v>352600_2024_12_</v>
      </c>
      <c r="K1407" s="1534">
        <v>869</v>
      </c>
      <c r="L1407" s="244"/>
      <c r="M1407" s="1240" t="s">
        <v>1299</v>
      </c>
      <c r="P1407" s="243"/>
      <c r="Q1407" s="243"/>
      <c r="R1407" s="243"/>
      <c r="T1407" s="166"/>
      <c r="U1407" s="50"/>
      <c r="V1407" s="2394"/>
      <c r="W1407" s="1268">
        <v>869</v>
      </c>
      <c r="X1407" s="1268">
        <v>869</v>
      </c>
      <c r="Y1407" s="1268">
        <v>869</v>
      </c>
      <c r="Z1407" s="1268">
        <v>869</v>
      </c>
      <c r="AA1407" s="1268">
        <v>869</v>
      </c>
      <c r="AB1407" s="1268">
        <v>869</v>
      </c>
      <c r="AC1407" s="1268">
        <v>869</v>
      </c>
      <c r="AD1407" s="1268">
        <v>869</v>
      </c>
      <c r="AE1407" s="1268">
        <v>869</v>
      </c>
      <c r="AF1407" s="253">
        <v>869</v>
      </c>
      <c r="AG1407" s="253">
        <f t="shared" si="220"/>
        <v>869</v>
      </c>
      <c r="DG1407" s="543"/>
      <c r="DH1407" s="149"/>
      <c r="DI1407" s="1020"/>
      <c r="DJ1407" s="2045"/>
    </row>
    <row r="1408" spans="1:114" ht="15.75" customHeight="1" outlineLevel="1" x14ac:dyDescent="0.25">
      <c r="A1408" s="2145"/>
      <c r="C1408" s="49"/>
      <c r="D1408" s="2394"/>
      <c r="E1408" s="2394"/>
      <c r="F1408" s="1968" t="s">
        <v>1149</v>
      </c>
      <c r="G1408" s="1969"/>
      <c r="H1408" s="1969"/>
      <c r="I1408" s="1970"/>
      <c r="J1408" s="2095" t="s">
        <v>1148</v>
      </c>
      <c r="K1408" s="1975">
        <v>869</v>
      </c>
      <c r="L1408" s="913"/>
      <c r="M1408" s="1307" t="s">
        <v>1299</v>
      </c>
      <c r="T1408" s="50"/>
      <c r="U1408" s="50"/>
      <c r="V1408" s="2394"/>
      <c r="W1408" s="1268"/>
      <c r="X1408" s="1268"/>
      <c r="Y1408" s="1268"/>
      <c r="Z1408" s="1268"/>
      <c r="AA1408" s="1268"/>
      <c r="AB1408" s="1268"/>
      <c r="AC1408" s="752"/>
      <c r="AD1408" s="966"/>
      <c r="AE1408" s="909"/>
      <c r="AF1408" s="253"/>
      <c r="AG1408" s="253">
        <f>IF(K1408&lt;&gt;"",K1408,"")</f>
        <v>869</v>
      </c>
      <c r="DG1408" s="543"/>
      <c r="DH1408" s="149"/>
      <c r="DI1408" s="1020"/>
      <c r="DJ1408" s="2045"/>
    </row>
    <row r="1409" spans="1:114" ht="15" customHeight="1" outlineLevel="1" x14ac:dyDescent="0.25">
      <c r="A1409" s="2145"/>
      <c r="C1409" s="49"/>
      <c r="D1409" s="2394"/>
      <c r="E1409" s="2394"/>
      <c r="F1409" s="2404" t="str">
        <f>$E$689</f>
        <v>ASHP-SEER16-Replace_CAC_NonElectricHeat_ROF_SF</v>
      </c>
      <c r="G1409" s="2404"/>
      <c r="H1409" s="2404"/>
      <c r="I1409" s="2404"/>
      <c r="J1409" s="1506" t="str">
        <f>$C$689</f>
        <v>352610_2024_12_</v>
      </c>
      <c r="K1409" s="1534">
        <v>869</v>
      </c>
      <c r="L1409" s="244"/>
      <c r="M1409" s="1240" t="s">
        <v>1299</v>
      </c>
      <c r="P1409" s="243"/>
      <c r="Q1409" s="243"/>
      <c r="R1409" s="243"/>
      <c r="T1409" s="166"/>
      <c r="U1409" s="50"/>
      <c r="V1409" s="2394"/>
      <c r="W1409" s="1268"/>
      <c r="X1409" s="1268"/>
      <c r="Y1409" s="1268"/>
      <c r="Z1409" s="1268"/>
      <c r="AA1409" s="1268"/>
      <c r="AB1409" s="1268"/>
      <c r="AC1409" s="1268"/>
      <c r="AD1409" s="779">
        <v>869</v>
      </c>
      <c r="AE1409" s="1268">
        <v>869</v>
      </c>
      <c r="AF1409" s="253">
        <v>869</v>
      </c>
      <c r="AG1409" s="253">
        <f t="shared" si="220"/>
        <v>869</v>
      </c>
      <c r="DG1409" s="543"/>
      <c r="DH1409" s="149"/>
      <c r="DI1409" s="1020"/>
      <c r="DJ1409" s="2045"/>
    </row>
    <row r="1410" spans="1:114" ht="15" customHeight="1" outlineLevel="1" x14ac:dyDescent="0.25">
      <c r="A1410" s="2145"/>
      <c r="C1410" s="49"/>
      <c r="D1410" s="2394"/>
      <c r="E1410" s="2394"/>
      <c r="F1410" s="2404" t="str">
        <f>$E$691</f>
        <v>ASHP-SEER16_ROF_SF</v>
      </c>
      <c r="G1410" s="2404"/>
      <c r="H1410" s="2404"/>
      <c r="I1410" s="2404"/>
      <c r="J1410" s="1506" t="str">
        <f>$C$691</f>
        <v>352650_2024_12_</v>
      </c>
      <c r="K1410" s="1534">
        <v>869</v>
      </c>
      <c r="L1410" s="244"/>
      <c r="M1410" s="1240" t="s">
        <v>1299</v>
      </c>
      <c r="P1410" s="243"/>
      <c r="Q1410" s="243"/>
      <c r="R1410" s="243"/>
      <c r="T1410" s="166"/>
      <c r="U1410" s="50"/>
      <c r="V1410" s="2394"/>
      <c r="W1410" s="1268">
        <v>869</v>
      </c>
      <c r="X1410" s="1268">
        <v>869</v>
      </c>
      <c r="Y1410" s="1268">
        <v>869</v>
      </c>
      <c r="Z1410" s="1268">
        <v>869</v>
      </c>
      <c r="AA1410" s="1268">
        <v>869</v>
      </c>
      <c r="AB1410" s="1268">
        <v>869</v>
      </c>
      <c r="AC1410" s="1268">
        <v>869</v>
      </c>
      <c r="AD1410" s="1268">
        <v>869</v>
      </c>
      <c r="AE1410" s="1268">
        <v>869</v>
      </c>
      <c r="AF1410" s="253">
        <v>869</v>
      </c>
      <c r="AG1410" s="253">
        <f t="shared" si="220"/>
        <v>869</v>
      </c>
      <c r="DG1410" s="543"/>
      <c r="DH1410" s="149"/>
      <c r="DI1410" s="1020"/>
      <c r="DJ1410" s="2045"/>
    </row>
    <row r="1411" spans="1:114" ht="15.75" customHeight="1" outlineLevel="1" x14ac:dyDescent="0.25">
      <c r="A1411" s="2145"/>
      <c r="C1411" s="49"/>
      <c r="D1411" s="2394"/>
      <c r="E1411" s="2394"/>
      <c r="F1411" s="1968" t="s">
        <v>1155</v>
      </c>
      <c r="G1411" s="1969"/>
      <c r="H1411" s="1969"/>
      <c r="I1411" s="1970"/>
      <c r="J1411" s="2095" t="s">
        <v>1154</v>
      </c>
      <c r="K1411" s="1975">
        <v>869</v>
      </c>
      <c r="L1411" s="913"/>
      <c r="M1411" s="1307" t="s">
        <v>1299</v>
      </c>
      <c r="T1411" s="50"/>
      <c r="U1411" s="50"/>
      <c r="V1411" s="2394"/>
      <c r="W1411" s="1268"/>
      <c r="X1411" s="1268"/>
      <c r="Y1411" s="1268"/>
      <c r="Z1411" s="1268"/>
      <c r="AA1411" s="1268"/>
      <c r="AB1411" s="1268"/>
      <c r="AC1411" s="752"/>
      <c r="AD1411" s="966"/>
      <c r="AE1411" s="909"/>
      <c r="AF1411" s="253"/>
      <c r="AG1411" s="253">
        <f>IF(K1411&lt;&gt;"",K1411,"")</f>
        <v>869</v>
      </c>
      <c r="DG1411" s="543"/>
      <c r="DH1411" s="149"/>
      <c r="DI1411" s="1020"/>
      <c r="DJ1411" s="2045"/>
    </row>
    <row r="1412" spans="1:114" ht="15" customHeight="1" outlineLevel="1" x14ac:dyDescent="0.25">
      <c r="A1412" s="2145"/>
      <c r="C1412" s="49"/>
      <c r="D1412" s="2394"/>
      <c r="E1412" s="2394"/>
      <c r="F1412" s="2404" t="str">
        <f>$E$695</f>
        <v>ASHP-SEER16-Replace_CAC_ElectricHeat_ER1_MF</v>
      </c>
      <c r="G1412" s="2404"/>
      <c r="H1412" s="2404"/>
      <c r="I1412" s="2404"/>
      <c r="J1412" s="1506" t="str">
        <f>$C$695</f>
        <v>353000_2024_12_</v>
      </c>
      <c r="K1412" s="1534">
        <v>869</v>
      </c>
      <c r="L1412" s="244"/>
      <c r="M1412" s="1240" t="s">
        <v>1299</v>
      </c>
      <c r="P1412" s="243"/>
      <c r="Q1412" s="243"/>
      <c r="R1412" s="243"/>
      <c r="T1412" s="166"/>
      <c r="U1412" s="50"/>
      <c r="V1412" s="2394"/>
      <c r="W1412" s="1268">
        <v>869</v>
      </c>
      <c r="X1412" s="1268">
        <v>869</v>
      </c>
      <c r="Y1412" s="1268">
        <v>869</v>
      </c>
      <c r="Z1412" s="1268">
        <v>869</v>
      </c>
      <c r="AA1412" s="1268">
        <v>869</v>
      </c>
      <c r="AB1412" s="1268">
        <v>869</v>
      </c>
      <c r="AC1412" s="1268">
        <v>869</v>
      </c>
      <c r="AD1412" s="1268">
        <v>869</v>
      </c>
      <c r="AE1412" s="1268">
        <v>869</v>
      </c>
      <c r="AF1412" s="253">
        <v>869</v>
      </c>
      <c r="AG1412" s="253">
        <f t="shared" si="220"/>
        <v>869</v>
      </c>
      <c r="DG1412" s="543"/>
      <c r="DH1412" s="149"/>
      <c r="DI1412" s="1020"/>
      <c r="DJ1412" s="2045"/>
    </row>
    <row r="1413" spans="1:114" ht="15" customHeight="1" outlineLevel="1" x14ac:dyDescent="0.25">
      <c r="A1413" s="2145"/>
      <c r="C1413" s="49"/>
      <c r="D1413" s="2394"/>
      <c r="E1413" s="2394"/>
      <c r="F1413" s="2404" t="str">
        <f>$E$697</f>
        <v>ASHP-SEER16-Replace_CAC_ElectricHeat_ER2_MF</v>
      </c>
      <c r="G1413" s="2404"/>
      <c r="H1413" s="2404"/>
      <c r="I1413" s="2404"/>
      <c r="J1413" s="1506" t="str">
        <f>$C$697</f>
        <v>353000_2024_12_</v>
      </c>
      <c r="K1413" s="1534">
        <v>869</v>
      </c>
      <c r="L1413" s="244"/>
      <c r="M1413" s="1240" t="s">
        <v>1299</v>
      </c>
      <c r="P1413" s="243"/>
      <c r="Q1413" s="243"/>
      <c r="R1413" s="243"/>
      <c r="T1413" s="166"/>
      <c r="U1413" s="50"/>
      <c r="V1413" s="2394"/>
      <c r="W1413" s="1268">
        <v>869</v>
      </c>
      <c r="X1413" s="1268">
        <v>869</v>
      </c>
      <c r="Y1413" s="1268">
        <v>869</v>
      </c>
      <c r="Z1413" s="1268">
        <v>869</v>
      </c>
      <c r="AA1413" s="1268">
        <v>869</v>
      </c>
      <c r="AB1413" s="1268">
        <v>869</v>
      </c>
      <c r="AC1413" s="1268">
        <v>869</v>
      </c>
      <c r="AD1413" s="1268">
        <v>869</v>
      </c>
      <c r="AE1413" s="1268">
        <v>869</v>
      </c>
      <c r="AF1413" s="253">
        <v>869</v>
      </c>
      <c r="AG1413" s="253">
        <f t="shared" si="220"/>
        <v>869</v>
      </c>
      <c r="DG1413" s="543"/>
      <c r="DH1413" s="149"/>
      <c r="DI1413" s="1020"/>
      <c r="DJ1413" s="2045"/>
    </row>
    <row r="1414" spans="1:114" ht="15" customHeight="1" outlineLevel="1" x14ac:dyDescent="0.25">
      <c r="A1414" s="2145"/>
      <c r="C1414" s="49"/>
      <c r="D1414" s="2394"/>
      <c r="E1414" s="2394"/>
      <c r="F1414" s="2404" t="str">
        <f>$E$699</f>
        <v>ASHP-SEER17-Replace_CAC_ElectricHeat_ROF_SF</v>
      </c>
      <c r="G1414" s="2404"/>
      <c r="H1414" s="2404"/>
      <c r="I1414" s="2404"/>
      <c r="J1414" s="1506" t="str">
        <f>$C$699</f>
        <v>353100_2024_12_</v>
      </c>
      <c r="K1414" s="1534">
        <v>869</v>
      </c>
      <c r="L1414" s="244"/>
      <c r="M1414" s="1240" t="s">
        <v>1299</v>
      </c>
      <c r="P1414" s="243"/>
      <c r="Q1414" s="243"/>
      <c r="R1414" s="243"/>
      <c r="T1414" s="166"/>
      <c r="U1414" s="50"/>
      <c r="V1414" s="2394"/>
      <c r="W1414" s="1268">
        <v>869</v>
      </c>
      <c r="X1414" s="1268">
        <v>869</v>
      </c>
      <c r="Y1414" s="1268">
        <v>869</v>
      </c>
      <c r="Z1414" s="1268">
        <v>869</v>
      </c>
      <c r="AA1414" s="1268">
        <v>869</v>
      </c>
      <c r="AB1414" s="1268">
        <v>869</v>
      </c>
      <c r="AC1414" s="1268">
        <v>869</v>
      </c>
      <c r="AD1414" s="1268">
        <v>869</v>
      </c>
      <c r="AE1414" s="1268">
        <v>869</v>
      </c>
      <c r="AF1414" s="253">
        <v>869</v>
      </c>
      <c r="AG1414" s="253">
        <f t="shared" si="220"/>
        <v>869</v>
      </c>
      <c r="DG1414" s="543"/>
      <c r="DH1414" s="149"/>
      <c r="DI1414" s="1020"/>
      <c r="DJ1414" s="2045"/>
    </row>
    <row r="1415" spans="1:114" ht="15.75" customHeight="1" outlineLevel="1" x14ac:dyDescent="0.25">
      <c r="A1415" s="2145"/>
      <c r="C1415" s="49"/>
      <c r="D1415" s="2394"/>
      <c r="E1415" s="2394"/>
      <c r="F1415" s="1968" t="s">
        <v>1162</v>
      </c>
      <c r="G1415" s="1969"/>
      <c r="H1415" s="1969"/>
      <c r="I1415" s="1970"/>
      <c r="J1415" s="2095" t="s">
        <v>1161</v>
      </c>
      <c r="K1415" s="1975">
        <v>869</v>
      </c>
      <c r="L1415" s="913"/>
      <c r="M1415" s="1307" t="s">
        <v>1299</v>
      </c>
      <c r="T1415" s="50"/>
      <c r="U1415" s="50"/>
      <c r="V1415" s="2394"/>
      <c r="W1415" s="1268"/>
      <c r="X1415" s="1268"/>
      <c r="Y1415" s="1268"/>
      <c r="Z1415" s="1268"/>
      <c r="AA1415" s="1268"/>
      <c r="AB1415" s="1268"/>
      <c r="AC1415" s="752"/>
      <c r="AD1415" s="966"/>
      <c r="AE1415" s="909"/>
      <c r="AF1415" s="253"/>
      <c r="AG1415" s="253">
        <f>IF(K1415&lt;&gt;"",K1415,"")</f>
        <v>869</v>
      </c>
      <c r="DG1415" s="543"/>
      <c r="DH1415" s="149"/>
      <c r="DI1415" s="1020"/>
      <c r="DJ1415" s="2045"/>
    </row>
    <row r="1416" spans="1:114" ht="15" customHeight="1" outlineLevel="1" x14ac:dyDescent="0.25">
      <c r="A1416" s="2145"/>
      <c r="C1416" s="49"/>
      <c r="D1416" s="2394"/>
      <c r="E1416" s="2394"/>
      <c r="F1416" s="2404" t="str">
        <f>$E$703</f>
        <v>ASHP-SEER17-Replace_CAC_NonElectricHeat_ROF_SF</v>
      </c>
      <c r="G1416" s="2404"/>
      <c r="H1416" s="2404"/>
      <c r="I1416" s="2404"/>
      <c r="J1416" s="1506" t="str">
        <f>$C$703</f>
        <v>353110_2024_12_</v>
      </c>
      <c r="K1416" s="1534">
        <v>869</v>
      </c>
      <c r="L1416" s="244"/>
      <c r="M1416" s="1240" t="s">
        <v>1299</v>
      </c>
      <c r="P1416" s="243"/>
      <c r="Q1416" s="243"/>
      <c r="R1416" s="243"/>
      <c r="T1416" s="166"/>
      <c r="U1416" s="50"/>
      <c r="V1416" s="2394"/>
      <c r="W1416" s="1268"/>
      <c r="X1416" s="1268"/>
      <c r="Y1416" s="1268"/>
      <c r="Z1416" s="1268"/>
      <c r="AA1416" s="1268"/>
      <c r="AB1416" s="1268"/>
      <c r="AC1416" s="1268"/>
      <c r="AD1416" s="779">
        <v>869</v>
      </c>
      <c r="AE1416" s="1268">
        <v>869</v>
      </c>
      <c r="AF1416" s="253">
        <v>869</v>
      </c>
      <c r="AG1416" s="253">
        <f t="shared" si="220"/>
        <v>869</v>
      </c>
      <c r="DG1416" s="543"/>
      <c r="DH1416" s="149"/>
      <c r="DI1416" s="1020"/>
      <c r="DJ1416" s="2045"/>
    </row>
    <row r="1417" spans="1:114" ht="15" customHeight="1" outlineLevel="1" x14ac:dyDescent="0.25">
      <c r="A1417" s="2145"/>
      <c r="C1417" s="49"/>
      <c r="D1417" s="2394"/>
      <c r="E1417" s="2394"/>
      <c r="F1417" s="2404" t="str">
        <f>$E$705</f>
        <v>ASHP-SEER18-Replace_CAC_ElectricHeat_ROF_SF</v>
      </c>
      <c r="G1417" s="2404"/>
      <c r="H1417" s="2404"/>
      <c r="I1417" s="2404"/>
      <c r="J1417" s="1506" t="str">
        <f>$C$705</f>
        <v>353200_2024_12_</v>
      </c>
      <c r="K1417" s="1534">
        <v>869</v>
      </c>
      <c r="L1417" s="244"/>
      <c r="M1417" s="1240" t="s">
        <v>1299</v>
      </c>
      <c r="P1417" s="243"/>
      <c r="Q1417" s="243"/>
      <c r="R1417" s="243"/>
      <c r="T1417" s="166"/>
      <c r="U1417" s="50"/>
      <c r="V1417" s="2394"/>
      <c r="W1417" s="1268">
        <v>869</v>
      </c>
      <c r="X1417" s="1268">
        <v>869</v>
      </c>
      <c r="Y1417" s="1268">
        <v>869</v>
      </c>
      <c r="Z1417" s="1268">
        <v>869</v>
      </c>
      <c r="AA1417" s="1268">
        <v>869</v>
      </c>
      <c r="AB1417" s="1268">
        <v>869</v>
      </c>
      <c r="AC1417" s="1268">
        <v>869</v>
      </c>
      <c r="AD1417" s="1268">
        <v>869</v>
      </c>
      <c r="AE1417" s="1268">
        <v>869</v>
      </c>
      <c r="AF1417" s="253">
        <v>869</v>
      </c>
      <c r="AG1417" s="253">
        <f t="shared" si="220"/>
        <v>869</v>
      </c>
      <c r="DG1417" s="543"/>
      <c r="DH1417" s="149"/>
      <c r="DI1417" s="1020"/>
      <c r="DJ1417" s="2045"/>
    </row>
    <row r="1418" spans="1:114" ht="15" customHeight="1" outlineLevel="1" x14ac:dyDescent="0.25">
      <c r="A1418" s="2145"/>
      <c r="C1418" s="49"/>
      <c r="D1418" s="2394"/>
      <c r="E1418" s="2394"/>
      <c r="F1418" s="2404" t="str">
        <f>$E$707</f>
        <v>ASHP-SEER18-Replace_CAC_NonElectricHeat_ROF_SF</v>
      </c>
      <c r="G1418" s="2404"/>
      <c r="H1418" s="2404"/>
      <c r="I1418" s="2404"/>
      <c r="J1418" s="1506" t="str">
        <f>$C$707</f>
        <v>353210_2024_12_</v>
      </c>
      <c r="K1418" s="1534">
        <v>869</v>
      </c>
      <c r="L1418" s="244"/>
      <c r="M1418" s="1240" t="s">
        <v>1299</v>
      </c>
      <c r="P1418" s="243"/>
      <c r="Q1418" s="243"/>
      <c r="R1418" s="243"/>
      <c r="T1418" s="166"/>
      <c r="U1418" s="50"/>
      <c r="V1418" s="2394"/>
      <c r="W1418" s="1268"/>
      <c r="X1418" s="1268"/>
      <c r="Y1418" s="1268"/>
      <c r="Z1418" s="1268"/>
      <c r="AA1418" s="1268"/>
      <c r="AB1418" s="1268"/>
      <c r="AC1418" s="1268"/>
      <c r="AD1418" s="779">
        <v>869</v>
      </c>
      <c r="AE1418" s="1268">
        <v>869</v>
      </c>
      <c r="AF1418" s="253">
        <v>869</v>
      </c>
      <c r="AG1418" s="253">
        <f t="shared" si="220"/>
        <v>869</v>
      </c>
      <c r="DG1418" s="543"/>
      <c r="DH1418" s="149"/>
      <c r="DI1418" s="1020"/>
      <c r="DJ1418" s="2045"/>
    </row>
    <row r="1419" spans="1:114" ht="15" customHeight="1" outlineLevel="1" x14ac:dyDescent="0.25">
      <c r="A1419" s="2145"/>
      <c r="C1419" s="49"/>
      <c r="D1419" s="2394"/>
      <c r="E1419" s="2394"/>
      <c r="F1419" s="2404" t="str">
        <f>$E$709</f>
        <v>ASHP-SEER19-Replace_CAC_ElectricHeat_ROF_SF</v>
      </c>
      <c r="G1419" s="2404"/>
      <c r="H1419" s="2404"/>
      <c r="I1419" s="2404"/>
      <c r="J1419" s="1506" t="str">
        <f>$C$709</f>
        <v>353300_2024_12_</v>
      </c>
      <c r="K1419" s="1534">
        <v>869</v>
      </c>
      <c r="L1419" s="244"/>
      <c r="M1419" s="1240" t="s">
        <v>1299</v>
      </c>
      <c r="P1419" s="243"/>
      <c r="Q1419" s="243"/>
      <c r="R1419" s="243"/>
      <c r="T1419" s="166"/>
      <c r="U1419" s="50"/>
      <c r="V1419" s="2394"/>
      <c r="W1419" s="1268">
        <v>869</v>
      </c>
      <c r="X1419" s="1268">
        <v>869</v>
      </c>
      <c r="Y1419" s="1268">
        <v>869</v>
      </c>
      <c r="Z1419" s="1268">
        <v>869</v>
      </c>
      <c r="AA1419" s="1268">
        <v>869</v>
      </c>
      <c r="AB1419" s="1268">
        <v>869</v>
      </c>
      <c r="AC1419" s="1268">
        <v>869</v>
      </c>
      <c r="AD1419" s="1268">
        <v>869</v>
      </c>
      <c r="AE1419" s="1268">
        <v>869</v>
      </c>
      <c r="AF1419" s="253">
        <v>869</v>
      </c>
      <c r="AG1419" s="253">
        <f t="shared" si="220"/>
        <v>869</v>
      </c>
      <c r="DG1419" s="543"/>
      <c r="DH1419" s="149"/>
      <c r="DI1419" s="1020"/>
      <c r="DJ1419" s="2045"/>
    </row>
    <row r="1420" spans="1:114" ht="15" customHeight="1" outlineLevel="1" x14ac:dyDescent="0.25">
      <c r="A1420" s="2145"/>
      <c r="C1420" s="49"/>
      <c r="D1420" s="2394"/>
      <c r="E1420" s="2394"/>
      <c r="F1420" s="2404" t="str">
        <f>$E$711</f>
        <v>ASHP-SEER19-Replace_CAC_NonElectricHeat_ROF_SF</v>
      </c>
      <c r="G1420" s="2404"/>
      <c r="H1420" s="2404"/>
      <c r="I1420" s="2404"/>
      <c r="J1420" s="1506" t="str">
        <f>$C$711</f>
        <v>353310_2024_12_</v>
      </c>
      <c r="K1420" s="1534">
        <v>869</v>
      </c>
      <c r="L1420" s="244"/>
      <c r="M1420" s="1240" t="s">
        <v>1299</v>
      </c>
      <c r="P1420" s="243"/>
      <c r="Q1420" s="243"/>
      <c r="R1420" s="243"/>
      <c r="T1420" s="166"/>
      <c r="U1420" s="50"/>
      <c r="V1420" s="2394"/>
      <c r="W1420" s="1268"/>
      <c r="X1420" s="1268"/>
      <c r="Y1420" s="1268"/>
      <c r="Z1420" s="1268"/>
      <c r="AA1420" s="1268"/>
      <c r="AB1420" s="1268"/>
      <c r="AC1420" s="1268"/>
      <c r="AD1420" s="779">
        <v>869</v>
      </c>
      <c r="AE1420" s="1268">
        <v>869</v>
      </c>
      <c r="AF1420" s="253">
        <v>869</v>
      </c>
      <c r="AG1420" s="253">
        <f t="shared" si="220"/>
        <v>869</v>
      </c>
      <c r="DG1420" s="543"/>
      <c r="DH1420" s="149"/>
      <c r="DI1420" s="1020"/>
      <c r="DJ1420" s="2045"/>
    </row>
    <row r="1421" spans="1:114" ht="15" customHeight="1" outlineLevel="1" x14ac:dyDescent="0.25">
      <c r="A1421" s="2145"/>
      <c r="C1421" s="49"/>
      <c r="D1421" s="2394"/>
      <c r="E1421" s="2394"/>
      <c r="F1421" s="2404" t="str">
        <f>$E$713</f>
        <v>ASHP-SEER20-Replace_CAC_ElectricHeat_ER1_SF</v>
      </c>
      <c r="G1421" s="2404"/>
      <c r="H1421" s="2404"/>
      <c r="I1421" s="2404"/>
      <c r="J1421" s="1506" t="str">
        <f>$C$713</f>
        <v>353400_2024_12_</v>
      </c>
      <c r="K1421" s="1534">
        <v>869</v>
      </c>
      <c r="L1421" s="244"/>
      <c r="M1421" s="1240" t="s">
        <v>1299</v>
      </c>
      <c r="P1421" s="243"/>
      <c r="Q1421" s="243"/>
      <c r="R1421" s="243"/>
      <c r="T1421" s="166"/>
      <c r="U1421" s="50"/>
      <c r="V1421" s="2394"/>
      <c r="W1421" s="1268">
        <v>869</v>
      </c>
      <c r="X1421" s="1268">
        <v>869</v>
      </c>
      <c r="Y1421" s="1268">
        <v>869</v>
      </c>
      <c r="Z1421" s="1268">
        <v>869</v>
      </c>
      <c r="AA1421" s="1268">
        <v>869</v>
      </c>
      <c r="AB1421" s="1268">
        <v>869</v>
      </c>
      <c r="AC1421" s="1268">
        <v>869</v>
      </c>
      <c r="AD1421" s="1268">
        <v>869</v>
      </c>
      <c r="AE1421" s="1268">
        <v>869</v>
      </c>
      <c r="AF1421" s="253">
        <v>869</v>
      </c>
      <c r="AG1421" s="253">
        <f t="shared" si="220"/>
        <v>869</v>
      </c>
      <c r="DG1421" s="543"/>
      <c r="DH1421" s="149"/>
      <c r="DI1421" s="1020"/>
      <c r="DJ1421" s="2045"/>
    </row>
    <row r="1422" spans="1:114" ht="15" customHeight="1" outlineLevel="1" x14ac:dyDescent="0.25">
      <c r="A1422" s="2145"/>
      <c r="C1422" s="49"/>
      <c r="D1422" s="2394"/>
      <c r="E1422" s="2394"/>
      <c r="F1422" s="2404" t="str">
        <f>$E$715</f>
        <v>ASHP-SEER20-Replace_CAC_ElectricHeat_ER2_SF</v>
      </c>
      <c r="G1422" s="2404"/>
      <c r="H1422" s="2404"/>
      <c r="I1422" s="2404"/>
      <c r="J1422" s="1506" t="str">
        <f>$C$715</f>
        <v>353400_2024_12_</v>
      </c>
      <c r="K1422" s="1534">
        <v>869</v>
      </c>
      <c r="L1422" s="244"/>
      <c r="M1422" s="1240" t="s">
        <v>1299</v>
      </c>
      <c r="P1422" s="243"/>
      <c r="Q1422" s="243"/>
      <c r="R1422" s="243"/>
      <c r="T1422" s="166"/>
      <c r="U1422" s="50"/>
      <c r="V1422" s="2394"/>
      <c r="W1422" s="1268">
        <v>869</v>
      </c>
      <c r="X1422" s="1268">
        <v>869</v>
      </c>
      <c r="Y1422" s="1268">
        <v>869</v>
      </c>
      <c r="Z1422" s="1268">
        <v>869</v>
      </c>
      <c r="AA1422" s="1268">
        <v>869</v>
      </c>
      <c r="AB1422" s="1268">
        <v>869</v>
      </c>
      <c r="AC1422" s="1268">
        <v>869</v>
      </c>
      <c r="AD1422" s="1268">
        <v>869</v>
      </c>
      <c r="AE1422" s="1268">
        <v>869</v>
      </c>
      <c r="AF1422" s="253">
        <v>869</v>
      </c>
      <c r="AG1422" s="253">
        <f t="shared" si="220"/>
        <v>869</v>
      </c>
      <c r="DG1422" s="543"/>
      <c r="DH1422" s="149"/>
      <c r="DI1422" s="1020"/>
      <c r="DJ1422" s="2045"/>
    </row>
    <row r="1423" spans="1:114" ht="15" customHeight="1" outlineLevel="1" x14ac:dyDescent="0.25">
      <c r="A1423" s="2145"/>
      <c r="C1423" s="49"/>
      <c r="D1423" s="2394"/>
      <c r="E1423" s="2394"/>
      <c r="F1423" s="2404" t="str">
        <f>$E$717</f>
        <v>ASHP-SEER20-Replace_CAC_NonElectricHeat_ER1_SF</v>
      </c>
      <c r="G1423" s="2404"/>
      <c r="H1423" s="2404"/>
      <c r="I1423" s="2404"/>
      <c r="J1423" s="1506" t="str">
        <f>$C$717</f>
        <v>353410_2024_12_</v>
      </c>
      <c r="K1423" s="1534">
        <v>869</v>
      </c>
      <c r="L1423" s="244"/>
      <c r="M1423" s="1240" t="s">
        <v>1299</v>
      </c>
      <c r="P1423" s="243"/>
      <c r="Q1423" s="243"/>
      <c r="R1423" s="243"/>
      <c r="T1423" s="166"/>
      <c r="U1423" s="50"/>
      <c r="V1423" s="2394"/>
      <c r="W1423" s="1268"/>
      <c r="X1423" s="1268"/>
      <c r="Y1423" s="1268"/>
      <c r="Z1423" s="1268"/>
      <c r="AA1423" s="1268"/>
      <c r="AB1423" s="1268"/>
      <c r="AC1423" s="779">
        <v>869</v>
      </c>
      <c r="AD1423" s="1268">
        <v>869</v>
      </c>
      <c r="AE1423" s="1268">
        <v>869</v>
      </c>
      <c r="AF1423" s="253">
        <v>869</v>
      </c>
      <c r="AG1423" s="253">
        <f t="shared" si="220"/>
        <v>869</v>
      </c>
      <c r="DG1423" s="543"/>
      <c r="DH1423" s="149"/>
      <c r="DI1423" s="1020"/>
      <c r="DJ1423" s="2045"/>
    </row>
    <row r="1424" spans="1:114" ht="15" customHeight="1" outlineLevel="1" x14ac:dyDescent="0.25">
      <c r="A1424" s="2145"/>
      <c r="C1424" s="49"/>
      <c r="D1424" s="2394"/>
      <c r="E1424" s="2394"/>
      <c r="F1424" s="2404" t="str">
        <f>$E$719</f>
        <v>ASHP-SEER20-Replace_CAC_NonElectricHeat_ER2_SF</v>
      </c>
      <c r="G1424" s="2404"/>
      <c r="H1424" s="2404"/>
      <c r="I1424" s="2404"/>
      <c r="J1424" s="1506" t="str">
        <f>$C$719</f>
        <v>353410_2024_12_</v>
      </c>
      <c r="K1424" s="1534">
        <v>869</v>
      </c>
      <c r="L1424" s="244"/>
      <c r="M1424" s="1240" t="s">
        <v>1299</v>
      </c>
      <c r="P1424" s="243"/>
      <c r="Q1424" s="243"/>
      <c r="R1424" s="243"/>
      <c r="T1424" s="166"/>
      <c r="U1424" s="50"/>
      <c r="V1424" s="2394"/>
      <c r="W1424" s="1268"/>
      <c r="X1424" s="1268"/>
      <c r="Y1424" s="1268"/>
      <c r="Z1424" s="1268"/>
      <c r="AA1424" s="1268"/>
      <c r="AB1424" s="1268"/>
      <c r="AC1424" s="779">
        <v>869</v>
      </c>
      <c r="AD1424" s="1268">
        <v>869</v>
      </c>
      <c r="AE1424" s="1268">
        <v>869</v>
      </c>
      <c r="AF1424" s="253">
        <v>869</v>
      </c>
      <c r="AG1424" s="253">
        <f t="shared" si="220"/>
        <v>869</v>
      </c>
      <c r="DG1424" s="543"/>
      <c r="DH1424" s="149"/>
      <c r="DI1424" s="1020"/>
      <c r="DJ1424" s="2045"/>
    </row>
    <row r="1425" spans="1:114" ht="15.75" customHeight="1" outlineLevel="1" x14ac:dyDescent="0.25">
      <c r="A1425" s="2145"/>
      <c r="C1425" s="49"/>
      <c r="D1425" s="2394"/>
      <c r="E1425" s="2394"/>
      <c r="F1425" s="1968" t="s">
        <v>1180</v>
      </c>
      <c r="G1425" s="1969"/>
      <c r="H1425" s="1969"/>
      <c r="I1425" s="1970"/>
      <c r="J1425" s="2095" t="s">
        <v>1179</v>
      </c>
      <c r="K1425" s="1975">
        <v>869</v>
      </c>
      <c r="L1425" s="913"/>
      <c r="M1425" s="1307" t="s">
        <v>1299</v>
      </c>
      <c r="T1425" s="50"/>
      <c r="U1425" s="50"/>
      <c r="V1425" s="2394"/>
      <c r="W1425" s="1268"/>
      <c r="X1425" s="1268"/>
      <c r="Y1425" s="1268"/>
      <c r="Z1425" s="1268"/>
      <c r="AA1425" s="1268"/>
      <c r="AB1425" s="1268"/>
      <c r="AC1425" s="752"/>
      <c r="AD1425" s="966"/>
      <c r="AE1425" s="909"/>
      <c r="AF1425" s="253"/>
      <c r="AG1425" s="253">
        <f>IF(K1425&lt;&gt;"",K1425,"")</f>
        <v>869</v>
      </c>
      <c r="DG1425" s="543"/>
      <c r="DH1425" s="149"/>
      <c r="DI1425" s="1020"/>
      <c r="DJ1425" s="2045"/>
    </row>
    <row r="1426" spans="1:114" ht="15.75" customHeight="1" outlineLevel="1" x14ac:dyDescent="0.25">
      <c r="A1426" s="2145"/>
      <c r="C1426" s="49"/>
      <c r="D1426" s="2394"/>
      <c r="E1426" s="2394"/>
      <c r="F1426" s="1968" t="s">
        <v>1181</v>
      </c>
      <c r="G1426" s="1969"/>
      <c r="H1426" s="1969"/>
      <c r="I1426" s="1970"/>
      <c r="J1426" s="2095" t="s">
        <v>1179</v>
      </c>
      <c r="K1426" s="1975">
        <v>869</v>
      </c>
      <c r="L1426" s="913"/>
      <c r="M1426" s="1307" t="s">
        <v>1299</v>
      </c>
      <c r="T1426" s="50"/>
      <c r="U1426" s="50"/>
      <c r="V1426" s="2394"/>
      <c r="W1426" s="1268"/>
      <c r="X1426" s="1268"/>
      <c r="Y1426" s="1268"/>
      <c r="Z1426" s="1268"/>
      <c r="AA1426" s="1268"/>
      <c r="AB1426" s="1268"/>
      <c r="AC1426" s="752"/>
      <c r="AD1426" s="966"/>
      <c r="AE1426" s="909"/>
      <c r="AF1426" s="253"/>
      <c r="AG1426" s="253">
        <f>IF(K1426&lt;&gt;"",K1426,"")</f>
        <v>869</v>
      </c>
      <c r="DG1426" s="543"/>
      <c r="DH1426" s="149"/>
      <c r="DI1426" s="1020"/>
      <c r="DJ1426" s="2045"/>
    </row>
    <row r="1427" spans="1:114" ht="15" customHeight="1" outlineLevel="1" x14ac:dyDescent="0.25">
      <c r="A1427" s="2145"/>
      <c r="C1427" s="49"/>
      <c r="D1427" s="2394"/>
      <c r="E1427" s="2394"/>
      <c r="F1427" s="2404" t="str">
        <f>$E$725</f>
        <v>ASHP-SEER20-Replace_CAC_ElectricHeat_ROF_SF</v>
      </c>
      <c r="G1427" s="2404"/>
      <c r="H1427" s="2404"/>
      <c r="I1427" s="2404"/>
      <c r="J1427" s="1506" t="str">
        <f>$C$725</f>
        <v>353450_2024_12_</v>
      </c>
      <c r="K1427" s="1534">
        <v>869</v>
      </c>
      <c r="L1427" s="244"/>
      <c r="M1427" s="1240" t="s">
        <v>1299</v>
      </c>
      <c r="P1427" s="243"/>
      <c r="Q1427" s="243"/>
      <c r="R1427" s="243"/>
      <c r="T1427" s="166"/>
      <c r="U1427" s="50"/>
      <c r="V1427" s="2394"/>
      <c r="W1427" s="1268">
        <v>869</v>
      </c>
      <c r="X1427" s="1268">
        <v>869</v>
      </c>
      <c r="Y1427" s="1268">
        <v>869</v>
      </c>
      <c r="Z1427" s="1268">
        <v>869</v>
      </c>
      <c r="AA1427" s="1268">
        <v>869</v>
      </c>
      <c r="AB1427" s="1268">
        <v>869</v>
      </c>
      <c r="AC1427" s="1268">
        <v>869</v>
      </c>
      <c r="AD1427" s="1268">
        <v>869</v>
      </c>
      <c r="AE1427" s="1268">
        <v>869</v>
      </c>
      <c r="AF1427" s="253">
        <v>869</v>
      </c>
      <c r="AG1427" s="253">
        <f t="shared" si="220"/>
        <v>869</v>
      </c>
      <c r="DG1427" s="543"/>
      <c r="DH1427" s="149"/>
      <c r="DI1427" s="1020"/>
      <c r="DJ1427" s="2045"/>
    </row>
    <row r="1428" spans="1:114" ht="15.75" customHeight="1" outlineLevel="1" x14ac:dyDescent="0.25">
      <c r="A1428" s="2145"/>
      <c r="C1428" s="49"/>
      <c r="D1428" s="2394"/>
      <c r="E1428" s="2394"/>
      <c r="F1428" s="1968" t="s">
        <v>1185</v>
      </c>
      <c r="G1428" s="1969"/>
      <c r="H1428" s="1969"/>
      <c r="I1428" s="1970"/>
      <c r="J1428" s="2095" t="s">
        <v>1184</v>
      </c>
      <c r="K1428" s="1975">
        <v>869</v>
      </c>
      <c r="L1428" s="913"/>
      <c r="M1428" s="1307" t="s">
        <v>1299</v>
      </c>
      <c r="T1428" s="50"/>
      <c r="U1428" s="50"/>
      <c r="V1428" s="2394"/>
      <c r="W1428" s="1268"/>
      <c r="X1428" s="1268"/>
      <c r="Y1428" s="1268"/>
      <c r="Z1428" s="1268"/>
      <c r="AA1428" s="1268"/>
      <c r="AB1428" s="1268"/>
      <c r="AC1428" s="752"/>
      <c r="AD1428" s="966"/>
      <c r="AE1428" s="909"/>
      <c r="AF1428" s="253"/>
      <c r="AG1428" s="253">
        <f>IF(K1428&lt;&gt;"",K1428,"")</f>
        <v>869</v>
      </c>
      <c r="DG1428" s="543"/>
      <c r="DH1428" s="149"/>
      <c r="DI1428" s="1020"/>
      <c r="DJ1428" s="2045"/>
    </row>
    <row r="1429" spans="1:114" ht="15" customHeight="1" outlineLevel="1" x14ac:dyDescent="0.25">
      <c r="A1429" s="2145"/>
      <c r="C1429" s="49"/>
      <c r="D1429" s="2394"/>
      <c r="E1429" s="2394"/>
      <c r="F1429" s="2404" t="str">
        <f>$E$729</f>
        <v>ASHP-SEER20-Replace_CAC_NonElectricHeat_ROF_SF</v>
      </c>
      <c r="G1429" s="2404"/>
      <c r="H1429" s="2404"/>
      <c r="I1429" s="2404"/>
      <c r="J1429" s="1506" t="str">
        <f>$C$729</f>
        <v>353460_2024_12_</v>
      </c>
      <c r="K1429" s="1534">
        <v>869</v>
      </c>
      <c r="L1429" s="244"/>
      <c r="M1429" s="1240" t="s">
        <v>1299</v>
      </c>
      <c r="P1429" s="243"/>
      <c r="Q1429" s="243"/>
      <c r="R1429" s="243"/>
      <c r="T1429" s="166"/>
      <c r="U1429" s="50"/>
      <c r="V1429" s="2394"/>
      <c r="W1429" s="1268"/>
      <c r="X1429" s="1268"/>
      <c r="Y1429" s="1268"/>
      <c r="Z1429" s="1268"/>
      <c r="AA1429" s="1268"/>
      <c r="AB1429" s="1268"/>
      <c r="AC1429" s="1268"/>
      <c r="AD1429" s="779">
        <v>869</v>
      </c>
      <c r="AE1429" s="1268">
        <v>869</v>
      </c>
      <c r="AF1429" s="253">
        <v>869</v>
      </c>
      <c r="AG1429" s="253">
        <f t="shared" si="220"/>
        <v>869</v>
      </c>
      <c r="DG1429" s="543"/>
      <c r="DH1429" s="149"/>
      <c r="DI1429" s="1020"/>
      <c r="DJ1429" s="2045"/>
    </row>
    <row r="1430" spans="1:114" ht="15" customHeight="1" outlineLevel="1" x14ac:dyDescent="0.25">
      <c r="A1430" s="2145"/>
      <c r="C1430" s="49"/>
      <c r="D1430" s="2394"/>
      <c r="E1430" s="2394"/>
      <c r="F1430" s="2404" t="str">
        <f>$E$731</f>
        <v>ASHP-SEER21-Replace_CAC_ElectricHeat_ER1_SF</v>
      </c>
      <c r="G1430" s="2404"/>
      <c r="H1430" s="2404"/>
      <c r="I1430" s="2404"/>
      <c r="J1430" s="1506" t="str">
        <f>$C$731</f>
        <v>353550_2024_12_</v>
      </c>
      <c r="K1430" s="1534">
        <v>869</v>
      </c>
      <c r="L1430" s="244"/>
      <c r="M1430" s="1240" t="s">
        <v>1299</v>
      </c>
      <c r="P1430" s="243"/>
      <c r="Q1430" s="192"/>
      <c r="R1430" s="243"/>
      <c r="T1430" s="166"/>
      <c r="U1430" s="50"/>
      <c r="V1430" s="2394"/>
      <c r="W1430" s="1268">
        <v>869</v>
      </c>
      <c r="X1430" s="1268">
        <v>869</v>
      </c>
      <c r="Y1430" s="1268">
        <v>869</v>
      </c>
      <c r="Z1430" s="1268">
        <v>869</v>
      </c>
      <c r="AA1430" s="1268">
        <v>869</v>
      </c>
      <c r="AB1430" s="1268">
        <v>869</v>
      </c>
      <c r="AC1430" s="1268">
        <v>869</v>
      </c>
      <c r="AD1430" s="1268">
        <v>869</v>
      </c>
      <c r="AE1430" s="1268">
        <v>869</v>
      </c>
      <c r="AF1430" s="253">
        <v>869</v>
      </c>
      <c r="AG1430" s="253">
        <f t="shared" si="220"/>
        <v>869</v>
      </c>
      <c r="DG1430" s="543"/>
      <c r="DH1430" s="149"/>
      <c r="DI1430" s="1020"/>
      <c r="DJ1430" s="2045"/>
    </row>
    <row r="1431" spans="1:114" ht="15" customHeight="1" outlineLevel="1" x14ac:dyDescent="0.25">
      <c r="A1431" s="2145"/>
      <c r="C1431" s="49"/>
      <c r="D1431" s="2394"/>
      <c r="E1431" s="2394"/>
      <c r="F1431" s="2404" t="str">
        <f>$E$733</f>
        <v>ASHP-SEER21-Replace_CAC_ElectricHeat_ER2_SF</v>
      </c>
      <c r="G1431" s="2404"/>
      <c r="H1431" s="2404"/>
      <c r="I1431" s="2404"/>
      <c r="J1431" s="1506" t="str">
        <f>$C$733</f>
        <v>353550_2024_12_</v>
      </c>
      <c r="K1431" s="1534">
        <v>869</v>
      </c>
      <c r="L1431" s="244"/>
      <c r="M1431" s="1240" t="s">
        <v>1299</v>
      </c>
      <c r="P1431" s="243"/>
      <c r="Q1431" s="192"/>
      <c r="R1431" s="243"/>
      <c r="T1431" s="166"/>
      <c r="U1431" s="50"/>
      <c r="V1431" s="2394"/>
      <c r="W1431" s="1268">
        <v>869</v>
      </c>
      <c r="X1431" s="1268">
        <v>869</v>
      </c>
      <c r="Y1431" s="1268">
        <v>869</v>
      </c>
      <c r="Z1431" s="1268">
        <v>869</v>
      </c>
      <c r="AA1431" s="1268">
        <v>869</v>
      </c>
      <c r="AB1431" s="1268">
        <v>869</v>
      </c>
      <c r="AC1431" s="1268">
        <v>869</v>
      </c>
      <c r="AD1431" s="1268">
        <v>869</v>
      </c>
      <c r="AE1431" s="1268">
        <v>869</v>
      </c>
      <c r="AF1431" s="253">
        <v>869</v>
      </c>
      <c r="AG1431" s="253">
        <f t="shared" si="220"/>
        <v>869</v>
      </c>
      <c r="DG1431" s="543"/>
      <c r="DH1431" s="149"/>
      <c r="DI1431" s="1020"/>
      <c r="DJ1431" s="2045"/>
    </row>
    <row r="1432" spans="1:114" ht="15" customHeight="1" outlineLevel="1" x14ac:dyDescent="0.25">
      <c r="A1432" s="2145"/>
      <c r="C1432" s="49"/>
      <c r="D1432" s="2394"/>
      <c r="E1432" s="2394"/>
      <c r="F1432" s="2404" t="str">
        <f>$E$735</f>
        <v>ASHP-SEER21-Replace_CAC_NonElectricHeat_ER1_SF</v>
      </c>
      <c r="G1432" s="2404"/>
      <c r="H1432" s="2404"/>
      <c r="I1432" s="2404"/>
      <c r="J1432" s="1506" t="str">
        <f>$C$735</f>
        <v>353560_2024_12_</v>
      </c>
      <c r="K1432" s="1534">
        <v>869</v>
      </c>
      <c r="L1432" s="244"/>
      <c r="M1432" s="1240" t="s">
        <v>1299</v>
      </c>
      <c r="P1432" s="243"/>
      <c r="Q1432" s="192"/>
      <c r="R1432" s="243"/>
      <c r="T1432" s="166"/>
      <c r="U1432" s="50"/>
      <c r="V1432" s="2394"/>
      <c r="W1432" s="1268"/>
      <c r="X1432" s="1268"/>
      <c r="Y1432" s="1268"/>
      <c r="Z1432" s="1268"/>
      <c r="AA1432" s="1268"/>
      <c r="AB1432" s="1268"/>
      <c r="AC1432" s="779">
        <v>869</v>
      </c>
      <c r="AD1432" s="1268">
        <v>869</v>
      </c>
      <c r="AE1432" s="1268">
        <v>869</v>
      </c>
      <c r="AF1432" s="253">
        <v>869</v>
      </c>
      <c r="AG1432" s="253">
        <f t="shared" si="220"/>
        <v>869</v>
      </c>
      <c r="DG1432" s="543"/>
      <c r="DH1432" s="149"/>
      <c r="DI1432" s="1020"/>
      <c r="DJ1432" s="2045"/>
    </row>
    <row r="1433" spans="1:114" ht="15" customHeight="1" outlineLevel="1" x14ac:dyDescent="0.25">
      <c r="A1433" s="2145"/>
      <c r="C1433" s="49"/>
      <c r="D1433" s="2394"/>
      <c r="E1433" s="2394"/>
      <c r="F1433" s="2404" t="str">
        <f>$E$737</f>
        <v>ASHP-SEER21-Replace_CAC_NonElectricHeat_ER2_SF</v>
      </c>
      <c r="G1433" s="2404"/>
      <c r="H1433" s="2404"/>
      <c r="I1433" s="2404"/>
      <c r="J1433" s="1506" t="str">
        <f>$C$737</f>
        <v>353560_2024_12_</v>
      </c>
      <c r="K1433" s="1534">
        <v>869</v>
      </c>
      <c r="L1433" s="244"/>
      <c r="M1433" s="1240" t="s">
        <v>1299</v>
      </c>
      <c r="P1433" s="243"/>
      <c r="Q1433" s="192"/>
      <c r="R1433" s="243"/>
      <c r="T1433" s="166"/>
      <c r="U1433" s="50"/>
      <c r="V1433" s="2394"/>
      <c r="W1433" s="1268"/>
      <c r="X1433" s="1268"/>
      <c r="Y1433" s="1268"/>
      <c r="Z1433" s="1268"/>
      <c r="AA1433" s="1268"/>
      <c r="AB1433" s="1268"/>
      <c r="AC1433" s="779">
        <v>869</v>
      </c>
      <c r="AD1433" s="1268">
        <v>869</v>
      </c>
      <c r="AE1433" s="1268">
        <v>869</v>
      </c>
      <c r="AF1433" s="253">
        <v>869</v>
      </c>
      <c r="AG1433" s="253">
        <f t="shared" si="220"/>
        <v>869</v>
      </c>
      <c r="DG1433" s="543"/>
      <c r="DH1433" s="149"/>
      <c r="DI1433" s="1020"/>
      <c r="DJ1433" s="2045"/>
    </row>
    <row r="1434" spans="1:114" ht="15" customHeight="1" outlineLevel="1" x14ac:dyDescent="0.25">
      <c r="A1434" s="2145"/>
      <c r="C1434" s="49"/>
      <c r="D1434" s="2394"/>
      <c r="E1434" s="2394"/>
      <c r="F1434" s="2404" t="str">
        <f>$E$739</f>
        <v>ASHP-SEER21-Replace_CAC_ElectricHeat_ER1_MF</v>
      </c>
      <c r="G1434" s="2404"/>
      <c r="H1434" s="2404"/>
      <c r="I1434" s="2404"/>
      <c r="J1434" s="1506" t="str">
        <f>$C$739</f>
        <v>353600_2024_12_</v>
      </c>
      <c r="K1434" s="1534">
        <v>869</v>
      </c>
      <c r="L1434" s="244"/>
      <c r="M1434" s="1240" t="s">
        <v>1299</v>
      </c>
      <c r="P1434" s="243"/>
      <c r="Q1434" s="192"/>
      <c r="R1434" s="243"/>
      <c r="T1434" s="166"/>
      <c r="U1434" s="50"/>
      <c r="V1434" s="2394"/>
      <c r="W1434" s="1268">
        <v>869</v>
      </c>
      <c r="X1434" s="1268">
        <v>869</v>
      </c>
      <c r="Y1434" s="1268">
        <v>869</v>
      </c>
      <c r="Z1434" s="1268">
        <v>869</v>
      </c>
      <c r="AA1434" s="1268">
        <v>869</v>
      </c>
      <c r="AB1434" s="1268">
        <v>869</v>
      </c>
      <c r="AC1434" s="1268">
        <v>869</v>
      </c>
      <c r="AD1434" s="1268">
        <v>869</v>
      </c>
      <c r="AE1434" s="1268">
        <v>869</v>
      </c>
      <c r="AF1434" s="253">
        <v>869</v>
      </c>
      <c r="AG1434" s="253">
        <f t="shared" si="220"/>
        <v>869</v>
      </c>
      <c r="DG1434" s="543"/>
      <c r="DH1434" s="149"/>
      <c r="DI1434" s="1020"/>
      <c r="DJ1434" s="2045"/>
    </row>
    <row r="1435" spans="1:114" ht="15" customHeight="1" outlineLevel="1" x14ac:dyDescent="0.25">
      <c r="A1435" s="2145"/>
      <c r="C1435" s="49"/>
      <c r="D1435" s="2394"/>
      <c r="E1435" s="2394"/>
      <c r="F1435" s="2404" t="str">
        <f>$E$741</f>
        <v>ASHP-SEER21-Replace_CAC_ElectricHeat_ER2_MF</v>
      </c>
      <c r="G1435" s="2404"/>
      <c r="H1435" s="2404"/>
      <c r="I1435" s="2404"/>
      <c r="J1435" s="1506" t="str">
        <f>$C$741</f>
        <v>353600_2024_12_</v>
      </c>
      <c r="K1435" s="1534">
        <v>869</v>
      </c>
      <c r="L1435" s="244"/>
      <c r="M1435" s="1240" t="s">
        <v>1299</v>
      </c>
      <c r="P1435" s="243"/>
      <c r="Q1435" s="192"/>
      <c r="R1435" s="243"/>
      <c r="T1435" s="166"/>
      <c r="U1435" s="50"/>
      <c r="V1435" s="2394"/>
      <c r="W1435" s="1268">
        <v>869</v>
      </c>
      <c r="X1435" s="1268">
        <v>869</v>
      </c>
      <c r="Y1435" s="1268">
        <v>869</v>
      </c>
      <c r="Z1435" s="1268">
        <v>869</v>
      </c>
      <c r="AA1435" s="1268">
        <v>869</v>
      </c>
      <c r="AB1435" s="1268">
        <v>869</v>
      </c>
      <c r="AC1435" s="1268">
        <v>869</v>
      </c>
      <c r="AD1435" s="1268">
        <v>869</v>
      </c>
      <c r="AE1435" s="1268">
        <v>869</v>
      </c>
      <c r="AF1435" s="253">
        <v>869</v>
      </c>
      <c r="AG1435" s="253">
        <f t="shared" si="220"/>
        <v>869</v>
      </c>
      <c r="DG1435" s="543"/>
      <c r="DH1435" s="149"/>
      <c r="DI1435" s="1020"/>
      <c r="DJ1435" s="2045"/>
    </row>
    <row r="1436" spans="1:114" ht="15" customHeight="1" outlineLevel="1" x14ac:dyDescent="0.25">
      <c r="A1436" s="2145"/>
      <c r="C1436" s="49"/>
      <c r="D1436" s="2394"/>
      <c r="E1436" s="2394"/>
      <c r="F1436" s="2404" t="str">
        <f>$E$743</f>
        <v>ASHP-SEER21-Replace_CAC_ElectricHeat_ROF_SF</v>
      </c>
      <c r="G1436" s="2404"/>
      <c r="H1436" s="2404"/>
      <c r="I1436" s="2404"/>
      <c r="J1436" s="1506" t="str">
        <f>$C$743</f>
        <v>353650_2024_12_</v>
      </c>
      <c r="K1436" s="1534">
        <v>869</v>
      </c>
      <c r="L1436" s="244"/>
      <c r="M1436" s="1240" t="s">
        <v>1299</v>
      </c>
      <c r="P1436" s="243"/>
      <c r="Q1436" s="192"/>
      <c r="R1436" s="243"/>
      <c r="T1436" s="166"/>
      <c r="U1436" s="50"/>
      <c r="V1436" s="2394"/>
      <c r="W1436" s="1268">
        <v>869</v>
      </c>
      <c r="X1436" s="1268">
        <v>869</v>
      </c>
      <c r="Y1436" s="1268">
        <v>869</v>
      </c>
      <c r="Z1436" s="1268">
        <v>869</v>
      </c>
      <c r="AA1436" s="1268">
        <v>869</v>
      </c>
      <c r="AB1436" s="1268">
        <v>869</v>
      </c>
      <c r="AC1436" s="1268">
        <v>869</v>
      </c>
      <c r="AD1436" s="1268">
        <v>869</v>
      </c>
      <c r="AE1436" s="1268">
        <v>869</v>
      </c>
      <c r="AF1436" s="253">
        <v>869</v>
      </c>
      <c r="AG1436" s="253">
        <f t="shared" si="220"/>
        <v>869</v>
      </c>
      <c r="DG1436" s="543"/>
      <c r="DH1436" s="149"/>
      <c r="DI1436" s="1020"/>
      <c r="DJ1436" s="2045"/>
    </row>
    <row r="1437" spans="1:114" ht="15" customHeight="1" outlineLevel="1" x14ac:dyDescent="0.25">
      <c r="A1437" s="2145"/>
      <c r="C1437" s="49"/>
      <c r="D1437" s="2394"/>
      <c r="E1437" s="2394"/>
      <c r="F1437" s="2404" t="str">
        <f>$E$745</f>
        <v>ASHP-SEER21-Replace_CAC_NonElectricHeat_ROF_SF</v>
      </c>
      <c r="G1437" s="2404"/>
      <c r="H1437" s="2404"/>
      <c r="I1437" s="2404"/>
      <c r="J1437" s="1506" t="str">
        <f>$C$745</f>
        <v>353660_2024_12_</v>
      </c>
      <c r="K1437" s="1534">
        <v>869</v>
      </c>
      <c r="L1437" s="244"/>
      <c r="M1437" s="1240" t="s">
        <v>1299</v>
      </c>
      <c r="P1437" s="243"/>
      <c r="Q1437" s="192"/>
      <c r="R1437" s="243"/>
      <c r="T1437" s="166"/>
      <c r="U1437" s="50"/>
      <c r="V1437" s="2394"/>
      <c r="W1437" s="1268"/>
      <c r="X1437" s="1268"/>
      <c r="Y1437" s="1268"/>
      <c r="Z1437" s="1268"/>
      <c r="AA1437" s="1268"/>
      <c r="AB1437" s="1268"/>
      <c r="AC1437" s="1268"/>
      <c r="AD1437" s="779">
        <v>869</v>
      </c>
      <c r="AE1437" s="1268">
        <v>869</v>
      </c>
      <c r="AF1437" s="253">
        <v>869</v>
      </c>
      <c r="AG1437" s="253">
        <f t="shared" si="220"/>
        <v>869</v>
      </c>
      <c r="DG1437" s="543"/>
      <c r="DH1437" s="149"/>
      <c r="DI1437" s="1020"/>
      <c r="DJ1437" s="2045"/>
    </row>
    <row r="1438" spans="1:114" ht="15" customHeight="1" outlineLevel="1" x14ac:dyDescent="0.25">
      <c r="A1438" s="2145"/>
      <c r="C1438" s="49"/>
      <c r="D1438" s="2394"/>
      <c r="E1438" s="2394"/>
      <c r="F1438" s="2404" t="str">
        <f>$E$747</f>
        <v>ASHP-SEER17_ER1_SF</v>
      </c>
      <c r="G1438" s="2404"/>
      <c r="H1438" s="2404"/>
      <c r="I1438" s="2404"/>
      <c r="J1438" s="1506" t="str">
        <f>$C$747</f>
        <v>353750_2024_12_</v>
      </c>
      <c r="K1438" s="1534">
        <v>869</v>
      </c>
      <c r="L1438" s="244"/>
      <c r="M1438" s="1240" t="s">
        <v>1299</v>
      </c>
      <c r="P1438" s="243"/>
      <c r="Q1438" s="192"/>
      <c r="R1438" s="243"/>
      <c r="T1438" s="166"/>
      <c r="U1438" s="50"/>
      <c r="V1438" s="2394"/>
      <c r="W1438" s="1268">
        <v>869</v>
      </c>
      <c r="X1438" s="1268">
        <v>869</v>
      </c>
      <c r="Y1438" s="1268">
        <v>869</v>
      </c>
      <c r="Z1438" s="1268">
        <v>869</v>
      </c>
      <c r="AA1438" s="1268">
        <v>869</v>
      </c>
      <c r="AB1438" s="1268">
        <v>869</v>
      </c>
      <c r="AC1438" s="1268">
        <v>869</v>
      </c>
      <c r="AD1438" s="1268">
        <v>869</v>
      </c>
      <c r="AE1438" s="1268">
        <v>869</v>
      </c>
      <c r="AF1438" s="253">
        <v>869</v>
      </c>
      <c r="AG1438" s="253">
        <f t="shared" si="220"/>
        <v>869</v>
      </c>
      <c r="DG1438" s="543"/>
      <c r="DH1438" s="149"/>
      <c r="DI1438" s="1020"/>
      <c r="DJ1438" s="2045"/>
    </row>
    <row r="1439" spans="1:114" ht="15" customHeight="1" outlineLevel="1" x14ac:dyDescent="0.25">
      <c r="A1439" s="2145"/>
      <c r="C1439" s="49"/>
      <c r="D1439" s="2394"/>
      <c r="E1439" s="2394"/>
      <c r="F1439" s="2404" t="str">
        <f>$E$749</f>
        <v>ASHP-SEER17_ER2_SF</v>
      </c>
      <c r="G1439" s="2404"/>
      <c r="H1439" s="2404"/>
      <c r="I1439" s="2404"/>
      <c r="J1439" s="1506" t="str">
        <f>$C$749</f>
        <v>353750_2024_12_</v>
      </c>
      <c r="K1439" s="1534">
        <v>869</v>
      </c>
      <c r="L1439" s="244"/>
      <c r="M1439" s="1240" t="s">
        <v>1299</v>
      </c>
      <c r="T1439" s="50"/>
      <c r="U1439" s="50"/>
      <c r="V1439" s="2394"/>
      <c r="W1439" s="1268">
        <v>869</v>
      </c>
      <c r="X1439" s="1268">
        <v>869</v>
      </c>
      <c r="Y1439" s="1268">
        <v>869</v>
      </c>
      <c r="Z1439" s="1268">
        <v>869</v>
      </c>
      <c r="AA1439" s="1268">
        <v>869</v>
      </c>
      <c r="AB1439" s="1268">
        <v>869</v>
      </c>
      <c r="AC1439" s="1268">
        <v>869</v>
      </c>
      <c r="AD1439" s="1268">
        <v>869</v>
      </c>
      <c r="AE1439" s="1268">
        <v>869</v>
      </c>
      <c r="AF1439" s="253">
        <v>869</v>
      </c>
      <c r="AG1439" s="253">
        <f t="shared" si="220"/>
        <v>869</v>
      </c>
      <c r="DG1439" s="543"/>
      <c r="DH1439" s="149"/>
      <c r="DI1439" s="1020"/>
      <c r="DJ1439" s="2045"/>
    </row>
    <row r="1440" spans="1:114" ht="15" customHeight="1" outlineLevel="1" x14ac:dyDescent="0.25">
      <c r="A1440" s="2145"/>
      <c r="C1440" s="49"/>
      <c r="D1440" s="2394"/>
      <c r="E1440" s="2394"/>
      <c r="F1440" s="2404" t="str">
        <f>$E$751</f>
        <v>ASHP-SEER17_ROF_SF</v>
      </c>
      <c r="G1440" s="2404"/>
      <c r="H1440" s="2404"/>
      <c r="I1440" s="2404"/>
      <c r="J1440" s="1506" t="str">
        <f>$C$751</f>
        <v>353800_2024_12_</v>
      </c>
      <c r="K1440" s="1534">
        <v>869</v>
      </c>
      <c r="L1440" s="244"/>
      <c r="M1440" s="1240" t="s">
        <v>1299</v>
      </c>
      <c r="P1440" s="243"/>
      <c r="Q1440" s="192"/>
      <c r="R1440" s="243"/>
      <c r="T1440" s="166"/>
      <c r="U1440" s="50"/>
      <c r="V1440" s="2394"/>
      <c r="W1440" s="1268">
        <v>869</v>
      </c>
      <c r="X1440" s="1268">
        <v>869</v>
      </c>
      <c r="Y1440" s="1268">
        <v>869</v>
      </c>
      <c r="Z1440" s="1268">
        <v>869</v>
      </c>
      <c r="AA1440" s="1268">
        <v>869</v>
      </c>
      <c r="AB1440" s="1268">
        <v>869</v>
      </c>
      <c r="AC1440" s="1268">
        <v>869</v>
      </c>
      <c r="AD1440" s="1268">
        <v>869</v>
      </c>
      <c r="AE1440" s="1268">
        <v>869</v>
      </c>
      <c r="AF1440" s="253">
        <v>869</v>
      </c>
      <c r="AG1440" s="253">
        <f t="shared" si="220"/>
        <v>869</v>
      </c>
      <c r="DG1440" s="543"/>
      <c r="DH1440" s="149"/>
      <c r="DI1440" s="1020"/>
      <c r="DJ1440" s="2045"/>
    </row>
    <row r="1441" spans="1:114" ht="15" customHeight="1" outlineLevel="1" x14ac:dyDescent="0.25">
      <c r="A1441" s="2145"/>
      <c r="C1441" s="49"/>
      <c r="D1441" s="2394"/>
      <c r="E1441" s="2394"/>
      <c r="F1441" s="2404" t="str">
        <f>$E$753</f>
        <v>ASHP-SEER18_ER1_SF</v>
      </c>
      <c r="G1441" s="2404"/>
      <c r="H1441" s="2404"/>
      <c r="I1441" s="2404"/>
      <c r="J1441" s="1506" t="str">
        <f>$C$753</f>
        <v>353850_2024_12_</v>
      </c>
      <c r="K1441" s="1534">
        <v>869</v>
      </c>
      <c r="L1441" s="244"/>
      <c r="M1441" s="1240" t="s">
        <v>1299</v>
      </c>
      <c r="T1441" s="50"/>
      <c r="U1441" s="50"/>
      <c r="V1441" s="2394"/>
      <c r="W1441" s="1268">
        <v>869</v>
      </c>
      <c r="X1441" s="1268">
        <v>869</v>
      </c>
      <c r="Y1441" s="1268">
        <v>869</v>
      </c>
      <c r="Z1441" s="1268">
        <v>869</v>
      </c>
      <c r="AA1441" s="1268">
        <v>869</v>
      </c>
      <c r="AB1441" s="1268">
        <v>869</v>
      </c>
      <c r="AC1441" s="1268">
        <v>869</v>
      </c>
      <c r="AD1441" s="1268">
        <v>869</v>
      </c>
      <c r="AE1441" s="1268">
        <v>869</v>
      </c>
      <c r="AF1441" s="253">
        <v>869</v>
      </c>
      <c r="AG1441" s="253">
        <f t="shared" si="220"/>
        <v>869</v>
      </c>
      <c r="DG1441" s="543"/>
      <c r="DH1441" s="149"/>
      <c r="DI1441" s="1020"/>
      <c r="DJ1441" s="2045"/>
    </row>
    <row r="1442" spans="1:114" ht="15" customHeight="1" outlineLevel="1" x14ac:dyDescent="0.25">
      <c r="A1442" s="2145"/>
      <c r="C1442" s="49"/>
      <c r="D1442" s="2394"/>
      <c r="E1442" s="2394"/>
      <c r="F1442" s="2404" t="str">
        <f>$E$755</f>
        <v>ASHP-SEER18_ER2_SF</v>
      </c>
      <c r="G1442" s="2404"/>
      <c r="H1442" s="2404"/>
      <c r="I1442" s="2404"/>
      <c r="J1442" s="1506" t="str">
        <f>$C$755</f>
        <v>353850_2024_12_</v>
      </c>
      <c r="K1442" s="1534">
        <v>869</v>
      </c>
      <c r="L1442" s="244"/>
      <c r="M1442" s="1240" t="s">
        <v>1299</v>
      </c>
      <c r="T1442" s="50"/>
      <c r="U1442" s="50"/>
      <c r="V1442" s="2394"/>
      <c r="W1442" s="1268">
        <v>869</v>
      </c>
      <c r="X1442" s="1268">
        <v>869</v>
      </c>
      <c r="Y1442" s="1268">
        <v>869</v>
      </c>
      <c r="Z1442" s="1268">
        <v>869</v>
      </c>
      <c r="AA1442" s="1268">
        <v>869</v>
      </c>
      <c r="AB1442" s="1268">
        <v>869</v>
      </c>
      <c r="AC1442" s="1268">
        <v>869</v>
      </c>
      <c r="AD1442" s="1268">
        <v>869</v>
      </c>
      <c r="AE1442" s="1268">
        <v>869</v>
      </c>
      <c r="AF1442" s="253">
        <v>869</v>
      </c>
      <c r="AG1442" s="253">
        <f t="shared" si="220"/>
        <v>869</v>
      </c>
      <c r="DG1442" s="543"/>
      <c r="DH1442" s="149"/>
      <c r="DI1442" s="1020"/>
      <c r="DJ1442" s="2045"/>
    </row>
    <row r="1443" spans="1:114" ht="15" customHeight="1" outlineLevel="1" x14ac:dyDescent="0.25">
      <c r="A1443" s="2145"/>
      <c r="C1443" s="49"/>
      <c r="D1443" s="2394"/>
      <c r="E1443" s="2394"/>
      <c r="F1443" s="2404" t="str">
        <f>$E$757</f>
        <v>ASHP-SEER18_ROF_SF</v>
      </c>
      <c r="G1443" s="2404"/>
      <c r="H1443" s="2404"/>
      <c r="I1443" s="2404"/>
      <c r="J1443" s="1506" t="str">
        <f>$C$757</f>
        <v>353950_2024_12_</v>
      </c>
      <c r="K1443" s="1534">
        <v>869</v>
      </c>
      <c r="L1443" s="244"/>
      <c r="M1443" s="1240" t="s">
        <v>1299</v>
      </c>
      <c r="P1443" s="243"/>
      <c r="Q1443" s="192"/>
      <c r="R1443" s="243"/>
      <c r="T1443" s="166"/>
      <c r="U1443" s="50"/>
      <c r="V1443" s="2394"/>
      <c r="W1443" s="1268">
        <v>869</v>
      </c>
      <c r="X1443" s="1268">
        <v>869</v>
      </c>
      <c r="Y1443" s="1268">
        <v>869</v>
      </c>
      <c r="Z1443" s="1268">
        <v>869</v>
      </c>
      <c r="AA1443" s="1268">
        <v>869</v>
      </c>
      <c r="AB1443" s="1268">
        <v>869</v>
      </c>
      <c r="AC1443" s="1268">
        <v>869</v>
      </c>
      <c r="AD1443" s="1268">
        <v>869</v>
      </c>
      <c r="AE1443" s="1268">
        <v>869</v>
      </c>
      <c r="AF1443" s="253">
        <v>869</v>
      </c>
      <c r="AG1443" s="253">
        <f t="shared" si="220"/>
        <v>869</v>
      </c>
      <c r="DG1443" s="543"/>
      <c r="DH1443" s="149"/>
      <c r="DI1443" s="1020"/>
      <c r="DJ1443" s="2045"/>
    </row>
    <row r="1444" spans="1:114" ht="15" customHeight="1" outlineLevel="1" x14ac:dyDescent="0.25">
      <c r="A1444" s="2145"/>
      <c r="C1444" s="49"/>
      <c r="D1444" s="2394"/>
      <c r="E1444" s="2394"/>
      <c r="F1444" s="2404" t="str">
        <f>$E$759</f>
        <v>ASHP-SEER19_ER1_SF</v>
      </c>
      <c r="G1444" s="2404"/>
      <c r="H1444" s="2404"/>
      <c r="I1444" s="2404"/>
      <c r="J1444" s="1506" t="str">
        <f>$C$759</f>
        <v>354000_2024_12_</v>
      </c>
      <c r="K1444" s="1534">
        <v>869</v>
      </c>
      <c r="L1444" s="244"/>
      <c r="M1444" s="1240" t="s">
        <v>1299</v>
      </c>
      <c r="T1444" s="50"/>
      <c r="U1444" s="50"/>
      <c r="V1444" s="2394"/>
      <c r="W1444" s="1268">
        <v>869</v>
      </c>
      <c r="X1444" s="1268">
        <v>869</v>
      </c>
      <c r="Y1444" s="1268">
        <v>869</v>
      </c>
      <c r="Z1444" s="1268">
        <v>869</v>
      </c>
      <c r="AA1444" s="1268">
        <v>869</v>
      </c>
      <c r="AB1444" s="1268">
        <v>869</v>
      </c>
      <c r="AC1444" s="1268">
        <v>869</v>
      </c>
      <c r="AD1444" s="1268">
        <v>869</v>
      </c>
      <c r="AE1444" s="1268">
        <v>869</v>
      </c>
      <c r="AF1444" s="253">
        <v>869</v>
      </c>
      <c r="AG1444" s="253">
        <f t="shared" si="220"/>
        <v>869</v>
      </c>
      <c r="DG1444" s="543"/>
      <c r="DH1444" s="149"/>
      <c r="DI1444" s="1020"/>
      <c r="DJ1444" s="2045"/>
    </row>
    <row r="1445" spans="1:114" ht="15" customHeight="1" outlineLevel="1" x14ac:dyDescent="0.25">
      <c r="A1445" s="2145"/>
      <c r="C1445" s="49"/>
      <c r="D1445" s="2394"/>
      <c r="E1445" s="2394"/>
      <c r="F1445" s="2404" t="str">
        <f>$E$761</f>
        <v>ASHP-SEER19_ER2_SF</v>
      </c>
      <c r="G1445" s="2404"/>
      <c r="H1445" s="2404"/>
      <c r="I1445" s="2404"/>
      <c r="J1445" s="1506" t="str">
        <f>$C$761</f>
        <v>354000_2024_12_</v>
      </c>
      <c r="K1445" s="1534">
        <v>869</v>
      </c>
      <c r="L1445" s="244"/>
      <c r="M1445" s="1240" t="s">
        <v>1299</v>
      </c>
      <c r="T1445" s="50"/>
      <c r="U1445" s="50"/>
      <c r="V1445" s="2394"/>
      <c r="W1445" s="1268">
        <v>869</v>
      </c>
      <c r="X1445" s="1268">
        <v>869</v>
      </c>
      <c r="Y1445" s="1268">
        <v>869</v>
      </c>
      <c r="Z1445" s="1268">
        <v>869</v>
      </c>
      <c r="AA1445" s="1268">
        <v>869</v>
      </c>
      <c r="AB1445" s="1268">
        <v>869</v>
      </c>
      <c r="AC1445" s="1268">
        <v>869</v>
      </c>
      <c r="AD1445" s="1268">
        <v>869</v>
      </c>
      <c r="AE1445" s="1268">
        <v>869</v>
      </c>
      <c r="AF1445" s="253">
        <v>869</v>
      </c>
      <c r="AG1445" s="253">
        <f t="shared" si="220"/>
        <v>869</v>
      </c>
      <c r="DG1445" s="543"/>
      <c r="DH1445" s="149"/>
      <c r="DI1445" s="1020"/>
      <c r="DJ1445" s="2045"/>
    </row>
    <row r="1446" spans="1:114" ht="15" customHeight="1" outlineLevel="1" x14ac:dyDescent="0.25">
      <c r="A1446" s="2145"/>
      <c r="C1446" s="49"/>
      <c r="D1446" s="2394"/>
      <c r="E1446" s="2394"/>
      <c r="F1446" s="2404" t="str">
        <f>$E$763</f>
        <v>ASHP-SEER19_ROF_SF</v>
      </c>
      <c r="G1446" s="2404"/>
      <c r="H1446" s="2404"/>
      <c r="I1446" s="2404"/>
      <c r="J1446" s="1506" t="str">
        <f>$C$763</f>
        <v>354050_2024_12_</v>
      </c>
      <c r="K1446" s="1534">
        <v>869</v>
      </c>
      <c r="L1446" s="244"/>
      <c r="M1446" s="1240" t="s">
        <v>1299</v>
      </c>
      <c r="P1446" s="243"/>
      <c r="Q1446" s="192"/>
      <c r="R1446" s="243"/>
      <c r="T1446" s="166"/>
      <c r="U1446" s="50"/>
      <c r="V1446" s="2394"/>
      <c r="W1446" s="1268">
        <v>869</v>
      </c>
      <c r="X1446" s="1268">
        <v>869</v>
      </c>
      <c r="Y1446" s="1268">
        <v>869</v>
      </c>
      <c r="Z1446" s="1268">
        <v>869</v>
      </c>
      <c r="AA1446" s="1268">
        <v>869</v>
      </c>
      <c r="AB1446" s="1268">
        <v>869</v>
      </c>
      <c r="AC1446" s="1268">
        <v>869</v>
      </c>
      <c r="AD1446" s="1268">
        <v>869</v>
      </c>
      <c r="AE1446" s="1268">
        <v>869</v>
      </c>
      <c r="AF1446" s="253">
        <v>869</v>
      </c>
      <c r="AG1446" s="253">
        <f t="shared" si="220"/>
        <v>869</v>
      </c>
      <c r="DG1446" s="543"/>
      <c r="DH1446" s="149"/>
      <c r="DI1446" s="1020"/>
      <c r="DJ1446" s="2045"/>
    </row>
    <row r="1447" spans="1:114" ht="15" customHeight="1" outlineLevel="1" x14ac:dyDescent="0.25">
      <c r="A1447" s="2145"/>
      <c r="C1447" s="49"/>
      <c r="D1447" s="2394"/>
      <c r="E1447" s="2394"/>
      <c r="F1447" s="2404" t="str">
        <f>$E$765</f>
        <v>ASHP-SEER17-Replace_CAC_ElectricHeat_ER1_SF</v>
      </c>
      <c r="G1447" s="2404"/>
      <c r="H1447" s="2404"/>
      <c r="I1447" s="2404"/>
      <c r="J1447" s="1506" t="str">
        <f>$C$765</f>
        <v>354100_2024_12_</v>
      </c>
      <c r="K1447" s="1534">
        <v>869</v>
      </c>
      <c r="L1447" s="244"/>
      <c r="M1447" s="1240" t="s">
        <v>1299</v>
      </c>
      <c r="P1447" s="243"/>
      <c r="Q1447" s="192"/>
      <c r="R1447" s="243"/>
      <c r="T1447" s="166"/>
      <c r="U1447" s="50"/>
      <c r="V1447" s="2394"/>
      <c r="W1447" s="1268">
        <v>869</v>
      </c>
      <c r="X1447" s="1268">
        <v>869</v>
      </c>
      <c r="Y1447" s="1268">
        <v>869</v>
      </c>
      <c r="Z1447" s="1268">
        <v>869</v>
      </c>
      <c r="AA1447" s="1268">
        <v>869</v>
      </c>
      <c r="AB1447" s="1268">
        <v>869</v>
      </c>
      <c r="AC1447" s="1268">
        <v>869</v>
      </c>
      <c r="AD1447" s="1268">
        <v>869</v>
      </c>
      <c r="AE1447" s="1268">
        <v>869</v>
      </c>
      <c r="AF1447" s="253">
        <v>869</v>
      </c>
      <c r="AG1447" s="253">
        <f t="shared" si="220"/>
        <v>869</v>
      </c>
      <c r="DG1447" s="543"/>
      <c r="DH1447" s="149"/>
      <c r="DI1447" s="1020"/>
      <c r="DJ1447" s="2045"/>
    </row>
    <row r="1448" spans="1:114" ht="15" customHeight="1" outlineLevel="1" x14ac:dyDescent="0.25">
      <c r="A1448" s="2145"/>
      <c r="C1448" s="49"/>
      <c r="D1448" s="2394"/>
      <c r="E1448" s="2394"/>
      <c r="F1448" s="2404" t="str">
        <f>$E$767</f>
        <v>ASHP-SEER17-Replace_CAC_ElectricHeat_ER2_SF</v>
      </c>
      <c r="G1448" s="2404"/>
      <c r="H1448" s="2404"/>
      <c r="I1448" s="2404"/>
      <c r="J1448" s="1506" t="str">
        <f>$C$767</f>
        <v>354100_2024_12_</v>
      </c>
      <c r="K1448" s="1534">
        <v>869</v>
      </c>
      <c r="L1448" s="244"/>
      <c r="M1448" s="1240" t="s">
        <v>1299</v>
      </c>
      <c r="P1448" s="243"/>
      <c r="Q1448" s="192"/>
      <c r="R1448" s="243"/>
      <c r="T1448" s="166"/>
      <c r="U1448" s="50"/>
      <c r="V1448" s="2394"/>
      <c r="W1448" s="1268">
        <v>869</v>
      </c>
      <c r="X1448" s="1268">
        <v>869</v>
      </c>
      <c r="Y1448" s="1268">
        <v>869</v>
      </c>
      <c r="Z1448" s="1268">
        <v>869</v>
      </c>
      <c r="AA1448" s="1268">
        <v>869</v>
      </c>
      <c r="AB1448" s="1268">
        <v>869</v>
      </c>
      <c r="AC1448" s="1268">
        <v>869</v>
      </c>
      <c r="AD1448" s="1268">
        <v>869</v>
      </c>
      <c r="AE1448" s="1268">
        <v>869</v>
      </c>
      <c r="AF1448" s="253">
        <v>869</v>
      </c>
      <c r="AG1448" s="253">
        <f t="shared" si="220"/>
        <v>869</v>
      </c>
      <c r="DG1448" s="543"/>
      <c r="DH1448" s="149"/>
      <c r="DI1448" s="1020"/>
      <c r="DJ1448" s="2045"/>
    </row>
    <row r="1449" spans="1:114" ht="15" customHeight="1" outlineLevel="1" x14ac:dyDescent="0.25">
      <c r="A1449" s="2145"/>
      <c r="C1449" s="49"/>
      <c r="D1449" s="2394"/>
      <c r="E1449" s="2394"/>
      <c r="F1449" s="2404" t="str">
        <f>$E$769</f>
        <v>ASHP-SEER17-Replace_CAC_NonElectricHeat_ER1_SF</v>
      </c>
      <c r="G1449" s="2404"/>
      <c r="H1449" s="2404"/>
      <c r="I1449" s="2404"/>
      <c r="J1449" s="1506" t="str">
        <f>$C$769</f>
        <v>354110_2024_12_</v>
      </c>
      <c r="K1449" s="1534">
        <v>869</v>
      </c>
      <c r="L1449" s="244"/>
      <c r="M1449" s="1240" t="s">
        <v>1299</v>
      </c>
      <c r="P1449" s="243"/>
      <c r="Q1449" s="192"/>
      <c r="R1449" s="243"/>
      <c r="T1449" s="166"/>
      <c r="U1449" s="50"/>
      <c r="V1449" s="2394"/>
      <c r="W1449" s="1268"/>
      <c r="X1449" s="1268"/>
      <c r="Y1449" s="1268"/>
      <c r="Z1449" s="1268"/>
      <c r="AA1449" s="1268"/>
      <c r="AB1449" s="1268"/>
      <c r="AC1449" s="779">
        <v>869</v>
      </c>
      <c r="AD1449" s="1268">
        <v>869</v>
      </c>
      <c r="AE1449" s="1268">
        <v>869</v>
      </c>
      <c r="AF1449" s="253">
        <v>869</v>
      </c>
      <c r="AG1449" s="253">
        <f t="shared" si="220"/>
        <v>869</v>
      </c>
      <c r="DG1449" s="543"/>
      <c r="DH1449" s="149"/>
      <c r="DI1449" s="1020"/>
      <c r="DJ1449" s="2045"/>
    </row>
    <row r="1450" spans="1:114" ht="15" customHeight="1" outlineLevel="1" x14ac:dyDescent="0.25">
      <c r="A1450" s="2145"/>
      <c r="C1450" s="49"/>
      <c r="D1450" s="2394"/>
      <c r="E1450" s="2394"/>
      <c r="F1450" s="2404" t="str">
        <f>$E$771</f>
        <v>ASHP-SEER17-Replace_CAC_NonElectricHeat_ER2_SF</v>
      </c>
      <c r="G1450" s="2404"/>
      <c r="H1450" s="2404"/>
      <c r="I1450" s="2404"/>
      <c r="J1450" s="1506" t="str">
        <f>$C$771</f>
        <v>354110_2024_12_</v>
      </c>
      <c r="K1450" s="1534">
        <v>869</v>
      </c>
      <c r="L1450" s="244"/>
      <c r="M1450" s="1240" t="s">
        <v>1299</v>
      </c>
      <c r="P1450" s="243"/>
      <c r="Q1450" s="192"/>
      <c r="R1450" s="243"/>
      <c r="T1450" s="166"/>
      <c r="U1450" s="50"/>
      <c r="V1450" s="2394"/>
      <c r="W1450" s="1268"/>
      <c r="X1450" s="1268"/>
      <c r="Y1450" s="1268"/>
      <c r="Z1450" s="1268"/>
      <c r="AA1450" s="1268"/>
      <c r="AB1450" s="1268"/>
      <c r="AC1450" s="779">
        <v>869</v>
      </c>
      <c r="AD1450" s="1268">
        <v>869</v>
      </c>
      <c r="AE1450" s="1268">
        <v>869</v>
      </c>
      <c r="AF1450" s="253">
        <v>869</v>
      </c>
      <c r="AG1450" s="253">
        <f t="shared" si="220"/>
        <v>869</v>
      </c>
      <c r="DG1450" s="543"/>
      <c r="DH1450" s="149"/>
      <c r="DI1450" s="1020"/>
      <c r="DJ1450" s="2045"/>
    </row>
    <row r="1451" spans="1:114" ht="15.75" customHeight="1" outlineLevel="1" x14ac:dyDescent="0.25">
      <c r="A1451" s="2145"/>
      <c r="C1451" s="49"/>
      <c r="D1451" s="2394"/>
      <c r="E1451" s="2394"/>
      <c r="F1451" s="1968" t="s">
        <v>1223</v>
      </c>
      <c r="G1451" s="1969"/>
      <c r="H1451" s="1969"/>
      <c r="I1451" s="1970"/>
      <c r="J1451" s="2095" t="s">
        <v>1222</v>
      </c>
      <c r="K1451" s="1975">
        <v>869</v>
      </c>
      <c r="L1451" s="913"/>
      <c r="M1451" s="1307" t="s">
        <v>1299</v>
      </c>
      <c r="T1451" s="50"/>
      <c r="U1451" s="50"/>
      <c r="V1451" s="2394"/>
      <c r="W1451" s="1268"/>
      <c r="X1451" s="1268"/>
      <c r="Y1451" s="1268"/>
      <c r="Z1451" s="1268"/>
      <c r="AA1451" s="1268"/>
      <c r="AB1451" s="1268"/>
      <c r="AC1451" s="752"/>
      <c r="AD1451" s="966"/>
      <c r="AE1451" s="909"/>
      <c r="AF1451" s="253"/>
      <c r="AG1451" s="253">
        <f>IF(K1451&lt;&gt;"",K1451,"")</f>
        <v>869</v>
      </c>
      <c r="DG1451" s="543"/>
      <c r="DH1451" s="149"/>
      <c r="DI1451" s="1020"/>
      <c r="DJ1451" s="2045"/>
    </row>
    <row r="1452" spans="1:114" ht="15.75" customHeight="1" outlineLevel="1" x14ac:dyDescent="0.25">
      <c r="A1452" s="2145"/>
      <c r="C1452" s="49"/>
      <c r="D1452" s="2394"/>
      <c r="E1452" s="2394"/>
      <c r="F1452" s="1968" t="s">
        <v>1224</v>
      </c>
      <c r="G1452" s="1969"/>
      <c r="H1452" s="1969"/>
      <c r="I1452" s="1970"/>
      <c r="J1452" s="2095" t="s">
        <v>1222</v>
      </c>
      <c r="K1452" s="1975">
        <v>869</v>
      </c>
      <c r="L1452" s="913"/>
      <c r="M1452" s="1307" t="s">
        <v>1299</v>
      </c>
      <c r="T1452" s="50"/>
      <c r="U1452" s="50"/>
      <c r="V1452" s="2394"/>
      <c r="W1452" s="1268"/>
      <c r="X1452" s="1268"/>
      <c r="Y1452" s="1268"/>
      <c r="Z1452" s="1268"/>
      <c r="AA1452" s="1268"/>
      <c r="AB1452" s="1268"/>
      <c r="AC1452" s="752"/>
      <c r="AD1452" s="966"/>
      <c r="AE1452" s="909"/>
      <c r="AF1452" s="253"/>
      <c r="AG1452" s="253">
        <f>IF(K1452&lt;&gt;"",K1452,"")</f>
        <v>869</v>
      </c>
      <c r="DG1452" s="543"/>
      <c r="DH1452" s="149"/>
      <c r="DI1452" s="1020"/>
      <c r="DJ1452" s="2045"/>
    </row>
    <row r="1453" spans="1:114" ht="15" customHeight="1" outlineLevel="1" x14ac:dyDescent="0.25">
      <c r="A1453" s="2145"/>
      <c r="C1453" s="49"/>
      <c r="D1453" s="2394"/>
      <c r="E1453" s="2394"/>
      <c r="F1453" s="2404" t="str">
        <f>$E$777</f>
        <v>ASHP-SEER17-Replace_CAC_ElectricHeat_ER1_MF</v>
      </c>
      <c r="G1453" s="2404"/>
      <c r="H1453" s="2404"/>
      <c r="I1453" s="2404"/>
      <c r="J1453" s="1506" t="str">
        <f>$C$777</f>
        <v>354150_2024_12_</v>
      </c>
      <c r="K1453" s="1534">
        <v>869</v>
      </c>
      <c r="L1453" s="244"/>
      <c r="M1453" s="1240" t="s">
        <v>1299</v>
      </c>
      <c r="P1453" s="243"/>
      <c r="Q1453" s="192"/>
      <c r="R1453" s="243"/>
      <c r="T1453" s="166"/>
      <c r="U1453" s="50"/>
      <c r="V1453" s="2394"/>
      <c r="W1453" s="1268">
        <v>869</v>
      </c>
      <c r="X1453" s="1268">
        <v>869</v>
      </c>
      <c r="Y1453" s="1268">
        <v>869</v>
      </c>
      <c r="Z1453" s="1268">
        <v>869</v>
      </c>
      <c r="AA1453" s="1268">
        <v>869</v>
      </c>
      <c r="AB1453" s="1268">
        <v>869</v>
      </c>
      <c r="AC1453" s="1268">
        <v>869</v>
      </c>
      <c r="AD1453" s="1268">
        <v>869</v>
      </c>
      <c r="AE1453" s="1268">
        <v>869</v>
      </c>
      <c r="AF1453" s="253">
        <v>869</v>
      </c>
      <c r="AG1453" s="253">
        <f t="shared" si="220"/>
        <v>869</v>
      </c>
      <c r="DG1453" s="543"/>
      <c r="DH1453" s="149"/>
      <c r="DI1453" s="1020"/>
      <c r="DJ1453" s="2045"/>
    </row>
    <row r="1454" spans="1:114" ht="15" customHeight="1" outlineLevel="1" x14ac:dyDescent="0.25">
      <c r="A1454" s="2145"/>
      <c r="C1454" s="49"/>
      <c r="D1454" s="2394"/>
      <c r="E1454" s="2394"/>
      <c r="F1454" s="2404" t="str">
        <f>$E$779</f>
        <v>ASHP-SEER17-Replace_CAC_ElectricHeat_ER2_MF</v>
      </c>
      <c r="G1454" s="2404"/>
      <c r="H1454" s="2404"/>
      <c r="I1454" s="2404"/>
      <c r="J1454" s="1506" t="str">
        <f>$C$779</f>
        <v>354150_2024_12_</v>
      </c>
      <c r="K1454" s="1534">
        <v>869</v>
      </c>
      <c r="L1454" s="244"/>
      <c r="M1454" s="1240" t="s">
        <v>1299</v>
      </c>
      <c r="P1454" s="243"/>
      <c r="Q1454" s="192"/>
      <c r="R1454" s="243"/>
      <c r="T1454" s="166"/>
      <c r="U1454" s="50"/>
      <c r="V1454" s="2394"/>
      <c r="W1454" s="1268">
        <v>869</v>
      </c>
      <c r="X1454" s="1268">
        <v>869</v>
      </c>
      <c r="Y1454" s="1268">
        <v>869</v>
      </c>
      <c r="Z1454" s="1268">
        <v>869</v>
      </c>
      <c r="AA1454" s="1268">
        <v>869</v>
      </c>
      <c r="AB1454" s="1268">
        <v>869</v>
      </c>
      <c r="AC1454" s="1268">
        <v>869</v>
      </c>
      <c r="AD1454" s="1268">
        <v>869</v>
      </c>
      <c r="AE1454" s="1268">
        <v>869</v>
      </c>
      <c r="AF1454" s="253">
        <v>869</v>
      </c>
      <c r="AG1454" s="253">
        <f t="shared" si="220"/>
        <v>869</v>
      </c>
      <c r="DG1454" s="543"/>
      <c r="DH1454" s="149"/>
      <c r="DI1454" s="1020"/>
      <c r="DJ1454" s="2045"/>
    </row>
    <row r="1455" spans="1:114" ht="15" customHeight="1" outlineLevel="1" x14ac:dyDescent="0.25">
      <c r="A1455" s="2145"/>
      <c r="C1455" s="49"/>
      <c r="D1455" s="2394"/>
      <c r="E1455" s="2394"/>
      <c r="F1455" s="2404" t="str">
        <f>$E$781</f>
        <v>ASHP-SEER17_ER1_MF</v>
      </c>
      <c r="G1455" s="2404"/>
      <c r="H1455" s="2404"/>
      <c r="I1455" s="2404"/>
      <c r="J1455" s="1506" t="str">
        <f>$C$781</f>
        <v>354200_2024_12_</v>
      </c>
      <c r="K1455" s="1534">
        <v>869</v>
      </c>
      <c r="L1455" s="244"/>
      <c r="M1455" s="1307" t="s">
        <v>1299</v>
      </c>
      <c r="P1455" s="243"/>
      <c r="Q1455" s="192"/>
      <c r="R1455" s="243"/>
      <c r="T1455" s="166"/>
      <c r="U1455" s="50"/>
      <c r="V1455" s="2394"/>
      <c r="W1455" s="1268">
        <v>869</v>
      </c>
      <c r="X1455" s="1268">
        <v>869</v>
      </c>
      <c r="Y1455" s="1268">
        <v>869</v>
      </c>
      <c r="Z1455" s="1268">
        <v>869</v>
      </c>
      <c r="AA1455" s="1268">
        <v>869</v>
      </c>
      <c r="AB1455" s="1268">
        <v>869</v>
      </c>
      <c r="AC1455" s="1268">
        <v>869</v>
      </c>
      <c r="AD1455" s="1268">
        <v>869</v>
      </c>
      <c r="AE1455" s="1268">
        <v>869</v>
      </c>
      <c r="AF1455" s="253">
        <v>869</v>
      </c>
      <c r="AG1455" s="253">
        <f t="shared" si="220"/>
        <v>869</v>
      </c>
      <c r="DG1455" s="543"/>
      <c r="DH1455" s="149"/>
      <c r="DI1455" s="1020"/>
      <c r="DJ1455" s="2045"/>
    </row>
    <row r="1456" spans="1:114" ht="15" customHeight="1" outlineLevel="1" x14ac:dyDescent="0.25">
      <c r="A1456" s="2145"/>
      <c r="C1456" s="49"/>
      <c r="D1456" s="2394"/>
      <c r="E1456" s="2394"/>
      <c r="F1456" s="2404" t="str">
        <f>$E$783</f>
        <v>ASHP-SEER17_ER2_MF</v>
      </c>
      <c r="G1456" s="2404"/>
      <c r="H1456" s="2404"/>
      <c r="I1456" s="2404"/>
      <c r="J1456" s="1506" t="str">
        <f>$C$783</f>
        <v>354200_2024_12_</v>
      </c>
      <c r="K1456" s="1534">
        <v>869</v>
      </c>
      <c r="L1456" s="244"/>
      <c r="M1456" s="1307" t="s">
        <v>1299</v>
      </c>
      <c r="P1456" s="243"/>
      <c r="Q1456" s="192"/>
      <c r="R1456" s="243"/>
      <c r="T1456" s="166"/>
      <c r="U1456" s="50"/>
      <c r="V1456" s="2394"/>
      <c r="W1456" s="1268">
        <v>869</v>
      </c>
      <c r="X1456" s="1268">
        <v>869</v>
      </c>
      <c r="Y1456" s="1268">
        <v>869</v>
      </c>
      <c r="Z1456" s="1268">
        <v>869</v>
      </c>
      <c r="AA1456" s="1268">
        <v>869</v>
      </c>
      <c r="AB1456" s="1268">
        <v>869</v>
      </c>
      <c r="AC1456" s="1268">
        <v>869</v>
      </c>
      <c r="AD1456" s="1268">
        <v>869</v>
      </c>
      <c r="AE1456" s="1268">
        <v>869</v>
      </c>
      <c r="AF1456" s="253">
        <v>869</v>
      </c>
      <c r="AG1456" s="253">
        <f t="shared" si="220"/>
        <v>869</v>
      </c>
      <c r="DG1456" s="543"/>
      <c r="DH1456" s="149"/>
      <c r="DI1456" s="1020"/>
      <c r="DJ1456" s="2045"/>
    </row>
    <row r="1457" spans="1:114" ht="15" customHeight="1" outlineLevel="1" x14ac:dyDescent="0.25">
      <c r="A1457" s="2145"/>
      <c r="C1457" s="49"/>
      <c r="D1457" s="2394"/>
      <c r="E1457" s="2394"/>
      <c r="F1457" s="2404" t="str">
        <f>$E$785</f>
        <v>ASHP-SEER18-Replace_CAC_ElectricHeat_ER1_SF</v>
      </c>
      <c r="G1457" s="2404"/>
      <c r="H1457" s="2404"/>
      <c r="I1457" s="2404"/>
      <c r="J1457" s="1506" t="str">
        <f>$C$785</f>
        <v>354250_2024_12_</v>
      </c>
      <c r="K1457" s="1534">
        <v>869</v>
      </c>
      <c r="L1457" s="244"/>
      <c r="M1457" s="1307" t="s">
        <v>1299</v>
      </c>
      <c r="P1457" s="243"/>
      <c r="Q1457" s="192"/>
      <c r="R1457" s="243"/>
      <c r="T1457" s="166"/>
      <c r="U1457" s="50"/>
      <c r="V1457" s="2394"/>
      <c r="W1457" s="1268">
        <v>869</v>
      </c>
      <c r="X1457" s="1268">
        <v>869</v>
      </c>
      <c r="Y1457" s="1268">
        <v>869</v>
      </c>
      <c r="Z1457" s="1268">
        <v>869</v>
      </c>
      <c r="AA1457" s="1268">
        <v>869</v>
      </c>
      <c r="AB1457" s="1268">
        <v>869</v>
      </c>
      <c r="AC1457" s="1268">
        <v>869</v>
      </c>
      <c r="AD1457" s="1268">
        <v>869</v>
      </c>
      <c r="AE1457" s="1268">
        <v>869</v>
      </c>
      <c r="AF1457" s="253">
        <v>869</v>
      </c>
      <c r="AG1457" s="253">
        <f t="shared" si="220"/>
        <v>869</v>
      </c>
      <c r="DG1457" s="543"/>
      <c r="DH1457" s="149"/>
      <c r="DI1457" s="1020"/>
      <c r="DJ1457" s="2045"/>
    </row>
    <row r="1458" spans="1:114" ht="15" customHeight="1" outlineLevel="1" x14ac:dyDescent="0.25">
      <c r="A1458" s="2145"/>
      <c r="C1458" s="49"/>
      <c r="D1458" s="2394"/>
      <c r="E1458" s="2394"/>
      <c r="F1458" s="2404" t="str">
        <f>$E$787</f>
        <v>ASHP-SEER18-Replace_CAC_ElectricHeat_ER2_SF</v>
      </c>
      <c r="G1458" s="2404"/>
      <c r="H1458" s="2404"/>
      <c r="I1458" s="2404"/>
      <c r="J1458" s="1506" t="str">
        <f>$C$787</f>
        <v>354250_2024_12_</v>
      </c>
      <c r="K1458" s="1534">
        <v>869</v>
      </c>
      <c r="L1458" s="244"/>
      <c r="M1458" s="1307" t="s">
        <v>1299</v>
      </c>
      <c r="P1458" s="243"/>
      <c r="Q1458" s="192"/>
      <c r="R1458" s="243"/>
      <c r="T1458" s="166"/>
      <c r="U1458" s="50"/>
      <c r="V1458" s="2394"/>
      <c r="W1458" s="1268">
        <v>869</v>
      </c>
      <c r="X1458" s="1268">
        <v>869</v>
      </c>
      <c r="Y1458" s="1268">
        <v>869</v>
      </c>
      <c r="Z1458" s="1268">
        <v>869</v>
      </c>
      <c r="AA1458" s="1268">
        <v>869</v>
      </c>
      <c r="AB1458" s="1268">
        <v>869</v>
      </c>
      <c r="AC1458" s="1268">
        <v>869</v>
      </c>
      <c r="AD1458" s="1268">
        <v>869</v>
      </c>
      <c r="AE1458" s="1268">
        <v>869</v>
      </c>
      <c r="AF1458" s="253">
        <v>869</v>
      </c>
      <c r="AG1458" s="253">
        <f t="shared" si="220"/>
        <v>869</v>
      </c>
      <c r="DG1458" s="543"/>
      <c r="DH1458" s="149"/>
      <c r="DI1458" s="1020"/>
      <c r="DJ1458" s="2045"/>
    </row>
    <row r="1459" spans="1:114" ht="15" customHeight="1" outlineLevel="1" x14ac:dyDescent="0.25">
      <c r="A1459" s="2145"/>
      <c r="C1459" s="49"/>
      <c r="D1459" s="2394"/>
      <c r="E1459" s="2394"/>
      <c r="F1459" s="2404" t="str">
        <f>$E$789</f>
        <v>ASHP-SEER18-Replace_CAC_NonElectricHeat_ER1_SF</v>
      </c>
      <c r="G1459" s="2404"/>
      <c r="H1459" s="2404"/>
      <c r="I1459" s="2404"/>
      <c r="J1459" s="1506" t="str">
        <f>$C$789</f>
        <v>354260_2024_12_</v>
      </c>
      <c r="K1459" s="1534">
        <v>869</v>
      </c>
      <c r="L1459" s="244"/>
      <c r="M1459" s="1307" t="s">
        <v>1299</v>
      </c>
      <c r="P1459" s="243"/>
      <c r="Q1459" s="192"/>
      <c r="R1459" s="243"/>
      <c r="T1459" s="166"/>
      <c r="U1459" s="50"/>
      <c r="V1459" s="2394"/>
      <c r="W1459" s="1268"/>
      <c r="X1459" s="1268"/>
      <c r="Y1459" s="1268"/>
      <c r="Z1459" s="1268"/>
      <c r="AA1459" s="1268"/>
      <c r="AB1459" s="1268"/>
      <c r="AC1459" s="779">
        <v>869</v>
      </c>
      <c r="AD1459" s="1268">
        <v>869</v>
      </c>
      <c r="AE1459" s="1268">
        <v>869</v>
      </c>
      <c r="AF1459" s="253">
        <v>869</v>
      </c>
      <c r="AG1459" s="253">
        <f t="shared" si="220"/>
        <v>869</v>
      </c>
      <c r="DG1459" s="543"/>
      <c r="DH1459" s="149"/>
      <c r="DI1459" s="1020"/>
      <c r="DJ1459" s="2045"/>
    </row>
    <row r="1460" spans="1:114" ht="15" customHeight="1" outlineLevel="1" x14ac:dyDescent="0.25">
      <c r="A1460" s="2145"/>
      <c r="C1460" s="49"/>
      <c r="D1460" s="2394"/>
      <c r="E1460" s="2394"/>
      <c r="F1460" s="2404" t="str">
        <f>$E$791</f>
        <v>ASHP-SEER18-Replace_CAC_NonElectricHeat_ER2_SF</v>
      </c>
      <c r="G1460" s="2404"/>
      <c r="H1460" s="2404"/>
      <c r="I1460" s="2404"/>
      <c r="J1460" s="1506" t="str">
        <f>$C$791</f>
        <v>354260_2024_12_</v>
      </c>
      <c r="K1460" s="1534">
        <v>869</v>
      </c>
      <c r="L1460" s="244"/>
      <c r="M1460" s="1307" t="s">
        <v>1299</v>
      </c>
      <c r="P1460" s="243"/>
      <c r="Q1460" s="192"/>
      <c r="R1460" s="243"/>
      <c r="T1460" s="166"/>
      <c r="U1460" s="50"/>
      <c r="V1460" s="2394"/>
      <c r="W1460" s="1268"/>
      <c r="X1460" s="1268"/>
      <c r="Y1460" s="1268"/>
      <c r="Z1460" s="1268"/>
      <c r="AA1460" s="1268"/>
      <c r="AB1460" s="1268"/>
      <c r="AC1460" s="779">
        <v>869</v>
      </c>
      <c r="AD1460" s="1268">
        <v>869</v>
      </c>
      <c r="AE1460" s="1268">
        <v>869</v>
      </c>
      <c r="AF1460" s="253">
        <v>869</v>
      </c>
      <c r="AG1460" s="253">
        <f t="shared" si="220"/>
        <v>869</v>
      </c>
      <c r="DG1460" s="543"/>
      <c r="DH1460" s="149"/>
      <c r="DI1460" s="1020"/>
      <c r="DJ1460" s="2045"/>
    </row>
    <row r="1461" spans="1:114" ht="15" customHeight="1" outlineLevel="1" x14ac:dyDescent="0.25">
      <c r="A1461" s="2145"/>
      <c r="C1461" s="49"/>
      <c r="D1461" s="2394"/>
      <c r="E1461" s="2394"/>
      <c r="F1461" s="2404" t="str">
        <f>$E$793</f>
        <v>ASHP-SEER18-Replace_CAC_ElectricHeat_ER1_MF</v>
      </c>
      <c r="G1461" s="2404"/>
      <c r="H1461" s="2404"/>
      <c r="I1461" s="2404"/>
      <c r="J1461" s="1506" t="str">
        <f>$C$793</f>
        <v>354300_2024_12_</v>
      </c>
      <c r="K1461" s="1534">
        <v>869</v>
      </c>
      <c r="L1461" s="244"/>
      <c r="M1461" s="1307" t="s">
        <v>1299</v>
      </c>
      <c r="P1461" s="243"/>
      <c r="Q1461" s="192"/>
      <c r="R1461" s="243"/>
      <c r="T1461" s="166"/>
      <c r="U1461" s="50"/>
      <c r="V1461" s="2394"/>
      <c r="W1461" s="1268">
        <v>869</v>
      </c>
      <c r="X1461" s="1268">
        <v>869</v>
      </c>
      <c r="Y1461" s="1268">
        <v>869</v>
      </c>
      <c r="Z1461" s="1268">
        <v>869</v>
      </c>
      <c r="AA1461" s="1268">
        <v>869</v>
      </c>
      <c r="AB1461" s="1268">
        <v>869</v>
      </c>
      <c r="AC1461" s="1268">
        <v>869</v>
      </c>
      <c r="AD1461" s="1268">
        <v>869</v>
      </c>
      <c r="AE1461" s="1268">
        <v>869</v>
      </c>
      <c r="AF1461" s="253">
        <v>869</v>
      </c>
      <c r="AG1461" s="253">
        <f t="shared" si="220"/>
        <v>869</v>
      </c>
      <c r="DG1461" s="543"/>
      <c r="DH1461" s="149"/>
      <c r="DI1461" s="1020"/>
      <c r="DJ1461" s="2045"/>
    </row>
    <row r="1462" spans="1:114" ht="15" customHeight="1" outlineLevel="1" x14ac:dyDescent="0.25">
      <c r="A1462" s="2145"/>
      <c r="C1462" s="49"/>
      <c r="D1462" s="2394"/>
      <c r="E1462" s="2394"/>
      <c r="F1462" s="2404" t="str">
        <f>$E$795</f>
        <v>ASHP-SEER18-Replace_CAC_ElectricHeat_ER2_MF</v>
      </c>
      <c r="G1462" s="2404"/>
      <c r="H1462" s="2404"/>
      <c r="I1462" s="2404"/>
      <c r="J1462" s="1506" t="str">
        <f>$C$795</f>
        <v>354300_2024_12_</v>
      </c>
      <c r="K1462" s="1534">
        <v>869</v>
      </c>
      <c r="L1462" s="244"/>
      <c r="M1462" s="1307" t="s">
        <v>1299</v>
      </c>
      <c r="P1462" s="243"/>
      <c r="Q1462" s="192"/>
      <c r="R1462" s="243"/>
      <c r="T1462" s="166"/>
      <c r="U1462" s="50"/>
      <c r="V1462" s="2394"/>
      <c r="W1462" s="1268">
        <v>869</v>
      </c>
      <c r="X1462" s="1268">
        <v>869</v>
      </c>
      <c r="Y1462" s="1268">
        <v>869</v>
      </c>
      <c r="Z1462" s="1268">
        <v>869</v>
      </c>
      <c r="AA1462" s="1268">
        <v>869</v>
      </c>
      <c r="AB1462" s="1268">
        <v>869</v>
      </c>
      <c r="AC1462" s="1268">
        <v>869</v>
      </c>
      <c r="AD1462" s="1268">
        <v>869</v>
      </c>
      <c r="AE1462" s="1268">
        <v>869</v>
      </c>
      <c r="AF1462" s="253">
        <v>869</v>
      </c>
      <c r="AG1462" s="253">
        <f t="shared" si="220"/>
        <v>869</v>
      </c>
      <c r="DG1462" s="543"/>
      <c r="DH1462" s="149"/>
      <c r="DI1462" s="1020"/>
      <c r="DJ1462" s="2045"/>
    </row>
    <row r="1463" spans="1:114" ht="15" customHeight="1" outlineLevel="1" x14ac:dyDescent="0.25">
      <c r="A1463" s="2145"/>
      <c r="C1463" s="49"/>
      <c r="D1463" s="2394"/>
      <c r="E1463" s="2394"/>
      <c r="F1463" s="2404" t="str">
        <f>$E$797</f>
        <v>ASHP-SEER18_ER1_MF</v>
      </c>
      <c r="G1463" s="2404"/>
      <c r="H1463" s="2404"/>
      <c r="I1463" s="2404"/>
      <c r="J1463" s="1506" t="str">
        <f>$C$797</f>
        <v>354350_2024_12_</v>
      </c>
      <c r="K1463" s="1534">
        <v>869</v>
      </c>
      <c r="L1463" s="244"/>
      <c r="M1463" s="1307" t="s">
        <v>1299</v>
      </c>
      <c r="P1463" s="243"/>
      <c r="Q1463" s="192"/>
      <c r="R1463" s="243"/>
      <c r="T1463" s="166"/>
      <c r="U1463" s="50"/>
      <c r="V1463" s="2394"/>
      <c r="W1463" s="1268">
        <v>869</v>
      </c>
      <c r="X1463" s="1268">
        <v>869</v>
      </c>
      <c r="Y1463" s="1268">
        <v>869</v>
      </c>
      <c r="Z1463" s="1268">
        <v>869</v>
      </c>
      <c r="AA1463" s="1268">
        <v>869</v>
      </c>
      <c r="AB1463" s="1268">
        <v>869</v>
      </c>
      <c r="AC1463" s="1268">
        <v>869</v>
      </c>
      <c r="AD1463" s="1268">
        <v>869</v>
      </c>
      <c r="AE1463" s="1268">
        <v>869</v>
      </c>
      <c r="AF1463" s="253">
        <v>869</v>
      </c>
      <c r="AG1463" s="253">
        <f t="shared" ref="AG1463:AG1521" si="221">IF(K1463&lt;&gt;"",K1463,"")</f>
        <v>869</v>
      </c>
      <c r="DG1463" s="543"/>
      <c r="DH1463" s="149"/>
      <c r="DI1463" s="1020"/>
      <c r="DJ1463" s="2045"/>
    </row>
    <row r="1464" spans="1:114" ht="15" customHeight="1" outlineLevel="1" x14ac:dyDescent="0.25">
      <c r="A1464" s="2145"/>
      <c r="C1464" s="49"/>
      <c r="D1464" s="2394"/>
      <c r="E1464" s="2394"/>
      <c r="F1464" s="2404" t="str">
        <f>$E$799</f>
        <v>ASHP-SEER18_ER2_MF</v>
      </c>
      <c r="G1464" s="2404"/>
      <c r="H1464" s="2404"/>
      <c r="I1464" s="2404"/>
      <c r="J1464" s="1506" t="str">
        <f>$C$799</f>
        <v>354350_2024_12_</v>
      </c>
      <c r="K1464" s="1534">
        <v>869</v>
      </c>
      <c r="L1464" s="244"/>
      <c r="M1464" s="1307" t="s">
        <v>1299</v>
      </c>
      <c r="P1464" s="243"/>
      <c r="Q1464" s="192"/>
      <c r="R1464" s="243"/>
      <c r="T1464" s="166"/>
      <c r="U1464" s="50"/>
      <c r="V1464" s="2394"/>
      <c r="W1464" s="1268">
        <v>869</v>
      </c>
      <c r="X1464" s="1268">
        <v>869</v>
      </c>
      <c r="Y1464" s="1268">
        <v>869</v>
      </c>
      <c r="Z1464" s="1268">
        <v>869</v>
      </c>
      <c r="AA1464" s="1268">
        <v>869</v>
      </c>
      <c r="AB1464" s="1268">
        <v>869</v>
      </c>
      <c r="AC1464" s="1268">
        <v>869</v>
      </c>
      <c r="AD1464" s="1268">
        <v>869</v>
      </c>
      <c r="AE1464" s="1268">
        <v>869</v>
      </c>
      <c r="AF1464" s="253">
        <v>869</v>
      </c>
      <c r="AG1464" s="253">
        <f t="shared" si="221"/>
        <v>869</v>
      </c>
      <c r="DG1464" s="543"/>
      <c r="DH1464" s="149"/>
      <c r="DI1464" s="1020"/>
      <c r="DJ1464" s="2045"/>
    </row>
    <row r="1465" spans="1:114" ht="15" customHeight="1" outlineLevel="1" x14ac:dyDescent="0.25">
      <c r="A1465" s="2145"/>
      <c r="C1465" s="49"/>
      <c r="D1465" s="2394"/>
      <c r="E1465" s="2394"/>
      <c r="F1465" s="2404" t="str">
        <f>$E$801</f>
        <v>ASHP-SEER19-Replace_CAC_ElectricHeat_ER1_SF</v>
      </c>
      <c r="G1465" s="2404"/>
      <c r="H1465" s="2404"/>
      <c r="I1465" s="2404"/>
      <c r="J1465" s="1506" t="str">
        <f>$C$801</f>
        <v>354400_2024_12_</v>
      </c>
      <c r="K1465" s="1534">
        <v>869</v>
      </c>
      <c r="L1465" s="244"/>
      <c r="M1465" s="1307" t="s">
        <v>1299</v>
      </c>
      <c r="P1465" s="243"/>
      <c r="Q1465" s="192"/>
      <c r="R1465" s="243"/>
      <c r="T1465" s="166"/>
      <c r="U1465" s="50"/>
      <c r="V1465" s="2394"/>
      <c r="W1465" s="1268">
        <v>869</v>
      </c>
      <c r="X1465" s="1268">
        <v>869</v>
      </c>
      <c r="Y1465" s="1268">
        <v>869</v>
      </c>
      <c r="Z1465" s="1268">
        <v>869</v>
      </c>
      <c r="AA1465" s="1268">
        <v>869</v>
      </c>
      <c r="AB1465" s="1268">
        <v>869</v>
      </c>
      <c r="AC1465" s="1268">
        <v>869</v>
      </c>
      <c r="AD1465" s="1268">
        <v>869</v>
      </c>
      <c r="AE1465" s="1268">
        <v>869</v>
      </c>
      <c r="AF1465" s="253">
        <v>869</v>
      </c>
      <c r="AG1465" s="253">
        <f t="shared" si="221"/>
        <v>869</v>
      </c>
      <c r="DG1465" s="543"/>
      <c r="DH1465" s="149"/>
      <c r="DI1465" s="1020"/>
      <c r="DJ1465" s="2045"/>
    </row>
    <row r="1466" spans="1:114" ht="15" customHeight="1" outlineLevel="1" x14ac:dyDescent="0.25">
      <c r="A1466" s="2145"/>
      <c r="C1466" s="49"/>
      <c r="D1466" s="2394"/>
      <c r="E1466" s="2394"/>
      <c r="F1466" s="2404" t="str">
        <f>$E$803</f>
        <v>ASHP-SEER19-Replace_CAC_ElectricHeat_ER2_SF</v>
      </c>
      <c r="G1466" s="2404"/>
      <c r="H1466" s="2404"/>
      <c r="I1466" s="2404"/>
      <c r="J1466" s="1506" t="str">
        <f>$C$803</f>
        <v>354400_2024_12_</v>
      </c>
      <c r="K1466" s="1534">
        <v>869</v>
      </c>
      <c r="L1466" s="244"/>
      <c r="M1466" s="1307" t="s">
        <v>1299</v>
      </c>
      <c r="P1466" s="243"/>
      <c r="Q1466" s="192"/>
      <c r="R1466" s="243"/>
      <c r="T1466" s="166"/>
      <c r="U1466" s="50"/>
      <c r="V1466" s="2394"/>
      <c r="W1466" s="1268">
        <v>869</v>
      </c>
      <c r="X1466" s="1268">
        <v>869</v>
      </c>
      <c r="Y1466" s="1268">
        <v>869</v>
      </c>
      <c r="Z1466" s="1268">
        <v>869</v>
      </c>
      <c r="AA1466" s="1268">
        <v>869</v>
      </c>
      <c r="AB1466" s="1268">
        <v>869</v>
      </c>
      <c r="AC1466" s="1268">
        <v>869</v>
      </c>
      <c r="AD1466" s="1268">
        <v>869</v>
      </c>
      <c r="AE1466" s="1268">
        <v>869</v>
      </c>
      <c r="AF1466" s="253">
        <v>869</v>
      </c>
      <c r="AG1466" s="253">
        <f t="shared" si="221"/>
        <v>869</v>
      </c>
      <c r="DG1466" s="543"/>
      <c r="DH1466" s="149"/>
      <c r="DI1466" s="1020"/>
      <c r="DJ1466" s="2045"/>
    </row>
    <row r="1467" spans="1:114" ht="15" customHeight="1" outlineLevel="1" x14ac:dyDescent="0.25">
      <c r="A1467" s="2145"/>
      <c r="C1467" s="49"/>
      <c r="D1467" s="2394"/>
      <c r="E1467" s="2394"/>
      <c r="F1467" s="2404" t="str">
        <f>$E$805</f>
        <v>ASHP-SEER19-Replace_CAC_NonElectricHeat_ER1_SF</v>
      </c>
      <c r="G1467" s="2404"/>
      <c r="H1467" s="2404"/>
      <c r="I1467" s="2404"/>
      <c r="J1467" s="1506" t="str">
        <f>$C$805</f>
        <v>354410_2024_12_</v>
      </c>
      <c r="K1467" s="1534">
        <v>869</v>
      </c>
      <c r="L1467" s="244"/>
      <c r="M1467" s="1307" t="s">
        <v>1299</v>
      </c>
      <c r="P1467" s="243"/>
      <c r="Q1467" s="192"/>
      <c r="R1467" s="243"/>
      <c r="T1467" s="166"/>
      <c r="U1467" s="50"/>
      <c r="V1467" s="2394"/>
      <c r="W1467" s="1268"/>
      <c r="X1467" s="1268"/>
      <c r="Y1467" s="1268"/>
      <c r="Z1467" s="1268"/>
      <c r="AA1467" s="1268"/>
      <c r="AB1467" s="1268"/>
      <c r="AC1467" s="779">
        <v>869</v>
      </c>
      <c r="AD1467" s="1268">
        <v>869</v>
      </c>
      <c r="AE1467" s="1268">
        <v>869</v>
      </c>
      <c r="AF1467" s="253">
        <v>869</v>
      </c>
      <c r="AG1467" s="253">
        <f t="shared" si="221"/>
        <v>869</v>
      </c>
      <c r="DG1467" s="543"/>
      <c r="DH1467" s="149"/>
      <c r="DI1467" s="1020"/>
      <c r="DJ1467" s="2045"/>
    </row>
    <row r="1468" spans="1:114" ht="15" customHeight="1" outlineLevel="1" x14ac:dyDescent="0.25">
      <c r="A1468" s="2145"/>
      <c r="C1468" s="49"/>
      <c r="D1468" s="2394"/>
      <c r="E1468" s="2394"/>
      <c r="F1468" s="2404" t="str">
        <f>$E$807</f>
        <v>ASHP-SEER19-Replace_CAC_NonElectricHeat_ER2_SF</v>
      </c>
      <c r="G1468" s="2404"/>
      <c r="H1468" s="2404"/>
      <c r="I1468" s="2404"/>
      <c r="J1468" s="1506" t="str">
        <f>$C$807</f>
        <v>354410_2024_12_</v>
      </c>
      <c r="K1468" s="1534">
        <v>869</v>
      </c>
      <c r="L1468" s="244"/>
      <c r="M1468" s="1307" t="s">
        <v>1299</v>
      </c>
      <c r="P1468" s="243"/>
      <c r="Q1468" s="192"/>
      <c r="R1468" s="243"/>
      <c r="T1468" s="166"/>
      <c r="U1468" s="50"/>
      <c r="V1468" s="2394"/>
      <c r="W1468" s="1268"/>
      <c r="X1468" s="1268"/>
      <c r="Y1468" s="1268"/>
      <c r="Z1468" s="1268"/>
      <c r="AA1468" s="1268"/>
      <c r="AB1468" s="1268"/>
      <c r="AC1468" s="779">
        <v>869</v>
      </c>
      <c r="AD1468" s="1268">
        <v>869</v>
      </c>
      <c r="AE1468" s="1268">
        <v>869</v>
      </c>
      <c r="AF1468" s="253">
        <v>869</v>
      </c>
      <c r="AG1468" s="253">
        <f t="shared" si="221"/>
        <v>869</v>
      </c>
      <c r="DG1468" s="543"/>
      <c r="DH1468" s="149"/>
      <c r="DI1468" s="1020"/>
      <c r="DJ1468" s="2045"/>
    </row>
    <row r="1469" spans="1:114" ht="15" customHeight="1" outlineLevel="1" x14ac:dyDescent="0.25">
      <c r="A1469" s="2145"/>
      <c r="C1469" s="49"/>
      <c r="D1469" s="2394"/>
      <c r="E1469" s="2394"/>
      <c r="F1469" s="2404" t="str">
        <f>$E$809</f>
        <v>ASHP-SEER19-Replace_CAC_ElectricHeat_ER1_MF</v>
      </c>
      <c r="G1469" s="2404"/>
      <c r="H1469" s="2404"/>
      <c r="I1469" s="2404"/>
      <c r="J1469" s="1506" t="str">
        <f>$C$809</f>
        <v>354450_2024_12_</v>
      </c>
      <c r="K1469" s="1534">
        <v>869</v>
      </c>
      <c r="L1469" s="244"/>
      <c r="M1469" s="1307" t="s">
        <v>1299</v>
      </c>
      <c r="P1469" s="243"/>
      <c r="Q1469" s="192"/>
      <c r="R1469" s="243"/>
      <c r="T1469" s="166"/>
      <c r="U1469" s="50"/>
      <c r="V1469" s="2394"/>
      <c r="W1469" s="1268">
        <v>869</v>
      </c>
      <c r="X1469" s="1268">
        <v>869</v>
      </c>
      <c r="Y1469" s="1268">
        <v>869</v>
      </c>
      <c r="Z1469" s="1268">
        <v>869</v>
      </c>
      <c r="AA1469" s="1268">
        <v>869</v>
      </c>
      <c r="AB1469" s="1268">
        <v>869</v>
      </c>
      <c r="AC1469" s="1268">
        <v>869</v>
      </c>
      <c r="AD1469" s="1268">
        <v>869</v>
      </c>
      <c r="AE1469" s="1268">
        <v>869</v>
      </c>
      <c r="AF1469" s="253">
        <v>869</v>
      </c>
      <c r="AG1469" s="253">
        <f t="shared" si="221"/>
        <v>869</v>
      </c>
      <c r="DG1469" s="543"/>
      <c r="DH1469" s="149"/>
      <c r="DI1469" s="1020"/>
      <c r="DJ1469" s="2045"/>
    </row>
    <row r="1470" spans="1:114" ht="15" customHeight="1" outlineLevel="1" x14ac:dyDescent="0.25">
      <c r="A1470" s="2145"/>
      <c r="C1470" s="49"/>
      <c r="D1470" s="2394"/>
      <c r="E1470" s="2394"/>
      <c r="F1470" s="2404" t="str">
        <f>$E$811</f>
        <v>ASHP-SEER19-Replace_CAC_ElectricHeat_ER2_MF</v>
      </c>
      <c r="G1470" s="2404"/>
      <c r="H1470" s="2404"/>
      <c r="I1470" s="2404"/>
      <c r="J1470" s="1506" t="str">
        <f>$C$811</f>
        <v>354450_2024_12_</v>
      </c>
      <c r="K1470" s="1534">
        <v>869</v>
      </c>
      <c r="L1470" s="244"/>
      <c r="M1470" s="1307" t="s">
        <v>1299</v>
      </c>
      <c r="P1470" s="243"/>
      <c r="Q1470" s="192"/>
      <c r="R1470" s="243"/>
      <c r="T1470" s="166"/>
      <c r="U1470" s="50"/>
      <c r="V1470" s="2394"/>
      <c r="W1470" s="1268">
        <v>869</v>
      </c>
      <c r="X1470" s="1268">
        <v>869</v>
      </c>
      <c r="Y1470" s="1268">
        <v>869</v>
      </c>
      <c r="Z1470" s="1268">
        <v>869</v>
      </c>
      <c r="AA1470" s="1268">
        <v>869</v>
      </c>
      <c r="AB1470" s="1268">
        <v>869</v>
      </c>
      <c r="AC1470" s="1268">
        <v>869</v>
      </c>
      <c r="AD1470" s="1268">
        <v>869</v>
      </c>
      <c r="AE1470" s="1268">
        <v>869</v>
      </c>
      <c r="AF1470" s="253">
        <v>869</v>
      </c>
      <c r="AG1470" s="253">
        <f t="shared" si="221"/>
        <v>869</v>
      </c>
      <c r="DG1470" s="543"/>
      <c r="DH1470" s="149"/>
      <c r="DI1470" s="1020"/>
      <c r="DJ1470" s="2045"/>
    </row>
    <row r="1471" spans="1:114" ht="15" customHeight="1" outlineLevel="1" x14ac:dyDescent="0.25">
      <c r="A1471" s="2145"/>
      <c r="C1471" s="49"/>
      <c r="D1471" s="2394"/>
      <c r="E1471" s="2394"/>
      <c r="F1471" s="2404" t="str">
        <f>$E$813</f>
        <v>ASHP-SEER19_ER1_MF</v>
      </c>
      <c r="G1471" s="2404"/>
      <c r="H1471" s="2404"/>
      <c r="I1471" s="2404"/>
      <c r="J1471" s="1506" t="str">
        <f>$C$813</f>
        <v>354500_2024_12_</v>
      </c>
      <c r="K1471" s="1534">
        <v>869</v>
      </c>
      <c r="L1471" s="244"/>
      <c r="M1471" s="1307" t="s">
        <v>1299</v>
      </c>
      <c r="P1471" s="243"/>
      <c r="Q1471" s="192"/>
      <c r="R1471" s="243"/>
      <c r="T1471" s="166"/>
      <c r="U1471" s="50"/>
      <c r="V1471" s="2394"/>
      <c r="W1471" s="1268">
        <v>869</v>
      </c>
      <c r="X1471" s="1268">
        <v>869</v>
      </c>
      <c r="Y1471" s="1268">
        <v>869</v>
      </c>
      <c r="Z1471" s="1268">
        <v>869</v>
      </c>
      <c r="AA1471" s="1268">
        <v>869</v>
      </c>
      <c r="AB1471" s="1268">
        <v>869</v>
      </c>
      <c r="AC1471" s="1268">
        <v>869</v>
      </c>
      <c r="AD1471" s="1268">
        <v>869</v>
      </c>
      <c r="AE1471" s="1268">
        <v>869</v>
      </c>
      <c r="AF1471" s="253">
        <v>869</v>
      </c>
      <c r="AG1471" s="253">
        <f t="shared" si="221"/>
        <v>869</v>
      </c>
      <c r="DG1471" s="543"/>
      <c r="DH1471" s="149"/>
      <c r="DI1471" s="1020"/>
      <c r="DJ1471" s="2045"/>
    </row>
    <row r="1472" spans="1:114" ht="15" customHeight="1" outlineLevel="1" x14ac:dyDescent="0.25">
      <c r="A1472" s="2145"/>
      <c r="C1472" s="49"/>
      <c r="D1472" s="2394"/>
      <c r="E1472" s="2394"/>
      <c r="F1472" s="2404" t="str">
        <f>$E$815</f>
        <v>ASHP-SEER19_ER2_MF</v>
      </c>
      <c r="G1472" s="2404"/>
      <c r="H1472" s="2404"/>
      <c r="I1472" s="2404"/>
      <c r="J1472" s="1506" t="str">
        <f>$C$815</f>
        <v>354500_2024_12_</v>
      </c>
      <c r="K1472" s="1534">
        <v>869</v>
      </c>
      <c r="L1472" s="244"/>
      <c r="M1472" s="1307" t="s">
        <v>1299</v>
      </c>
      <c r="P1472" s="243"/>
      <c r="Q1472" s="192"/>
      <c r="R1472" s="243"/>
      <c r="T1472" s="166"/>
      <c r="U1472" s="50"/>
      <c r="V1472" s="2394"/>
      <c r="W1472" s="1268">
        <v>869</v>
      </c>
      <c r="X1472" s="1268">
        <v>869</v>
      </c>
      <c r="Y1472" s="1268">
        <v>869</v>
      </c>
      <c r="Z1472" s="1268">
        <v>869</v>
      </c>
      <c r="AA1472" s="1268">
        <v>869</v>
      </c>
      <c r="AB1472" s="1268">
        <v>869</v>
      </c>
      <c r="AC1472" s="1268">
        <v>869</v>
      </c>
      <c r="AD1472" s="1268">
        <v>869</v>
      </c>
      <c r="AE1472" s="1268">
        <v>869</v>
      </c>
      <c r="AF1472" s="253">
        <v>869</v>
      </c>
      <c r="AG1472" s="253">
        <f t="shared" si="221"/>
        <v>869</v>
      </c>
      <c r="DG1472" s="543"/>
      <c r="DH1472" s="149"/>
      <c r="DI1472" s="1020"/>
      <c r="DJ1472" s="2045"/>
    </row>
    <row r="1473" spans="1:114" ht="15" customHeight="1" outlineLevel="1" x14ac:dyDescent="0.25">
      <c r="A1473" s="2145"/>
      <c r="C1473" s="49"/>
      <c r="D1473" s="2394"/>
      <c r="E1473" s="2394"/>
      <c r="F1473" s="2404" t="str">
        <f>$E$817</f>
        <v>ASHP-SEER20_ER1_SF</v>
      </c>
      <c r="G1473" s="2404"/>
      <c r="H1473" s="2404"/>
      <c r="I1473" s="2404"/>
      <c r="J1473" s="1506" t="str">
        <f>$C$817</f>
        <v>354550_2024_12_</v>
      </c>
      <c r="K1473" s="1534">
        <v>869</v>
      </c>
      <c r="L1473" s="244"/>
      <c r="M1473" s="1307" t="s">
        <v>1299</v>
      </c>
      <c r="P1473" s="243"/>
      <c r="Q1473" s="192"/>
      <c r="R1473" s="243"/>
      <c r="T1473" s="166"/>
      <c r="U1473" s="50"/>
      <c r="V1473" s="2394"/>
      <c r="W1473" s="1268">
        <v>869</v>
      </c>
      <c r="X1473" s="1268">
        <v>869</v>
      </c>
      <c r="Y1473" s="1268">
        <v>869</v>
      </c>
      <c r="Z1473" s="1268">
        <v>869</v>
      </c>
      <c r="AA1473" s="1268">
        <v>869</v>
      </c>
      <c r="AB1473" s="1268">
        <v>869</v>
      </c>
      <c r="AC1473" s="1268">
        <v>869</v>
      </c>
      <c r="AD1473" s="1268">
        <v>869</v>
      </c>
      <c r="AE1473" s="1268">
        <v>869</v>
      </c>
      <c r="AF1473" s="253">
        <v>869</v>
      </c>
      <c r="AG1473" s="253">
        <f t="shared" si="221"/>
        <v>869</v>
      </c>
      <c r="DG1473" s="543"/>
      <c r="DH1473" s="149"/>
      <c r="DI1473" s="1020"/>
      <c r="DJ1473" s="2045"/>
    </row>
    <row r="1474" spans="1:114" ht="15" customHeight="1" outlineLevel="1" x14ac:dyDescent="0.25">
      <c r="A1474" s="2145"/>
      <c r="C1474" s="49"/>
      <c r="D1474" s="2394"/>
      <c r="E1474" s="2394"/>
      <c r="F1474" s="2404" t="str">
        <f>$E$819</f>
        <v>ASHP-SEER20_ER2_SF</v>
      </c>
      <c r="G1474" s="2404"/>
      <c r="H1474" s="2404"/>
      <c r="I1474" s="2404"/>
      <c r="J1474" s="1506" t="str">
        <f>$C$819</f>
        <v>354550_2024_12_</v>
      </c>
      <c r="K1474" s="1534">
        <v>869</v>
      </c>
      <c r="L1474" s="244"/>
      <c r="M1474" s="1307" t="s">
        <v>1299</v>
      </c>
      <c r="P1474" s="243"/>
      <c r="Q1474" s="192"/>
      <c r="R1474" s="243"/>
      <c r="T1474" s="166"/>
      <c r="U1474" s="50"/>
      <c r="V1474" s="2394"/>
      <c r="W1474" s="1268">
        <v>869</v>
      </c>
      <c r="X1474" s="1268">
        <v>869</v>
      </c>
      <c r="Y1474" s="1268">
        <v>869</v>
      </c>
      <c r="Z1474" s="1268">
        <v>869</v>
      </c>
      <c r="AA1474" s="1268">
        <v>869</v>
      </c>
      <c r="AB1474" s="1268">
        <v>869</v>
      </c>
      <c r="AC1474" s="1268">
        <v>869</v>
      </c>
      <c r="AD1474" s="1268">
        <v>869</v>
      </c>
      <c r="AE1474" s="1268">
        <v>869</v>
      </c>
      <c r="AF1474" s="253">
        <v>869</v>
      </c>
      <c r="AG1474" s="253">
        <f t="shared" si="221"/>
        <v>869</v>
      </c>
      <c r="DG1474" s="543"/>
      <c r="DH1474" s="149"/>
      <c r="DI1474" s="1020"/>
      <c r="DJ1474" s="2045"/>
    </row>
    <row r="1475" spans="1:114" ht="15" customHeight="1" outlineLevel="1" x14ac:dyDescent="0.25">
      <c r="A1475" s="2145"/>
      <c r="C1475" s="49"/>
      <c r="D1475" s="2394"/>
      <c r="E1475" s="2394"/>
      <c r="F1475" s="2404" t="str">
        <f>$E$821</f>
        <v>ASHP-SEER20_ROF_SF</v>
      </c>
      <c r="G1475" s="2404"/>
      <c r="H1475" s="2404"/>
      <c r="I1475" s="2404"/>
      <c r="J1475" s="1506" t="str">
        <f>$C$821</f>
        <v>354600_2024_12_</v>
      </c>
      <c r="K1475" s="1534">
        <v>869</v>
      </c>
      <c r="L1475" s="244"/>
      <c r="M1475" s="1307" t="s">
        <v>1299</v>
      </c>
      <c r="P1475" s="243"/>
      <c r="Q1475" s="192"/>
      <c r="R1475" s="243"/>
      <c r="T1475" s="166"/>
      <c r="U1475" s="50"/>
      <c r="V1475" s="2394"/>
      <c r="W1475" s="1268">
        <v>869</v>
      </c>
      <c r="X1475" s="1268">
        <v>869</v>
      </c>
      <c r="Y1475" s="1268">
        <v>869</v>
      </c>
      <c r="Z1475" s="1268">
        <v>869</v>
      </c>
      <c r="AA1475" s="1268">
        <v>869</v>
      </c>
      <c r="AB1475" s="1268">
        <v>869</v>
      </c>
      <c r="AC1475" s="1268">
        <v>869</v>
      </c>
      <c r="AD1475" s="1268">
        <v>869</v>
      </c>
      <c r="AE1475" s="1268">
        <v>869</v>
      </c>
      <c r="AF1475" s="253">
        <v>869</v>
      </c>
      <c r="AG1475" s="253">
        <f t="shared" si="221"/>
        <v>869</v>
      </c>
      <c r="DG1475" s="543"/>
      <c r="DH1475" s="149"/>
      <c r="DI1475" s="1020"/>
      <c r="DJ1475" s="2045"/>
    </row>
    <row r="1476" spans="1:114" ht="15" customHeight="1" outlineLevel="1" x14ac:dyDescent="0.25">
      <c r="A1476" s="2145"/>
      <c r="C1476" s="49"/>
      <c r="D1476" s="2394"/>
      <c r="E1476" s="2394"/>
      <c r="F1476" s="2404" t="str">
        <f>$E$823</f>
        <v>ASHP-SEER20-Replace_CAC_ElectricHeat_ER1_MF</v>
      </c>
      <c r="G1476" s="2404"/>
      <c r="H1476" s="2404"/>
      <c r="I1476" s="2404"/>
      <c r="J1476" s="1506" t="str">
        <f>$C$823</f>
        <v>354650_2024_12_</v>
      </c>
      <c r="K1476" s="1534">
        <v>869</v>
      </c>
      <c r="L1476" s="244"/>
      <c r="M1476" s="1307" t="s">
        <v>1299</v>
      </c>
      <c r="P1476" s="243"/>
      <c r="Q1476" s="192"/>
      <c r="R1476" s="243"/>
      <c r="T1476" s="166"/>
      <c r="U1476" s="50"/>
      <c r="V1476" s="2394"/>
      <c r="W1476" s="1268">
        <v>869</v>
      </c>
      <c r="X1476" s="1268">
        <v>869</v>
      </c>
      <c r="Y1476" s="1268">
        <v>869</v>
      </c>
      <c r="Z1476" s="1268">
        <v>869</v>
      </c>
      <c r="AA1476" s="1268">
        <v>869</v>
      </c>
      <c r="AB1476" s="1268">
        <v>869</v>
      </c>
      <c r="AC1476" s="1268">
        <v>869</v>
      </c>
      <c r="AD1476" s="1268">
        <v>869</v>
      </c>
      <c r="AE1476" s="1268">
        <v>869</v>
      </c>
      <c r="AF1476" s="253">
        <v>869</v>
      </c>
      <c r="AG1476" s="253">
        <f t="shared" si="221"/>
        <v>869</v>
      </c>
      <c r="DG1476" s="543"/>
      <c r="DH1476" s="149"/>
      <c r="DI1476" s="1020"/>
      <c r="DJ1476" s="2045"/>
    </row>
    <row r="1477" spans="1:114" ht="15" customHeight="1" outlineLevel="1" x14ac:dyDescent="0.25">
      <c r="A1477" s="2145"/>
      <c r="C1477" s="49"/>
      <c r="D1477" s="2394"/>
      <c r="E1477" s="2394"/>
      <c r="F1477" s="2404" t="str">
        <f>$E$825</f>
        <v>ASHP-SEER20-Replace_CAC_ElectricHeat_ER2_MF</v>
      </c>
      <c r="G1477" s="2404"/>
      <c r="H1477" s="2404"/>
      <c r="I1477" s="2404"/>
      <c r="J1477" s="1506" t="str">
        <f>$C$825</f>
        <v>354650_2024_12_</v>
      </c>
      <c r="K1477" s="1534">
        <v>869</v>
      </c>
      <c r="L1477" s="244"/>
      <c r="M1477" s="1307" t="s">
        <v>1299</v>
      </c>
      <c r="P1477" s="243"/>
      <c r="Q1477" s="192"/>
      <c r="R1477" s="243"/>
      <c r="T1477" s="166"/>
      <c r="U1477" s="50"/>
      <c r="V1477" s="2394"/>
      <c r="W1477" s="1268">
        <v>869</v>
      </c>
      <c r="X1477" s="1268">
        <v>869</v>
      </c>
      <c r="Y1477" s="1268">
        <v>869</v>
      </c>
      <c r="Z1477" s="1268">
        <v>869</v>
      </c>
      <c r="AA1477" s="1268">
        <v>869</v>
      </c>
      <c r="AB1477" s="1268">
        <v>869</v>
      </c>
      <c r="AC1477" s="1268">
        <v>869</v>
      </c>
      <c r="AD1477" s="1268">
        <v>869</v>
      </c>
      <c r="AE1477" s="1268">
        <v>869</v>
      </c>
      <c r="AF1477" s="253">
        <v>869</v>
      </c>
      <c r="AG1477" s="253">
        <f t="shared" si="221"/>
        <v>869</v>
      </c>
      <c r="DG1477" s="543"/>
      <c r="DH1477" s="149"/>
      <c r="DI1477" s="1020"/>
      <c r="DJ1477" s="2045"/>
    </row>
    <row r="1478" spans="1:114" ht="15" customHeight="1" outlineLevel="1" x14ac:dyDescent="0.25">
      <c r="A1478" s="2145"/>
      <c r="C1478" s="49"/>
      <c r="D1478" s="2394"/>
      <c r="E1478" s="2394"/>
      <c r="F1478" s="2404" t="str">
        <f>$E$827</f>
        <v>ASHP-SEER20_ER1_MF</v>
      </c>
      <c r="G1478" s="2404"/>
      <c r="H1478" s="2404"/>
      <c r="I1478" s="2404"/>
      <c r="J1478" s="1506" t="str">
        <f>$C$827</f>
        <v>354700_2024_12_</v>
      </c>
      <c r="K1478" s="1534">
        <v>869</v>
      </c>
      <c r="L1478" s="244"/>
      <c r="M1478" s="1307" t="s">
        <v>1299</v>
      </c>
      <c r="P1478" s="243"/>
      <c r="Q1478" s="192"/>
      <c r="R1478" s="243"/>
      <c r="T1478" s="166"/>
      <c r="U1478" s="50"/>
      <c r="V1478" s="2394"/>
      <c r="W1478" s="1268">
        <v>869</v>
      </c>
      <c r="X1478" s="1268">
        <v>869</v>
      </c>
      <c r="Y1478" s="1268">
        <v>869</v>
      </c>
      <c r="Z1478" s="1268">
        <v>869</v>
      </c>
      <c r="AA1478" s="1268">
        <v>869</v>
      </c>
      <c r="AB1478" s="1268">
        <v>869</v>
      </c>
      <c r="AC1478" s="1268">
        <v>869</v>
      </c>
      <c r="AD1478" s="1268">
        <v>869</v>
      </c>
      <c r="AE1478" s="1268">
        <v>869</v>
      </c>
      <c r="AF1478" s="253">
        <v>869</v>
      </c>
      <c r="AG1478" s="253">
        <f t="shared" si="221"/>
        <v>869</v>
      </c>
      <c r="DG1478" s="543"/>
      <c r="DH1478" s="149"/>
      <c r="DI1478" s="1020"/>
      <c r="DJ1478" s="2045"/>
    </row>
    <row r="1479" spans="1:114" ht="15" customHeight="1" outlineLevel="1" x14ac:dyDescent="0.25">
      <c r="A1479" s="2145"/>
      <c r="C1479" s="49"/>
      <c r="D1479" s="2394"/>
      <c r="E1479" s="2394"/>
      <c r="F1479" s="2404" t="str">
        <f>$E$829</f>
        <v>ASHP-SEER20_ER2_MF</v>
      </c>
      <c r="G1479" s="2404"/>
      <c r="H1479" s="2404"/>
      <c r="I1479" s="2404"/>
      <c r="J1479" s="1506" t="str">
        <f>$C$829</f>
        <v>354700_2024_12_</v>
      </c>
      <c r="K1479" s="1534">
        <v>869</v>
      </c>
      <c r="L1479" s="244"/>
      <c r="M1479" s="1307" t="s">
        <v>1299</v>
      </c>
      <c r="P1479" s="243"/>
      <c r="Q1479" s="192"/>
      <c r="R1479" s="243"/>
      <c r="T1479" s="166"/>
      <c r="U1479" s="50"/>
      <c r="V1479" s="2394"/>
      <c r="W1479" s="1268">
        <v>869</v>
      </c>
      <c r="X1479" s="1268">
        <v>869</v>
      </c>
      <c r="Y1479" s="1268">
        <v>869</v>
      </c>
      <c r="Z1479" s="1268">
        <v>869</v>
      </c>
      <c r="AA1479" s="1268">
        <v>869</v>
      </c>
      <c r="AB1479" s="1268">
        <v>869</v>
      </c>
      <c r="AC1479" s="1268">
        <v>869</v>
      </c>
      <c r="AD1479" s="1268">
        <v>869</v>
      </c>
      <c r="AE1479" s="1268">
        <v>869</v>
      </c>
      <c r="AF1479" s="253">
        <v>869</v>
      </c>
      <c r="AG1479" s="253">
        <f t="shared" si="221"/>
        <v>869</v>
      </c>
      <c r="DG1479" s="543"/>
      <c r="DH1479" s="149"/>
      <c r="DI1479" s="1020"/>
      <c r="DJ1479" s="2045"/>
    </row>
    <row r="1480" spans="1:114" ht="15" customHeight="1" outlineLevel="1" x14ac:dyDescent="0.25">
      <c r="A1480" s="2145"/>
      <c r="C1480" s="49"/>
      <c r="D1480" s="2394"/>
      <c r="E1480" s="2394"/>
      <c r="F1480" s="2404" t="str">
        <f>$E$831</f>
        <v>ASHP-SEER21_ER1_SF</v>
      </c>
      <c r="G1480" s="2404"/>
      <c r="H1480" s="2404"/>
      <c r="I1480" s="2404"/>
      <c r="J1480" s="1506" t="str">
        <f>$C$831</f>
        <v>354750_2024_12_</v>
      </c>
      <c r="K1480" s="1534">
        <v>869</v>
      </c>
      <c r="L1480" s="244"/>
      <c r="M1480" s="1307" t="s">
        <v>1299</v>
      </c>
      <c r="P1480" s="243"/>
      <c r="Q1480" s="192"/>
      <c r="R1480" s="243"/>
      <c r="T1480" s="166"/>
      <c r="U1480" s="50"/>
      <c r="V1480" s="2394"/>
      <c r="W1480" s="1268">
        <v>869</v>
      </c>
      <c r="X1480" s="1268">
        <v>869</v>
      </c>
      <c r="Y1480" s="1268">
        <v>869</v>
      </c>
      <c r="Z1480" s="1268">
        <v>869</v>
      </c>
      <c r="AA1480" s="1268">
        <v>869</v>
      </c>
      <c r="AB1480" s="1268">
        <v>869</v>
      </c>
      <c r="AC1480" s="1268">
        <v>869</v>
      </c>
      <c r="AD1480" s="1268">
        <v>869</v>
      </c>
      <c r="AE1480" s="1268">
        <v>869</v>
      </c>
      <c r="AF1480" s="253">
        <v>869</v>
      </c>
      <c r="AG1480" s="253">
        <f t="shared" si="221"/>
        <v>869</v>
      </c>
      <c r="DG1480" s="543"/>
      <c r="DH1480" s="149"/>
      <c r="DI1480" s="1020"/>
      <c r="DJ1480" s="2045"/>
    </row>
    <row r="1481" spans="1:114" ht="15" customHeight="1" outlineLevel="1" x14ac:dyDescent="0.25">
      <c r="A1481" s="2145"/>
      <c r="C1481" s="49"/>
      <c r="D1481" s="2394"/>
      <c r="E1481" s="2394"/>
      <c r="F1481" s="2404" t="str">
        <f>$E$833</f>
        <v>ASHP-SEER21_ER2_SF</v>
      </c>
      <c r="G1481" s="2404"/>
      <c r="H1481" s="2404"/>
      <c r="I1481" s="2404"/>
      <c r="J1481" s="1506" t="str">
        <f>$C$833</f>
        <v>354750_2024_12_</v>
      </c>
      <c r="K1481" s="1534">
        <v>869</v>
      </c>
      <c r="L1481" s="244"/>
      <c r="M1481" s="1307" t="s">
        <v>1299</v>
      </c>
      <c r="P1481" s="243"/>
      <c r="Q1481" s="192"/>
      <c r="R1481" s="243"/>
      <c r="T1481" s="166"/>
      <c r="U1481" s="50"/>
      <c r="V1481" s="2394"/>
      <c r="W1481" s="1268">
        <v>869</v>
      </c>
      <c r="X1481" s="1268">
        <v>869</v>
      </c>
      <c r="Y1481" s="1268">
        <v>869</v>
      </c>
      <c r="Z1481" s="1268">
        <v>869</v>
      </c>
      <c r="AA1481" s="1268">
        <v>869</v>
      </c>
      <c r="AB1481" s="1268">
        <v>869</v>
      </c>
      <c r="AC1481" s="1268">
        <v>869</v>
      </c>
      <c r="AD1481" s="1268">
        <v>869</v>
      </c>
      <c r="AE1481" s="1268">
        <v>869</v>
      </c>
      <c r="AF1481" s="253">
        <v>869</v>
      </c>
      <c r="AG1481" s="253">
        <f t="shared" si="221"/>
        <v>869</v>
      </c>
      <c r="DG1481" s="543"/>
      <c r="DH1481" s="149"/>
      <c r="DI1481" s="1020"/>
      <c r="DJ1481" s="2045"/>
    </row>
    <row r="1482" spans="1:114" ht="15" customHeight="1" outlineLevel="1" x14ac:dyDescent="0.25">
      <c r="A1482" s="2145"/>
      <c r="C1482" s="49"/>
      <c r="D1482" s="2394"/>
      <c r="E1482" s="2394"/>
      <c r="F1482" s="2404" t="str">
        <f>$E$835</f>
        <v>ASHP-SEER21_ROF_SF</v>
      </c>
      <c r="G1482" s="2404"/>
      <c r="H1482" s="2404"/>
      <c r="I1482" s="2404"/>
      <c r="J1482" s="1506" t="str">
        <f>$C$835</f>
        <v>354800_2024_12_</v>
      </c>
      <c r="K1482" s="1534">
        <v>869</v>
      </c>
      <c r="L1482" s="244"/>
      <c r="M1482" s="1307" t="s">
        <v>1299</v>
      </c>
      <c r="P1482" s="243"/>
      <c r="Q1482" s="192"/>
      <c r="R1482" s="243"/>
      <c r="T1482" s="166"/>
      <c r="U1482" s="50"/>
      <c r="V1482" s="2394"/>
      <c r="W1482" s="1268">
        <v>869</v>
      </c>
      <c r="X1482" s="1268">
        <v>869</v>
      </c>
      <c r="Y1482" s="1268">
        <v>869</v>
      </c>
      <c r="Z1482" s="1268">
        <v>869</v>
      </c>
      <c r="AA1482" s="1268">
        <v>869</v>
      </c>
      <c r="AB1482" s="1268">
        <v>869</v>
      </c>
      <c r="AC1482" s="1268">
        <v>869</v>
      </c>
      <c r="AD1482" s="1268">
        <v>869</v>
      </c>
      <c r="AE1482" s="1268">
        <v>869</v>
      </c>
      <c r="AF1482" s="253">
        <v>869</v>
      </c>
      <c r="AG1482" s="253">
        <f t="shared" si="221"/>
        <v>869</v>
      </c>
      <c r="DG1482" s="543"/>
      <c r="DH1482" s="149"/>
      <c r="DI1482" s="1020"/>
      <c r="DJ1482" s="2045"/>
    </row>
    <row r="1483" spans="1:114" ht="15" customHeight="1" outlineLevel="1" x14ac:dyDescent="0.25">
      <c r="A1483" s="2145"/>
      <c r="C1483" s="49"/>
      <c r="D1483" s="2394"/>
      <c r="E1483" s="2394"/>
      <c r="F1483" s="2404" t="str">
        <f>$E$837</f>
        <v>ASHP-SEER21-Replace_CAC_ElectricHeat_ROF_MF</v>
      </c>
      <c r="G1483" s="2404"/>
      <c r="H1483" s="2404"/>
      <c r="I1483" s="2404"/>
      <c r="J1483" s="1506" t="str">
        <f>$C$837</f>
        <v>354850_2024_12_</v>
      </c>
      <c r="K1483" s="1534">
        <v>869</v>
      </c>
      <c r="L1483" s="244"/>
      <c r="M1483" s="1507" t="s">
        <v>995</v>
      </c>
      <c r="P1483" s="243"/>
      <c r="Q1483" s="192"/>
      <c r="R1483" s="243"/>
      <c r="T1483" s="166"/>
      <c r="U1483" s="50"/>
      <c r="V1483" s="2394"/>
      <c r="W1483" s="1268">
        <v>869</v>
      </c>
      <c r="X1483" s="1268">
        <v>869</v>
      </c>
      <c r="Y1483" s="1268">
        <v>869</v>
      </c>
      <c r="Z1483" s="1268">
        <v>869</v>
      </c>
      <c r="AA1483" s="1268">
        <v>869</v>
      </c>
      <c r="AB1483" s="1268">
        <v>869</v>
      </c>
      <c r="AC1483" s="1268">
        <v>869</v>
      </c>
      <c r="AD1483" s="1268">
        <v>869</v>
      </c>
      <c r="AE1483" s="1268">
        <v>869</v>
      </c>
      <c r="AF1483" s="253">
        <v>869</v>
      </c>
      <c r="AG1483" s="253">
        <f t="shared" si="221"/>
        <v>869</v>
      </c>
      <c r="DG1483" s="543"/>
      <c r="DH1483" s="149"/>
      <c r="DI1483" s="1020"/>
      <c r="DJ1483" s="2045"/>
    </row>
    <row r="1484" spans="1:114" ht="15" customHeight="1" outlineLevel="1" x14ac:dyDescent="0.25">
      <c r="A1484" s="2145"/>
      <c r="C1484" s="49"/>
      <c r="D1484" s="2394"/>
      <c r="E1484" s="2394"/>
      <c r="F1484" s="2404" t="str">
        <f>$E$839</f>
        <v>ASHP-SEER21_ER1_MF</v>
      </c>
      <c r="G1484" s="2404"/>
      <c r="H1484" s="2404"/>
      <c r="I1484" s="2404"/>
      <c r="J1484" s="1506" t="str">
        <f>$C$839</f>
        <v>354900_2024_12_</v>
      </c>
      <c r="K1484" s="1534">
        <v>869</v>
      </c>
      <c r="L1484" s="244"/>
      <c r="M1484" s="1507" t="s">
        <v>995</v>
      </c>
      <c r="P1484" s="243"/>
      <c r="Q1484" s="192"/>
      <c r="R1484" s="243"/>
      <c r="T1484" s="166"/>
      <c r="U1484" s="50"/>
      <c r="V1484" s="2394"/>
      <c r="W1484" s="1268">
        <v>869</v>
      </c>
      <c r="X1484" s="1268">
        <v>869</v>
      </c>
      <c r="Y1484" s="1268">
        <v>869</v>
      </c>
      <c r="Z1484" s="1268">
        <v>869</v>
      </c>
      <c r="AA1484" s="1268">
        <v>869</v>
      </c>
      <c r="AB1484" s="1268">
        <v>869</v>
      </c>
      <c r="AC1484" s="1268">
        <v>869</v>
      </c>
      <c r="AD1484" s="1268">
        <v>869</v>
      </c>
      <c r="AE1484" s="1268">
        <v>869</v>
      </c>
      <c r="AF1484" s="253">
        <v>869</v>
      </c>
      <c r="AG1484" s="253">
        <f t="shared" si="221"/>
        <v>869</v>
      </c>
      <c r="DG1484" s="543"/>
      <c r="DH1484" s="149"/>
      <c r="DI1484" s="1020"/>
      <c r="DJ1484" s="2045"/>
    </row>
    <row r="1485" spans="1:114" ht="15" customHeight="1" outlineLevel="1" x14ac:dyDescent="0.25">
      <c r="A1485" s="2145"/>
      <c r="C1485" s="49"/>
      <c r="D1485" s="2394"/>
      <c r="E1485" s="2394"/>
      <c r="F1485" s="2404" t="str">
        <f>$E$841</f>
        <v>ASHP-SEER21_ER2_MF</v>
      </c>
      <c r="G1485" s="2404"/>
      <c r="H1485" s="2404"/>
      <c r="I1485" s="2404"/>
      <c r="J1485" s="1506" t="str">
        <f>$C$841</f>
        <v>354900_2024_12_</v>
      </c>
      <c r="K1485" s="1534">
        <v>869</v>
      </c>
      <c r="L1485" s="244"/>
      <c r="M1485" s="1307" t="s">
        <v>1299</v>
      </c>
      <c r="P1485" s="243"/>
      <c r="Q1485" s="192"/>
      <c r="R1485" s="243"/>
      <c r="T1485" s="166"/>
      <c r="U1485" s="50"/>
      <c r="V1485" s="2394"/>
      <c r="W1485" s="1268">
        <v>869</v>
      </c>
      <c r="X1485" s="1268">
        <v>869</v>
      </c>
      <c r="Y1485" s="1268">
        <v>869</v>
      </c>
      <c r="Z1485" s="1268">
        <v>869</v>
      </c>
      <c r="AA1485" s="1268">
        <v>869</v>
      </c>
      <c r="AB1485" s="1268">
        <v>869</v>
      </c>
      <c r="AC1485" s="1268">
        <v>869</v>
      </c>
      <c r="AD1485" s="1268">
        <v>869</v>
      </c>
      <c r="AE1485" s="1268">
        <v>869</v>
      </c>
      <c r="AF1485" s="253">
        <v>869</v>
      </c>
      <c r="AG1485" s="253">
        <f t="shared" si="221"/>
        <v>869</v>
      </c>
      <c r="DG1485" s="543"/>
      <c r="DH1485" s="149"/>
      <c r="DI1485" s="1020"/>
      <c r="DJ1485" s="2045"/>
    </row>
    <row r="1486" spans="1:114" ht="15" customHeight="1" outlineLevel="1" x14ac:dyDescent="0.25">
      <c r="A1486" s="2145"/>
      <c r="C1486" s="49"/>
      <c r="D1486" s="2394"/>
      <c r="E1486" s="2394"/>
      <c r="F1486" s="2404" t="str">
        <f>$E$843</f>
        <v>ASHP-SEER17_ROF_MF</v>
      </c>
      <c r="G1486" s="2404"/>
      <c r="H1486" s="2404"/>
      <c r="I1486" s="2404"/>
      <c r="J1486" s="1506" t="str">
        <f>$C$843</f>
        <v>354950_2024_12_</v>
      </c>
      <c r="K1486" s="1534">
        <v>869</v>
      </c>
      <c r="L1486" s="244"/>
      <c r="M1486" s="1307" t="s">
        <v>1299</v>
      </c>
      <c r="P1486" s="243"/>
      <c r="Q1486" s="192"/>
      <c r="R1486" s="243"/>
      <c r="T1486" s="166"/>
      <c r="U1486" s="50"/>
      <c r="V1486" s="2394"/>
      <c r="W1486" s="1268">
        <v>869</v>
      </c>
      <c r="X1486" s="1268">
        <v>869</v>
      </c>
      <c r="Y1486" s="1268">
        <v>869</v>
      </c>
      <c r="Z1486" s="1268">
        <v>869</v>
      </c>
      <c r="AA1486" s="1268">
        <v>869</v>
      </c>
      <c r="AB1486" s="1268">
        <v>869</v>
      </c>
      <c r="AC1486" s="1268">
        <v>869</v>
      </c>
      <c r="AD1486" s="1268">
        <v>869</v>
      </c>
      <c r="AE1486" s="1268">
        <v>869</v>
      </c>
      <c r="AF1486" s="253">
        <v>869</v>
      </c>
      <c r="AG1486" s="253">
        <f t="shared" si="221"/>
        <v>869</v>
      </c>
      <c r="DG1486" s="543"/>
      <c r="DH1486" s="149"/>
      <c r="DI1486" s="1020"/>
      <c r="DJ1486" s="2045"/>
    </row>
    <row r="1487" spans="1:114" ht="15" customHeight="1" outlineLevel="1" x14ac:dyDescent="0.25">
      <c r="A1487" s="2145"/>
      <c r="C1487" s="49"/>
      <c r="D1487" s="2394"/>
      <c r="E1487" s="2394"/>
      <c r="F1487" s="2404" t="str">
        <f>$E$845</f>
        <v>ASHP-SEER18_ROF_MF</v>
      </c>
      <c r="G1487" s="2404"/>
      <c r="H1487" s="2404"/>
      <c r="I1487" s="2404"/>
      <c r="J1487" s="1506" t="str">
        <f>$C$845</f>
        <v>355000_2024_12_</v>
      </c>
      <c r="K1487" s="1534">
        <v>869</v>
      </c>
      <c r="L1487" s="244"/>
      <c r="M1487" s="1307" t="s">
        <v>1299</v>
      </c>
      <c r="T1487" s="50"/>
      <c r="U1487" s="50"/>
      <c r="V1487" s="2394"/>
      <c r="W1487" s="1268">
        <v>869</v>
      </c>
      <c r="X1487" s="1268">
        <v>869</v>
      </c>
      <c r="Y1487" s="1268">
        <v>869</v>
      </c>
      <c r="Z1487" s="1268">
        <v>869</v>
      </c>
      <c r="AA1487" s="1268">
        <v>869</v>
      </c>
      <c r="AB1487" s="1268">
        <v>869</v>
      </c>
      <c r="AC1487" s="1268">
        <v>869</v>
      </c>
      <c r="AD1487" s="1268">
        <v>869</v>
      </c>
      <c r="AE1487" s="1268">
        <v>869</v>
      </c>
      <c r="AF1487" s="253">
        <v>869</v>
      </c>
      <c r="AG1487" s="253">
        <f t="shared" si="221"/>
        <v>869</v>
      </c>
      <c r="DG1487" s="543"/>
      <c r="DH1487" s="149"/>
      <c r="DI1487" s="1020"/>
      <c r="DJ1487" s="2045"/>
    </row>
    <row r="1488" spans="1:114" ht="15" customHeight="1" outlineLevel="1" x14ac:dyDescent="0.25">
      <c r="A1488" s="2145"/>
      <c r="C1488" s="49"/>
      <c r="D1488" s="2394"/>
      <c r="E1488" s="2394"/>
      <c r="F1488" s="2404" t="str">
        <f>$E$847</f>
        <v>ASHP-SEER19_ROF_MF</v>
      </c>
      <c r="G1488" s="2404"/>
      <c r="H1488" s="2404"/>
      <c r="I1488" s="2404"/>
      <c r="J1488" s="1506" t="str">
        <f>$C$847</f>
        <v>355050_2024_12_</v>
      </c>
      <c r="K1488" s="1534">
        <v>869</v>
      </c>
      <c r="L1488" s="244"/>
      <c r="M1488" s="1307" t="s">
        <v>1299</v>
      </c>
      <c r="T1488" s="50"/>
      <c r="U1488" s="50"/>
      <c r="V1488" s="2394"/>
      <c r="W1488" s="1268">
        <v>869</v>
      </c>
      <c r="X1488" s="1268">
        <v>869</v>
      </c>
      <c r="Y1488" s="1268">
        <v>869</v>
      </c>
      <c r="Z1488" s="1268">
        <v>869</v>
      </c>
      <c r="AA1488" s="1268">
        <v>869</v>
      </c>
      <c r="AB1488" s="1268">
        <v>869</v>
      </c>
      <c r="AC1488" s="1268">
        <v>869</v>
      </c>
      <c r="AD1488" s="1268">
        <v>869</v>
      </c>
      <c r="AE1488" s="1268">
        <v>869</v>
      </c>
      <c r="AF1488" s="253">
        <v>869</v>
      </c>
      <c r="AG1488" s="253">
        <f t="shared" si="221"/>
        <v>869</v>
      </c>
      <c r="DG1488" s="543"/>
      <c r="DH1488" s="149"/>
      <c r="DI1488" s="1020"/>
      <c r="DJ1488" s="2045"/>
    </row>
    <row r="1489" spans="1:114" ht="15" customHeight="1" outlineLevel="1" x14ac:dyDescent="0.25">
      <c r="A1489" s="2145"/>
      <c r="C1489" s="49"/>
      <c r="D1489" s="2394"/>
      <c r="E1489" s="2394"/>
      <c r="F1489" s="2404" t="str">
        <f>$E$849</f>
        <v>ASHP-SEER20_ROF_MF</v>
      </c>
      <c r="G1489" s="2404"/>
      <c r="H1489" s="2404"/>
      <c r="I1489" s="2404"/>
      <c r="J1489" s="1506" t="str">
        <f>$C$849</f>
        <v>355100_2024_12_</v>
      </c>
      <c r="K1489" s="1534">
        <v>869</v>
      </c>
      <c r="L1489" s="244"/>
      <c r="M1489" s="1307" t="s">
        <v>1299</v>
      </c>
      <c r="P1489" s="243"/>
      <c r="Q1489" s="192"/>
      <c r="R1489" s="243"/>
      <c r="T1489" s="166"/>
      <c r="U1489" s="50"/>
      <c r="V1489" s="2394"/>
      <c r="W1489" s="1268">
        <v>869</v>
      </c>
      <c r="X1489" s="1268">
        <v>869</v>
      </c>
      <c r="Y1489" s="1268">
        <v>869</v>
      </c>
      <c r="Z1489" s="1268">
        <v>869</v>
      </c>
      <c r="AA1489" s="1268">
        <v>869</v>
      </c>
      <c r="AB1489" s="1268">
        <v>869</v>
      </c>
      <c r="AC1489" s="1268">
        <v>869</v>
      </c>
      <c r="AD1489" s="1268">
        <v>869</v>
      </c>
      <c r="AE1489" s="1268">
        <v>869</v>
      </c>
      <c r="AF1489" s="253">
        <v>869</v>
      </c>
      <c r="AG1489" s="253">
        <f t="shared" si="221"/>
        <v>869</v>
      </c>
      <c r="DG1489" s="543"/>
      <c r="DH1489" s="149"/>
      <c r="DI1489" s="1020"/>
      <c r="DJ1489" s="2045"/>
    </row>
    <row r="1490" spans="1:114" ht="15.75" customHeight="1" outlineLevel="1" x14ac:dyDescent="0.25">
      <c r="A1490" s="2145"/>
      <c r="C1490" s="49"/>
      <c r="D1490" s="2395"/>
      <c r="E1490" s="2395"/>
      <c r="F1490" s="2404" t="str">
        <f>$E$851</f>
        <v>ASHP-SEER21_ROF_MF</v>
      </c>
      <c r="G1490" s="2404"/>
      <c r="H1490" s="2404"/>
      <c r="I1490" s="2404"/>
      <c r="J1490" s="1506" t="str">
        <f>$C$851</f>
        <v>355150_2024_12_</v>
      </c>
      <c r="K1490" s="1975">
        <v>869</v>
      </c>
      <c r="L1490" s="244"/>
      <c r="M1490" s="1307" t="s">
        <v>1299</v>
      </c>
      <c r="P1490" s="243"/>
      <c r="Q1490" s="192"/>
      <c r="R1490" s="243"/>
      <c r="T1490" s="166"/>
      <c r="U1490" s="50"/>
      <c r="V1490" s="2395"/>
      <c r="W1490" s="1268">
        <v>869</v>
      </c>
      <c r="X1490" s="1268">
        <v>869</v>
      </c>
      <c r="Y1490" s="1268">
        <v>869</v>
      </c>
      <c r="Z1490" s="1268">
        <v>869</v>
      </c>
      <c r="AA1490" s="1268">
        <v>869</v>
      </c>
      <c r="AB1490" s="1268">
        <v>869</v>
      </c>
      <c r="AC1490" s="1268">
        <v>869</v>
      </c>
      <c r="AD1490" s="1268">
        <v>869</v>
      </c>
      <c r="AE1490" s="1268">
        <v>869</v>
      </c>
      <c r="AF1490" s="253">
        <v>869</v>
      </c>
      <c r="AG1490" s="253">
        <f t="shared" si="221"/>
        <v>869</v>
      </c>
      <c r="DG1490" s="543"/>
      <c r="DH1490" s="149"/>
      <c r="DI1490" s="1020"/>
      <c r="DJ1490" s="2045"/>
    </row>
    <row r="1491" spans="1:114" ht="15" customHeight="1" outlineLevel="1" x14ac:dyDescent="0.25">
      <c r="A1491" s="2145"/>
      <c r="C1491" s="49"/>
      <c r="D1491" s="2393" t="s">
        <v>1068</v>
      </c>
      <c r="E1491" s="2393" t="s">
        <v>1069</v>
      </c>
      <c r="F1491" s="2404" t="str">
        <f>$E$647</f>
        <v>ASHP-SEER15-Replace_CAC_ElectricHeat_ER1_SF</v>
      </c>
      <c r="G1491" s="2404"/>
      <c r="H1491" s="2404"/>
      <c r="I1491" s="2404"/>
      <c r="J1491" s="1506" t="str">
        <f>$C$647</f>
        <v>352300_2024_12_</v>
      </c>
      <c r="K1491" s="859">
        <v>7.6796044292718904</v>
      </c>
      <c r="L1491" s="12"/>
      <c r="M1491" s="1504" t="s">
        <v>929</v>
      </c>
      <c r="P1491" s="243"/>
      <c r="Q1491" s="243"/>
      <c r="R1491" s="243"/>
      <c r="T1491" s="166"/>
      <c r="U1491" s="50"/>
      <c r="V1491" s="2393" t="s">
        <v>1070</v>
      </c>
      <c r="W1491" s="1268">
        <v>6.8</v>
      </c>
      <c r="X1491" s="779">
        <v>8.33</v>
      </c>
      <c r="Y1491" s="1268">
        <v>8.33</v>
      </c>
      <c r="Z1491" s="1268">
        <v>8.33</v>
      </c>
      <c r="AA1491" s="1268">
        <v>8.33</v>
      </c>
      <c r="AB1491" s="195">
        <v>7.2250895092808101</v>
      </c>
      <c r="AC1491" s="195">
        <v>8.1543772216897246</v>
      </c>
      <c r="AD1491" s="910">
        <v>7.4467291759226644</v>
      </c>
      <c r="AE1491" s="910">
        <v>7.6796044292718904</v>
      </c>
      <c r="AF1491" s="253">
        <v>7.6796044292718904</v>
      </c>
      <c r="AG1491" s="253">
        <f t="shared" si="221"/>
        <v>7.6796044292718904</v>
      </c>
      <c r="DG1491" s="543"/>
      <c r="DH1491" s="149"/>
      <c r="DI1491" s="1020"/>
      <c r="DJ1491" s="2045"/>
    </row>
    <row r="1492" spans="1:114" ht="15" customHeight="1" outlineLevel="1" x14ac:dyDescent="0.25">
      <c r="A1492" s="2145"/>
      <c r="C1492" s="49"/>
      <c r="D1492" s="2394"/>
      <c r="E1492" s="2394"/>
      <c r="F1492" s="2404" t="str">
        <f>$E$649</f>
        <v>ASHP-SEER15-Replace_CAC_ElectricHeat_ER2_SF</v>
      </c>
      <c r="G1492" s="2404"/>
      <c r="H1492" s="2404"/>
      <c r="I1492" s="2404"/>
      <c r="J1492" s="1506" t="str">
        <f>$C$649</f>
        <v>352300_2024_12_</v>
      </c>
      <c r="K1492" s="1567">
        <v>13.4</v>
      </c>
      <c r="L1492" s="12"/>
      <c r="M1492" s="1249" t="s">
        <v>936</v>
      </c>
      <c r="P1492" s="243"/>
      <c r="Q1492" s="243"/>
      <c r="R1492" s="243"/>
      <c r="T1492" s="166"/>
      <c r="U1492" s="50"/>
      <c r="V1492" s="2394"/>
      <c r="W1492" s="1268">
        <v>13</v>
      </c>
      <c r="X1492" s="1268">
        <v>13</v>
      </c>
      <c r="Y1492" s="1268">
        <v>13</v>
      </c>
      <c r="Z1492" s="1268">
        <v>13</v>
      </c>
      <c r="AA1492" s="1268">
        <v>13</v>
      </c>
      <c r="AB1492" s="194">
        <v>13</v>
      </c>
      <c r="AC1492" s="194">
        <v>13</v>
      </c>
      <c r="AD1492" s="911">
        <v>13</v>
      </c>
      <c r="AE1492" s="1029">
        <v>14</v>
      </c>
      <c r="AF1492" s="253">
        <v>13.4</v>
      </c>
      <c r="AG1492" s="253">
        <f t="shared" si="221"/>
        <v>13.4</v>
      </c>
      <c r="DG1492" s="543"/>
      <c r="DH1492" s="149"/>
      <c r="DI1492" s="1020"/>
      <c r="DJ1492" s="2045"/>
    </row>
    <row r="1493" spans="1:114" ht="15" customHeight="1" outlineLevel="1" x14ac:dyDescent="0.25">
      <c r="A1493" s="2145"/>
      <c r="C1493" s="49"/>
      <c r="D1493" s="2394"/>
      <c r="E1493" s="2394"/>
      <c r="F1493" s="2404" t="str">
        <f>$E$651</f>
        <v>ASHP-SEER15-Replace_CAC_NonElectricHeat_ER1_SF</v>
      </c>
      <c r="G1493" s="2404"/>
      <c r="H1493" s="2404"/>
      <c r="I1493" s="2404"/>
      <c r="J1493" s="1506" t="str">
        <f>$C$651</f>
        <v>352310_2024_12_</v>
      </c>
      <c r="K1493" s="859">
        <v>7.6796044292718904</v>
      </c>
      <c r="L1493" s="12"/>
      <c r="M1493" s="1249" t="s">
        <v>1018</v>
      </c>
      <c r="P1493" s="243"/>
      <c r="Q1493" s="243"/>
      <c r="R1493" s="243"/>
      <c r="T1493" s="166"/>
      <c r="U1493" s="50"/>
      <c r="V1493" s="2394"/>
      <c r="W1493" s="1268"/>
      <c r="X1493" s="1268"/>
      <c r="Y1493" s="1268"/>
      <c r="Z1493" s="1268"/>
      <c r="AA1493" s="1268"/>
      <c r="AB1493" s="194"/>
      <c r="AC1493" s="195">
        <v>8.1543772216897246</v>
      </c>
      <c r="AD1493" s="910">
        <v>7.4467291759226644</v>
      </c>
      <c r="AE1493" s="1029">
        <v>7.6796044292718904</v>
      </c>
      <c r="AF1493" s="253">
        <v>7.6796044292718904</v>
      </c>
      <c r="AG1493" s="253">
        <f t="shared" si="221"/>
        <v>7.6796044292718904</v>
      </c>
      <c r="DG1493" s="543"/>
      <c r="DH1493" s="149"/>
      <c r="DI1493" s="1020"/>
      <c r="DJ1493" s="2045"/>
    </row>
    <row r="1494" spans="1:114" ht="15" customHeight="1" outlineLevel="1" x14ac:dyDescent="0.25">
      <c r="A1494" s="2145"/>
      <c r="C1494" s="49"/>
      <c r="D1494" s="2394"/>
      <c r="E1494" s="2394"/>
      <c r="F1494" s="2404" t="str">
        <f>$E$653</f>
        <v>ASHP-SEER15-Replace_CAC_NonElectricHeat_ER2_SF</v>
      </c>
      <c r="G1494" s="2404"/>
      <c r="H1494" s="2404"/>
      <c r="I1494" s="2404"/>
      <c r="J1494" s="1506" t="str">
        <f>$C$653</f>
        <v>352310_2024_12_</v>
      </c>
      <c r="K1494" s="1567">
        <v>13.4</v>
      </c>
      <c r="L1494" s="12"/>
      <c r="M1494" s="1249" t="s">
        <v>936</v>
      </c>
      <c r="P1494" s="243"/>
      <c r="Q1494" s="243"/>
      <c r="R1494" s="243"/>
      <c r="T1494" s="166"/>
      <c r="U1494" s="50"/>
      <c r="V1494" s="2394"/>
      <c r="W1494" s="1268"/>
      <c r="X1494" s="1268"/>
      <c r="Y1494" s="1268"/>
      <c r="Z1494" s="1268"/>
      <c r="AA1494" s="1268"/>
      <c r="AB1494" s="194"/>
      <c r="AC1494" s="195">
        <v>13</v>
      </c>
      <c r="AD1494" s="911">
        <v>13</v>
      </c>
      <c r="AE1494" s="1029">
        <v>14</v>
      </c>
      <c r="AF1494" s="253">
        <v>13.4</v>
      </c>
      <c r="AG1494" s="253">
        <f t="shared" si="221"/>
        <v>13.4</v>
      </c>
      <c r="DG1494" s="543"/>
      <c r="DH1494" s="149"/>
      <c r="DI1494" s="1020"/>
      <c r="DJ1494" s="2045"/>
    </row>
    <row r="1495" spans="1:114" ht="15" customHeight="1" outlineLevel="1" x14ac:dyDescent="0.25">
      <c r="A1495" s="2145"/>
      <c r="C1495" s="49"/>
      <c r="D1495" s="2394"/>
      <c r="E1495" s="2394"/>
      <c r="F1495" s="2404" t="str">
        <f>$E$655</f>
        <v>ASHP-SEER15_ER1_SF</v>
      </c>
      <c r="G1495" s="2404"/>
      <c r="H1495" s="2404"/>
      <c r="I1495" s="2404"/>
      <c r="J1495" s="1506" t="str">
        <f>$C$655</f>
        <v>352350_2024_12_</v>
      </c>
      <c r="K1495" s="859">
        <v>7.6796044292718904</v>
      </c>
      <c r="L1495" s="12"/>
      <c r="M1495" s="1504" t="s">
        <v>1018</v>
      </c>
      <c r="P1495" s="243"/>
      <c r="Q1495" s="243"/>
      <c r="R1495" s="243"/>
      <c r="T1495" s="166"/>
      <c r="U1495" s="50"/>
      <c r="V1495" s="2394"/>
      <c r="W1495" s="1268">
        <v>7.2</v>
      </c>
      <c r="X1495" s="779">
        <v>8.33</v>
      </c>
      <c r="Y1495" s="1268">
        <v>8.33</v>
      </c>
      <c r="Z1495" s="1268">
        <v>8.33</v>
      </c>
      <c r="AA1495" s="1268">
        <v>8.33</v>
      </c>
      <c r="AB1495" s="195">
        <v>7.4709062755842588</v>
      </c>
      <c r="AC1495" s="195">
        <v>8.380670139147373</v>
      </c>
      <c r="AD1495" s="910">
        <v>7.4467291759226644</v>
      </c>
      <c r="AE1495" s="1029">
        <v>7.6796044292718904</v>
      </c>
      <c r="AF1495" s="253">
        <v>7.6796044292718904</v>
      </c>
      <c r="AG1495" s="253">
        <f t="shared" si="221"/>
        <v>7.6796044292718904</v>
      </c>
      <c r="DG1495" s="543"/>
      <c r="DH1495" s="149"/>
      <c r="DI1495" s="1020"/>
      <c r="DJ1495" s="2045"/>
    </row>
    <row r="1496" spans="1:114" ht="15" customHeight="1" outlineLevel="1" x14ac:dyDescent="0.25">
      <c r="A1496" s="2145"/>
      <c r="C1496" s="49"/>
      <c r="D1496" s="2394"/>
      <c r="E1496" s="2394"/>
      <c r="F1496" s="2404" t="str">
        <f>$E$657</f>
        <v>ASHP-SEER15_ER2_SF</v>
      </c>
      <c r="G1496" s="2404"/>
      <c r="H1496" s="2404"/>
      <c r="I1496" s="2404"/>
      <c r="J1496" s="1506" t="str">
        <f>$C$657</f>
        <v>352350_2024_12_</v>
      </c>
      <c r="K1496" s="1567">
        <v>14.3</v>
      </c>
      <c r="L1496" s="12"/>
      <c r="M1496" s="1249" t="s">
        <v>936</v>
      </c>
      <c r="P1496" s="243"/>
      <c r="Q1496" s="243"/>
      <c r="R1496" s="243"/>
      <c r="T1496" s="166"/>
      <c r="U1496" s="50"/>
      <c r="V1496" s="2394"/>
      <c r="W1496" s="1268">
        <v>14</v>
      </c>
      <c r="X1496" s="1268">
        <v>14</v>
      </c>
      <c r="Y1496" s="1268">
        <v>14</v>
      </c>
      <c r="Z1496" s="1268">
        <v>14</v>
      </c>
      <c r="AA1496" s="1268">
        <v>14</v>
      </c>
      <c r="AB1496" s="194">
        <v>14</v>
      </c>
      <c r="AC1496" s="194">
        <v>14</v>
      </c>
      <c r="AD1496" s="911">
        <v>14</v>
      </c>
      <c r="AE1496" s="1029">
        <v>15</v>
      </c>
      <c r="AF1496" s="253">
        <v>14.3</v>
      </c>
      <c r="AG1496" s="253">
        <f t="shared" si="221"/>
        <v>14.3</v>
      </c>
      <c r="DG1496" s="543"/>
      <c r="DH1496" s="149"/>
      <c r="DI1496" s="1020"/>
      <c r="DJ1496" s="2045"/>
    </row>
    <row r="1497" spans="1:114" ht="15" customHeight="1" outlineLevel="1" x14ac:dyDescent="0.25">
      <c r="A1497" s="2145"/>
      <c r="C1497" s="49"/>
      <c r="D1497" s="2394"/>
      <c r="E1497" s="2394"/>
      <c r="F1497" s="2404" t="str">
        <f>$E$659</f>
        <v>ASHP-SEER15-Replace_CAC_ElectricHeat_ROF_SF</v>
      </c>
      <c r="G1497" s="2404"/>
      <c r="H1497" s="2404"/>
      <c r="I1497" s="2404"/>
      <c r="J1497" s="1506" t="str">
        <f>$C$659</f>
        <v>352400_2024_12_</v>
      </c>
      <c r="K1497" s="1567">
        <v>13.4</v>
      </c>
      <c r="L1497" s="12"/>
      <c r="M1497" s="1249" t="s">
        <v>936</v>
      </c>
      <c r="P1497" s="243"/>
      <c r="Q1497" s="243"/>
      <c r="R1497" s="243"/>
      <c r="T1497" s="166"/>
      <c r="U1497" s="50"/>
      <c r="V1497" s="2394"/>
      <c r="W1497" s="1268">
        <v>13</v>
      </c>
      <c r="X1497" s="1268">
        <v>13</v>
      </c>
      <c r="Y1497" s="1268">
        <v>13</v>
      </c>
      <c r="Z1497" s="1268">
        <v>13</v>
      </c>
      <c r="AA1497" s="1268">
        <v>13</v>
      </c>
      <c r="AB1497" s="194">
        <v>13</v>
      </c>
      <c r="AC1497" s="194">
        <v>13</v>
      </c>
      <c r="AD1497" s="911">
        <v>13</v>
      </c>
      <c r="AE1497" s="1029">
        <v>14</v>
      </c>
      <c r="AF1497" s="253">
        <v>13.4</v>
      </c>
      <c r="AG1497" s="253">
        <f t="shared" si="221"/>
        <v>13.4</v>
      </c>
      <c r="DG1497" s="543"/>
      <c r="DH1497" s="149"/>
      <c r="DI1497" s="1020"/>
      <c r="DJ1497" s="2045"/>
    </row>
    <row r="1498" spans="1:114" ht="15" customHeight="1" outlineLevel="1" x14ac:dyDescent="0.25">
      <c r="A1498" s="2145"/>
      <c r="C1498" s="49"/>
      <c r="D1498" s="2394"/>
      <c r="E1498" s="2394"/>
      <c r="F1498" s="2404" t="str">
        <f>$E$661</f>
        <v>ASHP-SEER15-Replace_CAC_NonElectricHeat_ROF_SF</v>
      </c>
      <c r="G1498" s="2404"/>
      <c r="H1498" s="2404"/>
      <c r="I1498" s="2404"/>
      <c r="J1498" s="1506" t="str">
        <f>$C$661</f>
        <v>352410_2024_12_</v>
      </c>
      <c r="K1498" s="1567">
        <v>13.4</v>
      </c>
      <c r="L1498" s="12"/>
      <c r="M1498" s="1249" t="s">
        <v>936</v>
      </c>
      <c r="P1498" s="243"/>
      <c r="Q1498" s="243"/>
      <c r="R1498" s="243"/>
      <c r="T1498" s="166"/>
      <c r="U1498" s="50"/>
      <c r="V1498" s="2394"/>
      <c r="W1498" s="1268"/>
      <c r="X1498" s="1268"/>
      <c r="Y1498" s="1268"/>
      <c r="Z1498" s="1268"/>
      <c r="AA1498" s="1268"/>
      <c r="AB1498" s="194"/>
      <c r="AC1498" s="195">
        <v>13</v>
      </c>
      <c r="AD1498" s="911">
        <v>13</v>
      </c>
      <c r="AE1498" s="1029">
        <v>14</v>
      </c>
      <c r="AF1498" s="253">
        <v>13.4</v>
      </c>
      <c r="AG1498" s="253">
        <f t="shared" si="221"/>
        <v>13.4</v>
      </c>
      <c r="DG1498" s="543"/>
      <c r="DH1498" s="149"/>
      <c r="DI1498" s="1020"/>
      <c r="DJ1498" s="2045"/>
    </row>
    <row r="1499" spans="1:114" ht="15.75" customHeight="1" outlineLevel="1" x14ac:dyDescent="0.25">
      <c r="A1499" s="2145"/>
      <c r="C1499" s="49"/>
      <c r="D1499" s="2394"/>
      <c r="E1499" s="2394"/>
      <c r="F1499" s="1968" t="s">
        <v>1130</v>
      </c>
      <c r="G1499" s="1969"/>
      <c r="H1499" s="1969"/>
      <c r="I1499" s="1970"/>
      <c r="J1499" s="2095" t="str">
        <f>$C$663</f>
        <v>352420_2025_12_</v>
      </c>
      <c r="K1499" s="1977">
        <v>6.53</v>
      </c>
      <c r="L1499" s="913"/>
      <c r="M1499" s="645" t="s">
        <v>1297</v>
      </c>
      <c r="T1499" s="50"/>
      <c r="U1499" s="50"/>
      <c r="V1499" s="2394"/>
      <c r="W1499" s="1268"/>
      <c r="X1499" s="1268"/>
      <c r="Y1499" s="1268"/>
      <c r="Z1499" s="1268"/>
      <c r="AA1499" s="1268"/>
      <c r="AB1499" s="1268"/>
      <c r="AC1499" s="752"/>
      <c r="AD1499" s="966"/>
      <c r="AE1499" s="909"/>
      <c r="AF1499" s="253"/>
      <c r="AG1499" s="253">
        <f>IF(K1499&lt;&gt;"",K1499,"")</f>
        <v>6.53</v>
      </c>
      <c r="DG1499" s="543"/>
      <c r="DH1499" s="149"/>
      <c r="DI1499" s="1020"/>
      <c r="DJ1499" s="2045"/>
    </row>
    <row r="1500" spans="1:114" ht="15.75" customHeight="1" outlineLevel="1" x14ac:dyDescent="0.25">
      <c r="A1500" s="2145"/>
      <c r="C1500" s="49"/>
      <c r="D1500" s="2394"/>
      <c r="E1500" s="2394"/>
      <c r="F1500" s="1968" t="s">
        <v>1131</v>
      </c>
      <c r="G1500" s="1969"/>
      <c r="H1500" s="1969"/>
      <c r="I1500" s="1970"/>
      <c r="J1500" s="2095" t="str">
        <f>$C$664</f>
        <v>352420_2025_12_</v>
      </c>
      <c r="K1500" s="1977">
        <v>13.4</v>
      </c>
      <c r="L1500" s="913"/>
      <c r="M1500" s="645" t="s">
        <v>1297</v>
      </c>
      <c r="T1500" s="50"/>
      <c r="U1500" s="50"/>
      <c r="V1500" s="2394"/>
      <c r="W1500" s="1268"/>
      <c r="X1500" s="1268"/>
      <c r="Y1500" s="1268"/>
      <c r="Z1500" s="1268"/>
      <c r="AA1500" s="1268"/>
      <c r="AB1500" s="1268"/>
      <c r="AC1500" s="752"/>
      <c r="AD1500" s="966"/>
      <c r="AE1500" s="909"/>
      <c r="AF1500" s="253"/>
      <c r="AG1500" s="253">
        <f>IF(K1500&lt;&gt;"",K1500,"")</f>
        <v>13.4</v>
      </c>
      <c r="DG1500" s="543"/>
      <c r="DH1500" s="149"/>
      <c r="DI1500" s="1020"/>
      <c r="DJ1500" s="2045"/>
    </row>
    <row r="1501" spans="1:114" ht="15.75" customHeight="1" outlineLevel="1" x14ac:dyDescent="0.25">
      <c r="A1501" s="2145"/>
      <c r="C1501" s="49"/>
      <c r="D1501" s="2394"/>
      <c r="E1501" s="2394"/>
      <c r="F1501" s="1968" t="s">
        <v>1133</v>
      </c>
      <c r="G1501" s="1969"/>
      <c r="H1501" s="1969"/>
      <c r="I1501" s="1970"/>
      <c r="J1501" s="2095" t="str">
        <f>$C$667</f>
        <v>352425_2025_12_</v>
      </c>
      <c r="K1501" s="1977">
        <v>13.4</v>
      </c>
      <c r="L1501" s="913"/>
      <c r="M1501" s="645" t="s">
        <v>1297</v>
      </c>
      <c r="T1501" s="50"/>
      <c r="U1501" s="50"/>
      <c r="V1501" s="2394"/>
      <c r="W1501" s="1268"/>
      <c r="X1501" s="1268"/>
      <c r="Y1501" s="1268"/>
      <c r="Z1501" s="1268"/>
      <c r="AA1501" s="1268"/>
      <c r="AB1501" s="1268"/>
      <c r="AC1501" s="752"/>
      <c r="AD1501" s="966"/>
      <c r="AE1501" s="909"/>
      <c r="AF1501" s="253"/>
      <c r="AG1501" s="253">
        <f>IF(K1501&lt;&gt;"",K1501,"")</f>
        <v>13.4</v>
      </c>
      <c r="DG1501" s="543"/>
      <c r="DH1501" s="149"/>
      <c r="DI1501" s="1020"/>
      <c r="DJ1501" s="2045"/>
    </row>
    <row r="1502" spans="1:114" ht="15" customHeight="1" outlineLevel="1" x14ac:dyDescent="0.25">
      <c r="A1502" s="2145"/>
      <c r="C1502" s="49"/>
      <c r="D1502" s="2394"/>
      <c r="E1502" s="2394"/>
      <c r="F1502" s="2404" t="str">
        <f>$E$669</f>
        <v>ASHP-SEER16-Replace_CAC_ElectricHeat_ER1_SF</v>
      </c>
      <c r="G1502" s="2404"/>
      <c r="H1502" s="2404"/>
      <c r="I1502" s="2404"/>
      <c r="J1502" s="1506" t="str">
        <f>$C$669</f>
        <v>352500_2024_12_</v>
      </c>
      <c r="K1502" s="859">
        <v>7.6515995433604935</v>
      </c>
      <c r="L1502" s="12"/>
      <c r="M1502" s="1518" t="s">
        <v>942</v>
      </c>
      <c r="P1502" s="243"/>
      <c r="Q1502" s="243"/>
      <c r="R1502" s="243"/>
      <c r="T1502" s="166"/>
      <c r="U1502" s="50"/>
      <c r="V1502" s="2394"/>
      <c r="W1502" s="1268">
        <v>6.8</v>
      </c>
      <c r="X1502" s="779">
        <v>8.33</v>
      </c>
      <c r="Y1502" s="1268">
        <v>8.33</v>
      </c>
      <c r="Z1502" s="1268">
        <v>8.33</v>
      </c>
      <c r="AA1502" s="1268">
        <v>8.33</v>
      </c>
      <c r="AB1502" s="195">
        <v>7.3736145314130352</v>
      </c>
      <c r="AC1502" s="195">
        <v>8.1664591605461361</v>
      </c>
      <c r="AD1502" s="910">
        <v>7.4938049011994181</v>
      </c>
      <c r="AE1502" s="910">
        <v>7.7836347406448336</v>
      </c>
      <c r="AF1502" s="253">
        <v>7.6515995433604935</v>
      </c>
      <c r="AG1502" s="253">
        <f t="shared" si="221"/>
        <v>7.6515995433604935</v>
      </c>
      <c r="DG1502" s="543"/>
      <c r="DH1502" s="149"/>
      <c r="DI1502" s="1020"/>
      <c r="DJ1502" s="2045"/>
    </row>
    <row r="1503" spans="1:114" ht="15" customHeight="1" outlineLevel="1" x14ac:dyDescent="0.25">
      <c r="A1503" s="2145"/>
      <c r="C1503" s="49"/>
      <c r="D1503" s="2394"/>
      <c r="E1503" s="2394"/>
      <c r="F1503" s="2404" t="str">
        <f>$E$671</f>
        <v>ASHP-SEER16-Replace_CAC_ElectricHeat_ER2_SF</v>
      </c>
      <c r="G1503" s="2404"/>
      <c r="H1503" s="2404"/>
      <c r="I1503" s="2404"/>
      <c r="J1503" s="1506" t="str">
        <f>$C$671</f>
        <v>352500_2024_12_</v>
      </c>
      <c r="K1503" s="1567">
        <v>13.4</v>
      </c>
      <c r="L1503" s="12"/>
      <c r="M1503" s="1249" t="s">
        <v>936</v>
      </c>
      <c r="P1503" s="243"/>
      <c r="Q1503" s="243"/>
      <c r="R1503" s="243"/>
      <c r="T1503" s="166"/>
      <c r="U1503" s="50"/>
      <c r="V1503" s="2394"/>
      <c r="W1503" s="1268">
        <v>13</v>
      </c>
      <c r="X1503" s="1268">
        <v>13</v>
      </c>
      <c r="Y1503" s="1268">
        <v>13</v>
      </c>
      <c r="Z1503" s="1268">
        <v>13</v>
      </c>
      <c r="AA1503" s="1268">
        <v>13</v>
      </c>
      <c r="AB1503" s="194">
        <v>13</v>
      </c>
      <c r="AC1503" s="194">
        <v>13</v>
      </c>
      <c r="AD1503" s="911">
        <v>13</v>
      </c>
      <c r="AE1503" s="1029">
        <v>14</v>
      </c>
      <c r="AF1503" s="253">
        <v>13.4</v>
      </c>
      <c r="AG1503" s="253">
        <f t="shared" si="221"/>
        <v>13.4</v>
      </c>
      <c r="DG1503" s="543"/>
      <c r="DH1503" s="149"/>
      <c r="DI1503" s="1020"/>
      <c r="DJ1503" s="2045"/>
    </row>
    <row r="1504" spans="1:114" ht="15" customHeight="1" outlineLevel="1" x14ac:dyDescent="0.25">
      <c r="A1504" s="2145"/>
      <c r="C1504" s="49"/>
      <c r="D1504" s="2394"/>
      <c r="E1504" s="2394"/>
      <c r="F1504" s="2404" t="str">
        <f>$E$673</f>
        <v>ASHP-SEER16-Replace_CAC_NonElectricHeat_ER1_SF</v>
      </c>
      <c r="G1504" s="2404"/>
      <c r="H1504" s="2404"/>
      <c r="I1504" s="2404"/>
      <c r="J1504" s="1506" t="str">
        <f>$C$673</f>
        <v>352510_2024_12_</v>
      </c>
      <c r="K1504" s="859">
        <v>7.6515995433604935</v>
      </c>
      <c r="L1504" s="12"/>
      <c r="M1504" s="1518" t="s">
        <v>942</v>
      </c>
      <c r="P1504" s="243"/>
      <c r="Q1504" s="243"/>
      <c r="R1504" s="243"/>
      <c r="T1504" s="166"/>
      <c r="U1504" s="50"/>
      <c r="V1504" s="2394"/>
      <c r="W1504" s="1268"/>
      <c r="X1504" s="1268"/>
      <c r="Y1504" s="1268"/>
      <c r="Z1504" s="1268"/>
      <c r="AA1504" s="1268"/>
      <c r="AB1504" s="194"/>
      <c r="AC1504" s="195">
        <v>8.1664591605461361</v>
      </c>
      <c r="AD1504" s="910">
        <v>7.4938049011994181</v>
      </c>
      <c r="AE1504" s="910">
        <v>7.7836347406448336</v>
      </c>
      <c r="AF1504" s="253">
        <v>7.6515995433604935</v>
      </c>
      <c r="AG1504" s="253">
        <f t="shared" si="221"/>
        <v>7.6515995433604935</v>
      </c>
      <c r="DG1504" s="543"/>
      <c r="DH1504" s="149"/>
      <c r="DI1504" s="1020"/>
      <c r="DJ1504" s="2045"/>
    </row>
    <row r="1505" spans="1:114" ht="15" customHeight="1" outlineLevel="1" x14ac:dyDescent="0.25">
      <c r="A1505" s="2145"/>
      <c r="C1505" s="49"/>
      <c r="D1505" s="2394"/>
      <c r="E1505" s="2394"/>
      <c r="F1505" s="2404" t="str">
        <f>$E$675</f>
        <v>ASHP-SEER16-Replace_CAC_NonElectricHeat_ER2_SF</v>
      </c>
      <c r="G1505" s="2404"/>
      <c r="H1505" s="2404"/>
      <c r="I1505" s="2404"/>
      <c r="J1505" s="1506" t="str">
        <f>$C$675</f>
        <v>352510_2024_12_</v>
      </c>
      <c r="K1505" s="1567">
        <v>13.4</v>
      </c>
      <c r="L1505" s="12"/>
      <c r="M1505" s="1249" t="s">
        <v>936</v>
      </c>
      <c r="P1505" s="243"/>
      <c r="Q1505" s="243"/>
      <c r="R1505" s="243"/>
      <c r="T1505" s="166"/>
      <c r="U1505" s="50"/>
      <c r="V1505" s="2394"/>
      <c r="W1505" s="1268"/>
      <c r="X1505" s="1268"/>
      <c r="Y1505" s="1268"/>
      <c r="Z1505" s="1268"/>
      <c r="AA1505" s="1268"/>
      <c r="AB1505" s="194"/>
      <c r="AC1505" s="195">
        <v>13</v>
      </c>
      <c r="AD1505" s="911">
        <v>13</v>
      </c>
      <c r="AE1505" s="1029">
        <v>14</v>
      </c>
      <c r="AF1505" s="253">
        <v>13.4</v>
      </c>
      <c r="AG1505" s="253">
        <f t="shared" si="221"/>
        <v>13.4</v>
      </c>
      <c r="DG1505" s="543"/>
      <c r="DH1505" s="149"/>
      <c r="DI1505" s="1020"/>
      <c r="DJ1505" s="2045"/>
    </row>
    <row r="1506" spans="1:114" ht="15.75" customHeight="1" outlineLevel="1" x14ac:dyDescent="0.25">
      <c r="A1506" s="2145"/>
      <c r="C1506" s="49"/>
      <c r="D1506" s="2394"/>
      <c r="E1506" s="2394"/>
      <c r="F1506" s="1968" t="s">
        <v>1141</v>
      </c>
      <c r="G1506" s="1969"/>
      <c r="H1506" s="1969"/>
      <c r="I1506" s="1970"/>
      <c r="J1506" s="2095" t="s">
        <v>1140</v>
      </c>
      <c r="K1506" s="1977">
        <v>6.53</v>
      </c>
      <c r="L1506" s="913"/>
      <c r="M1506" s="645" t="s">
        <v>1298</v>
      </c>
      <c r="T1506" s="50"/>
      <c r="U1506" s="50"/>
      <c r="V1506" s="2394"/>
      <c r="W1506" s="1268"/>
      <c r="X1506" s="1268"/>
      <c r="Y1506" s="1268"/>
      <c r="Z1506" s="1268"/>
      <c r="AA1506" s="1268"/>
      <c r="AB1506" s="1268"/>
      <c r="AC1506" s="752"/>
      <c r="AD1506" s="966"/>
      <c r="AE1506" s="909"/>
      <c r="AF1506" s="253"/>
      <c r="AG1506" s="253">
        <f>IF(K1506&lt;&gt;"",K1506,"")</f>
        <v>6.53</v>
      </c>
      <c r="DG1506" s="543"/>
      <c r="DH1506" s="149"/>
      <c r="DI1506" s="1020"/>
      <c r="DJ1506" s="2045"/>
    </row>
    <row r="1507" spans="1:114" ht="15.75" customHeight="1" outlineLevel="1" x14ac:dyDescent="0.25">
      <c r="A1507" s="2145"/>
      <c r="C1507" s="49"/>
      <c r="D1507" s="2394"/>
      <c r="E1507" s="2394"/>
      <c r="F1507" s="1968" t="s">
        <v>1142</v>
      </c>
      <c r="G1507" s="1969"/>
      <c r="H1507" s="1969"/>
      <c r="I1507" s="1970"/>
      <c r="J1507" s="2095" t="s">
        <v>1140</v>
      </c>
      <c r="K1507" s="1977">
        <v>14.3</v>
      </c>
      <c r="L1507" s="913"/>
      <c r="M1507" s="645" t="s">
        <v>1298</v>
      </c>
      <c r="T1507" s="50"/>
      <c r="U1507" s="50"/>
      <c r="V1507" s="2394"/>
      <c r="W1507" s="1268"/>
      <c r="X1507" s="1268"/>
      <c r="Y1507" s="1268"/>
      <c r="Z1507" s="1268"/>
      <c r="AA1507" s="1268"/>
      <c r="AB1507" s="1268"/>
      <c r="AC1507" s="752"/>
      <c r="AD1507" s="966"/>
      <c r="AE1507" s="909"/>
      <c r="AF1507" s="253"/>
      <c r="AG1507" s="253">
        <f>IF(K1507&lt;&gt;"",K1507,"")</f>
        <v>14.3</v>
      </c>
      <c r="DG1507" s="543"/>
      <c r="DH1507" s="149"/>
      <c r="DI1507" s="1020"/>
      <c r="DJ1507" s="2045"/>
    </row>
    <row r="1508" spans="1:114" ht="15" customHeight="1" outlineLevel="1" x14ac:dyDescent="0.25">
      <c r="A1508" s="2145"/>
      <c r="C1508" s="49"/>
      <c r="D1508" s="2394"/>
      <c r="E1508" s="2394"/>
      <c r="F1508" s="2404" t="str">
        <f>$E$681</f>
        <v>ASHP-SEER16_ER1_SF</v>
      </c>
      <c r="G1508" s="2404"/>
      <c r="H1508" s="2404"/>
      <c r="I1508" s="2404"/>
      <c r="J1508" s="1506" t="str">
        <f>$C$681</f>
        <v>352550_2024_12_</v>
      </c>
      <c r="K1508" s="859">
        <v>7.6515995433604935</v>
      </c>
      <c r="L1508" s="12"/>
      <c r="M1508" s="1518" t="s">
        <v>942</v>
      </c>
      <c r="P1508" s="243"/>
      <c r="Q1508" s="243"/>
      <c r="R1508" s="243"/>
      <c r="T1508" s="166"/>
      <c r="U1508" s="50"/>
      <c r="V1508" s="2394"/>
      <c r="W1508" s="1268">
        <v>7.2</v>
      </c>
      <c r="X1508" s="779">
        <v>8.33</v>
      </c>
      <c r="Y1508" s="1268">
        <v>8.33</v>
      </c>
      <c r="Z1508" s="1268">
        <v>8.33</v>
      </c>
      <c r="AA1508" s="1268">
        <v>8.33</v>
      </c>
      <c r="AB1508" s="195">
        <v>7.7898582649437182</v>
      </c>
      <c r="AC1508" s="195">
        <v>8.4255600602484932</v>
      </c>
      <c r="AD1508" s="910">
        <v>7.4938049011994181</v>
      </c>
      <c r="AE1508" s="910">
        <v>7.7836347406448336</v>
      </c>
      <c r="AF1508" s="253">
        <v>7.6515995433604935</v>
      </c>
      <c r="AG1508" s="253">
        <f t="shared" si="221"/>
        <v>7.6515995433604935</v>
      </c>
      <c r="DG1508" s="543"/>
      <c r="DH1508" s="149"/>
      <c r="DI1508" s="1020"/>
      <c r="DJ1508" s="2045"/>
    </row>
    <row r="1509" spans="1:114" ht="15" customHeight="1" outlineLevel="1" x14ac:dyDescent="0.25">
      <c r="A1509" s="2145"/>
      <c r="C1509" s="49"/>
      <c r="D1509" s="2394"/>
      <c r="E1509" s="2394"/>
      <c r="F1509" s="2404" t="str">
        <f>$E$683</f>
        <v>ASHP-SEER16_ER2_SF</v>
      </c>
      <c r="G1509" s="2404"/>
      <c r="H1509" s="2404"/>
      <c r="I1509" s="2404"/>
      <c r="J1509" s="1506" t="str">
        <f>$C$683</f>
        <v>352550_2024_12_</v>
      </c>
      <c r="K1509" s="1567">
        <v>14.3</v>
      </c>
      <c r="L1509" s="12"/>
      <c r="M1509" s="1249" t="s">
        <v>936</v>
      </c>
      <c r="P1509" s="243"/>
      <c r="Q1509" s="243"/>
      <c r="R1509" s="243"/>
      <c r="T1509" s="166"/>
      <c r="U1509" s="50"/>
      <c r="V1509" s="2394"/>
      <c r="W1509" s="1268">
        <v>14</v>
      </c>
      <c r="X1509" s="1268">
        <v>14</v>
      </c>
      <c r="Y1509" s="1268">
        <v>14</v>
      </c>
      <c r="Z1509" s="1268">
        <v>14</v>
      </c>
      <c r="AA1509" s="1268">
        <v>14</v>
      </c>
      <c r="AB1509" s="194">
        <v>14</v>
      </c>
      <c r="AC1509" s="194">
        <v>14</v>
      </c>
      <c r="AD1509" s="911">
        <v>14</v>
      </c>
      <c r="AE1509" s="1029">
        <v>15</v>
      </c>
      <c r="AF1509" s="253">
        <v>14.3</v>
      </c>
      <c r="AG1509" s="253">
        <f t="shared" si="221"/>
        <v>14.3</v>
      </c>
      <c r="DG1509" s="543"/>
      <c r="DH1509" s="149"/>
      <c r="DI1509" s="1020"/>
      <c r="DJ1509" s="2045"/>
    </row>
    <row r="1510" spans="1:114" ht="15" customHeight="1" outlineLevel="1" x14ac:dyDescent="0.25">
      <c r="A1510" s="2145"/>
      <c r="C1510" s="49"/>
      <c r="D1510" s="2394"/>
      <c r="E1510" s="2394"/>
      <c r="F1510" s="2404" t="str">
        <f>$E$685</f>
        <v>ASHP-SEER16-Replace_CAC_ElectricHeat_ROF_SF</v>
      </c>
      <c r="G1510" s="2404"/>
      <c r="H1510" s="2404"/>
      <c r="I1510" s="2404"/>
      <c r="J1510" s="1506" t="str">
        <f>$C$685</f>
        <v>352600_2024_12_</v>
      </c>
      <c r="K1510" s="1567">
        <v>13.4</v>
      </c>
      <c r="L1510" s="12"/>
      <c r="M1510" s="1249" t="s">
        <v>936</v>
      </c>
      <c r="P1510" s="243"/>
      <c r="Q1510" s="243"/>
      <c r="R1510" s="243"/>
      <c r="T1510" s="166"/>
      <c r="U1510" s="50"/>
      <c r="V1510" s="2394"/>
      <c r="W1510" s="1268">
        <v>13</v>
      </c>
      <c r="X1510" s="1268">
        <v>13</v>
      </c>
      <c r="Y1510" s="1268">
        <v>13</v>
      </c>
      <c r="Z1510" s="1268">
        <v>13</v>
      </c>
      <c r="AA1510" s="1268">
        <v>13</v>
      </c>
      <c r="AB1510" s="194">
        <v>13</v>
      </c>
      <c r="AC1510" s="194">
        <v>13</v>
      </c>
      <c r="AD1510" s="911">
        <v>13</v>
      </c>
      <c r="AE1510" s="1029">
        <v>14</v>
      </c>
      <c r="AF1510" s="253">
        <v>13.4</v>
      </c>
      <c r="AG1510" s="253">
        <f t="shared" si="221"/>
        <v>13.4</v>
      </c>
      <c r="DG1510" s="543"/>
      <c r="DH1510" s="149"/>
      <c r="DI1510" s="1020"/>
      <c r="DJ1510" s="2045"/>
    </row>
    <row r="1511" spans="1:114" ht="15.75" customHeight="1" outlineLevel="1" x14ac:dyDescent="0.25">
      <c r="A1511" s="2145"/>
      <c r="C1511" s="49"/>
      <c r="D1511" s="2394"/>
      <c r="E1511" s="2394"/>
      <c r="F1511" s="1968" t="s">
        <v>1149</v>
      </c>
      <c r="G1511" s="1969"/>
      <c r="H1511" s="1969"/>
      <c r="I1511" s="1970"/>
      <c r="J1511" s="2095" t="s">
        <v>1148</v>
      </c>
      <c r="K1511" s="1977">
        <v>13.4</v>
      </c>
      <c r="L1511" s="913"/>
      <c r="M1511" s="645" t="s">
        <v>1297</v>
      </c>
      <c r="T1511" s="50"/>
      <c r="U1511" s="50"/>
      <c r="V1511" s="2394"/>
      <c r="W1511" s="1268"/>
      <c r="X1511" s="1268"/>
      <c r="Y1511" s="1268"/>
      <c r="Z1511" s="1268"/>
      <c r="AA1511" s="1268"/>
      <c r="AB1511" s="1268"/>
      <c r="AC1511" s="752"/>
      <c r="AD1511" s="966"/>
      <c r="AE1511" s="909"/>
      <c r="AF1511" s="253"/>
      <c r="AG1511" s="253">
        <f>IF(K1511&lt;&gt;"",K1511,"")</f>
        <v>13.4</v>
      </c>
      <c r="DG1511" s="543"/>
      <c r="DH1511" s="149"/>
      <c r="DI1511" s="1020"/>
      <c r="DJ1511" s="2045"/>
    </row>
    <row r="1512" spans="1:114" ht="15" customHeight="1" outlineLevel="1" x14ac:dyDescent="0.25">
      <c r="A1512" s="2145"/>
      <c r="C1512" s="49"/>
      <c r="D1512" s="2394"/>
      <c r="E1512" s="2394"/>
      <c r="F1512" s="2404" t="str">
        <f>$E$689</f>
        <v>ASHP-SEER16-Replace_CAC_NonElectricHeat_ROF_SF</v>
      </c>
      <c r="G1512" s="2404"/>
      <c r="H1512" s="2404"/>
      <c r="I1512" s="2404"/>
      <c r="J1512" s="1506" t="str">
        <f>$C$689</f>
        <v>352610_2024_12_</v>
      </c>
      <c r="K1512" s="1567">
        <v>13.4</v>
      </c>
      <c r="L1512" s="12"/>
      <c r="M1512" s="1249" t="s">
        <v>936</v>
      </c>
      <c r="P1512" s="243"/>
      <c r="Q1512" s="243"/>
      <c r="R1512" s="243"/>
      <c r="T1512" s="166"/>
      <c r="U1512" s="50"/>
      <c r="V1512" s="2394"/>
      <c r="W1512" s="1268"/>
      <c r="X1512" s="1268"/>
      <c r="Y1512" s="1268"/>
      <c r="Z1512" s="1268"/>
      <c r="AA1512" s="1268"/>
      <c r="AB1512" s="194"/>
      <c r="AC1512" s="194"/>
      <c r="AD1512" s="910">
        <v>13</v>
      </c>
      <c r="AE1512" s="1029">
        <v>14</v>
      </c>
      <c r="AF1512" s="253">
        <v>13.4</v>
      </c>
      <c r="AG1512" s="253">
        <f t="shared" si="221"/>
        <v>13.4</v>
      </c>
      <c r="DG1512" s="543"/>
      <c r="DH1512" s="149"/>
      <c r="DI1512" s="1020"/>
      <c r="DJ1512" s="2045"/>
    </row>
    <row r="1513" spans="1:114" ht="15" customHeight="1" outlineLevel="1" x14ac:dyDescent="0.25">
      <c r="A1513" s="2145"/>
      <c r="C1513" s="49"/>
      <c r="D1513" s="2394"/>
      <c r="E1513" s="2394"/>
      <c r="F1513" s="2404" t="str">
        <f>$E$691</f>
        <v>ASHP-SEER16_ROF_SF</v>
      </c>
      <c r="G1513" s="2404"/>
      <c r="H1513" s="2404"/>
      <c r="I1513" s="2404"/>
      <c r="J1513" s="1506" t="str">
        <f>$C$691</f>
        <v>352650_2024_12_</v>
      </c>
      <c r="K1513" s="1567">
        <v>14.3</v>
      </c>
      <c r="L1513" s="12"/>
      <c r="M1513" s="1249" t="s">
        <v>936</v>
      </c>
      <c r="P1513" s="243"/>
      <c r="Q1513" s="243"/>
      <c r="R1513" s="243"/>
      <c r="T1513" s="166"/>
      <c r="U1513" s="50"/>
      <c r="V1513" s="2394"/>
      <c r="W1513" s="1268">
        <v>14</v>
      </c>
      <c r="X1513" s="1268">
        <v>14</v>
      </c>
      <c r="Y1513" s="1268">
        <v>14</v>
      </c>
      <c r="Z1513" s="1268">
        <v>14</v>
      </c>
      <c r="AA1513" s="1268">
        <v>14</v>
      </c>
      <c r="AB1513" s="194">
        <v>14</v>
      </c>
      <c r="AC1513" s="194">
        <v>14</v>
      </c>
      <c r="AD1513" s="911">
        <v>14</v>
      </c>
      <c r="AE1513" s="1029">
        <v>15</v>
      </c>
      <c r="AF1513" s="253">
        <v>14.3</v>
      </c>
      <c r="AG1513" s="253">
        <f t="shared" si="221"/>
        <v>14.3</v>
      </c>
      <c r="DG1513" s="543"/>
      <c r="DH1513" s="149"/>
      <c r="DI1513" s="1020"/>
      <c r="DJ1513" s="2045"/>
    </row>
    <row r="1514" spans="1:114" ht="15.75" customHeight="1" outlineLevel="1" x14ac:dyDescent="0.25">
      <c r="A1514" s="2145"/>
      <c r="C1514" s="49"/>
      <c r="D1514" s="2394"/>
      <c r="E1514" s="2394"/>
      <c r="F1514" s="1968" t="s">
        <v>1155</v>
      </c>
      <c r="G1514" s="1969"/>
      <c r="H1514" s="1969"/>
      <c r="I1514" s="1970"/>
      <c r="J1514" s="2095" t="s">
        <v>1154</v>
      </c>
      <c r="K1514" s="1977">
        <v>14.3</v>
      </c>
      <c r="L1514" s="913"/>
      <c r="M1514" s="645" t="s">
        <v>1297</v>
      </c>
      <c r="T1514" s="50"/>
      <c r="U1514" s="50"/>
      <c r="V1514" s="2394"/>
      <c r="W1514" s="1268"/>
      <c r="X1514" s="1268"/>
      <c r="Y1514" s="1268"/>
      <c r="Z1514" s="1268"/>
      <c r="AA1514" s="1268"/>
      <c r="AB1514" s="1268"/>
      <c r="AC1514" s="752"/>
      <c r="AD1514" s="966"/>
      <c r="AE1514" s="909"/>
      <c r="AF1514" s="253"/>
      <c r="AG1514" s="253">
        <f>IF(K1514&lt;&gt;"",K1514,"")</f>
        <v>14.3</v>
      </c>
      <c r="DG1514" s="543"/>
      <c r="DH1514" s="149"/>
      <c r="DI1514" s="1020"/>
      <c r="DJ1514" s="2045"/>
    </row>
    <row r="1515" spans="1:114" ht="15" customHeight="1" outlineLevel="1" x14ac:dyDescent="0.25">
      <c r="A1515" s="2145"/>
      <c r="C1515" s="49"/>
      <c r="D1515" s="2394"/>
      <c r="E1515" s="2394"/>
      <c r="F1515" s="2404" t="str">
        <f>$E$695</f>
        <v>ASHP-SEER16-Replace_CAC_ElectricHeat_ER1_MF</v>
      </c>
      <c r="G1515" s="2404"/>
      <c r="H1515" s="2404"/>
      <c r="I1515" s="2404"/>
      <c r="J1515" s="1506" t="str">
        <f>$C$695</f>
        <v>353000_2024_12_</v>
      </c>
      <c r="K1515" s="859">
        <v>7.9529639856088918</v>
      </c>
      <c r="L1515" s="244"/>
      <c r="M1515" s="1504" t="s">
        <v>931</v>
      </c>
      <c r="P1515" s="243"/>
      <c r="Q1515" s="243"/>
      <c r="R1515" s="243"/>
      <c r="T1515" s="166"/>
      <c r="U1515" s="50"/>
      <c r="V1515" s="2394"/>
      <c r="W1515" s="1268">
        <v>6.8</v>
      </c>
      <c r="X1515" s="779">
        <v>8.33</v>
      </c>
      <c r="Y1515" s="1268">
        <v>8.33</v>
      </c>
      <c r="Z1515" s="1268">
        <v>8.33</v>
      </c>
      <c r="AA1515" s="1268">
        <v>8.33</v>
      </c>
      <c r="AB1515" s="194">
        <v>8.33</v>
      </c>
      <c r="AC1515" s="195">
        <v>6.7219971629290205</v>
      </c>
      <c r="AD1515" s="910">
        <v>7.9529639856088918</v>
      </c>
      <c r="AE1515" s="911">
        <v>7.9529639856088918</v>
      </c>
      <c r="AF1515" s="253">
        <v>7.9529639856088918</v>
      </c>
      <c r="AG1515" s="253">
        <f t="shared" si="221"/>
        <v>7.9529639856088918</v>
      </c>
      <c r="DG1515" s="543"/>
      <c r="DH1515" s="149"/>
      <c r="DI1515" s="1020"/>
      <c r="DJ1515" s="2045"/>
    </row>
    <row r="1516" spans="1:114" ht="15" customHeight="1" outlineLevel="1" x14ac:dyDescent="0.25">
      <c r="A1516" s="2145"/>
      <c r="C1516" s="49"/>
      <c r="D1516" s="2394"/>
      <c r="E1516" s="2394"/>
      <c r="F1516" s="2404" t="str">
        <f>$E$697</f>
        <v>ASHP-SEER16-Replace_CAC_ElectricHeat_ER2_MF</v>
      </c>
      <c r="G1516" s="2404"/>
      <c r="H1516" s="2404"/>
      <c r="I1516" s="2404"/>
      <c r="J1516" s="1506" t="str">
        <f>$C$697</f>
        <v>353000_2024_12_</v>
      </c>
      <c r="K1516" s="1567">
        <v>13.4</v>
      </c>
      <c r="L1516" s="12"/>
      <c r="M1516" s="1249" t="s">
        <v>936</v>
      </c>
      <c r="P1516" s="243"/>
      <c r="Q1516" s="243"/>
      <c r="R1516" s="243"/>
      <c r="T1516" s="166"/>
      <c r="U1516" s="50"/>
      <c r="V1516" s="2394"/>
      <c r="W1516" s="1268">
        <v>13</v>
      </c>
      <c r="X1516" s="1268">
        <v>13</v>
      </c>
      <c r="Y1516" s="1268">
        <v>13</v>
      </c>
      <c r="Z1516" s="1268">
        <v>13</v>
      </c>
      <c r="AA1516" s="1268">
        <v>13</v>
      </c>
      <c r="AB1516" s="194">
        <v>13</v>
      </c>
      <c r="AC1516" s="194">
        <v>13</v>
      </c>
      <c r="AD1516" s="911">
        <v>13</v>
      </c>
      <c r="AE1516" s="1029">
        <v>14</v>
      </c>
      <c r="AF1516" s="253">
        <v>13.4</v>
      </c>
      <c r="AG1516" s="253">
        <f t="shared" si="221"/>
        <v>13.4</v>
      </c>
      <c r="DG1516" s="543"/>
      <c r="DH1516" s="149"/>
      <c r="DI1516" s="1020"/>
      <c r="DJ1516" s="2045"/>
    </row>
    <row r="1517" spans="1:114" ht="15" customHeight="1" outlineLevel="1" x14ac:dyDescent="0.25">
      <c r="A1517" s="2145"/>
      <c r="C1517" s="49"/>
      <c r="D1517" s="2394"/>
      <c r="E1517" s="2394"/>
      <c r="F1517" s="2404" t="str">
        <f>$E$699</f>
        <v>ASHP-SEER17-Replace_CAC_ElectricHeat_ROF_SF</v>
      </c>
      <c r="G1517" s="2404"/>
      <c r="H1517" s="2404"/>
      <c r="I1517" s="2404"/>
      <c r="J1517" s="1506" t="str">
        <f>$C$699</f>
        <v>353100_2024_12_</v>
      </c>
      <c r="K1517" s="1567">
        <v>13.4</v>
      </c>
      <c r="L1517" s="12"/>
      <c r="M1517" s="1249" t="s">
        <v>936</v>
      </c>
      <c r="P1517" s="243"/>
      <c r="Q1517" s="243"/>
      <c r="R1517" s="243"/>
      <c r="T1517" s="166"/>
      <c r="U1517" s="50"/>
      <c r="V1517" s="2394"/>
      <c r="W1517" s="1268">
        <v>6.8</v>
      </c>
      <c r="X1517" s="779">
        <v>8.33</v>
      </c>
      <c r="Y1517" s="779">
        <v>13</v>
      </c>
      <c r="Z1517" s="1268">
        <v>13</v>
      </c>
      <c r="AA1517" s="1268">
        <v>13</v>
      </c>
      <c r="AB1517" s="194">
        <v>13</v>
      </c>
      <c r="AC1517" s="194">
        <v>13</v>
      </c>
      <c r="AD1517" s="911">
        <v>13</v>
      </c>
      <c r="AE1517" s="1029">
        <v>14</v>
      </c>
      <c r="AF1517" s="253">
        <v>13.4</v>
      </c>
      <c r="AG1517" s="253">
        <f t="shared" si="221"/>
        <v>13.4</v>
      </c>
      <c r="DG1517" s="543"/>
      <c r="DH1517" s="149"/>
      <c r="DI1517" s="1020"/>
      <c r="DJ1517" s="2045"/>
    </row>
    <row r="1518" spans="1:114" ht="15.75" customHeight="1" outlineLevel="1" x14ac:dyDescent="0.25">
      <c r="A1518" s="2145"/>
      <c r="C1518" s="49"/>
      <c r="D1518" s="2394"/>
      <c r="E1518" s="2394"/>
      <c r="F1518" s="1968" t="s">
        <v>1162</v>
      </c>
      <c r="G1518" s="1969"/>
      <c r="H1518" s="1969"/>
      <c r="I1518" s="1970"/>
      <c r="J1518" s="2095" t="s">
        <v>1161</v>
      </c>
      <c r="K1518" s="1977">
        <v>13.4</v>
      </c>
      <c r="L1518" s="913"/>
      <c r="M1518" s="645" t="s">
        <v>1297</v>
      </c>
      <c r="T1518" s="50"/>
      <c r="U1518" s="50"/>
      <c r="V1518" s="2394"/>
      <c r="W1518" s="1268"/>
      <c r="X1518" s="1268"/>
      <c r="Y1518" s="1268"/>
      <c r="Z1518" s="1268"/>
      <c r="AA1518" s="1268"/>
      <c r="AB1518" s="1268"/>
      <c r="AC1518" s="752"/>
      <c r="AD1518" s="966"/>
      <c r="AE1518" s="909"/>
      <c r="AF1518" s="253"/>
      <c r="AG1518" s="253">
        <f>IF(K1518&lt;&gt;"",K1518,"")</f>
        <v>13.4</v>
      </c>
      <c r="DG1518" s="543"/>
      <c r="DH1518" s="149"/>
      <c r="DI1518" s="1020"/>
      <c r="DJ1518" s="2045"/>
    </row>
    <row r="1519" spans="1:114" ht="15" customHeight="1" outlineLevel="1" x14ac:dyDescent="0.25">
      <c r="A1519" s="2145"/>
      <c r="C1519" s="49"/>
      <c r="D1519" s="2394"/>
      <c r="E1519" s="2394"/>
      <c r="F1519" s="2404" t="str">
        <f>$E$703</f>
        <v>ASHP-SEER17-Replace_CAC_NonElectricHeat_ROF_SF</v>
      </c>
      <c r="G1519" s="2404"/>
      <c r="H1519" s="2404"/>
      <c r="I1519" s="2404"/>
      <c r="J1519" s="1506" t="str">
        <f>$C$703</f>
        <v>353110_2024_12_</v>
      </c>
      <c r="K1519" s="1567">
        <v>13.4</v>
      </c>
      <c r="L1519" s="12"/>
      <c r="M1519" s="1249" t="s">
        <v>936</v>
      </c>
      <c r="P1519" s="243"/>
      <c r="Q1519" s="243"/>
      <c r="R1519" s="243"/>
      <c r="T1519" s="166"/>
      <c r="U1519" s="50"/>
      <c r="V1519" s="2394"/>
      <c r="W1519" s="1268"/>
      <c r="X1519" s="1268"/>
      <c r="Y1519" s="1268"/>
      <c r="Z1519" s="1268"/>
      <c r="AA1519" s="1268"/>
      <c r="AB1519" s="194"/>
      <c r="AC1519" s="194"/>
      <c r="AD1519" s="910">
        <v>13</v>
      </c>
      <c r="AE1519" s="1029">
        <v>14</v>
      </c>
      <c r="AF1519" s="253">
        <v>13.4</v>
      </c>
      <c r="AG1519" s="253">
        <f t="shared" si="221"/>
        <v>13.4</v>
      </c>
      <c r="DG1519" s="543"/>
      <c r="DH1519" s="149"/>
      <c r="DI1519" s="1020"/>
      <c r="DJ1519" s="2045"/>
    </row>
    <row r="1520" spans="1:114" ht="15" customHeight="1" outlineLevel="1" x14ac:dyDescent="0.25">
      <c r="A1520" s="2145"/>
      <c r="C1520" s="49"/>
      <c r="D1520" s="2394"/>
      <c r="E1520" s="2394"/>
      <c r="F1520" s="2404" t="str">
        <f>$E$705</f>
        <v>ASHP-SEER18-Replace_CAC_ElectricHeat_ROF_SF</v>
      </c>
      <c r="G1520" s="2404"/>
      <c r="H1520" s="2404"/>
      <c r="I1520" s="2404"/>
      <c r="J1520" s="1506" t="str">
        <f>$C$705</f>
        <v>353200_2024_12_</v>
      </c>
      <c r="K1520" s="1567">
        <v>13.4</v>
      </c>
      <c r="L1520" s="12"/>
      <c r="M1520" s="1249" t="s">
        <v>936</v>
      </c>
      <c r="P1520" s="243"/>
      <c r="Q1520" s="243"/>
      <c r="R1520" s="243"/>
      <c r="T1520" s="166"/>
      <c r="U1520" s="50"/>
      <c r="V1520" s="2394"/>
      <c r="W1520" s="1268">
        <v>6.8</v>
      </c>
      <c r="X1520" s="779">
        <v>8.33</v>
      </c>
      <c r="Y1520" s="779">
        <v>13</v>
      </c>
      <c r="Z1520" s="1268">
        <v>13</v>
      </c>
      <c r="AA1520" s="1268">
        <v>13</v>
      </c>
      <c r="AB1520" s="194">
        <v>13</v>
      </c>
      <c r="AC1520" s="194">
        <v>13</v>
      </c>
      <c r="AD1520" s="911">
        <v>13</v>
      </c>
      <c r="AE1520" s="1029">
        <v>14</v>
      </c>
      <c r="AF1520" s="253">
        <v>13.4</v>
      </c>
      <c r="AG1520" s="253">
        <f t="shared" si="221"/>
        <v>13.4</v>
      </c>
      <c r="DG1520" s="543"/>
      <c r="DH1520" s="149"/>
      <c r="DI1520" s="1020"/>
      <c r="DJ1520" s="2045"/>
    </row>
    <row r="1521" spans="1:114" ht="15" customHeight="1" outlineLevel="1" x14ac:dyDescent="0.25">
      <c r="A1521" s="2145"/>
      <c r="C1521" s="49"/>
      <c r="D1521" s="2394"/>
      <c r="E1521" s="2394"/>
      <c r="F1521" s="2404" t="str">
        <f>$E$707</f>
        <v>ASHP-SEER18-Replace_CAC_NonElectricHeat_ROF_SF</v>
      </c>
      <c r="G1521" s="2404"/>
      <c r="H1521" s="2404"/>
      <c r="I1521" s="2404"/>
      <c r="J1521" s="1506" t="str">
        <f>$C$707</f>
        <v>353210_2024_12_</v>
      </c>
      <c r="K1521" s="1567">
        <v>13.4</v>
      </c>
      <c r="L1521" s="12"/>
      <c r="M1521" s="1249" t="s">
        <v>936</v>
      </c>
      <c r="P1521" s="243"/>
      <c r="Q1521" s="243"/>
      <c r="R1521" s="243"/>
      <c r="T1521" s="166"/>
      <c r="U1521" s="50"/>
      <c r="V1521" s="2394"/>
      <c r="W1521" s="1268"/>
      <c r="X1521" s="1268"/>
      <c r="Y1521" s="1268"/>
      <c r="Z1521" s="1268"/>
      <c r="AA1521" s="1268"/>
      <c r="AB1521" s="194"/>
      <c r="AC1521" s="194"/>
      <c r="AD1521" s="910">
        <v>13</v>
      </c>
      <c r="AE1521" s="1029">
        <v>14</v>
      </c>
      <c r="AF1521" s="253">
        <v>13.4</v>
      </c>
      <c r="AG1521" s="253">
        <f t="shared" si="221"/>
        <v>13.4</v>
      </c>
      <c r="DG1521" s="543"/>
      <c r="DH1521" s="149"/>
      <c r="DI1521" s="1020"/>
      <c r="DJ1521" s="2045"/>
    </row>
    <row r="1522" spans="1:114" ht="15" customHeight="1" outlineLevel="1" x14ac:dyDescent="0.25">
      <c r="A1522" s="2145"/>
      <c r="C1522" s="49"/>
      <c r="D1522" s="2394"/>
      <c r="E1522" s="2394"/>
      <c r="F1522" s="2404" t="str">
        <f>$E$709</f>
        <v>ASHP-SEER19-Replace_CAC_ElectricHeat_ROF_SF</v>
      </c>
      <c r="G1522" s="2404"/>
      <c r="H1522" s="2404"/>
      <c r="I1522" s="2404"/>
      <c r="J1522" s="1506" t="str">
        <f>$C$709</f>
        <v>353300_2024_12_</v>
      </c>
      <c r="K1522" s="1567">
        <v>13.4</v>
      </c>
      <c r="L1522" s="12"/>
      <c r="M1522" s="1249" t="s">
        <v>936</v>
      </c>
      <c r="P1522" s="243"/>
      <c r="Q1522" s="243"/>
      <c r="R1522" s="243"/>
      <c r="T1522" s="166"/>
      <c r="U1522" s="50"/>
      <c r="V1522" s="2394"/>
      <c r="W1522" s="1268">
        <v>6.8</v>
      </c>
      <c r="X1522" s="779">
        <v>8.33</v>
      </c>
      <c r="Y1522" s="779">
        <v>13</v>
      </c>
      <c r="Z1522" s="1268">
        <v>13</v>
      </c>
      <c r="AA1522" s="1268">
        <v>13</v>
      </c>
      <c r="AB1522" s="194">
        <v>13</v>
      </c>
      <c r="AC1522" s="194">
        <v>13</v>
      </c>
      <c r="AD1522" s="911">
        <v>13</v>
      </c>
      <c r="AE1522" s="1029">
        <v>14</v>
      </c>
      <c r="AF1522" s="253">
        <v>13.4</v>
      </c>
      <c r="AG1522" s="253">
        <f t="shared" ref="AG1522:AG1590" si="222">IF(K1522&lt;&gt;"",K1522,"")</f>
        <v>13.4</v>
      </c>
      <c r="DG1522" s="543"/>
      <c r="DH1522" s="149"/>
      <c r="DI1522" s="1020"/>
      <c r="DJ1522" s="2045"/>
    </row>
    <row r="1523" spans="1:114" ht="15" customHeight="1" outlineLevel="1" x14ac:dyDescent="0.25">
      <c r="A1523" s="2145"/>
      <c r="C1523" s="49"/>
      <c r="D1523" s="2394"/>
      <c r="E1523" s="2394"/>
      <c r="F1523" s="2404" t="str">
        <f>$E$711</f>
        <v>ASHP-SEER19-Replace_CAC_NonElectricHeat_ROF_SF</v>
      </c>
      <c r="G1523" s="2404"/>
      <c r="H1523" s="2404"/>
      <c r="I1523" s="2404"/>
      <c r="J1523" s="1506" t="str">
        <f>$C$711</f>
        <v>353310_2024_12_</v>
      </c>
      <c r="K1523" s="1567">
        <v>13.4</v>
      </c>
      <c r="L1523" s="12"/>
      <c r="M1523" s="1249" t="s">
        <v>936</v>
      </c>
      <c r="P1523" s="243"/>
      <c r="Q1523" s="243"/>
      <c r="R1523" s="243"/>
      <c r="T1523" s="166"/>
      <c r="U1523" s="50"/>
      <c r="V1523" s="2394"/>
      <c r="W1523" s="1268"/>
      <c r="X1523" s="1268"/>
      <c r="Y1523" s="1268"/>
      <c r="Z1523" s="1268"/>
      <c r="AA1523" s="1268"/>
      <c r="AB1523" s="194"/>
      <c r="AC1523" s="194"/>
      <c r="AD1523" s="910">
        <v>13</v>
      </c>
      <c r="AE1523" s="1029">
        <v>14</v>
      </c>
      <c r="AF1523" s="253">
        <v>13.4</v>
      </c>
      <c r="AG1523" s="253">
        <f t="shared" si="222"/>
        <v>13.4</v>
      </c>
      <c r="DG1523" s="543"/>
      <c r="DH1523" s="149"/>
      <c r="DI1523" s="1020"/>
      <c r="DJ1523" s="2045"/>
    </row>
    <row r="1524" spans="1:114" ht="15" customHeight="1" outlineLevel="1" x14ac:dyDescent="0.25">
      <c r="A1524" s="2145"/>
      <c r="C1524" s="49"/>
      <c r="D1524" s="2394"/>
      <c r="E1524" s="2394"/>
      <c r="F1524" s="2404" t="str">
        <f>$E$713</f>
        <v>ASHP-SEER20-Replace_CAC_ElectricHeat_ER1_SF</v>
      </c>
      <c r="G1524" s="2404"/>
      <c r="H1524" s="2404"/>
      <c r="I1524" s="2404"/>
      <c r="J1524" s="1506" t="str">
        <f>$C$713</f>
        <v>353400_2024_12_</v>
      </c>
      <c r="K1524" s="859">
        <v>8.0952251540374363</v>
      </c>
      <c r="L1524" s="244"/>
      <c r="M1524" s="1518" t="s">
        <v>942</v>
      </c>
      <c r="P1524" s="243"/>
      <c r="Q1524" s="243"/>
      <c r="R1524" s="243"/>
      <c r="T1524" s="166"/>
      <c r="U1524" s="50"/>
      <c r="V1524" s="2394"/>
      <c r="W1524" s="1268">
        <v>6.8</v>
      </c>
      <c r="X1524" s="779">
        <v>8.33</v>
      </c>
      <c r="Y1524" s="1268">
        <v>8.33</v>
      </c>
      <c r="Z1524" s="1268">
        <v>8.33</v>
      </c>
      <c r="AA1524" s="1268">
        <v>8.33</v>
      </c>
      <c r="AB1524" s="194">
        <v>8.33</v>
      </c>
      <c r="AC1524" s="195">
        <v>8.3166278348954581</v>
      </c>
      <c r="AD1524" s="910">
        <v>7.6241123100090684</v>
      </c>
      <c r="AE1524" s="910">
        <v>7.876368789413509</v>
      </c>
      <c r="AF1524" s="253">
        <v>8.0952251540374363</v>
      </c>
      <c r="AG1524" s="253">
        <f t="shared" si="222"/>
        <v>8.0952251540374363</v>
      </c>
      <c r="DG1524" s="543"/>
      <c r="DH1524" s="149"/>
      <c r="DI1524" s="1020"/>
      <c r="DJ1524" s="2045"/>
    </row>
    <row r="1525" spans="1:114" ht="15" customHeight="1" outlineLevel="1" x14ac:dyDescent="0.25">
      <c r="A1525" s="2145"/>
      <c r="C1525" s="49"/>
      <c r="D1525" s="2394"/>
      <c r="E1525" s="2394"/>
      <c r="F1525" s="2404" t="str">
        <f>$E$715</f>
        <v>ASHP-SEER20-Replace_CAC_ElectricHeat_ER2_SF</v>
      </c>
      <c r="G1525" s="2404"/>
      <c r="H1525" s="2404"/>
      <c r="I1525" s="2404"/>
      <c r="J1525" s="1506" t="str">
        <f>$C$715</f>
        <v>353400_2024_12_</v>
      </c>
      <c r="K1525" s="1567">
        <v>13.4</v>
      </c>
      <c r="L1525" s="12"/>
      <c r="M1525" s="1249" t="s">
        <v>936</v>
      </c>
      <c r="P1525" s="243"/>
      <c r="Q1525" s="243"/>
      <c r="R1525" s="243"/>
      <c r="T1525" s="166"/>
      <c r="U1525" s="50"/>
      <c r="V1525" s="2394"/>
      <c r="W1525" s="1268">
        <v>13</v>
      </c>
      <c r="X1525" s="1268">
        <v>13</v>
      </c>
      <c r="Y1525" s="1268">
        <v>13</v>
      </c>
      <c r="Z1525" s="1268">
        <v>13</v>
      </c>
      <c r="AA1525" s="1268">
        <v>13</v>
      </c>
      <c r="AB1525" s="194">
        <v>13</v>
      </c>
      <c r="AC1525" s="194">
        <v>13</v>
      </c>
      <c r="AD1525" s="911">
        <v>13</v>
      </c>
      <c r="AE1525" s="1029">
        <v>14</v>
      </c>
      <c r="AF1525" s="253">
        <v>13.4</v>
      </c>
      <c r="AG1525" s="253">
        <f t="shared" si="222"/>
        <v>13.4</v>
      </c>
      <c r="DG1525" s="543"/>
      <c r="DH1525" s="149"/>
      <c r="DI1525" s="1020"/>
      <c r="DJ1525" s="2045"/>
    </row>
    <row r="1526" spans="1:114" ht="15" customHeight="1" outlineLevel="1" x14ac:dyDescent="0.25">
      <c r="A1526" s="2145"/>
      <c r="C1526" s="49"/>
      <c r="D1526" s="2394"/>
      <c r="E1526" s="2394"/>
      <c r="F1526" s="2404" t="str">
        <f>$E$717</f>
        <v>ASHP-SEER20-Replace_CAC_NonElectricHeat_ER1_SF</v>
      </c>
      <c r="G1526" s="2404"/>
      <c r="H1526" s="2404"/>
      <c r="I1526" s="2404"/>
      <c r="J1526" s="1506" t="str">
        <f>$C$717</f>
        <v>353410_2024_12_</v>
      </c>
      <c r="K1526" s="859">
        <v>8.0952251540374363</v>
      </c>
      <c r="L1526" s="244"/>
      <c r="M1526" s="1518" t="s">
        <v>942</v>
      </c>
      <c r="P1526" s="243"/>
      <c r="Q1526" s="243"/>
      <c r="R1526" s="243"/>
      <c r="T1526" s="166"/>
      <c r="U1526" s="50"/>
      <c r="V1526" s="2394"/>
      <c r="W1526" s="1268"/>
      <c r="X1526" s="1268"/>
      <c r="Y1526" s="1268"/>
      <c r="Z1526" s="1268"/>
      <c r="AA1526" s="1268"/>
      <c r="AB1526" s="194"/>
      <c r="AC1526" s="195">
        <v>8.3166278348954581</v>
      </c>
      <c r="AD1526" s="910">
        <v>7.6241123100090684</v>
      </c>
      <c r="AE1526" s="910">
        <v>7.876368789413509</v>
      </c>
      <c r="AF1526" s="253">
        <v>8.0952251540374363</v>
      </c>
      <c r="AG1526" s="253">
        <f t="shared" si="222"/>
        <v>8.0952251540374363</v>
      </c>
      <c r="DG1526" s="543"/>
      <c r="DH1526" s="149"/>
      <c r="DI1526" s="1020"/>
      <c r="DJ1526" s="2045"/>
    </row>
    <row r="1527" spans="1:114" ht="15" customHeight="1" outlineLevel="1" x14ac:dyDescent="0.25">
      <c r="A1527" s="2145"/>
      <c r="C1527" s="49"/>
      <c r="D1527" s="2394"/>
      <c r="E1527" s="2394"/>
      <c r="F1527" s="2404" t="str">
        <f>$E$719</f>
        <v>ASHP-SEER20-Replace_CAC_NonElectricHeat_ER2_SF</v>
      </c>
      <c r="G1527" s="2404"/>
      <c r="H1527" s="2404"/>
      <c r="I1527" s="2404"/>
      <c r="J1527" s="1506" t="str">
        <f>$C$719</f>
        <v>353410_2024_12_</v>
      </c>
      <c r="K1527" s="1567">
        <v>13.4</v>
      </c>
      <c r="L1527" s="12"/>
      <c r="M1527" s="1249" t="s">
        <v>936</v>
      </c>
      <c r="P1527" s="243"/>
      <c r="Q1527" s="243"/>
      <c r="R1527" s="243"/>
      <c r="T1527" s="166"/>
      <c r="U1527" s="50"/>
      <c r="V1527" s="2394"/>
      <c r="W1527" s="1268"/>
      <c r="X1527" s="1268"/>
      <c r="Y1527" s="1268"/>
      <c r="Z1527" s="1268"/>
      <c r="AA1527" s="1268"/>
      <c r="AB1527" s="194"/>
      <c r="AC1527" s="195">
        <v>13</v>
      </c>
      <c r="AD1527" s="911">
        <v>13</v>
      </c>
      <c r="AE1527" s="1029">
        <v>14</v>
      </c>
      <c r="AF1527" s="253">
        <v>13.4</v>
      </c>
      <c r="AG1527" s="253">
        <f t="shared" si="222"/>
        <v>13.4</v>
      </c>
      <c r="DG1527" s="543"/>
      <c r="DH1527" s="149"/>
      <c r="DI1527" s="1020"/>
      <c r="DJ1527" s="2045"/>
    </row>
    <row r="1528" spans="1:114" ht="15.75" customHeight="1" outlineLevel="1" x14ac:dyDescent="0.25">
      <c r="A1528" s="2145"/>
      <c r="C1528" s="49"/>
      <c r="D1528" s="2394"/>
      <c r="E1528" s="2394"/>
      <c r="F1528" s="1968" t="s">
        <v>1180</v>
      </c>
      <c r="G1528" s="1969"/>
      <c r="H1528" s="1969"/>
      <c r="I1528" s="1970"/>
      <c r="J1528" s="2095" t="s">
        <v>1179</v>
      </c>
      <c r="K1528" s="1977">
        <v>6.53</v>
      </c>
      <c r="L1528" s="913"/>
      <c r="M1528" s="645" t="s">
        <v>1297</v>
      </c>
      <c r="T1528" s="50"/>
      <c r="U1528" s="50"/>
      <c r="V1528" s="2394"/>
      <c r="W1528" s="1268"/>
      <c r="X1528" s="1268"/>
      <c r="Y1528" s="1268"/>
      <c r="Z1528" s="1268"/>
      <c r="AA1528" s="1268"/>
      <c r="AB1528" s="1268"/>
      <c r="AC1528" s="752"/>
      <c r="AD1528" s="966"/>
      <c r="AE1528" s="909"/>
      <c r="AF1528" s="253"/>
      <c r="AG1528" s="253">
        <f>IF(K1528&lt;&gt;"",K1528,"")</f>
        <v>6.53</v>
      </c>
      <c r="DG1528" s="543"/>
      <c r="DH1528" s="149"/>
      <c r="DI1528" s="1020"/>
      <c r="DJ1528" s="2045"/>
    </row>
    <row r="1529" spans="1:114" ht="15.75" customHeight="1" outlineLevel="1" x14ac:dyDescent="0.25">
      <c r="A1529" s="2145"/>
      <c r="C1529" s="49"/>
      <c r="D1529" s="2394"/>
      <c r="E1529" s="2394"/>
      <c r="F1529" s="1968" t="s">
        <v>1181</v>
      </c>
      <c r="G1529" s="1969"/>
      <c r="H1529" s="1969"/>
      <c r="I1529" s="1970"/>
      <c r="J1529" s="2095" t="s">
        <v>1179</v>
      </c>
      <c r="K1529" s="1977">
        <v>14.3</v>
      </c>
      <c r="L1529" s="913"/>
      <c r="M1529" s="645" t="s">
        <v>1297</v>
      </c>
      <c r="T1529" s="50"/>
      <c r="U1529" s="50"/>
      <c r="V1529" s="2394"/>
      <c r="W1529" s="1268"/>
      <c r="X1529" s="1268"/>
      <c r="Y1529" s="1268"/>
      <c r="Z1529" s="1268"/>
      <c r="AA1529" s="1268"/>
      <c r="AB1529" s="1268"/>
      <c r="AC1529" s="752"/>
      <c r="AD1529" s="966"/>
      <c r="AE1529" s="909"/>
      <c r="AF1529" s="253"/>
      <c r="AG1529" s="253">
        <f>IF(K1529&lt;&gt;"",K1529,"")</f>
        <v>14.3</v>
      </c>
      <c r="DG1529" s="543"/>
      <c r="DH1529" s="149"/>
      <c r="DI1529" s="1020"/>
      <c r="DJ1529" s="2045"/>
    </row>
    <row r="1530" spans="1:114" ht="15" customHeight="1" outlineLevel="1" x14ac:dyDescent="0.25">
      <c r="A1530" s="2145"/>
      <c r="C1530" s="49"/>
      <c r="D1530" s="2394"/>
      <c r="E1530" s="2394"/>
      <c r="F1530" s="2404" t="str">
        <f>$E$725</f>
        <v>ASHP-SEER20-Replace_CAC_ElectricHeat_ROF_SF</v>
      </c>
      <c r="G1530" s="2404"/>
      <c r="H1530" s="2404"/>
      <c r="I1530" s="2404"/>
      <c r="J1530" s="1506" t="str">
        <f>$C$725</f>
        <v>353450_2024_12_</v>
      </c>
      <c r="K1530" s="1567">
        <v>13.4</v>
      </c>
      <c r="L1530" s="12"/>
      <c r="M1530" s="1249" t="s">
        <v>936</v>
      </c>
      <c r="P1530" s="243"/>
      <c r="Q1530" s="243"/>
      <c r="R1530" s="243"/>
      <c r="T1530" s="166"/>
      <c r="U1530" s="50"/>
      <c r="V1530" s="2394"/>
      <c r="W1530" s="1268">
        <v>13</v>
      </c>
      <c r="X1530" s="1268">
        <v>13</v>
      </c>
      <c r="Y1530" s="1268">
        <v>13</v>
      </c>
      <c r="Z1530" s="1268">
        <v>13</v>
      </c>
      <c r="AA1530" s="1268">
        <v>13</v>
      </c>
      <c r="AB1530" s="194">
        <v>13</v>
      </c>
      <c r="AC1530" s="194">
        <v>13</v>
      </c>
      <c r="AD1530" s="911">
        <v>13</v>
      </c>
      <c r="AE1530" s="1029">
        <v>14</v>
      </c>
      <c r="AF1530" s="253">
        <v>13.4</v>
      </c>
      <c r="AG1530" s="253">
        <f t="shared" si="222"/>
        <v>13.4</v>
      </c>
      <c r="DG1530" s="543"/>
      <c r="DH1530" s="149"/>
      <c r="DI1530" s="1020"/>
      <c r="DJ1530" s="2045"/>
    </row>
    <row r="1531" spans="1:114" ht="15.75" customHeight="1" outlineLevel="1" x14ac:dyDescent="0.25">
      <c r="A1531" s="2145"/>
      <c r="C1531" s="49"/>
      <c r="D1531" s="2394"/>
      <c r="E1531" s="2394"/>
      <c r="F1531" s="1968" t="s">
        <v>1185</v>
      </c>
      <c r="G1531" s="1969"/>
      <c r="H1531" s="1969"/>
      <c r="I1531" s="1970"/>
      <c r="J1531" s="2095" t="s">
        <v>1184</v>
      </c>
      <c r="K1531" s="1977">
        <v>13.4</v>
      </c>
      <c r="L1531" s="913"/>
      <c r="M1531" s="645" t="s">
        <v>1297</v>
      </c>
      <c r="T1531" s="50"/>
      <c r="U1531" s="50"/>
      <c r="V1531" s="2394"/>
      <c r="W1531" s="1268"/>
      <c r="X1531" s="1268"/>
      <c r="Y1531" s="1268"/>
      <c r="Z1531" s="1268"/>
      <c r="AA1531" s="1268"/>
      <c r="AB1531" s="1268"/>
      <c r="AC1531" s="752"/>
      <c r="AD1531" s="966"/>
      <c r="AE1531" s="909"/>
      <c r="AF1531" s="253"/>
      <c r="AG1531" s="253">
        <f>IF(K1531&lt;&gt;"",K1531,"")</f>
        <v>13.4</v>
      </c>
      <c r="DG1531" s="543"/>
      <c r="DH1531" s="149"/>
      <c r="DI1531" s="1020"/>
      <c r="DJ1531" s="2045"/>
    </row>
    <row r="1532" spans="1:114" ht="15" customHeight="1" outlineLevel="1" x14ac:dyDescent="0.25">
      <c r="A1532" s="2145"/>
      <c r="C1532" s="49"/>
      <c r="D1532" s="2394"/>
      <c r="E1532" s="2394"/>
      <c r="F1532" s="2404" t="str">
        <f>$E$729</f>
        <v>ASHP-SEER20-Replace_CAC_NonElectricHeat_ROF_SF</v>
      </c>
      <c r="G1532" s="2404"/>
      <c r="H1532" s="2404"/>
      <c r="I1532" s="2404"/>
      <c r="J1532" s="1506" t="str">
        <f>$C$729</f>
        <v>353460_2024_12_</v>
      </c>
      <c r="K1532" s="1567">
        <v>13.4</v>
      </c>
      <c r="L1532" s="12"/>
      <c r="M1532" s="1249" t="s">
        <v>936</v>
      </c>
      <c r="P1532" s="243"/>
      <c r="Q1532" s="243"/>
      <c r="R1532" s="243"/>
      <c r="T1532" s="166"/>
      <c r="U1532" s="50"/>
      <c r="V1532" s="2394"/>
      <c r="W1532" s="1268"/>
      <c r="X1532" s="1268"/>
      <c r="Y1532" s="1268"/>
      <c r="Z1532" s="1268"/>
      <c r="AA1532" s="1268"/>
      <c r="AB1532" s="194"/>
      <c r="AC1532" s="194"/>
      <c r="AD1532" s="910">
        <v>13</v>
      </c>
      <c r="AE1532" s="1029">
        <v>14</v>
      </c>
      <c r="AF1532" s="253">
        <v>13.4</v>
      </c>
      <c r="AG1532" s="253">
        <f t="shared" si="222"/>
        <v>13.4</v>
      </c>
      <c r="DG1532" s="543"/>
      <c r="DH1532" s="149"/>
      <c r="DI1532" s="1020"/>
      <c r="DJ1532" s="2045"/>
    </row>
    <row r="1533" spans="1:114" ht="15" customHeight="1" outlineLevel="1" x14ac:dyDescent="0.25">
      <c r="A1533" s="2145"/>
      <c r="C1533" s="49"/>
      <c r="D1533" s="2394"/>
      <c r="E1533" s="2394"/>
      <c r="F1533" s="2404" t="str">
        <f>$E$731</f>
        <v>ASHP-SEER21-Replace_CAC_ElectricHeat_ER1_SF</v>
      </c>
      <c r="G1533" s="2404"/>
      <c r="H1533" s="2404"/>
      <c r="I1533" s="2404"/>
      <c r="J1533" s="1506" t="str">
        <f>$C$731</f>
        <v>353550_2024_12_</v>
      </c>
      <c r="K1533" s="859">
        <v>8.344911767808382</v>
      </c>
      <c r="L1533" s="244"/>
      <c r="M1533" s="1518" t="s">
        <v>942</v>
      </c>
      <c r="P1533" s="243"/>
      <c r="Q1533" s="192"/>
      <c r="R1533" s="243"/>
      <c r="T1533" s="166"/>
      <c r="U1533" s="50"/>
      <c r="V1533" s="2394"/>
      <c r="W1533" s="1268">
        <v>6.8</v>
      </c>
      <c r="X1533" s="779">
        <v>8.33</v>
      </c>
      <c r="Y1533" s="1268">
        <v>8.33</v>
      </c>
      <c r="Z1533" s="1268">
        <v>8.33</v>
      </c>
      <c r="AA1533" s="1268">
        <v>8.33</v>
      </c>
      <c r="AB1533" s="194">
        <v>8.33</v>
      </c>
      <c r="AC1533" s="195">
        <v>8.4603597630441261</v>
      </c>
      <c r="AD1533" s="910">
        <v>7.6464902009468165</v>
      </c>
      <c r="AE1533" s="910">
        <v>8.1664994015949581</v>
      </c>
      <c r="AF1533" s="253">
        <v>8.344911767808382</v>
      </c>
      <c r="AG1533" s="253">
        <f t="shared" si="222"/>
        <v>8.344911767808382</v>
      </c>
      <c r="DG1533" s="543"/>
      <c r="DH1533" s="149"/>
      <c r="DI1533" s="1020"/>
      <c r="DJ1533" s="2045"/>
    </row>
    <row r="1534" spans="1:114" ht="15" customHeight="1" outlineLevel="1" x14ac:dyDescent="0.25">
      <c r="A1534" s="2145"/>
      <c r="C1534" s="49"/>
      <c r="D1534" s="2394"/>
      <c r="E1534" s="2394"/>
      <c r="F1534" s="2404" t="str">
        <f>$E$733</f>
        <v>ASHP-SEER21-Replace_CAC_ElectricHeat_ER2_SF</v>
      </c>
      <c r="G1534" s="2404"/>
      <c r="H1534" s="2404"/>
      <c r="I1534" s="2404"/>
      <c r="J1534" s="1506" t="str">
        <f>$C$733</f>
        <v>353550_2024_12_</v>
      </c>
      <c r="K1534" s="1567">
        <v>13.4</v>
      </c>
      <c r="L1534" s="12"/>
      <c r="M1534" s="1249" t="s">
        <v>936</v>
      </c>
      <c r="P1534" s="243"/>
      <c r="Q1534" s="192"/>
      <c r="R1534" s="243"/>
      <c r="T1534" s="166"/>
      <c r="U1534" s="50"/>
      <c r="V1534" s="2394"/>
      <c r="W1534" s="1268">
        <v>13</v>
      </c>
      <c r="X1534" s="1268">
        <v>13</v>
      </c>
      <c r="Y1534" s="1268">
        <v>13</v>
      </c>
      <c r="Z1534" s="1268">
        <v>13</v>
      </c>
      <c r="AA1534" s="1268">
        <v>13</v>
      </c>
      <c r="AB1534" s="194">
        <v>13</v>
      </c>
      <c r="AC1534" s="194">
        <v>13</v>
      </c>
      <c r="AD1534" s="911">
        <v>13</v>
      </c>
      <c r="AE1534" s="1029">
        <v>14</v>
      </c>
      <c r="AF1534" s="253">
        <v>13.4</v>
      </c>
      <c r="AG1534" s="253">
        <f t="shared" si="222"/>
        <v>13.4</v>
      </c>
      <c r="DG1534" s="543"/>
      <c r="DH1534" s="149"/>
      <c r="DI1534" s="1020"/>
      <c r="DJ1534" s="2045"/>
    </row>
    <row r="1535" spans="1:114" ht="15" customHeight="1" outlineLevel="1" x14ac:dyDescent="0.25">
      <c r="A1535" s="2145"/>
      <c r="C1535" s="49"/>
      <c r="D1535" s="2394"/>
      <c r="E1535" s="2394"/>
      <c r="F1535" s="2404" t="str">
        <f>$E$735</f>
        <v>ASHP-SEER21-Replace_CAC_NonElectricHeat_ER1_SF</v>
      </c>
      <c r="G1535" s="2404"/>
      <c r="H1535" s="2404"/>
      <c r="I1535" s="2404"/>
      <c r="J1535" s="1506" t="str">
        <f>$C$735</f>
        <v>353560_2024_12_</v>
      </c>
      <c r="K1535" s="859">
        <v>8.344911767808382</v>
      </c>
      <c r="L1535" s="244"/>
      <c r="M1535" s="1518" t="s">
        <v>942</v>
      </c>
      <c r="P1535" s="243"/>
      <c r="Q1535" s="192"/>
      <c r="R1535" s="243"/>
      <c r="T1535" s="166"/>
      <c r="U1535" s="50"/>
      <c r="V1535" s="2394"/>
      <c r="W1535" s="1268"/>
      <c r="X1535" s="1268"/>
      <c r="Y1535" s="1268"/>
      <c r="Z1535" s="1268"/>
      <c r="AA1535" s="1268"/>
      <c r="AB1535" s="194"/>
      <c r="AC1535" s="195">
        <v>8.4603597630441261</v>
      </c>
      <c r="AD1535" s="910">
        <v>7.6464902009468165</v>
      </c>
      <c r="AE1535" s="910">
        <v>8.1664994015949581</v>
      </c>
      <c r="AF1535" s="253">
        <v>8.344911767808382</v>
      </c>
      <c r="AG1535" s="253">
        <f t="shared" si="222"/>
        <v>8.344911767808382</v>
      </c>
      <c r="DG1535" s="543"/>
      <c r="DH1535" s="149"/>
      <c r="DI1535" s="1020"/>
      <c r="DJ1535" s="2045"/>
    </row>
    <row r="1536" spans="1:114" ht="15" customHeight="1" outlineLevel="1" x14ac:dyDescent="0.25">
      <c r="A1536" s="2145"/>
      <c r="C1536" s="49"/>
      <c r="D1536" s="2394"/>
      <c r="E1536" s="2394"/>
      <c r="F1536" s="2404" t="str">
        <f>$E$737</f>
        <v>ASHP-SEER21-Replace_CAC_NonElectricHeat_ER2_SF</v>
      </c>
      <c r="G1536" s="2404"/>
      <c r="H1536" s="2404"/>
      <c r="I1536" s="2404"/>
      <c r="J1536" s="1506" t="str">
        <f>$C$737</f>
        <v>353560_2024_12_</v>
      </c>
      <c r="K1536" s="1567">
        <v>13.4</v>
      </c>
      <c r="L1536" s="12"/>
      <c r="M1536" s="1249" t="s">
        <v>936</v>
      </c>
      <c r="P1536" s="243"/>
      <c r="Q1536" s="192"/>
      <c r="R1536" s="243"/>
      <c r="T1536" s="166"/>
      <c r="U1536" s="50"/>
      <c r="V1536" s="2394"/>
      <c r="W1536" s="1268"/>
      <c r="X1536" s="1268"/>
      <c r="Y1536" s="1268"/>
      <c r="Z1536" s="1268"/>
      <c r="AA1536" s="1268"/>
      <c r="AB1536" s="194"/>
      <c r="AC1536" s="195">
        <v>13</v>
      </c>
      <c r="AD1536" s="911">
        <v>13</v>
      </c>
      <c r="AE1536" s="1029">
        <v>14</v>
      </c>
      <c r="AF1536" s="253">
        <v>13.4</v>
      </c>
      <c r="AG1536" s="253">
        <f t="shared" si="222"/>
        <v>13.4</v>
      </c>
      <c r="DG1536" s="543"/>
      <c r="DH1536" s="149"/>
      <c r="DI1536" s="1020"/>
      <c r="DJ1536" s="2045"/>
    </row>
    <row r="1537" spans="1:114" ht="15" customHeight="1" outlineLevel="1" x14ac:dyDescent="0.25">
      <c r="A1537" s="2145"/>
      <c r="C1537" s="49"/>
      <c r="D1537" s="2394"/>
      <c r="E1537" s="2394"/>
      <c r="F1537" s="2404" t="str">
        <f>$E$739</f>
        <v>ASHP-SEER21-Replace_CAC_ElectricHeat_ER1_MF</v>
      </c>
      <c r="G1537" s="2404"/>
      <c r="H1537" s="2404"/>
      <c r="I1537" s="2404"/>
      <c r="J1537" s="1506" t="str">
        <f>$C$739</f>
        <v>353600_2024_12_</v>
      </c>
      <c r="K1537" s="859">
        <v>8.33</v>
      </c>
      <c r="L1537" s="244"/>
      <c r="M1537" s="1249" t="s">
        <v>1300</v>
      </c>
      <c r="P1537" s="243"/>
      <c r="Q1537" s="192"/>
      <c r="R1537" s="243"/>
      <c r="T1537" s="166"/>
      <c r="U1537" s="50"/>
      <c r="V1537" s="2394"/>
      <c r="W1537" s="1268">
        <v>6.8</v>
      </c>
      <c r="X1537" s="779">
        <v>8.33</v>
      </c>
      <c r="Y1537" s="1268">
        <v>8.33</v>
      </c>
      <c r="Z1537" s="1268">
        <v>8.33</v>
      </c>
      <c r="AA1537" s="1268">
        <v>8.33</v>
      </c>
      <c r="AB1537" s="194">
        <v>8.33</v>
      </c>
      <c r="AC1537" s="194">
        <v>8.33</v>
      </c>
      <c r="AD1537" s="911">
        <v>8.33</v>
      </c>
      <c r="AE1537" s="911">
        <v>8.33</v>
      </c>
      <c r="AF1537" s="253">
        <v>8.33</v>
      </c>
      <c r="AG1537" s="253">
        <f t="shared" si="222"/>
        <v>8.33</v>
      </c>
      <c r="DG1537" s="543"/>
      <c r="DH1537" s="149"/>
      <c r="DI1537" s="1020"/>
      <c r="DJ1537" s="2045"/>
    </row>
    <row r="1538" spans="1:114" ht="15" customHeight="1" outlineLevel="1" x14ac:dyDescent="0.25">
      <c r="A1538" s="2145"/>
      <c r="C1538" s="49"/>
      <c r="D1538" s="2394"/>
      <c r="E1538" s="2394"/>
      <c r="F1538" s="2404" t="str">
        <f>$E$741</f>
        <v>ASHP-SEER21-Replace_CAC_ElectricHeat_ER2_MF</v>
      </c>
      <c r="G1538" s="2404"/>
      <c r="H1538" s="2404"/>
      <c r="I1538" s="2404"/>
      <c r="J1538" s="1506" t="str">
        <f>$C$741</f>
        <v>353600_2024_12_</v>
      </c>
      <c r="K1538" s="1567">
        <v>13.4</v>
      </c>
      <c r="L1538" s="12"/>
      <c r="M1538" s="1249" t="s">
        <v>936</v>
      </c>
      <c r="P1538" s="243"/>
      <c r="Q1538" s="192"/>
      <c r="R1538" s="243"/>
      <c r="T1538" s="166"/>
      <c r="U1538" s="50"/>
      <c r="V1538" s="2394"/>
      <c r="W1538" s="1268">
        <v>13</v>
      </c>
      <c r="X1538" s="1268">
        <v>13</v>
      </c>
      <c r="Y1538" s="1268">
        <v>13</v>
      </c>
      <c r="Z1538" s="1268">
        <v>13</v>
      </c>
      <c r="AA1538" s="1268">
        <v>13</v>
      </c>
      <c r="AB1538" s="194">
        <v>13</v>
      </c>
      <c r="AC1538" s="194">
        <v>13</v>
      </c>
      <c r="AD1538" s="911">
        <v>13</v>
      </c>
      <c r="AE1538" s="1029">
        <v>14</v>
      </c>
      <c r="AF1538" s="253">
        <v>13.4</v>
      </c>
      <c r="AG1538" s="253">
        <f t="shared" si="222"/>
        <v>13.4</v>
      </c>
      <c r="DG1538" s="543"/>
      <c r="DH1538" s="149"/>
      <c r="DI1538" s="1020"/>
      <c r="DJ1538" s="2045"/>
    </row>
    <row r="1539" spans="1:114" ht="15" customHeight="1" outlineLevel="1" x14ac:dyDescent="0.25">
      <c r="A1539" s="2145"/>
      <c r="C1539" s="49"/>
      <c r="D1539" s="2394"/>
      <c r="E1539" s="2394"/>
      <c r="F1539" s="2404" t="str">
        <f>$E$743</f>
        <v>ASHP-SEER21-Replace_CAC_ElectricHeat_ROF_SF</v>
      </c>
      <c r="G1539" s="2404"/>
      <c r="H1539" s="2404"/>
      <c r="I1539" s="2404"/>
      <c r="J1539" s="1506" t="str">
        <f>$C$743</f>
        <v>353650_2024_12_</v>
      </c>
      <c r="K1539" s="1567">
        <v>13.4</v>
      </c>
      <c r="L1539" s="12"/>
      <c r="M1539" s="1249" t="s">
        <v>936</v>
      </c>
      <c r="P1539" s="243"/>
      <c r="Q1539" s="192"/>
      <c r="R1539" s="243"/>
      <c r="T1539" s="166"/>
      <c r="U1539" s="50"/>
      <c r="V1539" s="2394"/>
      <c r="W1539" s="1268">
        <v>13</v>
      </c>
      <c r="X1539" s="1268">
        <v>13</v>
      </c>
      <c r="Y1539" s="1268">
        <v>13</v>
      </c>
      <c r="Z1539" s="1268">
        <v>13</v>
      </c>
      <c r="AA1539" s="1268">
        <v>13</v>
      </c>
      <c r="AB1539" s="194">
        <v>13</v>
      </c>
      <c r="AC1539" s="194">
        <v>13</v>
      </c>
      <c r="AD1539" s="911">
        <v>13</v>
      </c>
      <c r="AE1539" s="1029">
        <v>14</v>
      </c>
      <c r="AF1539" s="253">
        <v>13.4</v>
      </c>
      <c r="AG1539" s="253">
        <f t="shared" si="222"/>
        <v>13.4</v>
      </c>
      <c r="DG1539" s="543"/>
      <c r="DH1539" s="149"/>
      <c r="DI1539" s="1020"/>
      <c r="DJ1539" s="2045"/>
    </row>
    <row r="1540" spans="1:114" ht="15" customHeight="1" outlineLevel="1" x14ac:dyDescent="0.25">
      <c r="A1540" s="2145"/>
      <c r="C1540" s="49"/>
      <c r="D1540" s="2394"/>
      <c r="E1540" s="2394"/>
      <c r="F1540" s="2404" t="str">
        <f>$E$745</f>
        <v>ASHP-SEER21-Replace_CAC_NonElectricHeat_ROF_SF</v>
      </c>
      <c r="G1540" s="2404"/>
      <c r="H1540" s="2404"/>
      <c r="I1540" s="2404"/>
      <c r="J1540" s="1506" t="str">
        <f>$C$745</f>
        <v>353660_2024_12_</v>
      </c>
      <c r="K1540" s="1567">
        <v>13.4</v>
      </c>
      <c r="L1540" s="12"/>
      <c r="M1540" s="1249" t="s">
        <v>936</v>
      </c>
      <c r="P1540" s="243"/>
      <c r="Q1540" s="192"/>
      <c r="R1540" s="243"/>
      <c r="T1540" s="166"/>
      <c r="U1540" s="50"/>
      <c r="V1540" s="2394"/>
      <c r="W1540" s="1268"/>
      <c r="X1540" s="1268"/>
      <c r="Y1540" s="1268"/>
      <c r="Z1540" s="1268"/>
      <c r="AA1540" s="1268"/>
      <c r="AB1540" s="194"/>
      <c r="AC1540" s="194"/>
      <c r="AD1540" s="910">
        <v>13</v>
      </c>
      <c r="AE1540" s="1029">
        <v>14</v>
      </c>
      <c r="AF1540" s="253">
        <v>13.4</v>
      </c>
      <c r="AG1540" s="253">
        <f t="shared" si="222"/>
        <v>13.4</v>
      </c>
      <c r="DG1540" s="543"/>
      <c r="DH1540" s="149"/>
      <c r="DI1540" s="1020"/>
      <c r="DJ1540" s="2045"/>
    </row>
    <row r="1541" spans="1:114" ht="15" customHeight="1" outlineLevel="1" x14ac:dyDescent="0.25">
      <c r="A1541" s="2145"/>
      <c r="C1541" s="49"/>
      <c r="D1541" s="2394"/>
      <c r="E1541" s="2394"/>
      <c r="F1541" s="2404" t="str">
        <f>$E$747</f>
        <v>ASHP-SEER17_ER1_SF</v>
      </c>
      <c r="G1541" s="2404"/>
      <c r="H1541" s="2404"/>
      <c r="I1541" s="2404"/>
      <c r="J1541" s="1506" t="str">
        <f>$C$747</f>
        <v>353750_2024_12_</v>
      </c>
      <c r="K1541" s="859">
        <v>7.6579274764443417</v>
      </c>
      <c r="L1541" s="244"/>
      <c r="M1541" s="1518" t="s">
        <v>942</v>
      </c>
      <c r="T1541" s="50"/>
      <c r="U1541" s="50"/>
      <c r="V1541" s="2394"/>
      <c r="W1541" s="1268">
        <v>7.2</v>
      </c>
      <c r="X1541" s="779">
        <v>8.33</v>
      </c>
      <c r="Y1541" s="1268">
        <v>8.33</v>
      </c>
      <c r="Z1541" s="1268">
        <v>8.33</v>
      </c>
      <c r="AA1541" s="1268">
        <v>8.33</v>
      </c>
      <c r="AB1541" s="194">
        <v>8.33</v>
      </c>
      <c r="AC1541" s="195">
        <v>8.7303880814835253</v>
      </c>
      <c r="AD1541" s="910">
        <v>7.8746004975378812</v>
      </c>
      <c r="AE1541" s="910">
        <v>7.8131110840647606</v>
      </c>
      <c r="AF1541" s="253">
        <v>7.6579274764443417</v>
      </c>
      <c r="AG1541" s="253">
        <f t="shared" si="222"/>
        <v>7.6579274764443417</v>
      </c>
      <c r="DG1541" s="543"/>
      <c r="DH1541" s="149"/>
      <c r="DI1541" s="1020"/>
      <c r="DJ1541" s="2045"/>
    </row>
    <row r="1542" spans="1:114" ht="15" customHeight="1" outlineLevel="1" x14ac:dyDescent="0.25">
      <c r="A1542" s="2145"/>
      <c r="C1542" s="49"/>
      <c r="D1542" s="2394"/>
      <c r="E1542" s="2394"/>
      <c r="F1542" s="2404" t="str">
        <f>$E$749</f>
        <v>ASHP-SEER17_ER2_SF</v>
      </c>
      <c r="G1542" s="2404"/>
      <c r="H1542" s="2404"/>
      <c r="I1542" s="2404"/>
      <c r="J1542" s="1506" t="str">
        <f>$C$749</f>
        <v>353750_2024_12_</v>
      </c>
      <c r="K1542" s="1567">
        <v>14.3</v>
      </c>
      <c r="L1542" s="12"/>
      <c r="M1542" s="1249" t="s">
        <v>936</v>
      </c>
      <c r="P1542" s="243"/>
      <c r="Q1542" s="192"/>
      <c r="R1542" s="243"/>
      <c r="T1542" s="166"/>
      <c r="U1542" s="50"/>
      <c r="V1542" s="2394"/>
      <c r="W1542" s="1268">
        <v>14</v>
      </c>
      <c r="X1542" s="1268">
        <v>14</v>
      </c>
      <c r="Y1542" s="1268">
        <v>14</v>
      </c>
      <c r="Z1542" s="1268">
        <v>14</v>
      </c>
      <c r="AA1542" s="1268">
        <v>14</v>
      </c>
      <c r="AB1542" s="194">
        <v>14</v>
      </c>
      <c r="AC1542" s="194">
        <v>14</v>
      </c>
      <c r="AD1542" s="911">
        <v>14</v>
      </c>
      <c r="AE1542" s="1029">
        <v>15</v>
      </c>
      <c r="AF1542" s="253">
        <v>14.3</v>
      </c>
      <c r="AG1542" s="253">
        <f t="shared" si="222"/>
        <v>14.3</v>
      </c>
      <c r="DG1542" s="543"/>
      <c r="DH1542" s="149"/>
      <c r="DI1542" s="1020"/>
      <c r="DJ1542" s="2045"/>
    </row>
    <row r="1543" spans="1:114" ht="15" customHeight="1" outlineLevel="1" x14ac:dyDescent="0.25">
      <c r="A1543" s="2145"/>
      <c r="C1543" s="49"/>
      <c r="D1543" s="2394"/>
      <c r="E1543" s="2394"/>
      <c r="F1543" s="2404" t="str">
        <f>$E$751</f>
        <v>ASHP-SEER17_ROF_SF</v>
      </c>
      <c r="G1543" s="2404"/>
      <c r="H1543" s="2404"/>
      <c r="I1543" s="2404"/>
      <c r="J1543" s="1506" t="str">
        <f>$C$751</f>
        <v>353800_2024_12_</v>
      </c>
      <c r="K1543" s="1567">
        <v>14.3</v>
      </c>
      <c r="L1543" s="12"/>
      <c r="M1543" s="1249" t="s">
        <v>936</v>
      </c>
      <c r="T1543" s="50"/>
      <c r="U1543" s="50"/>
      <c r="V1543" s="2394"/>
      <c r="W1543" s="1268">
        <v>14</v>
      </c>
      <c r="X1543" s="1268">
        <v>14</v>
      </c>
      <c r="Y1543" s="1268">
        <v>14</v>
      </c>
      <c r="Z1543" s="1268">
        <v>14</v>
      </c>
      <c r="AA1543" s="1268">
        <v>14</v>
      </c>
      <c r="AB1543" s="194">
        <v>14</v>
      </c>
      <c r="AC1543" s="194">
        <v>14</v>
      </c>
      <c r="AD1543" s="911">
        <v>14</v>
      </c>
      <c r="AE1543" s="1029">
        <v>15</v>
      </c>
      <c r="AF1543" s="253">
        <v>14.3</v>
      </c>
      <c r="AG1543" s="253">
        <f t="shared" si="222"/>
        <v>14.3</v>
      </c>
      <c r="DG1543" s="543"/>
      <c r="DH1543" s="149"/>
      <c r="DI1543" s="1020"/>
      <c r="DJ1543" s="2045"/>
    </row>
    <row r="1544" spans="1:114" ht="15" customHeight="1" outlineLevel="1" x14ac:dyDescent="0.25">
      <c r="A1544" s="2145"/>
      <c r="C1544" s="49"/>
      <c r="D1544" s="2394"/>
      <c r="E1544" s="2394"/>
      <c r="F1544" s="2404" t="str">
        <f>$E$753</f>
        <v>ASHP-SEER18_ER1_SF</v>
      </c>
      <c r="G1544" s="2404"/>
      <c r="H1544" s="2404"/>
      <c r="I1544" s="2404"/>
      <c r="J1544" s="1506" t="str">
        <f>$C$753</f>
        <v>353850_2024_12_</v>
      </c>
      <c r="K1544" s="859">
        <v>7.6829345969611094</v>
      </c>
      <c r="L1544" s="244"/>
      <c r="M1544" s="1518" t="s">
        <v>942</v>
      </c>
      <c r="P1544" s="243"/>
      <c r="Q1544" s="192"/>
      <c r="R1544" s="243"/>
      <c r="T1544" s="166"/>
      <c r="U1544" s="50"/>
      <c r="V1544" s="2394"/>
      <c r="W1544" s="1268">
        <v>7.2</v>
      </c>
      <c r="X1544" s="779">
        <v>8.33</v>
      </c>
      <c r="Y1544" s="1268">
        <v>8.33</v>
      </c>
      <c r="Z1544" s="1268">
        <v>8.33</v>
      </c>
      <c r="AA1544" s="1268">
        <v>8.33</v>
      </c>
      <c r="AB1544" s="195">
        <v>7.9029574060126802</v>
      </c>
      <c r="AC1544" s="195">
        <v>8.5136840013184276</v>
      </c>
      <c r="AD1544" s="910">
        <v>7.8596801773401781</v>
      </c>
      <c r="AE1544" s="910">
        <v>7.902671937780064</v>
      </c>
      <c r="AF1544" s="253">
        <v>7.6829345969611094</v>
      </c>
      <c r="AG1544" s="253">
        <f t="shared" si="222"/>
        <v>7.6829345969611094</v>
      </c>
      <c r="DG1544" s="543"/>
      <c r="DH1544" s="149"/>
      <c r="DI1544" s="1020"/>
      <c r="DJ1544" s="2045"/>
    </row>
    <row r="1545" spans="1:114" ht="15" customHeight="1" outlineLevel="1" x14ac:dyDescent="0.25">
      <c r="A1545" s="2145"/>
      <c r="C1545" s="49"/>
      <c r="D1545" s="2394"/>
      <c r="E1545" s="2394"/>
      <c r="F1545" s="2404" t="str">
        <f>$E$755</f>
        <v>ASHP-SEER18_ER2_SF</v>
      </c>
      <c r="G1545" s="2404"/>
      <c r="H1545" s="2404"/>
      <c r="I1545" s="2404"/>
      <c r="J1545" s="1506" t="str">
        <f>$C$755</f>
        <v>353850_2024_12_</v>
      </c>
      <c r="K1545" s="1567">
        <v>14.3</v>
      </c>
      <c r="L1545" s="12"/>
      <c r="M1545" s="1249" t="s">
        <v>936</v>
      </c>
      <c r="T1545" s="50"/>
      <c r="U1545" s="50"/>
      <c r="V1545" s="2394"/>
      <c r="W1545" s="1268">
        <v>14</v>
      </c>
      <c r="X1545" s="1268">
        <v>14</v>
      </c>
      <c r="Y1545" s="1268">
        <v>14</v>
      </c>
      <c r="Z1545" s="1268">
        <v>14</v>
      </c>
      <c r="AA1545" s="1268">
        <v>14</v>
      </c>
      <c r="AB1545" s="194">
        <v>14</v>
      </c>
      <c r="AC1545" s="194">
        <v>14</v>
      </c>
      <c r="AD1545" s="911">
        <v>14</v>
      </c>
      <c r="AE1545" s="1029">
        <v>15</v>
      </c>
      <c r="AF1545" s="253">
        <v>14.3</v>
      </c>
      <c r="AG1545" s="253">
        <f t="shared" si="222"/>
        <v>14.3</v>
      </c>
      <c r="DG1545" s="543"/>
      <c r="DH1545" s="149"/>
      <c r="DI1545" s="1020"/>
      <c r="DJ1545" s="2045"/>
    </row>
    <row r="1546" spans="1:114" ht="15" customHeight="1" outlineLevel="1" x14ac:dyDescent="0.25">
      <c r="A1546" s="2145"/>
      <c r="C1546" s="49"/>
      <c r="D1546" s="2394"/>
      <c r="E1546" s="2394"/>
      <c r="F1546" s="2404" t="str">
        <f>$E$757</f>
        <v>ASHP-SEER18_ROF_SF</v>
      </c>
      <c r="G1546" s="2404"/>
      <c r="H1546" s="2404"/>
      <c r="I1546" s="2404"/>
      <c r="J1546" s="1506" t="str">
        <f>$C$757</f>
        <v>353950_2024_12_</v>
      </c>
      <c r="K1546" s="1567">
        <v>14.3</v>
      </c>
      <c r="L1546" s="12"/>
      <c r="M1546" s="1249" t="s">
        <v>936</v>
      </c>
      <c r="P1546" s="243"/>
      <c r="Q1546" s="192"/>
      <c r="R1546" s="243"/>
      <c r="T1546" s="166"/>
      <c r="U1546" s="50"/>
      <c r="V1546" s="2394"/>
      <c r="W1546" s="1268">
        <v>14</v>
      </c>
      <c r="X1546" s="1268">
        <v>14</v>
      </c>
      <c r="Y1546" s="1268">
        <v>14</v>
      </c>
      <c r="Z1546" s="1268">
        <v>14</v>
      </c>
      <c r="AA1546" s="1268">
        <v>14</v>
      </c>
      <c r="AB1546" s="194">
        <v>14</v>
      </c>
      <c r="AC1546" s="194">
        <v>14</v>
      </c>
      <c r="AD1546" s="911">
        <v>14</v>
      </c>
      <c r="AE1546" s="1029">
        <v>15</v>
      </c>
      <c r="AF1546" s="253">
        <v>14.3</v>
      </c>
      <c r="AG1546" s="253">
        <f t="shared" si="222"/>
        <v>14.3</v>
      </c>
      <c r="DG1546" s="543"/>
      <c r="DH1546" s="149"/>
      <c r="DI1546" s="1020"/>
      <c r="DJ1546" s="2045"/>
    </row>
    <row r="1547" spans="1:114" ht="15" customHeight="1" outlineLevel="1" x14ac:dyDescent="0.25">
      <c r="A1547" s="2145"/>
      <c r="C1547" s="49"/>
      <c r="D1547" s="2394"/>
      <c r="E1547" s="2394"/>
      <c r="F1547" s="2404" t="str">
        <f>$E$759</f>
        <v>ASHP-SEER19_ER1_SF</v>
      </c>
      <c r="G1547" s="2404"/>
      <c r="H1547" s="2404"/>
      <c r="I1547" s="2404"/>
      <c r="J1547" s="1506" t="str">
        <f>$C$759</f>
        <v>354000_2024_12_</v>
      </c>
      <c r="K1547" s="859">
        <v>8.290923757513843</v>
      </c>
      <c r="L1547" s="244"/>
      <c r="M1547" s="1518" t="s">
        <v>942</v>
      </c>
      <c r="P1547" s="243"/>
      <c r="Q1547" s="192"/>
      <c r="R1547" s="243"/>
      <c r="T1547" s="166"/>
      <c r="U1547" s="50"/>
      <c r="V1547" s="2394"/>
      <c r="W1547" s="1268">
        <v>7.2</v>
      </c>
      <c r="X1547" s="779">
        <v>8.33</v>
      </c>
      <c r="Y1547" s="1268">
        <v>8.33</v>
      </c>
      <c r="Z1547" s="1268">
        <v>8.33</v>
      </c>
      <c r="AA1547" s="1268">
        <v>8.33</v>
      </c>
      <c r="AB1547" s="194">
        <v>8.33</v>
      </c>
      <c r="AC1547" s="195">
        <v>9.0504969801676332</v>
      </c>
      <c r="AD1547" s="910">
        <v>7.7408755535350018</v>
      </c>
      <c r="AE1547" s="910">
        <v>8.1217030042955347</v>
      </c>
      <c r="AF1547" s="253">
        <v>8.290923757513843</v>
      </c>
      <c r="AG1547" s="253">
        <f t="shared" si="222"/>
        <v>8.290923757513843</v>
      </c>
      <c r="DG1547" s="543"/>
      <c r="DH1547" s="149"/>
      <c r="DI1547" s="1020"/>
      <c r="DJ1547" s="2045"/>
    </row>
    <row r="1548" spans="1:114" ht="15" customHeight="1" outlineLevel="1" x14ac:dyDescent="0.25">
      <c r="A1548" s="2145"/>
      <c r="C1548" s="49"/>
      <c r="D1548" s="2394"/>
      <c r="E1548" s="2394"/>
      <c r="F1548" s="2404" t="str">
        <f>$E$761</f>
        <v>ASHP-SEER19_ER2_SF</v>
      </c>
      <c r="G1548" s="2404"/>
      <c r="H1548" s="2404"/>
      <c r="I1548" s="2404"/>
      <c r="J1548" s="1506" t="str">
        <f>$C$761</f>
        <v>354000_2024_12_</v>
      </c>
      <c r="K1548" s="1567">
        <v>14.3</v>
      </c>
      <c r="L1548" s="12"/>
      <c r="M1548" s="1249" t="s">
        <v>936</v>
      </c>
      <c r="T1548" s="50"/>
      <c r="U1548" s="50"/>
      <c r="V1548" s="2394"/>
      <c r="W1548" s="1268">
        <v>14</v>
      </c>
      <c r="X1548" s="1268">
        <v>14</v>
      </c>
      <c r="Y1548" s="1268">
        <v>14</v>
      </c>
      <c r="Z1548" s="1268">
        <v>14</v>
      </c>
      <c r="AA1548" s="1268">
        <v>14</v>
      </c>
      <c r="AB1548" s="194">
        <v>14</v>
      </c>
      <c r="AC1548" s="194">
        <v>14</v>
      </c>
      <c r="AD1548" s="911">
        <v>14</v>
      </c>
      <c r="AE1548" s="1029">
        <v>15</v>
      </c>
      <c r="AF1548" s="253">
        <v>14.3</v>
      </c>
      <c r="AG1548" s="253">
        <f t="shared" si="222"/>
        <v>14.3</v>
      </c>
      <c r="DG1548" s="543"/>
      <c r="DH1548" s="149"/>
      <c r="DI1548" s="1020"/>
      <c r="DJ1548" s="2045"/>
    </row>
    <row r="1549" spans="1:114" ht="15" customHeight="1" outlineLevel="1" x14ac:dyDescent="0.25">
      <c r="A1549" s="2145"/>
      <c r="C1549" s="49"/>
      <c r="D1549" s="2394"/>
      <c r="E1549" s="2394"/>
      <c r="F1549" s="2404" t="str">
        <f>$E$763</f>
        <v>ASHP-SEER19_ROF_SF</v>
      </c>
      <c r="G1549" s="2404"/>
      <c r="H1549" s="2404"/>
      <c r="I1549" s="2404"/>
      <c r="J1549" s="1506" t="str">
        <f>$C$763</f>
        <v>354050_2024_12_</v>
      </c>
      <c r="K1549" s="1567">
        <v>14.3</v>
      </c>
      <c r="L1549" s="12"/>
      <c r="M1549" s="1249" t="s">
        <v>936</v>
      </c>
      <c r="T1549" s="50"/>
      <c r="U1549" s="50"/>
      <c r="V1549" s="2394"/>
      <c r="W1549" s="1268">
        <v>14</v>
      </c>
      <c r="X1549" s="1268">
        <v>14</v>
      </c>
      <c r="Y1549" s="1268">
        <v>14</v>
      </c>
      <c r="Z1549" s="1268">
        <v>14</v>
      </c>
      <c r="AA1549" s="1268">
        <v>14</v>
      </c>
      <c r="AB1549" s="194">
        <v>14</v>
      </c>
      <c r="AC1549" s="194">
        <v>14</v>
      </c>
      <c r="AD1549" s="911">
        <v>14</v>
      </c>
      <c r="AE1549" s="1029">
        <v>15</v>
      </c>
      <c r="AF1549" s="253">
        <v>14.3</v>
      </c>
      <c r="AG1549" s="253">
        <f t="shared" si="222"/>
        <v>14.3</v>
      </c>
      <c r="DG1549" s="543"/>
      <c r="DH1549" s="149"/>
      <c r="DI1549" s="1020"/>
      <c r="DJ1549" s="2045"/>
    </row>
    <row r="1550" spans="1:114" ht="15" customHeight="1" outlineLevel="1" x14ac:dyDescent="0.25">
      <c r="A1550" s="2145"/>
      <c r="C1550" s="49"/>
      <c r="D1550" s="2394"/>
      <c r="E1550" s="2394"/>
      <c r="F1550" s="2404" t="str">
        <f>$E$765</f>
        <v>ASHP-SEER17-Replace_CAC_ElectricHeat_ER1_SF</v>
      </c>
      <c r="G1550" s="2404"/>
      <c r="H1550" s="2404"/>
      <c r="I1550" s="2404"/>
      <c r="J1550" s="1506" t="str">
        <f>$C$765</f>
        <v>354100_2024_12_</v>
      </c>
      <c r="K1550" s="859">
        <v>7.6579274764443417</v>
      </c>
      <c r="L1550" s="244"/>
      <c r="M1550" s="1518" t="s">
        <v>942</v>
      </c>
      <c r="T1550" s="50"/>
      <c r="U1550" s="50"/>
      <c r="V1550" s="2394"/>
      <c r="W1550" s="1268">
        <v>6.8</v>
      </c>
      <c r="X1550" s="779">
        <v>8.33</v>
      </c>
      <c r="Y1550" s="1268">
        <v>8.33</v>
      </c>
      <c r="Z1550" s="1268">
        <v>8.33</v>
      </c>
      <c r="AA1550" s="1268">
        <v>8.33</v>
      </c>
      <c r="AB1550" s="194">
        <v>8.33</v>
      </c>
      <c r="AC1550" s="195">
        <v>8.0559951349156371</v>
      </c>
      <c r="AD1550" s="910">
        <v>7.8746004975378812</v>
      </c>
      <c r="AE1550" s="910">
        <v>7.8131110840647606</v>
      </c>
      <c r="AF1550" s="253">
        <v>7.6579274764443417</v>
      </c>
      <c r="AG1550" s="253">
        <f t="shared" si="222"/>
        <v>7.6579274764443417</v>
      </c>
      <c r="DG1550" s="543"/>
      <c r="DH1550" s="149"/>
      <c r="DI1550" s="1020"/>
      <c r="DJ1550" s="2045"/>
    </row>
    <row r="1551" spans="1:114" ht="15" customHeight="1" outlineLevel="1" x14ac:dyDescent="0.25">
      <c r="A1551" s="2145"/>
      <c r="C1551" s="49"/>
      <c r="D1551" s="2394"/>
      <c r="E1551" s="2394"/>
      <c r="F1551" s="2404" t="str">
        <f>$E$767</f>
        <v>ASHP-SEER17-Replace_CAC_ElectricHeat_ER2_SF</v>
      </c>
      <c r="G1551" s="2404"/>
      <c r="H1551" s="2404"/>
      <c r="I1551" s="2404"/>
      <c r="J1551" s="1506" t="str">
        <f>$C$767</f>
        <v>354100_2024_12_</v>
      </c>
      <c r="K1551" s="1567">
        <v>13.4</v>
      </c>
      <c r="L1551" s="12"/>
      <c r="M1551" s="1249" t="s">
        <v>936</v>
      </c>
      <c r="T1551" s="50"/>
      <c r="U1551" s="50"/>
      <c r="V1551" s="2394"/>
      <c r="W1551" s="1268">
        <v>13</v>
      </c>
      <c r="X1551" s="1268">
        <v>13</v>
      </c>
      <c r="Y1551" s="1268">
        <v>13</v>
      </c>
      <c r="Z1551" s="1268">
        <v>13</v>
      </c>
      <c r="AA1551" s="1268">
        <v>13</v>
      </c>
      <c r="AB1551" s="194">
        <v>13</v>
      </c>
      <c r="AC1551" s="194">
        <v>13</v>
      </c>
      <c r="AD1551" s="911">
        <v>13</v>
      </c>
      <c r="AE1551" s="1029">
        <v>14</v>
      </c>
      <c r="AF1551" s="253">
        <v>13.4</v>
      </c>
      <c r="AG1551" s="253">
        <f t="shared" si="222"/>
        <v>13.4</v>
      </c>
      <c r="DG1551" s="543"/>
      <c r="DH1551" s="149"/>
      <c r="DI1551" s="1020"/>
      <c r="DJ1551" s="2045"/>
    </row>
    <row r="1552" spans="1:114" ht="15" customHeight="1" outlineLevel="1" x14ac:dyDescent="0.25">
      <c r="A1552" s="2145"/>
      <c r="C1552" s="49"/>
      <c r="D1552" s="2394"/>
      <c r="E1552" s="2394"/>
      <c r="F1552" s="2404" t="str">
        <f>$E$769</f>
        <v>ASHP-SEER17-Replace_CAC_NonElectricHeat_ER1_SF</v>
      </c>
      <c r="G1552" s="2404"/>
      <c r="H1552" s="2404"/>
      <c r="I1552" s="2404"/>
      <c r="J1552" s="1506" t="str">
        <f>$C$769</f>
        <v>354110_2024_12_</v>
      </c>
      <c r="K1552" s="859">
        <v>7.6579274764443417</v>
      </c>
      <c r="L1552" s="244"/>
      <c r="M1552" s="1518" t="s">
        <v>942</v>
      </c>
      <c r="T1552" s="50"/>
      <c r="U1552" s="50"/>
      <c r="V1552" s="2394"/>
      <c r="W1552" s="1268"/>
      <c r="X1552" s="1268"/>
      <c r="Y1552" s="1268"/>
      <c r="Z1552" s="1268"/>
      <c r="AA1552" s="1268"/>
      <c r="AB1552" s="194"/>
      <c r="AC1552" s="195">
        <v>8.0559951349156371</v>
      </c>
      <c r="AD1552" s="910">
        <v>7.8746004975378812</v>
      </c>
      <c r="AE1552" s="910">
        <v>7.8131110840647606</v>
      </c>
      <c r="AF1552" s="253">
        <v>7.6579274764443417</v>
      </c>
      <c r="AG1552" s="253">
        <f t="shared" si="222"/>
        <v>7.6579274764443417</v>
      </c>
      <c r="DG1552" s="543"/>
      <c r="DH1552" s="149"/>
      <c r="DI1552" s="1020"/>
      <c r="DJ1552" s="2045"/>
    </row>
    <row r="1553" spans="1:114" ht="15" customHeight="1" outlineLevel="1" x14ac:dyDescent="0.25">
      <c r="A1553" s="2145"/>
      <c r="C1553" s="49"/>
      <c r="D1553" s="2394"/>
      <c r="E1553" s="2394"/>
      <c r="F1553" s="2404" t="str">
        <f>$E$771</f>
        <v>ASHP-SEER17-Replace_CAC_NonElectricHeat_ER2_SF</v>
      </c>
      <c r="G1553" s="2404"/>
      <c r="H1553" s="2404"/>
      <c r="I1553" s="2404"/>
      <c r="J1553" s="1506" t="str">
        <f>$C$771</f>
        <v>354110_2024_12_</v>
      </c>
      <c r="K1553" s="1567">
        <v>13.4</v>
      </c>
      <c r="L1553" s="12"/>
      <c r="M1553" s="1249" t="s">
        <v>936</v>
      </c>
      <c r="T1553" s="50"/>
      <c r="U1553" s="50"/>
      <c r="V1553" s="2394"/>
      <c r="W1553" s="1268"/>
      <c r="X1553" s="1268"/>
      <c r="Y1553" s="1268"/>
      <c r="Z1553" s="1268"/>
      <c r="AA1553" s="1268"/>
      <c r="AB1553" s="194"/>
      <c r="AC1553" s="195">
        <v>13</v>
      </c>
      <c r="AD1553" s="911">
        <v>13</v>
      </c>
      <c r="AE1553" s="1029">
        <v>14</v>
      </c>
      <c r="AF1553" s="253">
        <v>13.4</v>
      </c>
      <c r="AG1553" s="253">
        <f t="shared" si="222"/>
        <v>13.4</v>
      </c>
      <c r="DG1553" s="543"/>
      <c r="DH1553" s="149"/>
      <c r="DI1553" s="1020"/>
      <c r="DJ1553" s="2045"/>
    </row>
    <row r="1554" spans="1:114" ht="15.75" customHeight="1" outlineLevel="1" x14ac:dyDescent="0.25">
      <c r="A1554" s="2145"/>
      <c r="C1554" s="49"/>
      <c r="D1554" s="2394"/>
      <c r="E1554" s="2394"/>
      <c r="F1554" s="1968" t="s">
        <v>1223</v>
      </c>
      <c r="G1554" s="1969"/>
      <c r="H1554" s="1969"/>
      <c r="I1554" s="1970"/>
      <c r="J1554" s="2095" t="s">
        <v>1222</v>
      </c>
      <c r="K1554" s="2172">
        <v>6.53</v>
      </c>
      <c r="L1554" s="913"/>
      <c r="M1554" s="645" t="s">
        <v>1297</v>
      </c>
      <c r="T1554" s="50"/>
      <c r="U1554" s="50"/>
      <c r="V1554" s="2394"/>
      <c r="W1554" s="1268"/>
      <c r="X1554" s="1268"/>
      <c r="Y1554" s="1268"/>
      <c r="Z1554" s="1268"/>
      <c r="AA1554" s="1268"/>
      <c r="AB1554" s="1268"/>
      <c r="AC1554" s="752"/>
      <c r="AD1554" s="966"/>
      <c r="AE1554" s="909"/>
      <c r="AF1554" s="253"/>
      <c r="AG1554" s="253">
        <f>IF(K1554&lt;&gt;"",K1554,"")</f>
        <v>6.53</v>
      </c>
      <c r="DG1554" s="543"/>
      <c r="DH1554" s="149"/>
      <c r="DI1554" s="1020"/>
      <c r="DJ1554" s="2045"/>
    </row>
    <row r="1555" spans="1:114" ht="15.75" customHeight="1" outlineLevel="1" x14ac:dyDescent="0.25">
      <c r="A1555" s="2145"/>
      <c r="C1555" s="49"/>
      <c r="D1555" s="2394"/>
      <c r="E1555" s="2394"/>
      <c r="F1555" s="1968" t="s">
        <v>1224</v>
      </c>
      <c r="G1555" s="1969"/>
      <c r="H1555" s="1969"/>
      <c r="I1555" s="1970"/>
      <c r="J1555" s="2095" t="s">
        <v>1222</v>
      </c>
      <c r="K1555" s="1977">
        <v>14.3</v>
      </c>
      <c r="L1555" s="913"/>
      <c r="M1555" s="645" t="s">
        <v>1297</v>
      </c>
      <c r="T1555" s="50"/>
      <c r="U1555" s="50"/>
      <c r="V1555" s="2394"/>
      <c r="W1555" s="1268"/>
      <c r="X1555" s="1268"/>
      <c r="Y1555" s="1268"/>
      <c r="Z1555" s="1268"/>
      <c r="AA1555" s="1268"/>
      <c r="AB1555" s="1268"/>
      <c r="AC1555" s="752"/>
      <c r="AD1555" s="966"/>
      <c r="AE1555" s="909"/>
      <c r="AF1555" s="253"/>
      <c r="AG1555" s="253">
        <f>IF(K1555&lt;&gt;"",K1555,"")</f>
        <v>14.3</v>
      </c>
      <c r="DG1555" s="543"/>
      <c r="DH1555" s="149"/>
      <c r="DI1555" s="1020"/>
      <c r="DJ1555" s="2045"/>
    </row>
    <row r="1556" spans="1:114" ht="15" customHeight="1" outlineLevel="1" x14ac:dyDescent="0.25">
      <c r="A1556" s="2145"/>
      <c r="C1556" s="49"/>
      <c r="D1556" s="2394"/>
      <c r="E1556" s="2394"/>
      <c r="F1556" s="2404" t="str">
        <f>$E$777</f>
        <v>ASHP-SEER17-Replace_CAC_ElectricHeat_ER1_MF</v>
      </c>
      <c r="G1556" s="2404"/>
      <c r="H1556" s="2404"/>
      <c r="I1556" s="2404"/>
      <c r="J1556" s="1506" t="str">
        <f>$C$777</f>
        <v>354150_2024_12_</v>
      </c>
      <c r="K1556" s="859">
        <v>8.33</v>
      </c>
      <c r="L1556" s="244"/>
      <c r="M1556" s="1249" t="s">
        <v>1300</v>
      </c>
      <c r="T1556" s="50"/>
      <c r="U1556" s="50"/>
      <c r="V1556" s="2394"/>
      <c r="W1556" s="1268">
        <v>6.8</v>
      </c>
      <c r="X1556" s="779">
        <v>8.33</v>
      </c>
      <c r="Y1556" s="1268">
        <v>8.33</v>
      </c>
      <c r="Z1556" s="1268">
        <v>8.33</v>
      </c>
      <c r="AA1556" s="1268">
        <v>8.33</v>
      </c>
      <c r="AB1556" s="194">
        <v>8.33</v>
      </c>
      <c r="AC1556" s="194">
        <v>8.33</v>
      </c>
      <c r="AD1556" s="911">
        <v>8.33</v>
      </c>
      <c r="AE1556" s="911">
        <v>8.33</v>
      </c>
      <c r="AF1556" s="253">
        <v>8.33</v>
      </c>
      <c r="AG1556" s="253">
        <f t="shared" si="222"/>
        <v>8.33</v>
      </c>
      <c r="DG1556" s="543"/>
      <c r="DH1556" s="149"/>
      <c r="DI1556" s="1020"/>
      <c r="DJ1556" s="2045"/>
    </row>
    <row r="1557" spans="1:114" ht="15" customHeight="1" outlineLevel="1" x14ac:dyDescent="0.25">
      <c r="A1557" s="2145"/>
      <c r="C1557" s="49"/>
      <c r="D1557" s="2394"/>
      <c r="E1557" s="2394"/>
      <c r="F1557" s="2404" t="str">
        <f>$E$779</f>
        <v>ASHP-SEER17-Replace_CAC_ElectricHeat_ER2_MF</v>
      </c>
      <c r="G1557" s="2404"/>
      <c r="H1557" s="2404"/>
      <c r="I1557" s="2404"/>
      <c r="J1557" s="1506" t="str">
        <f>$C$779</f>
        <v>354150_2024_12_</v>
      </c>
      <c r="K1557" s="1567">
        <v>13.4</v>
      </c>
      <c r="L1557" s="12"/>
      <c r="M1557" s="1249" t="s">
        <v>936</v>
      </c>
      <c r="T1557" s="50"/>
      <c r="U1557" s="50"/>
      <c r="V1557" s="2394"/>
      <c r="W1557" s="1268">
        <v>13</v>
      </c>
      <c r="X1557" s="1268">
        <v>13</v>
      </c>
      <c r="Y1557" s="1268">
        <v>13</v>
      </c>
      <c r="Z1557" s="1268">
        <v>13</v>
      </c>
      <c r="AA1557" s="1268">
        <v>13</v>
      </c>
      <c r="AB1557" s="194">
        <v>13</v>
      </c>
      <c r="AC1557" s="194">
        <v>13</v>
      </c>
      <c r="AD1557" s="911">
        <v>13</v>
      </c>
      <c r="AE1557" s="1029">
        <v>14</v>
      </c>
      <c r="AF1557" s="253">
        <v>13.4</v>
      </c>
      <c r="AG1557" s="253">
        <f t="shared" si="222"/>
        <v>13.4</v>
      </c>
      <c r="DG1557" s="543"/>
      <c r="DH1557" s="149"/>
      <c r="DI1557" s="1020"/>
      <c r="DJ1557" s="2045"/>
    </row>
    <row r="1558" spans="1:114" ht="15" customHeight="1" outlineLevel="1" x14ac:dyDescent="0.25">
      <c r="A1558" s="2145"/>
      <c r="C1558" s="49"/>
      <c r="D1558" s="2394"/>
      <c r="E1558" s="2394"/>
      <c r="F1558" s="2404" t="str">
        <f>$E$781</f>
        <v>ASHP-SEER17_ER1_MF</v>
      </c>
      <c r="G1558" s="2404"/>
      <c r="H1558" s="2404"/>
      <c r="I1558" s="2404"/>
      <c r="J1558" s="1506" t="str">
        <f>$C$781</f>
        <v>354200_2024_12_</v>
      </c>
      <c r="K1558" s="859">
        <v>8.33</v>
      </c>
      <c r="L1558" s="244"/>
      <c r="M1558" s="1249" t="s">
        <v>1300</v>
      </c>
      <c r="T1558" s="50"/>
      <c r="U1558" s="50"/>
      <c r="V1558" s="2394"/>
      <c r="W1558" s="1268">
        <v>7.2</v>
      </c>
      <c r="X1558" s="779">
        <v>8.33</v>
      </c>
      <c r="Y1558" s="1268">
        <v>8.33</v>
      </c>
      <c r="Z1558" s="1268">
        <v>8.33</v>
      </c>
      <c r="AA1558" s="1268">
        <v>8.33</v>
      </c>
      <c r="AB1558" s="194">
        <v>8.33</v>
      </c>
      <c r="AC1558" s="194">
        <v>8.33</v>
      </c>
      <c r="AD1558" s="911">
        <v>8.33</v>
      </c>
      <c r="AE1558" s="911">
        <v>8.33</v>
      </c>
      <c r="AF1558" s="253">
        <v>8.33</v>
      </c>
      <c r="AG1558" s="253">
        <f t="shared" si="222"/>
        <v>8.33</v>
      </c>
      <c r="DG1558" s="543"/>
      <c r="DH1558" s="149"/>
      <c r="DI1558" s="1020"/>
      <c r="DJ1558" s="2045"/>
    </row>
    <row r="1559" spans="1:114" ht="15" customHeight="1" outlineLevel="1" x14ac:dyDescent="0.25">
      <c r="A1559" s="2145"/>
      <c r="C1559" s="49"/>
      <c r="D1559" s="2394"/>
      <c r="E1559" s="2394"/>
      <c r="F1559" s="2404" t="str">
        <f>$E$783</f>
        <v>ASHP-SEER17_ER2_MF</v>
      </c>
      <c r="G1559" s="2404"/>
      <c r="H1559" s="2404"/>
      <c r="I1559" s="2404"/>
      <c r="J1559" s="1506" t="str">
        <f>$C$783</f>
        <v>354200_2024_12_</v>
      </c>
      <c r="K1559" s="1567">
        <v>14.3</v>
      </c>
      <c r="L1559" s="12"/>
      <c r="M1559" s="1249" t="s">
        <v>936</v>
      </c>
      <c r="T1559" s="50"/>
      <c r="U1559" s="50"/>
      <c r="V1559" s="2394"/>
      <c r="W1559" s="1268">
        <v>14</v>
      </c>
      <c r="X1559" s="1268">
        <v>14</v>
      </c>
      <c r="Y1559" s="1268">
        <v>14</v>
      </c>
      <c r="Z1559" s="1268">
        <v>14</v>
      </c>
      <c r="AA1559" s="1268">
        <v>14</v>
      </c>
      <c r="AB1559" s="194">
        <v>14</v>
      </c>
      <c r="AC1559" s="194">
        <v>14</v>
      </c>
      <c r="AD1559" s="911">
        <v>14</v>
      </c>
      <c r="AE1559" s="1029">
        <v>15</v>
      </c>
      <c r="AF1559" s="253">
        <v>14.3</v>
      </c>
      <c r="AG1559" s="253">
        <f t="shared" si="222"/>
        <v>14.3</v>
      </c>
      <c r="DG1559" s="543"/>
      <c r="DH1559" s="149"/>
      <c r="DI1559" s="1020"/>
      <c r="DJ1559" s="2045"/>
    </row>
    <row r="1560" spans="1:114" ht="15" customHeight="1" outlineLevel="1" x14ac:dyDescent="0.25">
      <c r="A1560" s="2145"/>
      <c r="C1560" s="49"/>
      <c r="D1560" s="2394"/>
      <c r="E1560" s="2394"/>
      <c r="F1560" s="2404" t="str">
        <f>$E$785</f>
        <v>ASHP-SEER18-Replace_CAC_ElectricHeat_ER1_SF</v>
      </c>
      <c r="G1560" s="2404"/>
      <c r="H1560" s="2404"/>
      <c r="I1560" s="2404"/>
      <c r="J1560" s="1506" t="str">
        <f>$C$785</f>
        <v>354250_2024_12_</v>
      </c>
      <c r="K1560" s="859">
        <v>7.6829345969611094</v>
      </c>
      <c r="L1560" s="244"/>
      <c r="M1560" s="1518" t="s">
        <v>942</v>
      </c>
      <c r="T1560" s="50"/>
      <c r="U1560" s="50"/>
      <c r="V1560" s="2394"/>
      <c r="W1560" s="1268">
        <v>6.8</v>
      </c>
      <c r="X1560" s="779">
        <v>8.33</v>
      </c>
      <c r="Y1560" s="1268">
        <v>8.33</v>
      </c>
      <c r="Z1560" s="1268">
        <v>8.33</v>
      </c>
      <c r="AA1560" s="1268">
        <v>8.33</v>
      </c>
      <c r="AB1560" s="195">
        <v>7.6973343211156395</v>
      </c>
      <c r="AC1560" s="195">
        <v>8.4215383390942158</v>
      </c>
      <c r="AD1560" s="910">
        <v>7.8596801773401781</v>
      </c>
      <c r="AE1560" s="910">
        <v>7.902671937780064</v>
      </c>
      <c r="AF1560" s="253">
        <v>7.6829345969611094</v>
      </c>
      <c r="AG1560" s="253">
        <f t="shared" si="222"/>
        <v>7.6829345969611094</v>
      </c>
      <c r="DG1560" s="543"/>
      <c r="DH1560" s="149"/>
      <c r="DI1560" s="1020"/>
      <c r="DJ1560" s="2045"/>
    </row>
    <row r="1561" spans="1:114" ht="15" customHeight="1" outlineLevel="1" x14ac:dyDescent="0.25">
      <c r="A1561" s="2145"/>
      <c r="C1561" s="49"/>
      <c r="D1561" s="2394"/>
      <c r="E1561" s="2394"/>
      <c r="F1561" s="2404" t="str">
        <f>$E$787</f>
        <v>ASHP-SEER18-Replace_CAC_ElectricHeat_ER2_SF</v>
      </c>
      <c r="G1561" s="2404"/>
      <c r="H1561" s="2404"/>
      <c r="I1561" s="2404"/>
      <c r="J1561" s="1506" t="str">
        <f>$C$787</f>
        <v>354250_2024_12_</v>
      </c>
      <c r="K1561" s="1567">
        <v>13.4</v>
      </c>
      <c r="L1561" s="12"/>
      <c r="M1561" s="1249" t="s">
        <v>936</v>
      </c>
      <c r="T1561" s="50"/>
      <c r="U1561" s="50"/>
      <c r="V1561" s="2394"/>
      <c r="W1561" s="1268">
        <v>13</v>
      </c>
      <c r="X1561" s="1268">
        <v>13</v>
      </c>
      <c r="Y1561" s="1268">
        <v>13</v>
      </c>
      <c r="Z1561" s="1268">
        <v>13</v>
      </c>
      <c r="AA1561" s="1268">
        <v>13</v>
      </c>
      <c r="AB1561" s="194">
        <v>13</v>
      </c>
      <c r="AC1561" s="194">
        <v>13</v>
      </c>
      <c r="AD1561" s="911">
        <v>13</v>
      </c>
      <c r="AE1561" s="1029">
        <v>14</v>
      </c>
      <c r="AF1561" s="253">
        <v>13.4</v>
      </c>
      <c r="AG1561" s="253">
        <f t="shared" si="222"/>
        <v>13.4</v>
      </c>
      <c r="DG1561" s="543"/>
      <c r="DH1561" s="149"/>
      <c r="DI1561" s="1020"/>
      <c r="DJ1561" s="2045"/>
    </row>
    <row r="1562" spans="1:114" ht="15" customHeight="1" outlineLevel="1" x14ac:dyDescent="0.25">
      <c r="A1562" s="2145"/>
      <c r="C1562" s="49"/>
      <c r="D1562" s="2394"/>
      <c r="E1562" s="2394"/>
      <c r="F1562" s="2404" t="str">
        <f>$E$789</f>
        <v>ASHP-SEER18-Replace_CAC_NonElectricHeat_ER1_SF</v>
      </c>
      <c r="G1562" s="2404"/>
      <c r="H1562" s="2404"/>
      <c r="I1562" s="2404"/>
      <c r="J1562" s="1506" t="str">
        <f>$C$789</f>
        <v>354260_2024_12_</v>
      </c>
      <c r="K1562" s="859">
        <v>7.6829345969611094</v>
      </c>
      <c r="L1562" s="244"/>
      <c r="M1562" s="1518" t="s">
        <v>942</v>
      </c>
      <c r="T1562" s="50"/>
      <c r="U1562" s="50"/>
      <c r="V1562" s="2394"/>
      <c r="W1562" s="1268"/>
      <c r="X1562" s="1268"/>
      <c r="Y1562" s="1268"/>
      <c r="Z1562" s="1268"/>
      <c r="AA1562" s="1268"/>
      <c r="AB1562" s="194"/>
      <c r="AC1562" s="195">
        <v>8.4215383390942158</v>
      </c>
      <c r="AD1562" s="910">
        <v>7.8596801773401781</v>
      </c>
      <c r="AE1562" s="910">
        <v>7.902671937780064</v>
      </c>
      <c r="AF1562" s="253">
        <v>7.6829345969611094</v>
      </c>
      <c r="AG1562" s="253">
        <f t="shared" si="222"/>
        <v>7.6829345969611094</v>
      </c>
      <c r="DG1562" s="543"/>
      <c r="DH1562" s="149"/>
      <c r="DI1562" s="1020"/>
      <c r="DJ1562" s="2045"/>
    </row>
    <row r="1563" spans="1:114" ht="15" customHeight="1" outlineLevel="1" x14ac:dyDescent="0.25">
      <c r="A1563" s="2145"/>
      <c r="C1563" s="49"/>
      <c r="D1563" s="2394"/>
      <c r="E1563" s="2394"/>
      <c r="F1563" s="2404" t="str">
        <f>$E$791</f>
        <v>ASHP-SEER18-Replace_CAC_NonElectricHeat_ER2_SF</v>
      </c>
      <c r="G1563" s="2404"/>
      <c r="H1563" s="2404"/>
      <c r="I1563" s="2404"/>
      <c r="J1563" s="1506" t="str">
        <f>$C$791</f>
        <v>354260_2024_12_</v>
      </c>
      <c r="K1563" s="1567">
        <v>13.4</v>
      </c>
      <c r="L1563" s="12"/>
      <c r="M1563" s="1249" t="s">
        <v>936</v>
      </c>
      <c r="T1563" s="50"/>
      <c r="U1563" s="50"/>
      <c r="V1563" s="2394"/>
      <c r="W1563" s="1268"/>
      <c r="X1563" s="1268"/>
      <c r="Y1563" s="1268"/>
      <c r="Z1563" s="1268"/>
      <c r="AA1563" s="1268"/>
      <c r="AB1563" s="194"/>
      <c r="AC1563" s="195">
        <v>13</v>
      </c>
      <c r="AD1563" s="911">
        <v>13</v>
      </c>
      <c r="AE1563" s="1029">
        <v>14</v>
      </c>
      <c r="AF1563" s="253">
        <v>13.4</v>
      </c>
      <c r="AG1563" s="253">
        <f t="shared" si="222"/>
        <v>13.4</v>
      </c>
      <c r="DG1563" s="543"/>
      <c r="DH1563" s="149"/>
      <c r="DI1563" s="1020"/>
      <c r="DJ1563" s="2045"/>
    </row>
    <row r="1564" spans="1:114" ht="15" customHeight="1" outlineLevel="1" x14ac:dyDescent="0.25">
      <c r="A1564" s="2145"/>
      <c r="C1564" s="49"/>
      <c r="D1564" s="2394"/>
      <c r="E1564" s="2394"/>
      <c r="F1564" s="2404" t="str">
        <f>$E$793</f>
        <v>ASHP-SEER18-Replace_CAC_ElectricHeat_ER1_MF</v>
      </c>
      <c r="G1564" s="2404"/>
      <c r="H1564" s="2404"/>
      <c r="I1564" s="2404"/>
      <c r="J1564" s="1506" t="str">
        <f>$C$793</f>
        <v>354300_2024_12_</v>
      </c>
      <c r="K1564" s="859">
        <v>5.4170996929996953</v>
      </c>
      <c r="L1564" s="244"/>
      <c r="M1564" s="1504" t="s">
        <v>1288</v>
      </c>
      <c r="T1564" s="50"/>
      <c r="U1564" s="50"/>
      <c r="V1564" s="2394"/>
      <c r="W1564" s="1268">
        <v>6.8</v>
      </c>
      <c r="X1564" s="779">
        <v>8.33</v>
      </c>
      <c r="Y1564" s="1268">
        <v>8.33</v>
      </c>
      <c r="Z1564" s="1268">
        <v>8.33</v>
      </c>
      <c r="AA1564" s="1268">
        <v>8.33</v>
      </c>
      <c r="AB1564" s="195">
        <v>6.541205533836111</v>
      </c>
      <c r="AC1564" s="195">
        <v>5.4170996929996953</v>
      </c>
      <c r="AD1564" s="911">
        <v>5.4170996929996953</v>
      </c>
      <c r="AE1564" s="911">
        <v>5.4170996929996953</v>
      </c>
      <c r="AF1564" s="253">
        <v>5.4170996929996953</v>
      </c>
      <c r="AG1564" s="253">
        <f t="shared" si="222"/>
        <v>5.4170996929996953</v>
      </c>
      <c r="DG1564" s="543"/>
      <c r="DH1564" s="149"/>
      <c r="DI1564" s="1020"/>
      <c r="DJ1564" s="2045"/>
    </row>
    <row r="1565" spans="1:114" ht="15" customHeight="1" outlineLevel="1" x14ac:dyDescent="0.25">
      <c r="A1565" s="2145"/>
      <c r="C1565" s="49"/>
      <c r="D1565" s="2394"/>
      <c r="E1565" s="2394"/>
      <c r="F1565" s="2404" t="str">
        <f>$E$795</f>
        <v>ASHP-SEER18-Replace_CAC_ElectricHeat_ER2_MF</v>
      </c>
      <c r="G1565" s="2404"/>
      <c r="H1565" s="2404"/>
      <c r="I1565" s="2404"/>
      <c r="J1565" s="1506" t="str">
        <f>$C$795</f>
        <v>354300_2024_12_</v>
      </c>
      <c r="K1565" s="1567">
        <v>13.4</v>
      </c>
      <c r="L1565" s="12"/>
      <c r="M1565" s="1249" t="s">
        <v>936</v>
      </c>
      <c r="T1565" s="50"/>
      <c r="U1565" s="50"/>
      <c r="V1565" s="2394"/>
      <c r="W1565" s="1268">
        <v>13</v>
      </c>
      <c r="X1565" s="1268">
        <v>13</v>
      </c>
      <c r="Y1565" s="1268">
        <v>13</v>
      </c>
      <c r="Z1565" s="1268">
        <v>13</v>
      </c>
      <c r="AA1565" s="1268">
        <v>13</v>
      </c>
      <c r="AB1565" s="194">
        <v>13</v>
      </c>
      <c r="AC1565" s="194">
        <v>13</v>
      </c>
      <c r="AD1565" s="911">
        <v>13</v>
      </c>
      <c r="AE1565" s="1029">
        <v>14</v>
      </c>
      <c r="AF1565" s="253">
        <v>13.4</v>
      </c>
      <c r="AG1565" s="253">
        <f t="shared" si="222"/>
        <v>13.4</v>
      </c>
      <c r="DG1565" s="543"/>
      <c r="DH1565" s="149"/>
      <c r="DI1565" s="1020"/>
      <c r="DJ1565" s="2045"/>
    </row>
    <row r="1566" spans="1:114" ht="15" customHeight="1" outlineLevel="1" x14ac:dyDescent="0.25">
      <c r="A1566" s="2145"/>
      <c r="C1566" s="49"/>
      <c r="D1566" s="2394"/>
      <c r="E1566" s="2394"/>
      <c r="F1566" s="2404" t="str">
        <f>$E$797</f>
        <v>ASHP-SEER18_ER1_MF</v>
      </c>
      <c r="G1566" s="2404"/>
      <c r="H1566" s="2404"/>
      <c r="I1566" s="2404"/>
      <c r="J1566" s="1506" t="str">
        <f>$C$797</f>
        <v>354350_2024_12_</v>
      </c>
      <c r="K1566" s="859">
        <v>6.6622274415102947</v>
      </c>
      <c r="L1566" s="244"/>
      <c r="M1566" s="1504" t="s">
        <v>931</v>
      </c>
      <c r="T1566" s="50"/>
      <c r="U1566" s="50"/>
      <c r="V1566" s="2394"/>
      <c r="W1566" s="1268">
        <v>7.2</v>
      </c>
      <c r="X1566" s="779">
        <v>8.33</v>
      </c>
      <c r="Y1566" s="1268">
        <v>8.33</v>
      </c>
      <c r="Z1566" s="1268">
        <v>8.33</v>
      </c>
      <c r="AA1566" s="1268">
        <v>8.33</v>
      </c>
      <c r="AB1566" s="194">
        <v>8.33</v>
      </c>
      <c r="AC1566" s="195">
        <v>8.402496453661275</v>
      </c>
      <c r="AD1566" s="910">
        <v>6.6622274415102947</v>
      </c>
      <c r="AE1566" s="911">
        <v>6.6622274415102947</v>
      </c>
      <c r="AF1566" s="253">
        <v>6.6622274415102947</v>
      </c>
      <c r="AG1566" s="253">
        <f t="shared" si="222"/>
        <v>6.6622274415102947</v>
      </c>
      <c r="DG1566" s="543"/>
      <c r="DH1566" s="149"/>
      <c r="DI1566" s="1020"/>
      <c r="DJ1566" s="2045"/>
    </row>
    <row r="1567" spans="1:114" ht="15" customHeight="1" outlineLevel="1" x14ac:dyDescent="0.25">
      <c r="A1567" s="2145"/>
      <c r="C1567" s="49"/>
      <c r="D1567" s="2394"/>
      <c r="E1567" s="2394"/>
      <c r="F1567" s="2404" t="str">
        <f>$E$799</f>
        <v>ASHP-SEER18_ER2_MF</v>
      </c>
      <c r="G1567" s="2404"/>
      <c r="H1567" s="2404"/>
      <c r="I1567" s="2404"/>
      <c r="J1567" s="1506" t="str">
        <f>$C$799</f>
        <v>354350_2024_12_</v>
      </c>
      <c r="K1567" s="1567">
        <v>14.3</v>
      </c>
      <c r="L1567" s="12"/>
      <c r="M1567" s="1249" t="s">
        <v>936</v>
      </c>
      <c r="T1567" s="50"/>
      <c r="U1567" s="50"/>
      <c r="V1567" s="2394"/>
      <c r="W1567" s="1268">
        <v>14</v>
      </c>
      <c r="X1567" s="1268">
        <v>14</v>
      </c>
      <c r="Y1567" s="1268">
        <v>14</v>
      </c>
      <c r="Z1567" s="1268">
        <v>14</v>
      </c>
      <c r="AA1567" s="1268">
        <v>14</v>
      </c>
      <c r="AB1567" s="194">
        <v>14</v>
      </c>
      <c r="AC1567" s="194">
        <v>14</v>
      </c>
      <c r="AD1567" s="911">
        <v>14</v>
      </c>
      <c r="AE1567" s="1029">
        <v>15</v>
      </c>
      <c r="AF1567" s="253">
        <v>14.3</v>
      </c>
      <c r="AG1567" s="253">
        <f t="shared" si="222"/>
        <v>14.3</v>
      </c>
      <c r="DG1567" s="543"/>
      <c r="DH1567" s="149"/>
      <c r="DI1567" s="1020"/>
      <c r="DJ1567" s="2045"/>
    </row>
    <row r="1568" spans="1:114" ht="15" customHeight="1" outlineLevel="1" x14ac:dyDescent="0.25">
      <c r="A1568" s="2145"/>
      <c r="C1568" s="49"/>
      <c r="D1568" s="2394"/>
      <c r="E1568" s="2394"/>
      <c r="F1568" s="2404" t="str">
        <f>$E$801</f>
        <v>ASHP-SEER19-Replace_CAC_ElectricHeat_ER1_SF</v>
      </c>
      <c r="G1568" s="2404"/>
      <c r="H1568" s="2404"/>
      <c r="I1568" s="2404"/>
      <c r="J1568" s="1506" t="str">
        <f>$C$801</f>
        <v>354400_2024_12_</v>
      </c>
      <c r="K1568" s="859">
        <v>8.290923757513843</v>
      </c>
      <c r="L1568" s="244"/>
      <c r="M1568" s="1518" t="s">
        <v>942</v>
      </c>
      <c r="T1568" s="50"/>
      <c r="U1568" s="50"/>
      <c r="V1568" s="2394"/>
      <c r="W1568" s="1268">
        <v>6.8</v>
      </c>
      <c r="X1568" s="779">
        <v>8.33</v>
      </c>
      <c r="Y1568" s="1268">
        <v>8.33</v>
      </c>
      <c r="Z1568" s="1268">
        <v>8.33</v>
      </c>
      <c r="AA1568" s="1268">
        <v>8.33</v>
      </c>
      <c r="AB1568" s="194">
        <v>8.33</v>
      </c>
      <c r="AC1568" s="195">
        <v>8.5327178544626143</v>
      </c>
      <c r="AD1568" s="910">
        <v>7.7408755535350018</v>
      </c>
      <c r="AE1568" s="910">
        <v>8.1217030042955347</v>
      </c>
      <c r="AF1568" s="253">
        <v>8.290923757513843</v>
      </c>
      <c r="AG1568" s="253">
        <f t="shared" si="222"/>
        <v>8.290923757513843</v>
      </c>
      <c r="DG1568" s="543"/>
      <c r="DH1568" s="149"/>
      <c r="DI1568" s="1020"/>
      <c r="DJ1568" s="2045"/>
    </row>
    <row r="1569" spans="1:114" ht="15" customHeight="1" outlineLevel="1" x14ac:dyDescent="0.25">
      <c r="A1569" s="2145"/>
      <c r="C1569" s="49"/>
      <c r="D1569" s="2394"/>
      <c r="E1569" s="2394"/>
      <c r="F1569" s="2404" t="str">
        <f>$E$803</f>
        <v>ASHP-SEER19-Replace_CAC_ElectricHeat_ER2_SF</v>
      </c>
      <c r="G1569" s="2404"/>
      <c r="H1569" s="2404"/>
      <c r="I1569" s="2404"/>
      <c r="J1569" s="1506" t="str">
        <f>$C$803</f>
        <v>354400_2024_12_</v>
      </c>
      <c r="K1569" s="1567">
        <v>13.4</v>
      </c>
      <c r="L1569" s="12"/>
      <c r="M1569" s="1249" t="s">
        <v>936</v>
      </c>
      <c r="T1569" s="50"/>
      <c r="U1569" s="50"/>
      <c r="V1569" s="2394"/>
      <c r="W1569" s="1268">
        <v>13</v>
      </c>
      <c r="X1569" s="1268">
        <v>13</v>
      </c>
      <c r="Y1569" s="1268">
        <v>13</v>
      </c>
      <c r="Z1569" s="1268">
        <v>13</v>
      </c>
      <c r="AA1569" s="1268">
        <v>13</v>
      </c>
      <c r="AB1569" s="194">
        <v>13</v>
      </c>
      <c r="AC1569" s="194">
        <v>13</v>
      </c>
      <c r="AD1569" s="911">
        <v>13</v>
      </c>
      <c r="AE1569" s="1029">
        <v>14</v>
      </c>
      <c r="AF1569" s="253">
        <v>13.4</v>
      </c>
      <c r="AG1569" s="253">
        <f t="shared" si="222"/>
        <v>13.4</v>
      </c>
      <c r="DG1569" s="543"/>
      <c r="DH1569" s="149"/>
      <c r="DI1569" s="1020"/>
      <c r="DJ1569" s="2045"/>
    </row>
    <row r="1570" spans="1:114" ht="15" customHeight="1" outlineLevel="1" x14ac:dyDescent="0.25">
      <c r="A1570" s="2145"/>
      <c r="C1570" s="49"/>
      <c r="D1570" s="2394"/>
      <c r="E1570" s="2394"/>
      <c r="F1570" s="2404" t="str">
        <f>$E$805</f>
        <v>ASHP-SEER19-Replace_CAC_NonElectricHeat_ER1_SF</v>
      </c>
      <c r="G1570" s="2404"/>
      <c r="H1570" s="2404"/>
      <c r="I1570" s="2404"/>
      <c r="J1570" s="1506" t="str">
        <f>$C$805</f>
        <v>354410_2024_12_</v>
      </c>
      <c r="K1570" s="859">
        <v>8.290923757513843</v>
      </c>
      <c r="L1570" s="244"/>
      <c r="M1570" s="1518" t="s">
        <v>942</v>
      </c>
      <c r="T1570" s="50"/>
      <c r="U1570" s="50"/>
      <c r="V1570" s="2394"/>
      <c r="W1570" s="1268"/>
      <c r="X1570" s="1268"/>
      <c r="Y1570" s="1268"/>
      <c r="Z1570" s="1268"/>
      <c r="AA1570" s="1268"/>
      <c r="AB1570" s="194"/>
      <c r="AC1570" s="195">
        <v>8.5327178544626143</v>
      </c>
      <c r="AD1570" s="911">
        <v>8.5327178544626143</v>
      </c>
      <c r="AE1570" s="910">
        <v>8.1217030042955347</v>
      </c>
      <c r="AF1570" s="253">
        <v>8.290923757513843</v>
      </c>
      <c r="AG1570" s="253">
        <f t="shared" si="222"/>
        <v>8.290923757513843</v>
      </c>
      <c r="DG1570" s="543"/>
      <c r="DH1570" s="149"/>
      <c r="DI1570" s="1020"/>
      <c r="DJ1570" s="2045"/>
    </row>
    <row r="1571" spans="1:114" ht="15" customHeight="1" outlineLevel="1" x14ac:dyDescent="0.25">
      <c r="A1571" s="2145"/>
      <c r="C1571" s="49"/>
      <c r="D1571" s="2394"/>
      <c r="E1571" s="2394"/>
      <c r="F1571" s="2404" t="str">
        <f>$E$807</f>
        <v>ASHP-SEER19-Replace_CAC_NonElectricHeat_ER2_SF</v>
      </c>
      <c r="G1571" s="2404"/>
      <c r="H1571" s="2404"/>
      <c r="I1571" s="2404"/>
      <c r="J1571" s="1506" t="str">
        <f>$C$807</f>
        <v>354410_2024_12_</v>
      </c>
      <c r="K1571" s="1567">
        <v>13.4</v>
      </c>
      <c r="L1571" s="12"/>
      <c r="M1571" s="1249" t="s">
        <v>936</v>
      </c>
      <c r="T1571" s="50"/>
      <c r="U1571" s="50"/>
      <c r="V1571" s="2394"/>
      <c r="W1571" s="1268"/>
      <c r="X1571" s="1268"/>
      <c r="Y1571" s="1268"/>
      <c r="Z1571" s="1268"/>
      <c r="AA1571" s="1268"/>
      <c r="AB1571" s="194"/>
      <c r="AC1571" s="195">
        <v>13</v>
      </c>
      <c r="AD1571" s="911">
        <v>13</v>
      </c>
      <c r="AE1571" s="1029">
        <v>14</v>
      </c>
      <c r="AF1571" s="253">
        <v>13.4</v>
      </c>
      <c r="AG1571" s="253">
        <f t="shared" si="222"/>
        <v>13.4</v>
      </c>
      <c r="DG1571" s="543"/>
      <c r="DH1571" s="149"/>
      <c r="DI1571" s="1020"/>
      <c r="DJ1571" s="2045"/>
    </row>
    <row r="1572" spans="1:114" ht="15" customHeight="1" outlineLevel="1" x14ac:dyDescent="0.25">
      <c r="A1572" s="2145"/>
      <c r="C1572" s="49"/>
      <c r="D1572" s="2394"/>
      <c r="E1572" s="2394"/>
      <c r="F1572" s="2404" t="str">
        <f>$E$809</f>
        <v>ASHP-SEER19-Replace_CAC_ElectricHeat_ER1_MF</v>
      </c>
      <c r="G1572" s="2404"/>
      <c r="H1572" s="2404"/>
      <c r="I1572" s="2404"/>
      <c r="J1572" s="1506" t="str">
        <f>$C$809</f>
        <v>354450_2024_12_</v>
      </c>
      <c r="K1572" s="859">
        <v>8.33</v>
      </c>
      <c r="L1572" s="244"/>
      <c r="M1572" s="1249" t="s">
        <v>1300</v>
      </c>
      <c r="T1572" s="50"/>
      <c r="U1572" s="50"/>
      <c r="V1572" s="2394"/>
      <c r="W1572" s="1268">
        <v>6.8</v>
      </c>
      <c r="X1572" s="779">
        <v>8.33</v>
      </c>
      <c r="Y1572" s="1268">
        <v>8.33</v>
      </c>
      <c r="Z1572" s="1268">
        <v>8.33</v>
      </c>
      <c r="AA1572" s="1268">
        <v>8.33</v>
      </c>
      <c r="AB1572" s="194">
        <v>8.33</v>
      </c>
      <c r="AC1572" s="194">
        <v>8.33</v>
      </c>
      <c r="AD1572" s="911">
        <v>8.33</v>
      </c>
      <c r="AE1572" s="911">
        <v>8.33</v>
      </c>
      <c r="AF1572" s="253">
        <v>8.33</v>
      </c>
      <c r="AG1572" s="253">
        <f t="shared" si="222"/>
        <v>8.33</v>
      </c>
      <c r="DG1572" s="543"/>
      <c r="DH1572" s="149"/>
      <c r="DI1572" s="1020"/>
      <c r="DJ1572" s="2045"/>
    </row>
    <row r="1573" spans="1:114" ht="15" customHeight="1" outlineLevel="1" x14ac:dyDescent="0.25">
      <c r="A1573" s="2145"/>
      <c r="C1573" s="49"/>
      <c r="D1573" s="2394"/>
      <c r="E1573" s="2394"/>
      <c r="F1573" s="2404" t="str">
        <f>$E$811</f>
        <v>ASHP-SEER19-Replace_CAC_ElectricHeat_ER2_MF</v>
      </c>
      <c r="G1573" s="2404"/>
      <c r="H1573" s="2404"/>
      <c r="I1573" s="2404"/>
      <c r="J1573" s="1506" t="str">
        <f>$C$811</f>
        <v>354450_2024_12_</v>
      </c>
      <c r="K1573" s="1567">
        <v>13.4</v>
      </c>
      <c r="L1573" s="12"/>
      <c r="M1573" s="1249" t="s">
        <v>936</v>
      </c>
      <c r="T1573" s="50"/>
      <c r="U1573" s="50"/>
      <c r="V1573" s="2394"/>
      <c r="W1573" s="1268">
        <v>13</v>
      </c>
      <c r="X1573" s="1268">
        <v>13</v>
      </c>
      <c r="Y1573" s="1268">
        <v>13</v>
      </c>
      <c r="Z1573" s="1268">
        <v>13</v>
      </c>
      <c r="AA1573" s="1268">
        <v>13</v>
      </c>
      <c r="AB1573" s="194">
        <v>13</v>
      </c>
      <c r="AC1573" s="194">
        <v>13</v>
      </c>
      <c r="AD1573" s="911">
        <v>13</v>
      </c>
      <c r="AE1573" s="1029">
        <v>14</v>
      </c>
      <c r="AF1573" s="253">
        <v>13.4</v>
      </c>
      <c r="AG1573" s="253">
        <f t="shared" si="222"/>
        <v>13.4</v>
      </c>
      <c r="DG1573" s="543"/>
      <c r="DH1573" s="149"/>
      <c r="DI1573" s="1020"/>
      <c r="DJ1573" s="2045"/>
    </row>
    <row r="1574" spans="1:114" ht="15" customHeight="1" outlineLevel="1" x14ac:dyDescent="0.25">
      <c r="A1574" s="2145"/>
      <c r="C1574" s="49"/>
      <c r="D1574" s="2394"/>
      <c r="E1574" s="2394"/>
      <c r="F1574" s="2404" t="str">
        <f>$E$813</f>
        <v>ASHP-SEER19_ER1_MF</v>
      </c>
      <c r="G1574" s="2404"/>
      <c r="H1574" s="2404"/>
      <c r="I1574" s="2404"/>
      <c r="J1574" s="1506" t="str">
        <f>$C$813</f>
        <v>354500_2024_12_</v>
      </c>
      <c r="K1574" s="859">
        <v>8.33</v>
      </c>
      <c r="L1574" s="244"/>
      <c r="M1574" s="1249" t="s">
        <v>1300</v>
      </c>
      <c r="T1574" s="50"/>
      <c r="U1574" s="50"/>
      <c r="V1574" s="2394"/>
      <c r="W1574" s="1268">
        <v>7.2</v>
      </c>
      <c r="X1574" s="779">
        <v>8.33</v>
      </c>
      <c r="Y1574" s="1268">
        <v>8.33</v>
      </c>
      <c r="Z1574" s="1268">
        <v>8.33</v>
      </c>
      <c r="AA1574" s="1268">
        <v>8.33</v>
      </c>
      <c r="AB1574" s="194">
        <v>8.33</v>
      </c>
      <c r="AC1574" s="194">
        <v>8.33</v>
      </c>
      <c r="AD1574" s="911">
        <v>8.33</v>
      </c>
      <c r="AE1574" s="911">
        <v>8.33</v>
      </c>
      <c r="AF1574" s="253">
        <v>8.33</v>
      </c>
      <c r="AG1574" s="253">
        <f t="shared" si="222"/>
        <v>8.33</v>
      </c>
      <c r="DG1574" s="543"/>
      <c r="DH1574" s="149"/>
      <c r="DI1574" s="1020"/>
      <c r="DJ1574" s="2045"/>
    </row>
    <row r="1575" spans="1:114" ht="15" customHeight="1" outlineLevel="1" x14ac:dyDescent="0.25">
      <c r="A1575" s="2145"/>
      <c r="C1575" s="49"/>
      <c r="D1575" s="2394"/>
      <c r="E1575" s="2394"/>
      <c r="F1575" s="2404" t="str">
        <f>$E$815</f>
        <v>ASHP-SEER19_ER2_MF</v>
      </c>
      <c r="G1575" s="2404"/>
      <c r="H1575" s="2404"/>
      <c r="I1575" s="2404"/>
      <c r="J1575" s="1506" t="str">
        <f>$C$815</f>
        <v>354500_2024_12_</v>
      </c>
      <c r="K1575" s="1567">
        <v>14.3</v>
      </c>
      <c r="L1575" s="12"/>
      <c r="M1575" s="1249" t="s">
        <v>936</v>
      </c>
      <c r="T1575" s="50"/>
      <c r="U1575" s="50"/>
      <c r="V1575" s="2394"/>
      <c r="W1575" s="1268">
        <v>14</v>
      </c>
      <c r="X1575" s="1268">
        <v>14</v>
      </c>
      <c r="Y1575" s="1268">
        <v>14</v>
      </c>
      <c r="Z1575" s="1268">
        <v>14</v>
      </c>
      <c r="AA1575" s="1268">
        <v>14</v>
      </c>
      <c r="AB1575" s="194">
        <v>14</v>
      </c>
      <c r="AC1575" s="194">
        <v>14</v>
      </c>
      <c r="AD1575" s="911">
        <v>14</v>
      </c>
      <c r="AE1575" s="1029">
        <v>15</v>
      </c>
      <c r="AF1575" s="253">
        <v>14.3</v>
      </c>
      <c r="AG1575" s="253">
        <f t="shared" si="222"/>
        <v>14.3</v>
      </c>
      <c r="DG1575" s="543"/>
      <c r="DH1575" s="149"/>
      <c r="DI1575" s="1020"/>
      <c r="DJ1575" s="2045"/>
    </row>
    <row r="1576" spans="1:114" ht="15" customHeight="1" outlineLevel="1" x14ac:dyDescent="0.25">
      <c r="A1576" s="2145"/>
      <c r="C1576" s="49"/>
      <c r="D1576" s="2394"/>
      <c r="E1576" s="2394"/>
      <c r="F1576" s="2404" t="str">
        <f>$E$817</f>
        <v>ASHP-SEER20_ER1_SF</v>
      </c>
      <c r="G1576" s="2404"/>
      <c r="H1576" s="2404"/>
      <c r="I1576" s="2404"/>
      <c r="J1576" s="1506" t="str">
        <f>$C$817</f>
        <v>354550_2024_12_</v>
      </c>
      <c r="K1576" s="859">
        <v>8.0952251540374363</v>
      </c>
      <c r="L1576" s="244"/>
      <c r="M1576" s="1518" t="s">
        <v>942</v>
      </c>
      <c r="T1576" s="50"/>
      <c r="U1576" s="50"/>
      <c r="V1576" s="2394"/>
      <c r="W1576" s="1268">
        <v>7.2</v>
      </c>
      <c r="X1576" s="779">
        <v>8.33</v>
      </c>
      <c r="Y1576" s="1268">
        <v>8.33</v>
      </c>
      <c r="Z1576" s="1268">
        <v>8.33</v>
      </c>
      <c r="AA1576" s="1268">
        <v>8.33</v>
      </c>
      <c r="AB1576" s="194">
        <v>8.33</v>
      </c>
      <c r="AC1576" s="194">
        <v>8.33</v>
      </c>
      <c r="AD1576" s="910">
        <v>7.6241123100090684</v>
      </c>
      <c r="AE1576" s="910">
        <v>7.876368789413509</v>
      </c>
      <c r="AF1576" s="253">
        <v>8.0952251540374363</v>
      </c>
      <c r="AG1576" s="253">
        <f t="shared" si="222"/>
        <v>8.0952251540374363</v>
      </c>
      <c r="DG1576" s="543"/>
      <c r="DH1576" s="149"/>
      <c r="DI1576" s="1020"/>
      <c r="DJ1576" s="2045"/>
    </row>
    <row r="1577" spans="1:114" ht="15" customHeight="1" outlineLevel="1" x14ac:dyDescent="0.25">
      <c r="A1577" s="2145"/>
      <c r="C1577" s="49"/>
      <c r="D1577" s="2394"/>
      <c r="E1577" s="2394"/>
      <c r="F1577" s="2404" t="str">
        <f>$E$819</f>
        <v>ASHP-SEER20_ER2_SF</v>
      </c>
      <c r="G1577" s="2404"/>
      <c r="H1577" s="2404"/>
      <c r="I1577" s="2404"/>
      <c r="J1577" s="1506" t="str">
        <f>$C$819</f>
        <v>354550_2024_12_</v>
      </c>
      <c r="K1577" s="1567">
        <v>14.3</v>
      </c>
      <c r="L1577" s="12"/>
      <c r="M1577" s="1249" t="s">
        <v>936</v>
      </c>
      <c r="T1577" s="50"/>
      <c r="U1577" s="50"/>
      <c r="V1577" s="2394"/>
      <c r="W1577" s="1268">
        <v>14</v>
      </c>
      <c r="X1577" s="1268">
        <v>14</v>
      </c>
      <c r="Y1577" s="1268">
        <v>14</v>
      </c>
      <c r="Z1577" s="1268">
        <v>14</v>
      </c>
      <c r="AA1577" s="1268">
        <v>14</v>
      </c>
      <c r="AB1577" s="194">
        <v>14</v>
      </c>
      <c r="AC1577" s="194">
        <v>14</v>
      </c>
      <c r="AD1577" s="911">
        <v>14</v>
      </c>
      <c r="AE1577" s="1029">
        <v>15</v>
      </c>
      <c r="AF1577" s="253">
        <v>14.3</v>
      </c>
      <c r="AG1577" s="253">
        <f t="shared" si="222"/>
        <v>14.3</v>
      </c>
      <c r="DG1577" s="543"/>
      <c r="DH1577" s="149"/>
      <c r="DI1577" s="1020"/>
      <c r="DJ1577" s="2045"/>
    </row>
    <row r="1578" spans="1:114" ht="15" customHeight="1" outlineLevel="1" x14ac:dyDescent="0.25">
      <c r="A1578" s="2145"/>
      <c r="C1578" s="49"/>
      <c r="D1578" s="2394"/>
      <c r="E1578" s="2394"/>
      <c r="F1578" s="2404" t="str">
        <f>$E$821</f>
        <v>ASHP-SEER20_ROF_SF</v>
      </c>
      <c r="G1578" s="2404"/>
      <c r="H1578" s="2404"/>
      <c r="I1578" s="2404"/>
      <c r="J1578" s="1506" t="str">
        <f>$C$821</f>
        <v>354600_2024_12_</v>
      </c>
      <c r="K1578" s="1567">
        <v>14.3</v>
      </c>
      <c r="L1578" s="12"/>
      <c r="M1578" s="1249" t="s">
        <v>936</v>
      </c>
      <c r="T1578" s="50"/>
      <c r="U1578" s="50"/>
      <c r="V1578" s="2394"/>
      <c r="W1578" s="1268">
        <v>14</v>
      </c>
      <c r="X1578" s="1268">
        <v>14</v>
      </c>
      <c r="Y1578" s="1268">
        <v>14</v>
      </c>
      <c r="Z1578" s="1268">
        <v>14</v>
      </c>
      <c r="AA1578" s="1268">
        <v>14</v>
      </c>
      <c r="AB1578" s="194">
        <v>14</v>
      </c>
      <c r="AC1578" s="194">
        <v>14</v>
      </c>
      <c r="AD1578" s="911">
        <v>14</v>
      </c>
      <c r="AE1578" s="1029">
        <v>15</v>
      </c>
      <c r="AF1578" s="253">
        <v>14.3</v>
      </c>
      <c r="AG1578" s="253">
        <f t="shared" si="222"/>
        <v>14.3</v>
      </c>
      <c r="DG1578" s="543"/>
      <c r="DH1578" s="149"/>
      <c r="DI1578" s="1020"/>
      <c r="DJ1578" s="2045"/>
    </row>
    <row r="1579" spans="1:114" ht="15" customHeight="1" outlineLevel="1" x14ac:dyDescent="0.25">
      <c r="A1579" s="2145"/>
      <c r="C1579" s="49"/>
      <c r="D1579" s="2394"/>
      <c r="E1579" s="2394"/>
      <c r="F1579" s="2404" t="str">
        <f>$E$823</f>
        <v>ASHP-SEER20-Replace_CAC_ElectricHeat_ER1_MF</v>
      </c>
      <c r="G1579" s="2404"/>
      <c r="H1579" s="2404"/>
      <c r="I1579" s="2404"/>
      <c r="J1579" s="1506" t="str">
        <f>$C$823</f>
        <v>354650_2024_12_</v>
      </c>
      <c r="K1579" s="859">
        <v>8.33</v>
      </c>
      <c r="L1579" s="244"/>
      <c r="M1579" s="1249" t="s">
        <v>1300</v>
      </c>
      <c r="T1579" s="50"/>
      <c r="U1579" s="50"/>
      <c r="V1579" s="2394"/>
      <c r="W1579" s="1268">
        <v>6.8</v>
      </c>
      <c r="X1579" s="779">
        <v>8.33</v>
      </c>
      <c r="Y1579" s="1268">
        <v>8.33</v>
      </c>
      <c r="Z1579" s="1268">
        <v>8.33</v>
      </c>
      <c r="AA1579" s="1268">
        <v>8.33</v>
      </c>
      <c r="AB1579" s="194">
        <v>8.33</v>
      </c>
      <c r="AC1579" s="194">
        <v>8.33</v>
      </c>
      <c r="AD1579" s="911">
        <v>8.33</v>
      </c>
      <c r="AE1579" s="911">
        <v>8.33</v>
      </c>
      <c r="AF1579" s="253">
        <v>8.33</v>
      </c>
      <c r="AG1579" s="253">
        <f t="shared" si="222"/>
        <v>8.33</v>
      </c>
      <c r="DG1579" s="543"/>
      <c r="DH1579" s="149"/>
      <c r="DI1579" s="1020"/>
      <c r="DJ1579" s="2045"/>
    </row>
    <row r="1580" spans="1:114" ht="15" customHeight="1" outlineLevel="1" x14ac:dyDescent="0.25">
      <c r="A1580" s="2145"/>
      <c r="C1580" s="49"/>
      <c r="D1580" s="2394"/>
      <c r="E1580" s="2394"/>
      <c r="F1580" s="2404" t="str">
        <f>$E$825</f>
        <v>ASHP-SEER20-Replace_CAC_ElectricHeat_ER2_MF</v>
      </c>
      <c r="G1580" s="2404"/>
      <c r="H1580" s="2404"/>
      <c r="I1580" s="2404"/>
      <c r="J1580" s="1506" t="str">
        <f>$C$825</f>
        <v>354650_2024_12_</v>
      </c>
      <c r="K1580" s="1567">
        <v>13.4</v>
      </c>
      <c r="L1580" s="12"/>
      <c r="M1580" s="1249" t="s">
        <v>936</v>
      </c>
      <c r="T1580" s="50"/>
      <c r="U1580" s="50"/>
      <c r="V1580" s="2394"/>
      <c r="W1580" s="1268">
        <v>13</v>
      </c>
      <c r="X1580" s="1268">
        <v>13</v>
      </c>
      <c r="Y1580" s="1268">
        <v>13</v>
      </c>
      <c r="Z1580" s="1268">
        <v>13</v>
      </c>
      <c r="AA1580" s="1268">
        <v>13</v>
      </c>
      <c r="AB1580" s="194">
        <v>13</v>
      </c>
      <c r="AC1580" s="194">
        <v>13</v>
      </c>
      <c r="AD1580" s="911">
        <v>13</v>
      </c>
      <c r="AE1580" s="1029">
        <v>14</v>
      </c>
      <c r="AF1580" s="253">
        <v>13.4</v>
      </c>
      <c r="AG1580" s="253">
        <f t="shared" si="222"/>
        <v>13.4</v>
      </c>
      <c r="DG1580" s="543"/>
      <c r="DH1580" s="149"/>
      <c r="DI1580" s="1020"/>
      <c r="DJ1580" s="2045"/>
    </row>
    <row r="1581" spans="1:114" ht="15" customHeight="1" outlineLevel="1" x14ac:dyDescent="0.25">
      <c r="A1581" s="2145"/>
      <c r="C1581" s="49"/>
      <c r="D1581" s="2394"/>
      <c r="E1581" s="2394"/>
      <c r="F1581" s="2404" t="str">
        <f>$E$827</f>
        <v>ASHP-SEER20_ER1_MF</v>
      </c>
      <c r="G1581" s="2404"/>
      <c r="H1581" s="2404"/>
      <c r="I1581" s="2404"/>
      <c r="J1581" s="1506" t="str">
        <f>$C$827</f>
        <v>354700_2024_12_</v>
      </c>
      <c r="K1581" s="859">
        <v>8.33</v>
      </c>
      <c r="L1581" s="244"/>
      <c r="M1581" s="1249" t="s">
        <v>1300</v>
      </c>
      <c r="T1581" s="50"/>
      <c r="U1581" s="50"/>
      <c r="V1581" s="2394"/>
      <c r="W1581" s="1268">
        <v>7.2</v>
      </c>
      <c r="X1581" s="779">
        <v>8.33</v>
      </c>
      <c r="Y1581" s="1268">
        <v>8.33</v>
      </c>
      <c r="Z1581" s="1268">
        <v>8.33</v>
      </c>
      <c r="AA1581" s="1268">
        <v>8.33</v>
      </c>
      <c r="AB1581" s="194">
        <v>8.33</v>
      </c>
      <c r="AC1581" s="194">
        <v>8.33</v>
      </c>
      <c r="AD1581" s="911">
        <v>8.33</v>
      </c>
      <c r="AE1581" s="911">
        <v>8.33</v>
      </c>
      <c r="AF1581" s="253">
        <v>8.33</v>
      </c>
      <c r="AG1581" s="253">
        <f t="shared" si="222"/>
        <v>8.33</v>
      </c>
      <c r="DG1581" s="543"/>
      <c r="DH1581" s="149"/>
      <c r="DI1581" s="1020"/>
      <c r="DJ1581" s="2045"/>
    </row>
    <row r="1582" spans="1:114" ht="15" customHeight="1" outlineLevel="1" x14ac:dyDescent="0.25">
      <c r="A1582" s="2145"/>
      <c r="C1582" s="49"/>
      <c r="D1582" s="2394"/>
      <c r="E1582" s="2394"/>
      <c r="F1582" s="2404" t="str">
        <f>$E$829</f>
        <v>ASHP-SEER20_ER2_MF</v>
      </c>
      <c r="G1582" s="2404"/>
      <c r="H1582" s="2404"/>
      <c r="I1582" s="2404"/>
      <c r="J1582" s="1506" t="str">
        <f>$C$829</f>
        <v>354700_2024_12_</v>
      </c>
      <c r="K1582" s="1567">
        <v>14.3</v>
      </c>
      <c r="L1582" s="12"/>
      <c r="M1582" s="1249" t="s">
        <v>936</v>
      </c>
      <c r="T1582" s="50"/>
      <c r="U1582" s="50"/>
      <c r="V1582" s="2394"/>
      <c r="W1582" s="1268">
        <v>14</v>
      </c>
      <c r="X1582" s="1268">
        <v>14</v>
      </c>
      <c r="Y1582" s="1268">
        <v>14</v>
      </c>
      <c r="Z1582" s="1268">
        <v>14</v>
      </c>
      <c r="AA1582" s="1268">
        <v>14</v>
      </c>
      <c r="AB1582" s="194">
        <v>14</v>
      </c>
      <c r="AC1582" s="194">
        <v>14</v>
      </c>
      <c r="AD1582" s="911">
        <v>14</v>
      </c>
      <c r="AE1582" s="1029">
        <v>15</v>
      </c>
      <c r="AF1582" s="253">
        <v>14.3</v>
      </c>
      <c r="AG1582" s="253">
        <f t="shared" si="222"/>
        <v>14.3</v>
      </c>
      <c r="DG1582" s="543"/>
      <c r="DH1582" s="149"/>
      <c r="DI1582" s="1020"/>
      <c r="DJ1582" s="2045"/>
    </row>
    <row r="1583" spans="1:114" ht="15" customHeight="1" outlineLevel="1" x14ac:dyDescent="0.25">
      <c r="A1583" s="2145"/>
      <c r="C1583" s="49"/>
      <c r="D1583" s="2394"/>
      <c r="E1583" s="2394"/>
      <c r="F1583" s="2404" t="str">
        <f>$E$831</f>
        <v>ASHP-SEER21_ER1_SF</v>
      </c>
      <c r="G1583" s="2404"/>
      <c r="H1583" s="2404"/>
      <c r="I1583" s="2404"/>
      <c r="J1583" s="1506" t="str">
        <f>$C$831</f>
        <v>354750_2024_12_</v>
      </c>
      <c r="K1583" s="859">
        <v>8.344911767808382</v>
      </c>
      <c r="L1583" s="244"/>
      <c r="M1583" s="1518" t="s">
        <v>942</v>
      </c>
      <c r="T1583" s="50"/>
      <c r="U1583" s="50"/>
      <c r="V1583" s="2394"/>
      <c r="W1583" s="1268">
        <v>7.2</v>
      </c>
      <c r="X1583" s="779">
        <v>8.33</v>
      </c>
      <c r="Y1583" s="1268">
        <v>8.33</v>
      </c>
      <c r="Z1583" s="1268">
        <v>8.33</v>
      </c>
      <c r="AA1583" s="1268">
        <v>8.33</v>
      </c>
      <c r="AB1583" s="194">
        <v>8.33</v>
      </c>
      <c r="AC1583" s="195">
        <v>8.4729048312395783</v>
      </c>
      <c r="AD1583" s="910">
        <v>7.6464902009468165</v>
      </c>
      <c r="AE1583" s="910">
        <v>8.1664994015949581</v>
      </c>
      <c r="AF1583" s="253">
        <v>8.344911767808382</v>
      </c>
      <c r="AG1583" s="253">
        <f t="shared" si="222"/>
        <v>8.344911767808382</v>
      </c>
      <c r="DG1583" s="543"/>
      <c r="DH1583" s="149"/>
      <c r="DI1583" s="1020"/>
      <c r="DJ1583" s="2045"/>
    </row>
    <row r="1584" spans="1:114" ht="15" customHeight="1" outlineLevel="1" x14ac:dyDescent="0.25">
      <c r="A1584" s="2145"/>
      <c r="C1584" s="49"/>
      <c r="D1584" s="2394"/>
      <c r="E1584" s="2394"/>
      <c r="F1584" s="2404" t="str">
        <f>$E$833</f>
        <v>ASHP-SEER21_ER2_SF</v>
      </c>
      <c r="G1584" s="2404"/>
      <c r="H1584" s="2404"/>
      <c r="I1584" s="2404"/>
      <c r="J1584" s="1506" t="str">
        <f>$C$833</f>
        <v>354750_2024_12_</v>
      </c>
      <c r="K1584" s="1567">
        <v>14.3</v>
      </c>
      <c r="L1584" s="12"/>
      <c r="M1584" s="1249" t="s">
        <v>936</v>
      </c>
      <c r="T1584" s="50"/>
      <c r="U1584" s="50"/>
      <c r="V1584" s="2394"/>
      <c r="W1584" s="1268">
        <v>14</v>
      </c>
      <c r="X1584" s="1268">
        <v>14</v>
      </c>
      <c r="Y1584" s="1268">
        <v>14</v>
      </c>
      <c r="Z1584" s="1268">
        <v>14</v>
      </c>
      <c r="AA1584" s="1268">
        <v>14</v>
      </c>
      <c r="AB1584" s="194">
        <v>14</v>
      </c>
      <c r="AC1584" s="194">
        <v>14</v>
      </c>
      <c r="AD1584" s="911">
        <v>14</v>
      </c>
      <c r="AE1584" s="1029">
        <v>15</v>
      </c>
      <c r="AF1584" s="253">
        <v>14.3</v>
      </c>
      <c r="AG1584" s="253">
        <f t="shared" si="222"/>
        <v>14.3</v>
      </c>
      <c r="DG1584" s="543"/>
      <c r="DH1584" s="149"/>
      <c r="DI1584" s="1020"/>
      <c r="DJ1584" s="2045"/>
    </row>
    <row r="1585" spans="1:114" ht="15" customHeight="1" outlineLevel="1" x14ac:dyDescent="0.25">
      <c r="A1585" s="2145"/>
      <c r="C1585" s="49"/>
      <c r="D1585" s="2394"/>
      <c r="E1585" s="2394"/>
      <c r="F1585" s="2404" t="str">
        <f>$E$835</f>
        <v>ASHP-SEER21_ROF_SF</v>
      </c>
      <c r="G1585" s="2404"/>
      <c r="H1585" s="2404"/>
      <c r="I1585" s="2404"/>
      <c r="J1585" s="1506" t="str">
        <f>$C$835</f>
        <v>354800_2024_12_</v>
      </c>
      <c r="K1585" s="1567">
        <v>14.3</v>
      </c>
      <c r="L1585" s="12"/>
      <c r="M1585" s="1249" t="s">
        <v>936</v>
      </c>
      <c r="T1585" s="50"/>
      <c r="U1585" s="50"/>
      <c r="V1585" s="2394"/>
      <c r="W1585" s="1268">
        <v>14</v>
      </c>
      <c r="X1585" s="1268">
        <v>14</v>
      </c>
      <c r="Y1585" s="1268">
        <v>14</v>
      </c>
      <c r="Z1585" s="1268">
        <v>14</v>
      </c>
      <c r="AA1585" s="1268">
        <v>14</v>
      </c>
      <c r="AB1585" s="194">
        <v>14</v>
      </c>
      <c r="AC1585" s="194">
        <v>14</v>
      </c>
      <c r="AD1585" s="911">
        <v>14</v>
      </c>
      <c r="AE1585" s="1029">
        <v>15</v>
      </c>
      <c r="AF1585" s="253">
        <v>14.3</v>
      </c>
      <c r="AG1585" s="253">
        <f t="shared" si="222"/>
        <v>14.3</v>
      </c>
      <c r="DG1585" s="543"/>
      <c r="DH1585" s="149"/>
      <c r="DI1585" s="1020"/>
      <c r="DJ1585" s="2045"/>
    </row>
    <row r="1586" spans="1:114" ht="15" customHeight="1" outlineLevel="1" x14ac:dyDescent="0.25">
      <c r="A1586" s="2145"/>
      <c r="C1586" s="49"/>
      <c r="D1586" s="2394"/>
      <c r="E1586" s="2394"/>
      <c r="F1586" s="2404" t="str">
        <f>$E$837</f>
        <v>ASHP-SEER21-Replace_CAC_ElectricHeat_ROF_MF</v>
      </c>
      <c r="G1586" s="2404"/>
      <c r="H1586" s="2404"/>
      <c r="I1586" s="2404"/>
      <c r="J1586" s="1506" t="str">
        <f>$C$837</f>
        <v>354850_2024_12_</v>
      </c>
      <c r="K1586" s="1567">
        <v>13.4</v>
      </c>
      <c r="L1586" s="12"/>
      <c r="M1586" s="1249" t="s">
        <v>936</v>
      </c>
      <c r="T1586" s="50"/>
      <c r="U1586" s="50"/>
      <c r="V1586" s="2394"/>
      <c r="W1586" s="1268">
        <v>13</v>
      </c>
      <c r="X1586" s="1268">
        <v>13</v>
      </c>
      <c r="Y1586" s="1268">
        <v>13</v>
      </c>
      <c r="Z1586" s="1268">
        <v>13</v>
      </c>
      <c r="AA1586" s="1268">
        <v>13</v>
      </c>
      <c r="AB1586" s="194">
        <v>13</v>
      </c>
      <c r="AC1586" s="194">
        <v>13</v>
      </c>
      <c r="AD1586" s="911">
        <v>13</v>
      </c>
      <c r="AE1586" s="1029">
        <v>14</v>
      </c>
      <c r="AF1586" s="253">
        <v>13.4</v>
      </c>
      <c r="AG1586" s="253">
        <f t="shared" si="222"/>
        <v>13.4</v>
      </c>
      <c r="DG1586" s="543"/>
      <c r="DH1586" s="149"/>
      <c r="DI1586" s="1020"/>
      <c r="DJ1586" s="2045"/>
    </row>
    <row r="1587" spans="1:114" ht="15" customHeight="1" outlineLevel="1" x14ac:dyDescent="0.25">
      <c r="A1587" s="2145"/>
      <c r="C1587" s="49"/>
      <c r="D1587" s="2394"/>
      <c r="E1587" s="2394"/>
      <c r="F1587" s="2404" t="str">
        <f>$E$839</f>
        <v>ASHP-SEER21_ER1_MF</v>
      </c>
      <c r="G1587" s="2404"/>
      <c r="H1587" s="2404"/>
      <c r="I1587" s="2404"/>
      <c r="J1587" s="1506" t="str">
        <f>$C$839</f>
        <v>354900_2024_12_</v>
      </c>
      <c r="K1587" s="859">
        <v>8.33</v>
      </c>
      <c r="L1587" s="244"/>
      <c r="M1587" s="1249" t="s">
        <v>1300</v>
      </c>
      <c r="T1587" s="50"/>
      <c r="U1587" s="50"/>
      <c r="V1587" s="2394"/>
      <c r="W1587" s="1268">
        <v>7.2</v>
      </c>
      <c r="X1587" s="779">
        <v>8.33</v>
      </c>
      <c r="Y1587" s="1268">
        <v>8.33</v>
      </c>
      <c r="Z1587" s="1268">
        <v>8.33</v>
      </c>
      <c r="AA1587" s="1268">
        <v>8.33</v>
      </c>
      <c r="AB1587" s="194">
        <v>8.33</v>
      </c>
      <c r="AC1587" s="194">
        <v>8.33</v>
      </c>
      <c r="AD1587" s="911">
        <v>8.33</v>
      </c>
      <c r="AE1587" s="911">
        <v>8.33</v>
      </c>
      <c r="AF1587" s="253">
        <v>8.33</v>
      </c>
      <c r="AG1587" s="253">
        <f t="shared" si="222"/>
        <v>8.33</v>
      </c>
      <c r="DG1587" s="543"/>
      <c r="DH1587" s="149"/>
      <c r="DI1587" s="1020"/>
      <c r="DJ1587" s="2045"/>
    </row>
    <row r="1588" spans="1:114" ht="15" customHeight="1" outlineLevel="1" x14ac:dyDescent="0.25">
      <c r="A1588" s="2145"/>
      <c r="C1588" s="49"/>
      <c r="D1588" s="2394"/>
      <c r="E1588" s="2394"/>
      <c r="F1588" s="2404" t="str">
        <f>$E$841</f>
        <v>ASHP-SEER21_ER2_MF</v>
      </c>
      <c r="G1588" s="2404"/>
      <c r="H1588" s="2404"/>
      <c r="I1588" s="2404"/>
      <c r="J1588" s="1506" t="str">
        <f>$C$841</f>
        <v>354900_2024_12_</v>
      </c>
      <c r="K1588" s="1567">
        <v>14.3</v>
      </c>
      <c r="L1588" s="12"/>
      <c r="M1588" s="1249" t="s">
        <v>936</v>
      </c>
      <c r="T1588" s="50"/>
      <c r="U1588" s="50"/>
      <c r="V1588" s="2394"/>
      <c r="W1588" s="1268">
        <v>14</v>
      </c>
      <c r="X1588" s="1268">
        <v>14</v>
      </c>
      <c r="Y1588" s="1268">
        <v>14</v>
      </c>
      <c r="Z1588" s="1268">
        <v>14</v>
      </c>
      <c r="AA1588" s="1268">
        <v>14</v>
      </c>
      <c r="AB1588" s="194">
        <v>14</v>
      </c>
      <c r="AC1588" s="194">
        <v>14</v>
      </c>
      <c r="AD1588" s="911">
        <v>14</v>
      </c>
      <c r="AE1588" s="1029">
        <v>15</v>
      </c>
      <c r="AF1588" s="253">
        <v>14.3</v>
      </c>
      <c r="AG1588" s="253">
        <f t="shared" si="222"/>
        <v>14.3</v>
      </c>
      <c r="DG1588" s="543"/>
      <c r="DH1588" s="149"/>
      <c r="DI1588" s="1020"/>
      <c r="DJ1588" s="2045"/>
    </row>
    <row r="1589" spans="1:114" ht="15" customHeight="1" outlineLevel="1" x14ac:dyDescent="0.25">
      <c r="A1589" s="2145"/>
      <c r="C1589" s="49"/>
      <c r="D1589" s="2394"/>
      <c r="E1589" s="2394"/>
      <c r="F1589" s="2404" t="str">
        <f>$E$843</f>
        <v>ASHP-SEER17_ROF_MF</v>
      </c>
      <c r="G1589" s="2404"/>
      <c r="H1589" s="2404"/>
      <c r="I1589" s="2404"/>
      <c r="J1589" s="1506" t="str">
        <f>$C$843</f>
        <v>354950_2024_12_</v>
      </c>
      <c r="K1589" s="1567">
        <v>14.3</v>
      </c>
      <c r="L1589" s="12"/>
      <c r="M1589" s="1249" t="s">
        <v>936</v>
      </c>
      <c r="P1589" s="243"/>
      <c r="Q1589" s="192"/>
      <c r="R1589" s="243"/>
      <c r="T1589" s="166"/>
      <c r="U1589" s="50"/>
      <c r="V1589" s="2394"/>
      <c r="W1589" s="1268">
        <v>14</v>
      </c>
      <c r="X1589" s="1268">
        <v>14</v>
      </c>
      <c r="Y1589" s="1268">
        <v>14</v>
      </c>
      <c r="Z1589" s="1268">
        <v>14</v>
      </c>
      <c r="AA1589" s="1268">
        <v>14</v>
      </c>
      <c r="AB1589" s="194">
        <v>14</v>
      </c>
      <c r="AC1589" s="194">
        <v>14</v>
      </c>
      <c r="AD1589" s="911">
        <v>14</v>
      </c>
      <c r="AE1589" s="1029">
        <v>15</v>
      </c>
      <c r="AF1589" s="253">
        <v>14.3</v>
      </c>
      <c r="AG1589" s="253">
        <f t="shared" si="222"/>
        <v>14.3</v>
      </c>
      <c r="DG1589" s="543"/>
      <c r="DH1589" s="149"/>
      <c r="DI1589" s="1020"/>
      <c r="DJ1589" s="2045"/>
    </row>
    <row r="1590" spans="1:114" ht="15" customHeight="1" outlineLevel="1" x14ac:dyDescent="0.25">
      <c r="A1590" s="2145"/>
      <c r="C1590" s="49"/>
      <c r="D1590" s="2394"/>
      <c r="E1590" s="2394"/>
      <c r="F1590" s="2404" t="str">
        <f>$E$845</f>
        <v>ASHP-SEER18_ROF_MF</v>
      </c>
      <c r="G1590" s="2404"/>
      <c r="H1590" s="2404"/>
      <c r="I1590" s="2404"/>
      <c r="J1590" s="1506" t="str">
        <f>$C$845</f>
        <v>355000_2024_12_</v>
      </c>
      <c r="K1590" s="1567">
        <v>14.3</v>
      </c>
      <c r="L1590" s="12"/>
      <c r="M1590" s="1249" t="s">
        <v>936</v>
      </c>
      <c r="P1590" s="243"/>
      <c r="Q1590" s="192"/>
      <c r="R1590" s="243"/>
      <c r="T1590" s="166"/>
      <c r="U1590" s="50"/>
      <c r="V1590" s="2394"/>
      <c r="W1590" s="1268">
        <v>14</v>
      </c>
      <c r="X1590" s="1268">
        <v>14</v>
      </c>
      <c r="Y1590" s="1268">
        <v>14</v>
      </c>
      <c r="Z1590" s="1268">
        <v>14</v>
      </c>
      <c r="AA1590" s="1268">
        <v>14</v>
      </c>
      <c r="AB1590" s="194">
        <v>14</v>
      </c>
      <c r="AC1590" s="194">
        <v>14</v>
      </c>
      <c r="AD1590" s="911">
        <v>14</v>
      </c>
      <c r="AE1590" s="1029">
        <v>15</v>
      </c>
      <c r="AF1590" s="253">
        <v>14.3</v>
      </c>
      <c r="AG1590" s="253">
        <f t="shared" si="222"/>
        <v>14.3</v>
      </c>
      <c r="DG1590" s="543"/>
      <c r="DH1590" s="149"/>
      <c r="DI1590" s="1020"/>
      <c r="DJ1590" s="2045"/>
    </row>
    <row r="1591" spans="1:114" ht="15" customHeight="1" outlineLevel="1" x14ac:dyDescent="0.25">
      <c r="A1591" s="2145"/>
      <c r="C1591" s="49"/>
      <c r="D1591" s="2394"/>
      <c r="E1591" s="2394"/>
      <c r="F1591" s="2404" t="str">
        <f>$E$847</f>
        <v>ASHP-SEER19_ROF_MF</v>
      </c>
      <c r="G1591" s="2404"/>
      <c r="H1591" s="2404"/>
      <c r="I1591" s="2404"/>
      <c r="J1591" s="1506" t="str">
        <f>$C$847</f>
        <v>355050_2024_12_</v>
      </c>
      <c r="K1591" s="1567">
        <v>14.3</v>
      </c>
      <c r="L1591" s="12"/>
      <c r="M1591" s="1249" t="s">
        <v>936</v>
      </c>
      <c r="T1591" s="50"/>
      <c r="U1591" s="50"/>
      <c r="V1591" s="2394"/>
      <c r="W1591" s="1268">
        <v>14</v>
      </c>
      <c r="X1591" s="1268">
        <v>14</v>
      </c>
      <c r="Y1591" s="1268">
        <v>14</v>
      </c>
      <c r="Z1591" s="1268">
        <v>14</v>
      </c>
      <c r="AA1591" s="1268">
        <v>14</v>
      </c>
      <c r="AB1591" s="194">
        <v>14</v>
      </c>
      <c r="AC1591" s="194">
        <v>14</v>
      </c>
      <c r="AD1591" s="911">
        <v>14</v>
      </c>
      <c r="AE1591" s="1029">
        <v>15</v>
      </c>
      <c r="AF1591" s="253">
        <v>14.3</v>
      </c>
      <c r="AG1591" s="253">
        <f t="shared" ref="AG1591:AG1652" si="223">IF(K1591&lt;&gt;"",K1591,"")</f>
        <v>14.3</v>
      </c>
      <c r="DG1591" s="543"/>
      <c r="DH1591" s="149"/>
      <c r="DI1591" s="1020"/>
      <c r="DJ1591" s="2045"/>
    </row>
    <row r="1592" spans="1:114" ht="15" customHeight="1" outlineLevel="1" x14ac:dyDescent="0.25">
      <c r="A1592" s="2145"/>
      <c r="C1592" s="49"/>
      <c r="D1592" s="2394"/>
      <c r="E1592" s="2394"/>
      <c r="F1592" s="2404" t="str">
        <f>$E$849</f>
        <v>ASHP-SEER20_ROF_MF</v>
      </c>
      <c r="G1592" s="2404"/>
      <c r="H1592" s="2404"/>
      <c r="I1592" s="2404"/>
      <c r="J1592" s="1506" t="str">
        <f>$C$849</f>
        <v>355100_2024_12_</v>
      </c>
      <c r="K1592" s="1567">
        <v>14.3</v>
      </c>
      <c r="L1592" s="12"/>
      <c r="M1592" s="1249" t="s">
        <v>936</v>
      </c>
      <c r="T1592" s="50"/>
      <c r="U1592" s="50"/>
      <c r="V1592" s="2394"/>
      <c r="W1592" s="1268">
        <v>14</v>
      </c>
      <c r="X1592" s="1268">
        <v>14</v>
      </c>
      <c r="Y1592" s="1268">
        <v>14</v>
      </c>
      <c r="Z1592" s="1268">
        <v>14</v>
      </c>
      <c r="AA1592" s="1268">
        <v>14</v>
      </c>
      <c r="AB1592" s="194">
        <v>14</v>
      </c>
      <c r="AC1592" s="194">
        <v>14</v>
      </c>
      <c r="AD1592" s="911">
        <v>14</v>
      </c>
      <c r="AE1592" s="1029">
        <v>15</v>
      </c>
      <c r="AF1592" s="253">
        <v>14.3</v>
      </c>
      <c r="AG1592" s="253">
        <f t="shared" si="223"/>
        <v>14.3</v>
      </c>
      <c r="DG1592" s="543"/>
      <c r="DH1592" s="149"/>
      <c r="DI1592" s="1020"/>
      <c r="DJ1592" s="2045"/>
    </row>
    <row r="1593" spans="1:114" ht="17.25" customHeight="1" outlineLevel="1" x14ac:dyDescent="0.25">
      <c r="A1593" s="2145"/>
      <c r="C1593" s="49"/>
      <c r="D1593" s="2395"/>
      <c r="E1593" s="2395"/>
      <c r="F1593" s="2404" t="str">
        <f>$E$851</f>
        <v>ASHP-SEER21_ROF_MF</v>
      </c>
      <c r="G1593" s="2404"/>
      <c r="H1593" s="2404"/>
      <c r="I1593" s="2404"/>
      <c r="J1593" s="1506" t="str">
        <f>$C$851</f>
        <v>355150_2024_12_</v>
      </c>
      <c r="K1593" s="1567">
        <v>14.3</v>
      </c>
      <c r="L1593" s="12"/>
      <c r="M1593" s="1249" t="s">
        <v>936</v>
      </c>
      <c r="P1593" s="243"/>
      <c r="Q1593" s="192"/>
      <c r="R1593" s="243"/>
      <c r="T1593" s="166"/>
      <c r="U1593" s="50"/>
      <c r="V1593" s="2395"/>
      <c r="W1593" s="1268">
        <v>14</v>
      </c>
      <c r="X1593" s="1268">
        <v>14</v>
      </c>
      <c r="Y1593" s="1268">
        <v>14</v>
      </c>
      <c r="Z1593" s="1268">
        <v>14</v>
      </c>
      <c r="AA1593" s="1268">
        <v>14</v>
      </c>
      <c r="AB1593" s="194">
        <v>14</v>
      </c>
      <c r="AC1593" s="194">
        <v>14</v>
      </c>
      <c r="AD1593" s="911">
        <v>14</v>
      </c>
      <c r="AE1593" s="1029">
        <v>15</v>
      </c>
      <c r="AF1593" s="253">
        <v>14.3</v>
      </c>
      <c r="AG1593" s="253">
        <f t="shared" si="223"/>
        <v>14.3</v>
      </c>
      <c r="DG1593" s="543"/>
      <c r="DH1593" s="149"/>
      <c r="DI1593" s="1020"/>
      <c r="DJ1593" s="2045"/>
    </row>
    <row r="1594" spans="1:114" ht="15" customHeight="1" outlineLevel="1" x14ac:dyDescent="0.25">
      <c r="A1594" s="2145"/>
      <c r="C1594" s="49"/>
      <c r="D1594" s="2393" t="s">
        <v>1071</v>
      </c>
      <c r="E1594" s="2393" t="s">
        <v>1301</v>
      </c>
      <c r="F1594" s="2404" t="str">
        <f>$E$647</f>
        <v>ASHP-SEER15-Replace_CAC_ElectricHeat_ER1_SF</v>
      </c>
      <c r="G1594" s="2404"/>
      <c r="H1594" s="2404"/>
      <c r="I1594" s="2404"/>
      <c r="J1594" s="1506" t="str">
        <f>$C$647</f>
        <v>352300_2024_12_</v>
      </c>
      <c r="K1594" s="1517">
        <v>15.126497005988021</v>
      </c>
      <c r="L1594" s="12"/>
      <c r="M1594" s="1249" t="s">
        <v>929</v>
      </c>
      <c r="P1594" s="243"/>
      <c r="Q1594" s="243"/>
      <c r="R1594" s="243"/>
      <c r="T1594" s="166"/>
      <c r="U1594" s="50"/>
      <c r="V1594" s="2393" t="s">
        <v>1074</v>
      </c>
      <c r="W1594" s="1268">
        <v>15.1</v>
      </c>
      <c r="X1594" s="779">
        <v>15.12</v>
      </c>
      <c r="Y1594" s="779">
        <v>15.11</v>
      </c>
      <c r="Z1594" s="1268">
        <v>15.11</v>
      </c>
      <c r="AA1594" s="1268">
        <v>15.11</v>
      </c>
      <c r="AB1594" s="195">
        <v>15.12889344262295</v>
      </c>
      <c r="AC1594" s="195">
        <v>15.121398305084742</v>
      </c>
      <c r="AD1594" s="195">
        <v>15.131096196868006</v>
      </c>
      <c r="AE1594" s="195">
        <v>15.126497005988021</v>
      </c>
      <c r="AF1594" s="253">
        <v>15.126497005988021</v>
      </c>
      <c r="AG1594" s="253">
        <f t="shared" si="223"/>
        <v>15.126497005988021</v>
      </c>
      <c r="DG1594" s="543"/>
      <c r="DH1594" s="149"/>
      <c r="DI1594" s="1020"/>
      <c r="DJ1594" s="2045"/>
    </row>
    <row r="1595" spans="1:114" ht="15" customHeight="1" outlineLevel="1" x14ac:dyDescent="0.25">
      <c r="A1595" s="2145"/>
      <c r="C1595" s="49"/>
      <c r="D1595" s="2394"/>
      <c r="E1595" s="2394"/>
      <c r="F1595" s="2404" t="str">
        <f>$E$649</f>
        <v>ASHP-SEER15-Replace_CAC_ElectricHeat_ER2_SF</v>
      </c>
      <c r="G1595" s="2404"/>
      <c r="H1595" s="2404"/>
      <c r="I1595" s="2404"/>
      <c r="J1595" s="1506" t="str">
        <f>$C$649</f>
        <v>352300_2024_12_</v>
      </c>
      <c r="K1595" s="1517">
        <v>15.126497005988021</v>
      </c>
      <c r="L1595" s="12"/>
      <c r="M1595" s="1504" t="s">
        <v>1018</v>
      </c>
      <c r="P1595" s="243"/>
      <c r="Q1595" s="243"/>
      <c r="R1595" s="243"/>
      <c r="T1595" s="166"/>
      <c r="U1595" s="50"/>
      <c r="V1595" s="2394"/>
      <c r="W1595" s="1268">
        <v>15.1</v>
      </c>
      <c r="X1595" s="779">
        <v>15.12</v>
      </c>
      <c r="Y1595" s="779">
        <v>15.11</v>
      </c>
      <c r="Z1595" s="1268">
        <v>15.11</v>
      </c>
      <c r="AA1595" s="1268">
        <v>15.11</v>
      </c>
      <c r="AB1595" s="195">
        <v>15.12889344262295</v>
      </c>
      <c r="AC1595" s="195">
        <f>AC1594</f>
        <v>15.121398305084742</v>
      </c>
      <c r="AD1595" s="195">
        <v>15.131096196868006</v>
      </c>
      <c r="AE1595" s="195">
        <v>15.126497005988021</v>
      </c>
      <c r="AF1595" s="253">
        <v>15.126497005988021</v>
      </c>
      <c r="AG1595" s="253">
        <f t="shared" si="223"/>
        <v>15.126497005988021</v>
      </c>
      <c r="DG1595" s="543"/>
      <c r="DH1595" s="149"/>
      <c r="DI1595" s="1020"/>
      <c r="DJ1595" s="2045"/>
    </row>
    <row r="1596" spans="1:114" ht="15" customHeight="1" outlineLevel="1" x14ac:dyDescent="0.25">
      <c r="A1596" s="2145"/>
      <c r="C1596" s="49"/>
      <c r="D1596" s="2394"/>
      <c r="E1596" s="2394"/>
      <c r="F1596" s="2404" t="str">
        <f>$E$651</f>
        <v>ASHP-SEER15-Replace_CAC_NonElectricHeat_ER1_SF</v>
      </c>
      <c r="G1596" s="2404"/>
      <c r="H1596" s="2404"/>
      <c r="I1596" s="2404"/>
      <c r="J1596" s="1506" t="str">
        <f>$C$651</f>
        <v>352310_2024_12_</v>
      </c>
      <c r="K1596" s="1517">
        <v>15.126497005988021</v>
      </c>
      <c r="L1596" s="12"/>
      <c r="M1596" s="1504" t="s">
        <v>1018</v>
      </c>
      <c r="P1596" s="243"/>
      <c r="Q1596" s="243"/>
      <c r="R1596" s="243"/>
      <c r="T1596" s="166"/>
      <c r="U1596" s="50"/>
      <c r="V1596" s="2394"/>
      <c r="W1596" s="1268"/>
      <c r="X1596" s="779"/>
      <c r="Y1596" s="779"/>
      <c r="Z1596" s="1268"/>
      <c r="AA1596" s="1268"/>
      <c r="AB1596" s="195"/>
      <c r="AC1596" s="195">
        <v>15.121398305084742</v>
      </c>
      <c r="AD1596" s="195">
        <v>15.131096196868006</v>
      </c>
      <c r="AE1596" s="195">
        <v>15.126497005988021</v>
      </c>
      <c r="AF1596" s="253">
        <v>15.126497005988021</v>
      </c>
      <c r="AG1596" s="253">
        <f t="shared" si="223"/>
        <v>15.126497005988021</v>
      </c>
      <c r="DG1596" s="543"/>
      <c r="DH1596" s="149"/>
      <c r="DI1596" s="1020"/>
      <c r="DJ1596" s="2045"/>
    </row>
    <row r="1597" spans="1:114" ht="15" customHeight="1" outlineLevel="1" x14ac:dyDescent="0.25">
      <c r="A1597" s="2145"/>
      <c r="C1597" s="49"/>
      <c r="D1597" s="2394"/>
      <c r="E1597" s="2394"/>
      <c r="F1597" s="2404" t="str">
        <f>$E$653</f>
        <v>ASHP-SEER15-Replace_CAC_NonElectricHeat_ER2_SF</v>
      </c>
      <c r="G1597" s="2404"/>
      <c r="H1597" s="2404"/>
      <c r="I1597" s="2404"/>
      <c r="J1597" s="1506" t="str">
        <f>$C$653</f>
        <v>352310_2024_12_</v>
      </c>
      <c r="K1597" s="1517">
        <v>15.126497005988021</v>
      </c>
      <c r="L1597" s="12"/>
      <c r="M1597" s="1504" t="s">
        <v>1018</v>
      </c>
      <c r="P1597" s="243"/>
      <c r="Q1597" s="243"/>
      <c r="R1597" s="243"/>
      <c r="T1597" s="166"/>
      <c r="U1597" s="50"/>
      <c r="V1597" s="2394"/>
      <c r="W1597" s="1268"/>
      <c r="X1597" s="779"/>
      <c r="Y1597" s="779"/>
      <c r="Z1597" s="1268"/>
      <c r="AA1597" s="1268"/>
      <c r="AB1597" s="195"/>
      <c r="AC1597" s="195">
        <f>AC1596</f>
        <v>15.121398305084742</v>
      </c>
      <c r="AD1597" s="195">
        <v>15.131096196868006</v>
      </c>
      <c r="AE1597" s="195">
        <v>15.126497005988021</v>
      </c>
      <c r="AF1597" s="253">
        <v>15.126497005988021</v>
      </c>
      <c r="AG1597" s="253">
        <f t="shared" si="223"/>
        <v>15.126497005988021</v>
      </c>
      <c r="DG1597" s="543"/>
      <c r="DH1597" s="149"/>
      <c r="DI1597" s="1020"/>
      <c r="DJ1597" s="2045"/>
    </row>
    <row r="1598" spans="1:114" ht="15" customHeight="1" outlineLevel="1" x14ac:dyDescent="0.25">
      <c r="A1598" s="2145"/>
      <c r="C1598" s="49"/>
      <c r="D1598" s="2394"/>
      <c r="E1598" s="2394"/>
      <c r="F1598" s="2404" t="str">
        <f>$E$655</f>
        <v>ASHP-SEER15_ER1_SF</v>
      </c>
      <c r="G1598" s="2404"/>
      <c r="H1598" s="2404"/>
      <c r="I1598" s="2404"/>
      <c r="J1598" s="1506" t="str">
        <f>$C$655</f>
        <v>352350_2024_12_</v>
      </c>
      <c r="K1598" s="1517">
        <v>15.126497005988021</v>
      </c>
      <c r="L1598" s="12"/>
      <c r="M1598" s="1504" t="s">
        <v>1018</v>
      </c>
      <c r="P1598" s="243"/>
      <c r="Q1598" s="243"/>
      <c r="R1598" s="243"/>
      <c r="T1598" s="166"/>
      <c r="U1598" s="50"/>
      <c r="V1598" s="2394"/>
      <c r="W1598" s="1268">
        <v>15.1</v>
      </c>
      <c r="X1598" s="779">
        <v>15.12</v>
      </c>
      <c r="Y1598" s="779">
        <v>15.12</v>
      </c>
      <c r="Z1598" s="1268">
        <v>15.12</v>
      </c>
      <c r="AA1598" s="1268">
        <v>15.12</v>
      </c>
      <c r="AB1598" s="195">
        <v>15.124074074074072</v>
      </c>
      <c r="AC1598" s="195">
        <v>15.142532467532467</v>
      </c>
      <c r="AD1598" s="195">
        <v>15.131096196868006</v>
      </c>
      <c r="AE1598" s="195">
        <v>15.126497005988021</v>
      </c>
      <c r="AF1598" s="253">
        <v>15.126497005988021</v>
      </c>
      <c r="AG1598" s="253">
        <f t="shared" si="223"/>
        <v>15.126497005988021</v>
      </c>
      <c r="DG1598" s="543"/>
      <c r="DH1598" s="149"/>
      <c r="DI1598" s="1020"/>
      <c r="DJ1598" s="2045"/>
    </row>
    <row r="1599" spans="1:114" ht="15" customHeight="1" outlineLevel="1" x14ac:dyDescent="0.25">
      <c r="A1599" s="2145"/>
      <c r="C1599" s="49"/>
      <c r="D1599" s="2394"/>
      <c r="E1599" s="2394"/>
      <c r="F1599" s="2404" t="str">
        <f>$E$657</f>
        <v>ASHP-SEER15_ER2_SF</v>
      </c>
      <c r="G1599" s="2404"/>
      <c r="H1599" s="2404"/>
      <c r="I1599" s="2404"/>
      <c r="J1599" s="1506" t="str">
        <f>$C$657</f>
        <v>352350_2024_12_</v>
      </c>
      <c r="K1599" s="1517">
        <v>15.126497005988021</v>
      </c>
      <c r="L1599" s="12"/>
      <c r="M1599" s="1504" t="s">
        <v>1018</v>
      </c>
      <c r="P1599" s="243"/>
      <c r="Q1599" s="243"/>
      <c r="R1599" s="243"/>
      <c r="T1599" s="166"/>
      <c r="U1599" s="50"/>
      <c r="V1599" s="2394"/>
      <c r="W1599" s="1268">
        <v>15.1</v>
      </c>
      <c r="X1599" s="779">
        <v>15.12</v>
      </c>
      <c r="Y1599" s="779">
        <v>15.12</v>
      </c>
      <c r="Z1599" s="1268">
        <v>15.12</v>
      </c>
      <c r="AA1599" s="1268">
        <v>15.12</v>
      </c>
      <c r="AB1599" s="195">
        <v>15.124074074074072</v>
      </c>
      <c r="AC1599" s="195">
        <f>AC1598</f>
        <v>15.142532467532467</v>
      </c>
      <c r="AD1599" s="195">
        <v>15.131096196868006</v>
      </c>
      <c r="AE1599" s="195">
        <v>15.126497005988021</v>
      </c>
      <c r="AF1599" s="253">
        <v>15.126497005988021</v>
      </c>
      <c r="AG1599" s="253">
        <f t="shared" si="223"/>
        <v>15.126497005988021</v>
      </c>
      <c r="DG1599" s="543"/>
      <c r="DH1599" s="149"/>
      <c r="DI1599" s="1020"/>
      <c r="DJ1599" s="2045"/>
    </row>
    <row r="1600" spans="1:114" ht="15" customHeight="1" outlineLevel="1" x14ac:dyDescent="0.25">
      <c r="A1600" s="2145"/>
      <c r="C1600" s="49"/>
      <c r="D1600" s="2394"/>
      <c r="E1600" s="2394"/>
      <c r="F1600" s="2404" t="str">
        <f>$E$659</f>
        <v>ASHP-SEER15-Replace_CAC_ElectricHeat_ROF_SF</v>
      </c>
      <c r="G1600" s="2404"/>
      <c r="H1600" s="2404"/>
      <c r="I1600" s="2404"/>
      <c r="J1600" s="1506" t="str">
        <f>$C$659</f>
        <v>352400_2024_12_</v>
      </c>
      <c r="K1600" s="1517">
        <v>15.136274509803922</v>
      </c>
      <c r="L1600" s="244"/>
      <c r="M1600" s="1504" t="s">
        <v>929</v>
      </c>
      <c r="P1600" s="243"/>
      <c r="Q1600" s="243"/>
      <c r="R1600" s="243"/>
      <c r="T1600" s="166"/>
      <c r="U1600" s="50"/>
      <c r="V1600" s="2394"/>
      <c r="W1600" s="1268">
        <v>15.2</v>
      </c>
      <c r="X1600" s="779">
        <v>15.12</v>
      </c>
      <c r="Y1600" s="779">
        <v>15.11</v>
      </c>
      <c r="Z1600" s="1268">
        <v>15.11</v>
      </c>
      <c r="AA1600" s="1268">
        <v>15.11</v>
      </c>
      <c r="AB1600" s="195">
        <v>15.185106382978724</v>
      </c>
      <c r="AC1600" s="195">
        <v>15.138888888888889</v>
      </c>
      <c r="AD1600" s="195">
        <v>15.185779816513762</v>
      </c>
      <c r="AE1600" s="195">
        <v>15.136274509803922</v>
      </c>
      <c r="AF1600" s="253">
        <v>15.136274509803922</v>
      </c>
      <c r="AG1600" s="253">
        <f t="shared" si="223"/>
        <v>15.136274509803922</v>
      </c>
      <c r="DG1600" s="543"/>
      <c r="DH1600" s="149"/>
      <c r="DI1600" s="1020"/>
      <c r="DJ1600" s="2045"/>
    </row>
    <row r="1601" spans="1:114" ht="15" customHeight="1" outlineLevel="1" x14ac:dyDescent="0.25">
      <c r="A1601" s="2145"/>
      <c r="C1601" s="49"/>
      <c r="D1601" s="2394"/>
      <c r="E1601" s="2394"/>
      <c r="F1601" s="2404" t="str">
        <f>$E$661</f>
        <v>ASHP-SEER15-Replace_CAC_NonElectricHeat_ROF_SF</v>
      </c>
      <c r="G1601" s="2404"/>
      <c r="H1601" s="2404"/>
      <c r="I1601" s="2404"/>
      <c r="J1601" s="1506" t="str">
        <f>$C$661</f>
        <v>352410_2024_12_</v>
      </c>
      <c r="K1601" s="1517">
        <v>15.136274509803922</v>
      </c>
      <c r="L1601" s="244"/>
      <c r="M1601" s="1504" t="s">
        <v>1018</v>
      </c>
      <c r="P1601" s="243"/>
      <c r="Q1601" s="243"/>
      <c r="R1601" s="243"/>
      <c r="T1601" s="166"/>
      <c r="U1601" s="50"/>
      <c r="V1601" s="2394"/>
      <c r="W1601" s="1268"/>
      <c r="X1601" s="779"/>
      <c r="Y1601" s="779"/>
      <c r="Z1601" s="1268"/>
      <c r="AA1601" s="1268"/>
      <c r="AB1601" s="195"/>
      <c r="AC1601" s="195">
        <v>15.138888888888889</v>
      </c>
      <c r="AD1601" s="195">
        <v>15.185779816513762</v>
      </c>
      <c r="AE1601" s="195">
        <v>15.136274509803922</v>
      </c>
      <c r="AF1601" s="253">
        <v>15.136274509803922</v>
      </c>
      <c r="AG1601" s="253">
        <f t="shared" si="223"/>
        <v>15.136274509803922</v>
      </c>
      <c r="DG1601" s="543"/>
      <c r="DH1601" s="149"/>
      <c r="DI1601" s="1020"/>
      <c r="DJ1601" s="2045"/>
    </row>
    <row r="1602" spans="1:114" ht="15.75" customHeight="1" outlineLevel="1" x14ac:dyDescent="0.25">
      <c r="A1602" s="2145"/>
      <c r="C1602" s="49"/>
      <c r="D1602" s="2394"/>
      <c r="E1602" s="2394"/>
      <c r="F1602" s="1968" t="s">
        <v>1130</v>
      </c>
      <c r="G1602" s="1969"/>
      <c r="H1602" s="1969"/>
      <c r="I1602" s="1970"/>
      <c r="J1602" s="2095" t="str">
        <f>$C$663</f>
        <v>352420_2025_12_</v>
      </c>
      <c r="K1602" s="1957">
        <v>15.25</v>
      </c>
      <c r="L1602" s="913"/>
      <c r="M1602" s="645" t="s">
        <v>1297</v>
      </c>
      <c r="T1602" s="50"/>
      <c r="U1602" s="50"/>
      <c r="V1602" s="2394"/>
      <c r="W1602" s="1268"/>
      <c r="X1602" s="1268"/>
      <c r="Y1602" s="1268"/>
      <c r="Z1602" s="1268"/>
      <c r="AA1602" s="1268"/>
      <c r="AB1602" s="1268"/>
      <c r="AC1602" s="752"/>
      <c r="AD1602" s="966"/>
      <c r="AE1602" s="909"/>
      <c r="AF1602" s="253"/>
      <c r="AG1602" s="253">
        <f>IF(K1602&lt;&gt;"",K1602,"")</f>
        <v>15.25</v>
      </c>
      <c r="DG1602" s="543"/>
      <c r="DH1602" s="149"/>
      <c r="DI1602" s="1020"/>
      <c r="DJ1602" s="2045"/>
    </row>
    <row r="1603" spans="1:114" ht="15.75" customHeight="1" outlineLevel="1" x14ac:dyDescent="0.25">
      <c r="A1603" s="2145"/>
      <c r="C1603" s="49"/>
      <c r="D1603" s="2394"/>
      <c r="E1603" s="2394"/>
      <c r="F1603" s="1968" t="s">
        <v>1131</v>
      </c>
      <c r="G1603" s="1969"/>
      <c r="H1603" s="1969"/>
      <c r="I1603" s="1970"/>
      <c r="J1603" s="2095" t="str">
        <f>$C$664</f>
        <v>352420_2025_12_</v>
      </c>
      <c r="K1603" s="1957">
        <v>15.25</v>
      </c>
      <c r="L1603" s="913"/>
      <c r="M1603" s="645" t="s">
        <v>1297</v>
      </c>
      <c r="T1603" s="50"/>
      <c r="U1603" s="50"/>
      <c r="V1603" s="2394"/>
      <c r="W1603" s="1268"/>
      <c r="X1603" s="1268"/>
      <c r="Y1603" s="1268"/>
      <c r="Z1603" s="1268"/>
      <c r="AA1603" s="1268"/>
      <c r="AB1603" s="1268"/>
      <c r="AC1603" s="752"/>
      <c r="AD1603" s="966"/>
      <c r="AE1603" s="909"/>
      <c r="AF1603" s="253"/>
      <c r="AG1603" s="253">
        <f>IF(K1603&lt;&gt;"",K1603,"")</f>
        <v>15.25</v>
      </c>
      <c r="DG1603" s="543"/>
      <c r="DH1603" s="149"/>
      <c r="DI1603" s="1020"/>
      <c r="DJ1603" s="2045"/>
    </row>
    <row r="1604" spans="1:114" ht="15.75" customHeight="1" outlineLevel="1" x14ac:dyDescent="0.25">
      <c r="A1604" s="2145"/>
      <c r="C1604" s="49"/>
      <c r="D1604" s="2394"/>
      <c r="E1604" s="2394"/>
      <c r="F1604" s="1968" t="s">
        <v>1133</v>
      </c>
      <c r="G1604" s="1969"/>
      <c r="H1604" s="1969"/>
      <c r="I1604" s="1970"/>
      <c r="J1604" s="2095" t="str">
        <f>$C$667</f>
        <v>352425_2025_12_</v>
      </c>
      <c r="K1604" s="1957">
        <v>15.2</v>
      </c>
      <c r="L1604" s="913"/>
      <c r="M1604" s="645" t="s">
        <v>1297</v>
      </c>
      <c r="T1604" s="50"/>
      <c r="U1604" s="50"/>
      <c r="V1604" s="2394"/>
      <c r="W1604" s="1268"/>
      <c r="X1604" s="1268"/>
      <c r="Y1604" s="1268"/>
      <c r="Z1604" s="1268"/>
      <c r="AA1604" s="1268"/>
      <c r="AB1604" s="1268"/>
      <c r="AC1604" s="752"/>
      <c r="AD1604" s="966"/>
      <c r="AE1604" s="909"/>
      <c r="AF1604" s="253"/>
      <c r="AG1604" s="253">
        <f>IF(K1604&lt;&gt;"",K1604,"")</f>
        <v>15.2</v>
      </c>
      <c r="DG1604" s="543"/>
      <c r="DH1604" s="149"/>
      <c r="DI1604" s="1020"/>
      <c r="DJ1604" s="2045"/>
    </row>
    <row r="1605" spans="1:114" ht="15" customHeight="1" outlineLevel="1" x14ac:dyDescent="0.25">
      <c r="A1605" s="2145"/>
      <c r="C1605" s="49"/>
      <c r="D1605" s="2394"/>
      <c r="E1605" s="2394"/>
      <c r="F1605" s="2404" t="str">
        <f>$E$669</f>
        <v>ASHP-SEER16-Replace_CAC_ElectricHeat_ER1_SF</v>
      </c>
      <c r="G1605" s="2404"/>
      <c r="H1605" s="2404"/>
      <c r="I1605" s="2404"/>
      <c r="J1605" s="1506" t="str">
        <f>$C$669</f>
        <v>352500_2024_12_</v>
      </c>
      <c r="K1605" s="859">
        <v>16.050092936802972</v>
      </c>
      <c r="L1605" s="244"/>
      <c r="M1605" s="1503" t="s">
        <v>929</v>
      </c>
      <c r="P1605" s="243"/>
      <c r="Q1605" s="243"/>
      <c r="R1605" s="243"/>
      <c r="T1605" s="166"/>
      <c r="U1605" s="50"/>
      <c r="V1605" s="2394"/>
      <c r="W1605" s="1268">
        <v>16</v>
      </c>
      <c r="X1605" s="1268">
        <v>16</v>
      </c>
      <c r="Y1605" s="1268">
        <v>16</v>
      </c>
      <c r="Z1605" s="1268">
        <v>16</v>
      </c>
      <c r="AA1605" s="1268">
        <v>16</v>
      </c>
      <c r="AB1605" s="195">
        <v>16.252500000000001</v>
      </c>
      <c r="AC1605" s="195">
        <v>16.068085106382977</v>
      </c>
      <c r="AD1605" s="910">
        <v>16.062186978297163</v>
      </c>
      <c r="AE1605" s="910">
        <v>16.050092936802972</v>
      </c>
      <c r="AF1605" s="253">
        <v>16.050092936802972</v>
      </c>
      <c r="AG1605" s="253">
        <f t="shared" si="223"/>
        <v>16.050092936802972</v>
      </c>
      <c r="DG1605" s="543"/>
      <c r="DH1605" s="149"/>
      <c r="DI1605" s="1020"/>
      <c r="DJ1605" s="2045"/>
    </row>
    <row r="1606" spans="1:114" ht="15" customHeight="1" outlineLevel="1" x14ac:dyDescent="0.25">
      <c r="A1606" s="2145"/>
      <c r="C1606" s="49"/>
      <c r="D1606" s="2394"/>
      <c r="E1606" s="2394"/>
      <c r="F1606" s="2404" t="str">
        <f>$E$671</f>
        <v>ASHP-SEER16-Replace_CAC_ElectricHeat_ER2_SF</v>
      </c>
      <c r="G1606" s="2404"/>
      <c r="H1606" s="2404"/>
      <c r="I1606" s="2404"/>
      <c r="J1606" s="1506" t="str">
        <f>$C$671</f>
        <v>352500_2024_12_</v>
      </c>
      <c r="K1606" s="859">
        <v>16.050092936802972</v>
      </c>
      <c r="L1606" s="244"/>
      <c r="M1606" s="1503" t="s">
        <v>1018</v>
      </c>
      <c r="P1606" s="243"/>
      <c r="Q1606" s="243"/>
      <c r="R1606" s="243"/>
      <c r="T1606" s="166"/>
      <c r="U1606" s="50"/>
      <c r="V1606" s="2394"/>
      <c r="W1606" s="1268">
        <v>16</v>
      </c>
      <c r="X1606" s="1268">
        <v>16</v>
      </c>
      <c r="Y1606" s="1268">
        <v>16</v>
      </c>
      <c r="Z1606" s="1268">
        <v>16</v>
      </c>
      <c r="AA1606" s="1268">
        <v>16</v>
      </c>
      <c r="AB1606" s="195">
        <v>16.252500000000001</v>
      </c>
      <c r="AC1606" s="195">
        <f>AC1605</f>
        <v>16.068085106382977</v>
      </c>
      <c r="AD1606" s="910">
        <v>16.062186978297163</v>
      </c>
      <c r="AE1606" s="910">
        <v>16.050092936802972</v>
      </c>
      <c r="AF1606" s="253">
        <v>16.050092936802972</v>
      </c>
      <c r="AG1606" s="253">
        <f t="shared" si="223"/>
        <v>16.050092936802972</v>
      </c>
      <c r="DG1606" s="543"/>
      <c r="DH1606" s="149"/>
      <c r="DI1606" s="1020"/>
      <c r="DJ1606" s="2045"/>
    </row>
    <row r="1607" spans="1:114" ht="15" customHeight="1" outlineLevel="1" x14ac:dyDescent="0.25">
      <c r="A1607" s="2145"/>
      <c r="C1607" s="49"/>
      <c r="D1607" s="2394"/>
      <c r="E1607" s="2394"/>
      <c r="F1607" s="2404" t="str">
        <f>$E$673</f>
        <v>ASHP-SEER16-Replace_CAC_NonElectricHeat_ER1_SF</v>
      </c>
      <c r="G1607" s="2404"/>
      <c r="H1607" s="2404"/>
      <c r="I1607" s="2404"/>
      <c r="J1607" s="1506" t="str">
        <f>$C$673</f>
        <v>352510_2024_12_</v>
      </c>
      <c r="K1607" s="859">
        <v>16.050092936802972</v>
      </c>
      <c r="L1607" s="244"/>
      <c r="M1607" s="1504" t="s">
        <v>1018</v>
      </c>
      <c r="P1607" s="243"/>
      <c r="Q1607" s="243"/>
      <c r="R1607" s="243"/>
      <c r="T1607" s="166"/>
      <c r="U1607" s="50"/>
      <c r="V1607" s="2394"/>
      <c r="W1607" s="1268"/>
      <c r="X1607" s="1268"/>
      <c r="Y1607" s="1268"/>
      <c r="Z1607" s="1268"/>
      <c r="AA1607" s="1268"/>
      <c r="AB1607" s="195"/>
      <c r="AC1607" s="195">
        <v>16.068085106382977</v>
      </c>
      <c r="AD1607" s="910">
        <v>16.062186978297163</v>
      </c>
      <c r="AE1607" s="910">
        <v>16.050092936802972</v>
      </c>
      <c r="AF1607" s="253">
        <v>16.050092936802972</v>
      </c>
      <c r="AG1607" s="253">
        <f t="shared" si="223"/>
        <v>16.050092936802972</v>
      </c>
      <c r="DG1607" s="543"/>
      <c r="DH1607" s="149"/>
      <c r="DI1607" s="1020"/>
      <c r="DJ1607" s="2045"/>
    </row>
    <row r="1608" spans="1:114" ht="15" customHeight="1" outlineLevel="1" x14ac:dyDescent="0.25">
      <c r="A1608" s="2145"/>
      <c r="C1608" s="49"/>
      <c r="D1608" s="2394"/>
      <c r="E1608" s="2394"/>
      <c r="F1608" s="2404" t="str">
        <f>$E$675</f>
        <v>ASHP-SEER16-Replace_CAC_NonElectricHeat_ER2_SF</v>
      </c>
      <c r="G1608" s="2404"/>
      <c r="H1608" s="2404"/>
      <c r="I1608" s="2404"/>
      <c r="J1608" s="1506" t="str">
        <f>$C$675</f>
        <v>352510_2024_12_</v>
      </c>
      <c r="K1608" s="859">
        <v>16.050092936802972</v>
      </c>
      <c r="L1608" s="244"/>
      <c r="M1608" s="1504" t="s">
        <v>1018</v>
      </c>
      <c r="P1608" s="243"/>
      <c r="Q1608" s="243"/>
      <c r="R1608" s="243"/>
      <c r="T1608" s="166"/>
      <c r="U1608" s="50"/>
      <c r="V1608" s="2394"/>
      <c r="W1608" s="1268"/>
      <c r="X1608" s="1268"/>
      <c r="Y1608" s="1268"/>
      <c r="Z1608" s="1268"/>
      <c r="AA1608" s="1268"/>
      <c r="AB1608" s="195"/>
      <c r="AC1608" s="195">
        <f>AC1607</f>
        <v>16.068085106382977</v>
      </c>
      <c r="AD1608" s="910">
        <v>16.062186978297163</v>
      </c>
      <c r="AE1608" s="910">
        <v>16.050092936802972</v>
      </c>
      <c r="AF1608" s="253">
        <v>16.050092936802972</v>
      </c>
      <c r="AG1608" s="253">
        <f t="shared" si="223"/>
        <v>16.050092936802972</v>
      </c>
      <c r="DG1608" s="543"/>
      <c r="DH1608" s="149"/>
      <c r="DI1608" s="1020"/>
      <c r="DJ1608" s="2045"/>
    </row>
    <row r="1609" spans="1:114" ht="15.75" customHeight="1" outlineLevel="1" x14ac:dyDescent="0.25">
      <c r="A1609" s="2145"/>
      <c r="C1609" s="49"/>
      <c r="D1609" s="2394"/>
      <c r="E1609" s="2394"/>
      <c r="F1609" s="1968" t="s">
        <v>1141</v>
      </c>
      <c r="G1609" s="1969"/>
      <c r="H1609" s="1969"/>
      <c r="I1609" s="1970"/>
      <c r="J1609" s="2095" t="s">
        <v>1140</v>
      </c>
      <c r="K1609" s="1957">
        <v>16</v>
      </c>
      <c r="L1609" s="913"/>
      <c r="M1609" s="645" t="s">
        <v>1298</v>
      </c>
      <c r="T1609" s="50"/>
      <c r="U1609" s="50"/>
      <c r="V1609" s="2394"/>
      <c r="W1609" s="1268"/>
      <c r="X1609" s="1268"/>
      <c r="Y1609" s="1268"/>
      <c r="Z1609" s="1268"/>
      <c r="AA1609" s="1268"/>
      <c r="AB1609" s="1268"/>
      <c r="AC1609" s="752"/>
      <c r="AD1609" s="966"/>
      <c r="AE1609" s="909"/>
      <c r="AF1609" s="253"/>
      <c r="AG1609" s="253">
        <f>IF(K1609&lt;&gt;"",K1609,"")</f>
        <v>16</v>
      </c>
      <c r="DG1609" s="543"/>
      <c r="DH1609" s="149"/>
      <c r="DI1609" s="1020"/>
      <c r="DJ1609" s="2045"/>
    </row>
    <row r="1610" spans="1:114" ht="15.75" customHeight="1" outlineLevel="1" x14ac:dyDescent="0.25">
      <c r="A1610" s="2145"/>
      <c r="C1610" s="49"/>
      <c r="D1610" s="2394"/>
      <c r="E1610" s="2394"/>
      <c r="F1610" s="1968" t="s">
        <v>1142</v>
      </c>
      <c r="G1610" s="1969"/>
      <c r="H1610" s="1969"/>
      <c r="I1610" s="1970"/>
      <c r="J1610" s="2095" t="s">
        <v>1140</v>
      </c>
      <c r="K1610" s="1957">
        <v>16</v>
      </c>
      <c r="L1610" s="913"/>
      <c r="M1610" s="645" t="s">
        <v>1298</v>
      </c>
      <c r="T1610" s="50"/>
      <c r="U1610" s="50"/>
      <c r="V1610" s="2394"/>
      <c r="W1610" s="1268"/>
      <c r="X1610" s="1268"/>
      <c r="Y1610" s="1268"/>
      <c r="Z1610" s="1268"/>
      <c r="AA1610" s="1268"/>
      <c r="AB1610" s="1268"/>
      <c r="AC1610" s="752"/>
      <c r="AD1610" s="966"/>
      <c r="AE1610" s="909"/>
      <c r="AF1610" s="253"/>
      <c r="AG1610" s="253">
        <f>IF(K1610&lt;&gt;"",K1610,"")</f>
        <v>16</v>
      </c>
      <c r="DG1610" s="543"/>
      <c r="DH1610" s="149"/>
      <c r="DI1610" s="1020"/>
      <c r="DJ1610" s="2045"/>
    </row>
    <row r="1611" spans="1:114" ht="15" customHeight="1" outlineLevel="1" x14ac:dyDescent="0.25">
      <c r="A1611" s="2145"/>
      <c r="C1611" s="49"/>
      <c r="D1611" s="2394"/>
      <c r="E1611" s="2394"/>
      <c r="F1611" s="2404" t="str">
        <f>$E$681</f>
        <v>ASHP-SEER16_ER1_SF</v>
      </c>
      <c r="G1611" s="2404"/>
      <c r="H1611" s="2404"/>
      <c r="I1611" s="2404"/>
      <c r="J1611" s="1506" t="str">
        <f>$C$681</f>
        <v>352550_2024_12_</v>
      </c>
      <c r="K1611" s="859">
        <v>16.050092936802972</v>
      </c>
      <c r="L1611" s="244"/>
      <c r="M1611" s="1503" t="s">
        <v>1018</v>
      </c>
      <c r="P1611" s="243"/>
      <c r="Q1611" s="243"/>
      <c r="R1611" s="243"/>
      <c r="T1611" s="166"/>
      <c r="U1611" s="50"/>
      <c r="V1611" s="2394"/>
      <c r="W1611" s="1268">
        <v>16</v>
      </c>
      <c r="X1611" s="1268">
        <v>16</v>
      </c>
      <c r="Y1611" s="1268">
        <v>16</v>
      </c>
      <c r="Z1611" s="1268">
        <v>16</v>
      </c>
      <c r="AA1611" s="1268">
        <v>16</v>
      </c>
      <c r="AB1611" s="195">
        <v>16.354460093896712</v>
      </c>
      <c r="AC1611" s="195">
        <v>16.110638297872342</v>
      </c>
      <c r="AD1611" s="910">
        <v>16.062186978297163</v>
      </c>
      <c r="AE1611" s="910">
        <v>16.050092936802972</v>
      </c>
      <c r="AF1611" s="253">
        <v>16.050092936802972</v>
      </c>
      <c r="AG1611" s="253">
        <f t="shared" si="223"/>
        <v>16.050092936802972</v>
      </c>
      <c r="DG1611" s="543"/>
      <c r="DH1611" s="149"/>
      <c r="DI1611" s="1020"/>
      <c r="DJ1611" s="2045"/>
    </row>
    <row r="1612" spans="1:114" ht="15" customHeight="1" outlineLevel="1" x14ac:dyDescent="0.25">
      <c r="A1612" s="2145"/>
      <c r="C1612" s="49"/>
      <c r="D1612" s="2394"/>
      <c r="E1612" s="2394"/>
      <c r="F1612" s="2404" t="str">
        <f>$E$683</f>
        <v>ASHP-SEER16_ER2_SF</v>
      </c>
      <c r="G1612" s="2404"/>
      <c r="H1612" s="2404"/>
      <c r="I1612" s="2404"/>
      <c r="J1612" s="1506" t="str">
        <f>$C$683</f>
        <v>352550_2024_12_</v>
      </c>
      <c r="K1612" s="859">
        <v>16.050092936802972</v>
      </c>
      <c r="L1612" s="244"/>
      <c r="M1612" s="1503" t="s">
        <v>1018</v>
      </c>
      <c r="P1612" s="243"/>
      <c r="Q1612" s="243"/>
      <c r="R1612" s="243"/>
      <c r="T1612" s="166"/>
      <c r="U1612" s="50"/>
      <c r="V1612" s="2394"/>
      <c r="W1612" s="1268">
        <v>16</v>
      </c>
      <c r="X1612" s="1268">
        <v>16</v>
      </c>
      <c r="Y1612" s="1268">
        <v>16</v>
      </c>
      <c r="Z1612" s="1268">
        <v>16</v>
      </c>
      <c r="AA1612" s="1268">
        <v>16</v>
      </c>
      <c r="AB1612" s="195">
        <v>16.354460093896712</v>
      </c>
      <c r="AC1612" s="195">
        <f>AC1611</f>
        <v>16.110638297872342</v>
      </c>
      <c r="AD1612" s="910">
        <v>16.062186978297163</v>
      </c>
      <c r="AE1612" s="910">
        <v>16.050092936802972</v>
      </c>
      <c r="AF1612" s="253">
        <v>16.050092936802972</v>
      </c>
      <c r="AG1612" s="253">
        <f t="shared" si="223"/>
        <v>16.050092936802972</v>
      </c>
      <c r="DG1612" s="543"/>
      <c r="DH1612" s="149"/>
      <c r="DI1612" s="1020"/>
      <c r="DJ1612" s="2045"/>
    </row>
    <row r="1613" spans="1:114" ht="15" customHeight="1" outlineLevel="1" x14ac:dyDescent="0.25">
      <c r="A1613" s="2145"/>
      <c r="C1613" s="49"/>
      <c r="D1613" s="2394"/>
      <c r="E1613" s="2394"/>
      <c r="F1613" s="2404" t="str">
        <f>$E$685</f>
        <v>ASHP-SEER16-Replace_CAC_ElectricHeat_ROF_SF</v>
      </c>
      <c r="G1613" s="2404"/>
      <c r="H1613" s="2404"/>
      <c r="I1613" s="2404"/>
      <c r="J1613" s="1506" t="str">
        <f>$C$685</f>
        <v>352600_2024_12_</v>
      </c>
      <c r="K1613" s="859">
        <v>16.04718309859155</v>
      </c>
      <c r="L1613" s="244"/>
      <c r="M1613" s="1503" t="s">
        <v>931</v>
      </c>
      <c r="P1613" s="243"/>
      <c r="Q1613" s="243"/>
      <c r="R1613" s="243"/>
      <c r="T1613" s="166"/>
      <c r="U1613" s="50"/>
      <c r="V1613" s="2394"/>
      <c r="W1613" s="1268">
        <v>16</v>
      </c>
      <c r="X1613" s="1268">
        <v>16</v>
      </c>
      <c r="Y1613" s="1268">
        <v>16</v>
      </c>
      <c r="Z1613" s="1268">
        <v>16</v>
      </c>
      <c r="AA1613" s="1268">
        <v>16</v>
      </c>
      <c r="AB1613" s="195">
        <v>16.166666666666668</v>
      </c>
      <c r="AC1613" s="195">
        <v>16.534177215189874</v>
      </c>
      <c r="AD1613" s="910">
        <v>16.060243902439023</v>
      </c>
      <c r="AE1613" s="910">
        <v>16.04718309859155</v>
      </c>
      <c r="AF1613" s="253">
        <v>16.04718309859155</v>
      </c>
      <c r="AG1613" s="253">
        <f t="shared" si="223"/>
        <v>16.04718309859155</v>
      </c>
      <c r="DG1613" s="543"/>
      <c r="DH1613" s="149"/>
      <c r="DI1613" s="1020"/>
      <c r="DJ1613" s="2045"/>
    </row>
    <row r="1614" spans="1:114" ht="15.75" customHeight="1" outlineLevel="1" x14ac:dyDescent="0.25">
      <c r="A1614" s="2145"/>
      <c r="C1614" s="49"/>
      <c r="D1614" s="2394"/>
      <c r="E1614" s="2394"/>
      <c r="F1614" s="1968" t="s">
        <v>1149</v>
      </c>
      <c r="G1614" s="1969"/>
      <c r="H1614" s="1969"/>
      <c r="I1614" s="1970"/>
      <c r="J1614" s="2095" t="s">
        <v>1148</v>
      </c>
      <c r="K1614" s="1957">
        <v>16.3</v>
      </c>
      <c r="L1614" s="913"/>
      <c r="M1614" s="645" t="s">
        <v>1297</v>
      </c>
      <c r="T1614" s="50"/>
      <c r="U1614" s="50"/>
      <c r="V1614" s="2394"/>
      <c r="W1614" s="1268"/>
      <c r="X1614" s="1268"/>
      <c r="Y1614" s="1268"/>
      <c r="Z1614" s="1268"/>
      <c r="AA1614" s="1268"/>
      <c r="AB1614" s="1268"/>
      <c r="AC1614" s="752"/>
      <c r="AD1614" s="966"/>
      <c r="AE1614" s="909"/>
      <c r="AF1614" s="253"/>
      <c r="AG1614" s="253">
        <f>IF(K1614&lt;&gt;"",K1614,"")</f>
        <v>16.3</v>
      </c>
      <c r="DG1614" s="543"/>
      <c r="DH1614" s="149"/>
      <c r="DI1614" s="1020"/>
      <c r="DJ1614" s="2045"/>
    </row>
    <row r="1615" spans="1:114" ht="15" customHeight="1" outlineLevel="1" x14ac:dyDescent="0.25">
      <c r="A1615" s="2145"/>
      <c r="C1615" s="49"/>
      <c r="D1615" s="2394"/>
      <c r="E1615" s="2394"/>
      <c r="F1615" s="2404" t="str">
        <f>$E$689</f>
        <v>ASHP-SEER16-Replace_CAC_NonElectricHeat_ROF_SF</v>
      </c>
      <c r="G1615" s="2404"/>
      <c r="H1615" s="2404"/>
      <c r="I1615" s="2404"/>
      <c r="J1615" s="1506" t="str">
        <f>$C$689</f>
        <v>352610_2024_12_</v>
      </c>
      <c r="K1615" s="859">
        <v>16.04718309859155</v>
      </c>
      <c r="L1615" s="244"/>
      <c r="M1615" s="1503" t="s">
        <v>1018</v>
      </c>
      <c r="P1615" s="243"/>
      <c r="Q1615" s="243"/>
      <c r="R1615" s="243"/>
      <c r="T1615" s="166"/>
      <c r="U1615" s="50"/>
      <c r="V1615" s="2394"/>
      <c r="W1615" s="1268"/>
      <c r="X1615" s="1268"/>
      <c r="Y1615" s="1268"/>
      <c r="Z1615" s="1268"/>
      <c r="AA1615" s="1268"/>
      <c r="AB1615" s="195"/>
      <c r="AC1615" s="195"/>
      <c r="AD1615" s="910">
        <v>16.060243902439023</v>
      </c>
      <c r="AE1615" s="910">
        <v>16.04718309859155</v>
      </c>
      <c r="AF1615" s="253">
        <v>16.04718309859155</v>
      </c>
      <c r="AG1615" s="253">
        <f t="shared" si="223"/>
        <v>16.04718309859155</v>
      </c>
      <c r="DG1615" s="543"/>
      <c r="DH1615" s="149"/>
      <c r="DI1615" s="1020"/>
      <c r="DJ1615" s="2045"/>
    </row>
    <row r="1616" spans="1:114" ht="15" customHeight="1" outlineLevel="1" x14ac:dyDescent="0.25">
      <c r="A1616" s="2145"/>
      <c r="C1616" s="49"/>
      <c r="D1616" s="2394"/>
      <c r="E1616" s="2394"/>
      <c r="F1616" s="2404" t="str">
        <f>$E$691</f>
        <v>ASHP-SEER16_ROF_SF</v>
      </c>
      <c r="G1616" s="2404"/>
      <c r="H1616" s="2404"/>
      <c r="I1616" s="2404"/>
      <c r="J1616" s="1506" t="str">
        <f>$C$691</f>
        <v>352650_2024_12_</v>
      </c>
      <c r="K1616" s="859">
        <v>16.04718309859155</v>
      </c>
      <c r="L1616" s="244"/>
      <c r="M1616" s="1503" t="s">
        <v>931</v>
      </c>
      <c r="P1616" s="243"/>
      <c r="Q1616" s="243"/>
      <c r="R1616" s="243"/>
      <c r="T1616" s="166"/>
      <c r="U1616" s="50"/>
      <c r="V1616" s="2394"/>
      <c r="W1616" s="1268">
        <v>16</v>
      </c>
      <c r="X1616" s="1268">
        <v>16</v>
      </c>
      <c r="Y1616" s="1268">
        <v>16</v>
      </c>
      <c r="Z1616" s="1268">
        <v>16</v>
      </c>
      <c r="AA1616" s="1268">
        <v>16</v>
      </c>
      <c r="AB1616" s="194">
        <v>16</v>
      </c>
      <c r="AC1616" s="195">
        <v>16.039473684210527</v>
      </c>
      <c r="AD1616" s="910">
        <v>16.060243902439023</v>
      </c>
      <c r="AE1616" s="910">
        <v>16.04718309859155</v>
      </c>
      <c r="AF1616" s="253">
        <v>16.04718309859155</v>
      </c>
      <c r="AG1616" s="253">
        <f t="shared" si="223"/>
        <v>16.04718309859155</v>
      </c>
      <c r="DG1616" s="543"/>
      <c r="DH1616" s="149"/>
      <c r="DI1616" s="1020"/>
      <c r="DJ1616" s="2045"/>
    </row>
    <row r="1617" spans="1:114" ht="15.75" customHeight="1" outlineLevel="1" x14ac:dyDescent="0.25">
      <c r="A1617" s="2145"/>
      <c r="C1617" s="49"/>
      <c r="D1617" s="2394"/>
      <c r="E1617" s="2394"/>
      <c r="F1617" s="1968" t="s">
        <v>1155</v>
      </c>
      <c r="G1617" s="1969"/>
      <c r="H1617" s="1969"/>
      <c r="I1617" s="1970"/>
      <c r="J1617" s="2095" t="s">
        <v>1154</v>
      </c>
      <c r="K1617" s="1957">
        <v>16.466666666999998</v>
      </c>
      <c r="L1617" s="913"/>
      <c r="M1617" s="645" t="s">
        <v>1297</v>
      </c>
      <c r="T1617" s="50"/>
      <c r="U1617" s="50"/>
      <c r="V1617" s="2394"/>
      <c r="W1617" s="1268"/>
      <c r="X1617" s="1268"/>
      <c r="Y1617" s="1268"/>
      <c r="Z1617" s="1268"/>
      <c r="AA1617" s="1268"/>
      <c r="AB1617" s="1268"/>
      <c r="AC1617" s="752"/>
      <c r="AD1617" s="966"/>
      <c r="AE1617" s="909"/>
      <c r="AF1617" s="253"/>
      <c r="AG1617" s="253">
        <f>IF(K1617&lt;&gt;"",K1617,"")</f>
        <v>16.466666666999998</v>
      </c>
      <c r="DG1617" s="543"/>
      <c r="DH1617" s="149"/>
      <c r="DI1617" s="1020"/>
      <c r="DJ1617" s="2045"/>
    </row>
    <row r="1618" spans="1:114" ht="15" customHeight="1" outlineLevel="1" x14ac:dyDescent="0.25">
      <c r="A1618" s="2145"/>
      <c r="C1618" s="49"/>
      <c r="D1618" s="2394"/>
      <c r="E1618" s="2394"/>
      <c r="F1618" s="2404" t="str">
        <f>$E$695</f>
        <v>ASHP-SEER16-Replace_CAC_ElectricHeat_ER1_MF</v>
      </c>
      <c r="G1618" s="2404"/>
      <c r="H1618" s="2404"/>
      <c r="I1618" s="2404"/>
      <c r="J1618" s="1506" t="str">
        <f>$C$695</f>
        <v>353000_2024_12_</v>
      </c>
      <c r="K1618" s="1517">
        <v>16</v>
      </c>
      <c r="L1618" s="244"/>
      <c r="M1618" s="1504" t="s">
        <v>931</v>
      </c>
      <c r="P1618" s="243"/>
      <c r="Q1618" s="243"/>
      <c r="R1618" s="243"/>
      <c r="T1618" s="166"/>
      <c r="U1618" s="50"/>
      <c r="V1618" s="2394"/>
      <c r="W1618" s="1268">
        <v>16</v>
      </c>
      <c r="X1618" s="1268">
        <v>16</v>
      </c>
      <c r="Y1618" s="1268">
        <v>16</v>
      </c>
      <c r="Z1618" s="1268">
        <v>16</v>
      </c>
      <c r="AA1618" s="1268">
        <v>16</v>
      </c>
      <c r="AB1618" s="195">
        <v>16.5</v>
      </c>
      <c r="AC1618" s="195">
        <v>16</v>
      </c>
      <c r="AD1618" s="194">
        <v>16</v>
      </c>
      <c r="AE1618" s="194">
        <v>16</v>
      </c>
      <c r="AF1618" s="253">
        <v>16</v>
      </c>
      <c r="AG1618" s="253">
        <f t="shared" si="223"/>
        <v>16</v>
      </c>
      <c r="DG1618" s="543"/>
      <c r="DH1618" s="149"/>
      <c r="DI1618" s="1020"/>
      <c r="DJ1618" s="2045"/>
    </row>
    <row r="1619" spans="1:114" ht="15" customHeight="1" outlineLevel="1" x14ac:dyDescent="0.25">
      <c r="A1619" s="2145"/>
      <c r="C1619" s="49"/>
      <c r="D1619" s="2394"/>
      <c r="E1619" s="2394"/>
      <c r="F1619" s="2404" t="str">
        <f>$E$697</f>
        <v>ASHP-SEER16-Replace_CAC_ElectricHeat_ER2_MF</v>
      </c>
      <c r="G1619" s="2404"/>
      <c r="H1619" s="2404"/>
      <c r="I1619" s="2404"/>
      <c r="J1619" s="1506" t="str">
        <f>$C$697</f>
        <v>353000_2024_12_</v>
      </c>
      <c r="K1619" s="1517">
        <v>16</v>
      </c>
      <c r="L1619" s="244"/>
      <c r="M1619" s="1504" t="s">
        <v>931</v>
      </c>
      <c r="P1619" s="243"/>
      <c r="Q1619" s="243"/>
      <c r="R1619" s="243"/>
      <c r="T1619" s="166"/>
      <c r="U1619" s="50"/>
      <c r="V1619" s="2394"/>
      <c r="W1619" s="1268">
        <v>16</v>
      </c>
      <c r="X1619" s="1268">
        <v>16</v>
      </c>
      <c r="Y1619" s="1268">
        <v>16</v>
      </c>
      <c r="Z1619" s="1268">
        <v>16</v>
      </c>
      <c r="AA1619" s="1268">
        <v>16</v>
      </c>
      <c r="AB1619" s="195">
        <v>16.5</v>
      </c>
      <c r="AC1619" s="195">
        <f>AC1618</f>
        <v>16</v>
      </c>
      <c r="AD1619" s="194">
        <v>16</v>
      </c>
      <c r="AE1619" s="194">
        <v>16</v>
      </c>
      <c r="AF1619" s="253">
        <v>16</v>
      </c>
      <c r="AG1619" s="253">
        <f t="shared" si="223"/>
        <v>16</v>
      </c>
      <c r="DG1619" s="543"/>
      <c r="DH1619" s="149"/>
      <c r="DI1619" s="1020"/>
      <c r="DJ1619" s="2045"/>
    </row>
    <row r="1620" spans="1:114" ht="15" customHeight="1" outlineLevel="1" x14ac:dyDescent="0.25">
      <c r="A1620" s="2145"/>
      <c r="C1620" s="49"/>
      <c r="D1620" s="2394"/>
      <c r="E1620" s="2394"/>
      <c r="F1620" s="2404" t="str">
        <f>$E$699</f>
        <v>ASHP-SEER17-Replace_CAC_ElectricHeat_ROF_SF</v>
      </c>
      <c r="G1620" s="2404"/>
      <c r="H1620" s="2404"/>
      <c r="I1620" s="2404"/>
      <c r="J1620" s="1506" t="str">
        <f>$C$699</f>
        <v>353100_2024_12_</v>
      </c>
      <c r="K1620" s="859">
        <v>17.149666666666668</v>
      </c>
      <c r="L1620" s="244"/>
      <c r="M1620" s="1503" t="s">
        <v>929</v>
      </c>
      <c r="P1620" s="243"/>
      <c r="Q1620" s="243"/>
      <c r="R1620" s="243"/>
      <c r="T1620" s="166"/>
      <c r="U1620" s="50"/>
      <c r="V1620" s="2394"/>
      <c r="W1620" s="1268">
        <v>17</v>
      </c>
      <c r="X1620" s="1268">
        <v>17</v>
      </c>
      <c r="Y1620" s="779">
        <v>17</v>
      </c>
      <c r="Z1620" s="1268">
        <v>17</v>
      </c>
      <c r="AA1620" s="1268">
        <v>17</v>
      </c>
      <c r="AB1620" s="194">
        <v>17</v>
      </c>
      <c r="AC1620" s="195">
        <v>17.3</v>
      </c>
      <c r="AD1620" s="910">
        <v>17.237142857142857</v>
      </c>
      <c r="AE1620" s="910">
        <v>17.149666666666668</v>
      </c>
      <c r="AF1620" s="253">
        <v>17.149666666666668</v>
      </c>
      <c r="AG1620" s="253">
        <f t="shared" si="223"/>
        <v>17.149666666666668</v>
      </c>
      <c r="DG1620" s="543"/>
      <c r="DH1620" s="149"/>
      <c r="DI1620" s="1020"/>
      <c r="DJ1620" s="2045"/>
    </row>
    <row r="1621" spans="1:114" ht="15.75" customHeight="1" outlineLevel="1" x14ac:dyDescent="0.25">
      <c r="A1621" s="2145"/>
      <c r="C1621" s="49"/>
      <c r="D1621" s="2394"/>
      <c r="E1621" s="2394"/>
      <c r="F1621" s="1968" t="s">
        <v>1162</v>
      </c>
      <c r="G1621" s="1969"/>
      <c r="H1621" s="1969"/>
      <c r="I1621" s="1970"/>
      <c r="J1621" s="2095" t="s">
        <v>1161</v>
      </c>
      <c r="K1621" s="1957">
        <v>17.100000000000001</v>
      </c>
      <c r="L1621" s="913"/>
      <c r="M1621" s="645" t="s">
        <v>1297</v>
      </c>
      <c r="T1621" s="50"/>
      <c r="U1621" s="50"/>
      <c r="V1621" s="2394"/>
      <c r="W1621" s="1268"/>
      <c r="X1621" s="1268"/>
      <c r="Y1621" s="1268"/>
      <c r="Z1621" s="1268"/>
      <c r="AA1621" s="1268"/>
      <c r="AB1621" s="1268"/>
      <c r="AC1621" s="752"/>
      <c r="AD1621" s="966"/>
      <c r="AE1621" s="909"/>
      <c r="AF1621" s="253"/>
      <c r="AG1621" s="253">
        <f>IF(K1621&lt;&gt;"",K1621,"")</f>
        <v>17.100000000000001</v>
      </c>
      <c r="DG1621" s="543"/>
      <c r="DH1621" s="149"/>
      <c r="DI1621" s="1020"/>
      <c r="DJ1621" s="2045"/>
    </row>
    <row r="1622" spans="1:114" ht="15" customHeight="1" outlineLevel="1" x14ac:dyDescent="0.25">
      <c r="A1622" s="2145"/>
      <c r="C1622" s="49"/>
      <c r="D1622" s="2394"/>
      <c r="E1622" s="2394"/>
      <c r="F1622" s="2404" t="str">
        <f>$E$703</f>
        <v>ASHP-SEER17-Replace_CAC_NonElectricHeat_ROF_SF</v>
      </c>
      <c r="G1622" s="2404"/>
      <c r="H1622" s="2404"/>
      <c r="I1622" s="2404"/>
      <c r="J1622" s="1506" t="str">
        <f>$C$703</f>
        <v>353110_2024_12_</v>
      </c>
      <c r="K1622" s="859">
        <v>17.149666666666668</v>
      </c>
      <c r="L1622" s="244"/>
      <c r="M1622" s="1503" t="s">
        <v>1018</v>
      </c>
      <c r="P1622" s="243"/>
      <c r="Q1622" s="243"/>
      <c r="R1622" s="243"/>
      <c r="T1622" s="166"/>
      <c r="U1622" s="50"/>
      <c r="V1622" s="2394"/>
      <c r="W1622" s="1268"/>
      <c r="X1622" s="1268"/>
      <c r="Y1622" s="1268"/>
      <c r="Z1622" s="1268"/>
      <c r="AA1622" s="1268"/>
      <c r="AB1622" s="194"/>
      <c r="AC1622" s="194"/>
      <c r="AD1622" s="910">
        <v>17.237142857142857</v>
      </c>
      <c r="AE1622" s="910">
        <v>17.149666666666668</v>
      </c>
      <c r="AF1622" s="253">
        <v>17.149666666666668</v>
      </c>
      <c r="AG1622" s="253">
        <f t="shared" si="223"/>
        <v>17.149666666666668</v>
      </c>
      <c r="DG1622" s="543"/>
      <c r="DH1622" s="149"/>
      <c r="DI1622" s="1020"/>
      <c r="DJ1622" s="2045"/>
    </row>
    <row r="1623" spans="1:114" ht="15" customHeight="1" outlineLevel="1" x14ac:dyDescent="0.25">
      <c r="A1623" s="2145"/>
      <c r="C1623" s="49"/>
      <c r="D1623" s="2394"/>
      <c r="E1623" s="2394"/>
      <c r="F1623" s="2404" t="str">
        <f>$E$705</f>
        <v>ASHP-SEER18-Replace_CAC_ElectricHeat_ROF_SF</v>
      </c>
      <c r="G1623" s="2404"/>
      <c r="H1623" s="2404"/>
      <c r="I1623" s="2404"/>
      <c r="J1623" s="1506" t="str">
        <f>$C$705</f>
        <v>353200_2024_12_</v>
      </c>
      <c r="K1623" s="859">
        <v>18.027777777777779</v>
      </c>
      <c r="L1623" s="244"/>
      <c r="M1623" s="1503" t="s">
        <v>929</v>
      </c>
      <c r="P1623" s="243"/>
      <c r="Q1623" s="243"/>
      <c r="R1623" s="243"/>
      <c r="T1623" s="166"/>
      <c r="U1623" s="50"/>
      <c r="V1623" s="2394"/>
      <c r="W1623" s="1268">
        <v>18</v>
      </c>
      <c r="X1623" s="1268">
        <v>18</v>
      </c>
      <c r="Y1623" s="779">
        <v>18</v>
      </c>
      <c r="Z1623" s="1268">
        <v>18</v>
      </c>
      <c r="AA1623" s="1268">
        <v>18</v>
      </c>
      <c r="AB1623" s="195">
        <v>19</v>
      </c>
      <c r="AC1623" s="195">
        <v>17.736216216216217</v>
      </c>
      <c r="AD1623" s="910">
        <v>17.872340425531913</v>
      </c>
      <c r="AE1623" s="910">
        <v>18.027777777777779</v>
      </c>
      <c r="AF1623" s="253">
        <v>18.027777777777779</v>
      </c>
      <c r="AG1623" s="253">
        <f t="shared" si="223"/>
        <v>18.027777777777779</v>
      </c>
      <c r="DG1623" s="543"/>
      <c r="DH1623" s="149"/>
      <c r="DI1623" s="1020"/>
      <c r="DJ1623" s="2045"/>
    </row>
    <row r="1624" spans="1:114" ht="15" customHeight="1" outlineLevel="1" x14ac:dyDescent="0.25">
      <c r="A1624" s="2145"/>
      <c r="C1624" s="49"/>
      <c r="D1624" s="2394"/>
      <c r="E1624" s="2394"/>
      <c r="F1624" s="2404" t="str">
        <f>$E$707</f>
        <v>ASHP-SEER18-Replace_CAC_NonElectricHeat_ROF_SF</v>
      </c>
      <c r="G1624" s="2404"/>
      <c r="H1624" s="2404"/>
      <c r="I1624" s="2404"/>
      <c r="J1624" s="1506" t="str">
        <f>$C$707</f>
        <v>353210_2024_12_</v>
      </c>
      <c r="K1624" s="859">
        <v>18.027777777777779</v>
      </c>
      <c r="L1624" s="244"/>
      <c r="M1624" s="1503" t="s">
        <v>1018</v>
      </c>
      <c r="P1624" s="243"/>
      <c r="Q1624" s="243"/>
      <c r="R1624" s="243"/>
      <c r="T1624" s="166"/>
      <c r="U1624" s="50"/>
      <c r="V1624" s="2394"/>
      <c r="W1624" s="1268"/>
      <c r="X1624" s="1268"/>
      <c r="Y1624" s="1268"/>
      <c r="Z1624" s="1268"/>
      <c r="AA1624" s="1268"/>
      <c r="AB1624" s="194"/>
      <c r="AC1624" s="194"/>
      <c r="AD1624" s="910">
        <v>17.872340425531913</v>
      </c>
      <c r="AE1624" s="910">
        <v>18.027777777777779</v>
      </c>
      <c r="AF1624" s="253">
        <v>18.027777777777779</v>
      </c>
      <c r="AG1624" s="253">
        <f t="shared" si="223"/>
        <v>18.027777777777779</v>
      </c>
      <c r="DG1624" s="543"/>
      <c r="DH1624" s="149"/>
      <c r="DI1624" s="1020"/>
      <c r="DJ1624" s="2045"/>
    </row>
    <row r="1625" spans="1:114" ht="15" customHeight="1" outlineLevel="1" x14ac:dyDescent="0.25">
      <c r="A1625" s="2145"/>
      <c r="C1625" s="49"/>
      <c r="D1625" s="2394"/>
      <c r="E1625" s="2394"/>
      <c r="F1625" s="2404" t="str">
        <f>$E$709</f>
        <v>ASHP-SEER19-Replace_CAC_ElectricHeat_ROF_SF</v>
      </c>
      <c r="G1625" s="2404"/>
      <c r="H1625" s="2404"/>
      <c r="I1625" s="2404"/>
      <c r="J1625" s="1506" t="str">
        <f>$C$709</f>
        <v>353300_2024_12_</v>
      </c>
      <c r="K1625" s="859">
        <v>19.28846153846154</v>
      </c>
      <c r="L1625" s="244"/>
      <c r="M1625" s="1503" t="s">
        <v>931</v>
      </c>
      <c r="P1625" s="243"/>
      <c r="Q1625" s="243"/>
      <c r="R1625" s="243"/>
      <c r="T1625" s="166"/>
      <c r="U1625" s="50"/>
      <c r="V1625" s="2394"/>
      <c r="W1625" s="1268">
        <v>19</v>
      </c>
      <c r="X1625" s="1268">
        <v>19</v>
      </c>
      <c r="Y1625" s="779">
        <v>19</v>
      </c>
      <c r="Z1625" s="1268">
        <v>19</v>
      </c>
      <c r="AA1625" s="1268">
        <v>19</v>
      </c>
      <c r="AB1625" s="194">
        <v>19</v>
      </c>
      <c r="AC1625" s="194">
        <v>19</v>
      </c>
      <c r="AD1625" s="910">
        <v>19.28846153846154</v>
      </c>
      <c r="AE1625" s="911">
        <v>19.28846153846154</v>
      </c>
      <c r="AF1625" s="253">
        <v>19.28846153846154</v>
      </c>
      <c r="AG1625" s="253">
        <f t="shared" si="223"/>
        <v>19.28846153846154</v>
      </c>
      <c r="DG1625" s="543"/>
      <c r="DH1625" s="149"/>
      <c r="DI1625" s="1020"/>
      <c r="DJ1625" s="2045"/>
    </row>
    <row r="1626" spans="1:114" ht="15" customHeight="1" outlineLevel="1" x14ac:dyDescent="0.25">
      <c r="A1626" s="2145"/>
      <c r="C1626" s="49"/>
      <c r="D1626" s="2394"/>
      <c r="E1626" s="2394"/>
      <c r="F1626" s="2404" t="str">
        <f>$E$711</f>
        <v>ASHP-SEER19-Replace_CAC_NonElectricHeat_ROF_SF</v>
      </c>
      <c r="G1626" s="2404"/>
      <c r="H1626" s="2404"/>
      <c r="I1626" s="2404"/>
      <c r="J1626" s="1506" t="str">
        <f>$C$711</f>
        <v>353310_2024_12_</v>
      </c>
      <c r="K1626" s="859">
        <v>19.28846153846154</v>
      </c>
      <c r="L1626" s="244"/>
      <c r="M1626" s="1503" t="s">
        <v>1018</v>
      </c>
      <c r="P1626" s="243"/>
      <c r="Q1626" s="243"/>
      <c r="R1626" s="243"/>
      <c r="T1626" s="166"/>
      <c r="U1626" s="50"/>
      <c r="V1626" s="2394"/>
      <c r="W1626" s="1268"/>
      <c r="X1626" s="1268"/>
      <c r="Y1626" s="1268"/>
      <c r="Z1626" s="1268"/>
      <c r="AA1626" s="1268"/>
      <c r="AB1626" s="194"/>
      <c r="AC1626" s="194"/>
      <c r="AD1626" s="910">
        <v>19.28846153846154</v>
      </c>
      <c r="AE1626" s="911">
        <v>19.28846153846154</v>
      </c>
      <c r="AF1626" s="253">
        <v>19.28846153846154</v>
      </c>
      <c r="AG1626" s="253">
        <f t="shared" si="223"/>
        <v>19.28846153846154</v>
      </c>
      <c r="DG1626" s="543"/>
      <c r="DH1626" s="149"/>
      <c r="DI1626" s="1020"/>
      <c r="DJ1626" s="2045"/>
    </row>
    <row r="1627" spans="1:114" ht="15" customHeight="1" outlineLevel="1" x14ac:dyDescent="0.25">
      <c r="A1627" s="2145"/>
      <c r="C1627" s="49"/>
      <c r="D1627" s="2394"/>
      <c r="E1627" s="2394"/>
      <c r="F1627" s="2404" t="str">
        <f>$E$713</f>
        <v>ASHP-SEER20-Replace_CAC_ElectricHeat_ER1_SF</v>
      </c>
      <c r="G1627" s="2404"/>
      <c r="H1627" s="2404"/>
      <c r="I1627" s="2404"/>
      <c r="J1627" s="1506" t="str">
        <f>$C$713</f>
        <v>353400_2024_12_</v>
      </c>
      <c r="K1627" s="859">
        <v>20.048611111111107</v>
      </c>
      <c r="L1627" s="244"/>
      <c r="M1627" s="1503" t="s">
        <v>931</v>
      </c>
      <c r="P1627" s="243"/>
      <c r="Q1627" s="243"/>
      <c r="R1627" s="243"/>
      <c r="T1627" s="166"/>
      <c r="U1627" s="50"/>
      <c r="V1627" s="2394"/>
      <c r="W1627" s="1268">
        <v>20</v>
      </c>
      <c r="X1627" s="1268">
        <v>20</v>
      </c>
      <c r="Y1627" s="1268">
        <v>20</v>
      </c>
      <c r="Z1627" s="1268">
        <v>20</v>
      </c>
      <c r="AA1627" s="1268">
        <v>20</v>
      </c>
      <c r="AB1627" s="194">
        <v>20</v>
      </c>
      <c r="AC1627" s="195">
        <v>20</v>
      </c>
      <c r="AD1627" s="910">
        <v>20.033333333333335</v>
      </c>
      <c r="AE1627" s="910">
        <v>20.048611111111107</v>
      </c>
      <c r="AF1627" s="253">
        <v>20.048611111111107</v>
      </c>
      <c r="AG1627" s="253">
        <f t="shared" si="223"/>
        <v>20.048611111111107</v>
      </c>
      <c r="DG1627" s="543"/>
      <c r="DH1627" s="149"/>
      <c r="DI1627" s="1020"/>
      <c r="DJ1627" s="2045"/>
    </row>
    <row r="1628" spans="1:114" ht="15" customHeight="1" outlineLevel="1" x14ac:dyDescent="0.25">
      <c r="A1628" s="2145"/>
      <c r="C1628" s="49"/>
      <c r="D1628" s="2394"/>
      <c r="E1628" s="2394"/>
      <c r="F1628" s="2404" t="str">
        <f>$E$715</f>
        <v>ASHP-SEER20-Replace_CAC_ElectricHeat_ER2_SF</v>
      </c>
      <c r="G1628" s="2404"/>
      <c r="H1628" s="2404"/>
      <c r="I1628" s="2404"/>
      <c r="J1628" s="1506" t="str">
        <f>$C$715</f>
        <v>353400_2024_12_</v>
      </c>
      <c r="K1628" s="859">
        <v>20.048611111111107</v>
      </c>
      <c r="L1628" s="244"/>
      <c r="M1628" s="1503" t="s">
        <v>931</v>
      </c>
      <c r="P1628" s="243"/>
      <c r="Q1628" s="243"/>
      <c r="R1628" s="243"/>
      <c r="T1628" s="166"/>
      <c r="U1628" s="50"/>
      <c r="V1628" s="2394"/>
      <c r="W1628" s="1268">
        <v>20</v>
      </c>
      <c r="X1628" s="1268">
        <v>20</v>
      </c>
      <c r="Y1628" s="1268">
        <v>20</v>
      </c>
      <c r="Z1628" s="1268">
        <v>20</v>
      </c>
      <c r="AA1628" s="1268">
        <v>20</v>
      </c>
      <c r="AB1628" s="194">
        <v>20</v>
      </c>
      <c r="AC1628" s="195">
        <f>AC1627</f>
        <v>20</v>
      </c>
      <c r="AD1628" s="910">
        <v>20.033333333333335</v>
      </c>
      <c r="AE1628" s="910">
        <v>20.048611111111107</v>
      </c>
      <c r="AF1628" s="253">
        <v>20.048611111111107</v>
      </c>
      <c r="AG1628" s="253">
        <f t="shared" si="223"/>
        <v>20.048611111111107</v>
      </c>
      <c r="DG1628" s="543"/>
      <c r="DH1628" s="149"/>
      <c r="DI1628" s="1020"/>
      <c r="DJ1628" s="2045"/>
    </row>
    <row r="1629" spans="1:114" ht="15" customHeight="1" outlineLevel="1" x14ac:dyDescent="0.25">
      <c r="A1629" s="2145"/>
      <c r="C1629" s="49"/>
      <c r="D1629" s="2394"/>
      <c r="E1629" s="2394"/>
      <c r="F1629" s="2404" t="str">
        <f>$E$717</f>
        <v>ASHP-SEER20-Replace_CAC_NonElectricHeat_ER1_SF</v>
      </c>
      <c r="G1629" s="2404"/>
      <c r="H1629" s="2404"/>
      <c r="I1629" s="2404"/>
      <c r="J1629" s="1506" t="str">
        <f>$C$717</f>
        <v>353410_2024_12_</v>
      </c>
      <c r="K1629" s="859">
        <v>20.048611111111107</v>
      </c>
      <c r="L1629" s="244"/>
      <c r="M1629" s="1504" t="s">
        <v>1018</v>
      </c>
      <c r="P1629" s="243"/>
      <c r="Q1629" s="243"/>
      <c r="R1629" s="243"/>
      <c r="T1629" s="166"/>
      <c r="U1629" s="50"/>
      <c r="V1629" s="2394"/>
      <c r="W1629" s="1268"/>
      <c r="X1629" s="1268"/>
      <c r="Y1629" s="1268"/>
      <c r="Z1629" s="1268"/>
      <c r="AA1629" s="1268"/>
      <c r="AB1629" s="194"/>
      <c r="AC1629" s="195">
        <v>20</v>
      </c>
      <c r="AD1629" s="910">
        <v>20.033333333333335</v>
      </c>
      <c r="AE1629" s="910">
        <v>20.048611111111107</v>
      </c>
      <c r="AF1629" s="253">
        <v>20.048611111111107</v>
      </c>
      <c r="AG1629" s="253">
        <f t="shared" si="223"/>
        <v>20.048611111111107</v>
      </c>
      <c r="DG1629" s="543"/>
      <c r="DH1629" s="149"/>
      <c r="DI1629" s="1020"/>
      <c r="DJ1629" s="2045"/>
    </row>
    <row r="1630" spans="1:114" ht="15" customHeight="1" outlineLevel="1" x14ac:dyDescent="0.25">
      <c r="A1630" s="2145"/>
      <c r="C1630" s="49"/>
      <c r="D1630" s="2394"/>
      <c r="E1630" s="2394"/>
      <c r="F1630" s="2404" t="str">
        <f>$E$719</f>
        <v>ASHP-SEER20-Replace_CAC_NonElectricHeat_ER2_SF</v>
      </c>
      <c r="G1630" s="2404"/>
      <c r="H1630" s="2404"/>
      <c r="I1630" s="2404"/>
      <c r="J1630" s="1506" t="str">
        <f>$C$719</f>
        <v>353410_2024_12_</v>
      </c>
      <c r="K1630" s="859">
        <v>20.048611111111107</v>
      </c>
      <c r="L1630" s="244"/>
      <c r="M1630" s="1504" t="s">
        <v>1018</v>
      </c>
      <c r="P1630" s="243"/>
      <c r="Q1630" s="243"/>
      <c r="R1630" s="243"/>
      <c r="T1630" s="166"/>
      <c r="U1630" s="50"/>
      <c r="V1630" s="2394"/>
      <c r="W1630" s="1268"/>
      <c r="X1630" s="1268"/>
      <c r="Y1630" s="1268"/>
      <c r="Z1630" s="1268"/>
      <c r="AA1630" s="1268"/>
      <c r="AB1630" s="194"/>
      <c r="AC1630" s="195">
        <f>AC1629</f>
        <v>20</v>
      </c>
      <c r="AD1630" s="910">
        <v>20.033333333333335</v>
      </c>
      <c r="AE1630" s="910">
        <v>20.048611111111107</v>
      </c>
      <c r="AF1630" s="253">
        <v>20.048611111111107</v>
      </c>
      <c r="AG1630" s="253">
        <f t="shared" si="223"/>
        <v>20.048611111111107</v>
      </c>
      <c r="DG1630" s="543"/>
      <c r="DH1630" s="149"/>
      <c r="DI1630" s="1020"/>
      <c r="DJ1630" s="2045"/>
    </row>
    <row r="1631" spans="1:114" ht="15.75" customHeight="1" outlineLevel="1" x14ac:dyDescent="0.25">
      <c r="A1631" s="2145"/>
      <c r="C1631" s="49"/>
      <c r="D1631" s="2394"/>
      <c r="E1631" s="2394"/>
      <c r="F1631" s="1968" t="s">
        <v>1180</v>
      </c>
      <c r="G1631" s="1969"/>
      <c r="H1631" s="1969"/>
      <c r="I1631" s="1970"/>
      <c r="J1631" s="2095" t="s">
        <v>1179</v>
      </c>
      <c r="K1631" s="1957">
        <v>20</v>
      </c>
      <c r="L1631" s="913"/>
      <c r="M1631" s="645" t="s">
        <v>1297</v>
      </c>
      <c r="T1631" s="50"/>
      <c r="U1631" s="50"/>
      <c r="V1631" s="2394"/>
      <c r="W1631" s="1268"/>
      <c r="X1631" s="1268"/>
      <c r="Y1631" s="1268"/>
      <c r="Z1631" s="1268"/>
      <c r="AA1631" s="1268"/>
      <c r="AB1631" s="1268"/>
      <c r="AC1631" s="752"/>
      <c r="AD1631" s="966"/>
      <c r="AE1631" s="909"/>
      <c r="AF1631" s="253"/>
      <c r="AG1631" s="253">
        <f>IF(K1631&lt;&gt;"",K1631,"")</f>
        <v>20</v>
      </c>
      <c r="DG1631" s="543"/>
      <c r="DH1631" s="149"/>
      <c r="DI1631" s="1020"/>
      <c r="DJ1631" s="2045"/>
    </row>
    <row r="1632" spans="1:114" ht="15.75" customHeight="1" outlineLevel="1" x14ac:dyDescent="0.25">
      <c r="A1632" s="2145"/>
      <c r="C1632" s="49"/>
      <c r="D1632" s="2394"/>
      <c r="E1632" s="2394"/>
      <c r="F1632" s="1968" t="s">
        <v>1181</v>
      </c>
      <c r="G1632" s="1969"/>
      <c r="H1632" s="1969"/>
      <c r="I1632" s="1970"/>
      <c r="J1632" s="2095" t="s">
        <v>1179</v>
      </c>
      <c r="K1632" s="1957">
        <v>20</v>
      </c>
      <c r="L1632" s="913"/>
      <c r="M1632" s="645" t="s">
        <v>1297</v>
      </c>
      <c r="T1632" s="50"/>
      <c r="U1632" s="50"/>
      <c r="V1632" s="2394"/>
      <c r="W1632" s="1268"/>
      <c r="X1632" s="1268"/>
      <c r="Y1632" s="1268"/>
      <c r="Z1632" s="1268"/>
      <c r="AA1632" s="1268"/>
      <c r="AB1632" s="1268"/>
      <c r="AC1632" s="752"/>
      <c r="AD1632" s="966"/>
      <c r="AE1632" s="909"/>
      <c r="AF1632" s="253"/>
      <c r="AG1632" s="253">
        <f>IF(K1632&lt;&gt;"",K1632,"")</f>
        <v>20</v>
      </c>
      <c r="DG1632" s="543"/>
      <c r="DH1632" s="149"/>
      <c r="DI1632" s="1020"/>
      <c r="DJ1632" s="2045"/>
    </row>
    <row r="1633" spans="1:114" ht="15" customHeight="1" outlineLevel="1" x14ac:dyDescent="0.25">
      <c r="A1633" s="2145"/>
      <c r="C1633" s="49"/>
      <c r="D1633" s="2394"/>
      <c r="E1633" s="2394"/>
      <c r="F1633" s="2404" t="str">
        <f>$E$725</f>
        <v>ASHP-SEER20-Replace_CAC_ElectricHeat_ROF_SF</v>
      </c>
      <c r="G1633" s="2404"/>
      <c r="H1633" s="2404"/>
      <c r="I1633" s="2404"/>
      <c r="J1633" s="1506" t="str">
        <f>$C$725</f>
        <v>353450_2024_12_</v>
      </c>
      <c r="K1633" s="859">
        <v>20.089285714285715</v>
      </c>
      <c r="L1633" s="244"/>
      <c r="M1633" s="1503" t="s">
        <v>931</v>
      </c>
      <c r="P1633" s="243"/>
      <c r="Q1633" s="243"/>
      <c r="R1633" s="243"/>
      <c r="T1633" s="166"/>
      <c r="U1633" s="50"/>
      <c r="V1633" s="2394"/>
      <c r="W1633" s="1268">
        <v>20</v>
      </c>
      <c r="X1633" s="1268">
        <v>20</v>
      </c>
      <c r="Y1633" s="1268">
        <v>20</v>
      </c>
      <c r="Z1633" s="1268">
        <v>20</v>
      </c>
      <c r="AA1633" s="1268">
        <v>20</v>
      </c>
      <c r="AB1633" s="194">
        <v>20</v>
      </c>
      <c r="AC1633" s="195">
        <v>20</v>
      </c>
      <c r="AD1633" s="910">
        <v>20.089285714285715</v>
      </c>
      <c r="AE1633" s="911">
        <v>20.089285714285715</v>
      </c>
      <c r="AF1633" s="253">
        <v>20.089285714285715</v>
      </c>
      <c r="AG1633" s="253">
        <f t="shared" si="223"/>
        <v>20.089285714285715</v>
      </c>
      <c r="DG1633" s="543"/>
      <c r="DH1633" s="149"/>
      <c r="DI1633" s="1020"/>
      <c r="DJ1633" s="2045"/>
    </row>
    <row r="1634" spans="1:114" ht="15.75" customHeight="1" outlineLevel="1" x14ac:dyDescent="0.25">
      <c r="A1634" s="2145"/>
      <c r="C1634" s="49"/>
      <c r="D1634" s="2394"/>
      <c r="E1634" s="2394"/>
      <c r="F1634" s="1968" t="s">
        <v>1185</v>
      </c>
      <c r="G1634" s="1969"/>
      <c r="H1634" s="1969"/>
      <c r="I1634" s="1970"/>
      <c r="J1634" s="2095" t="s">
        <v>1184</v>
      </c>
      <c r="K1634" s="1957">
        <v>20.8</v>
      </c>
      <c r="L1634" s="913"/>
      <c r="M1634" s="645" t="s">
        <v>1297</v>
      </c>
      <c r="T1634" s="50"/>
      <c r="U1634" s="50"/>
      <c r="V1634" s="2394"/>
      <c r="W1634" s="1268"/>
      <c r="X1634" s="1268"/>
      <c r="Y1634" s="1268"/>
      <c r="Z1634" s="1268"/>
      <c r="AA1634" s="1268"/>
      <c r="AB1634" s="1268"/>
      <c r="AC1634" s="752"/>
      <c r="AD1634" s="966"/>
      <c r="AE1634" s="909"/>
      <c r="AF1634" s="253"/>
      <c r="AG1634" s="253">
        <f>IF(K1634&lt;&gt;"",K1634,"")</f>
        <v>20.8</v>
      </c>
      <c r="DG1634" s="543"/>
      <c r="DH1634" s="149"/>
      <c r="DI1634" s="1020"/>
      <c r="DJ1634" s="2045"/>
    </row>
    <row r="1635" spans="1:114" ht="15" customHeight="1" outlineLevel="1" x14ac:dyDescent="0.25">
      <c r="A1635" s="2145"/>
      <c r="C1635" s="49"/>
      <c r="D1635" s="2394"/>
      <c r="E1635" s="2394"/>
      <c r="F1635" s="2404" t="str">
        <f>$E$729</f>
        <v>ASHP-SEER20-Replace_CAC_NonElectricHeat_ROF_SF</v>
      </c>
      <c r="G1635" s="2404"/>
      <c r="H1635" s="2404"/>
      <c r="I1635" s="2404"/>
      <c r="J1635" s="1506" t="str">
        <f>$C$729</f>
        <v>353460_2024_12_</v>
      </c>
      <c r="K1635" s="859">
        <v>20.089285714285715</v>
      </c>
      <c r="L1635" s="244"/>
      <c r="M1635" s="1503" t="s">
        <v>1018</v>
      </c>
      <c r="P1635" s="243"/>
      <c r="Q1635" s="243"/>
      <c r="R1635" s="243"/>
      <c r="T1635" s="166"/>
      <c r="U1635" s="50"/>
      <c r="V1635" s="2394"/>
      <c r="W1635" s="1268"/>
      <c r="X1635" s="1268"/>
      <c r="Y1635" s="1268"/>
      <c r="Z1635" s="1268"/>
      <c r="AA1635" s="1268"/>
      <c r="AB1635" s="194"/>
      <c r="AC1635" s="194"/>
      <c r="AD1635" s="910">
        <v>20.089285714285715</v>
      </c>
      <c r="AE1635" s="911">
        <v>20.089285714285715</v>
      </c>
      <c r="AF1635" s="253">
        <v>20.089285714285715</v>
      </c>
      <c r="AG1635" s="253">
        <f t="shared" si="223"/>
        <v>20.089285714285715</v>
      </c>
      <c r="DG1635" s="543"/>
      <c r="DH1635" s="149"/>
      <c r="DI1635" s="1020"/>
      <c r="DJ1635" s="2045"/>
    </row>
    <row r="1636" spans="1:114" ht="15" customHeight="1" outlineLevel="1" x14ac:dyDescent="0.25">
      <c r="A1636" s="2145"/>
      <c r="C1636" s="49"/>
      <c r="D1636" s="2394"/>
      <c r="E1636" s="2394"/>
      <c r="F1636" s="2404" t="str">
        <f>$E$731</f>
        <v>ASHP-SEER21-Replace_CAC_ElectricHeat_ER1_SF</v>
      </c>
      <c r="G1636" s="2404"/>
      <c r="H1636" s="2404"/>
      <c r="I1636" s="2404"/>
      <c r="J1636" s="1506" t="str">
        <f>$C$731</f>
        <v>353550_2024_12_</v>
      </c>
      <c r="K1636" s="859">
        <v>21.617021276595743</v>
      </c>
      <c r="L1636" s="244"/>
      <c r="M1636" s="1503" t="s">
        <v>931</v>
      </c>
      <c r="P1636" s="243"/>
      <c r="Q1636" s="192"/>
      <c r="R1636" s="243"/>
      <c r="T1636" s="166"/>
      <c r="U1636" s="50"/>
      <c r="V1636" s="2394"/>
      <c r="W1636" s="1268">
        <v>21</v>
      </c>
      <c r="X1636" s="1268">
        <v>21</v>
      </c>
      <c r="Y1636" s="1268">
        <v>21</v>
      </c>
      <c r="Z1636" s="1268">
        <v>21</v>
      </c>
      <c r="AA1636" s="1268">
        <v>21</v>
      </c>
      <c r="AB1636" s="194">
        <v>21</v>
      </c>
      <c r="AC1636" s="195">
        <v>21.65909090909091</v>
      </c>
      <c r="AD1636" s="910">
        <v>21.551136363636363</v>
      </c>
      <c r="AE1636" s="910">
        <v>21.617021276595743</v>
      </c>
      <c r="AF1636" s="253">
        <v>21.617021276595743</v>
      </c>
      <c r="AG1636" s="253">
        <f t="shared" si="223"/>
        <v>21.617021276595743</v>
      </c>
      <c r="DG1636" s="543"/>
      <c r="DH1636" s="149"/>
      <c r="DI1636" s="1020"/>
      <c r="DJ1636" s="2045"/>
    </row>
    <row r="1637" spans="1:114" ht="15" customHeight="1" outlineLevel="1" x14ac:dyDescent="0.25">
      <c r="A1637" s="2145"/>
      <c r="C1637" s="49"/>
      <c r="D1637" s="2394"/>
      <c r="E1637" s="2394"/>
      <c r="F1637" s="2404" t="str">
        <f>$E$733</f>
        <v>ASHP-SEER21-Replace_CAC_ElectricHeat_ER2_SF</v>
      </c>
      <c r="G1637" s="2404"/>
      <c r="H1637" s="2404"/>
      <c r="I1637" s="2404"/>
      <c r="J1637" s="1506" t="str">
        <f>$C$733</f>
        <v>353550_2024_12_</v>
      </c>
      <c r="K1637" s="859">
        <v>21.617021276595743</v>
      </c>
      <c r="L1637" s="244"/>
      <c r="M1637" s="1503" t="s">
        <v>931</v>
      </c>
      <c r="P1637" s="243"/>
      <c r="Q1637" s="192"/>
      <c r="R1637" s="243"/>
      <c r="T1637" s="166"/>
      <c r="U1637" s="50"/>
      <c r="V1637" s="2394"/>
      <c r="W1637" s="1268">
        <v>21</v>
      </c>
      <c r="X1637" s="1268">
        <v>21</v>
      </c>
      <c r="Y1637" s="1268">
        <v>21</v>
      </c>
      <c r="Z1637" s="1268">
        <v>21</v>
      </c>
      <c r="AA1637" s="1268">
        <v>21</v>
      </c>
      <c r="AB1637" s="194">
        <v>21</v>
      </c>
      <c r="AC1637" s="195">
        <f>AC1636</f>
        <v>21.65909090909091</v>
      </c>
      <c r="AD1637" s="910">
        <v>21.551136363636363</v>
      </c>
      <c r="AE1637" s="910">
        <v>21.617021276595743</v>
      </c>
      <c r="AF1637" s="253">
        <v>21.617021276595743</v>
      </c>
      <c r="AG1637" s="253">
        <f t="shared" si="223"/>
        <v>21.617021276595743</v>
      </c>
      <c r="DG1637" s="543"/>
      <c r="DH1637" s="149"/>
      <c r="DI1637" s="1020"/>
      <c r="DJ1637" s="2045"/>
    </row>
    <row r="1638" spans="1:114" ht="15" customHeight="1" outlineLevel="1" x14ac:dyDescent="0.25">
      <c r="A1638" s="2145"/>
      <c r="C1638" s="49"/>
      <c r="D1638" s="2394"/>
      <c r="E1638" s="2394"/>
      <c r="F1638" s="2404" t="str">
        <f>$E$735</f>
        <v>ASHP-SEER21-Replace_CAC_NonElectricHeat_ER1_SF</v>
      </c>
      <c r="G1638" s="2404"/>
      <c r="H1638" s="2404"/>
      <c r="I1638" s="2404"/>
      <c r="J1638" s="1506" t="str">
        <f>$C$735</f>
        <v>353560_2024_12_</v>
      </c>
      <c r="K1638" s="859">
        <v>21.617021276595743</v>
      </c>
      <c r="L1638" s="244"/>
      <c r="M1638" s="1504" t="s">
        <v>1018</v>
      </c>
      <c r="P1638" s="243"/>
      <c r="Q1638" s="192"/>
      <c r="R1638" s="243"/>
      <c r="T1638" s="166"/>
      <c r="U1638" s="50"/>
      <c r="V1638" s="2394"/>
      <c r="W1638" s="1268"/>
      <c r="X1638" s="1268"/>
      <c r="Y1638" s="1268"/>
      <c r="Z1638" s="1268"/>
      <c r="AA1638" s="1268"/>
      <c r="AB1638" s="194"/>
      <c r="AC1638" s="195">
        <v>21.65909090909091</v>
      </c>
      <c r="AD1638" s="910">
        <v>21.551136363636363</v>
      </c>
      <c r="AE1638" s="910">
        <v>21.617021276595743</v>
      </c>
      <c r="AF1638" s="253">
        <v>21.617021276595743</v>
      </c>
      <c r="AG1638" s="253">
        <f t="shared" si="223"/>
        <v>21.617021276595743</v>
      </c>
      <c r="DG1638" s="543"/>
      <c r="DH1638" s="149"/>
      <c r="DI1638" s="1020"/>
      <c r="DJ1638" s="2045"/>
    </row>
    <row r="1639" spans="1:114" ht="15" customHeight="1" outlineLevel="1" x14ac:dyDescent="0.25">
      <c r="A1639" s="2145"/>
      <c r="C1639" s="49"/>
      <c r="D1639" s="2394"/>
      <c r="E1639" s="2394"/>
      <c r="F1639" s="2404" t="str">
        <f>$E$737</f>
        <v>ASHP-SEER21-Replace_CAC_NonElectricHeat_ER2_SF</v>
      </c>
      <c r="G1639" s="2404"/>
      <c r="H1639" s="2404"/>
      <c r="I1639" s="2404"/>
      <c r="J1639" s="1506" t="str">
        <f>$C$737</f>
        <v>353560_2024_12_</v>
      </c>
      <c r="K1639" s="859">
        <v>21.617021276595743</v>
      </c>
      <c r="L1639" s="244"/>
      <c r="M1639" s="1504" t="s">
        <v>1018</v>
      </c>
      <c r="P1639" s="243"/>
      <c r="Q1639" s="192"/>
      <c r="R1639" s="243"/>
      <c r="T1639" s="166"/>
      <c r="U1639" s="50"/>
      <c r="V1639" s="2394"/>
      <c r="W1639" s="1268"/>
      <c r="X1639" s="1268"/>
      <c r="Y1639" s="1268"/>
      <c r="Z1639" s="1268"/>
      <c r="AA1639" s="1268"/>
      <c r="AB1639" s="194"/>
      <c r="AC1639" s="195">
        <f>AC1638</f>
        <v>21.65909090909091</v>
      </c>
      <c r="AD1639" s="910">
        <v>21.551136363636363</v>
      </c>
      <c r="AE1639" s="910">
        <v>21.617021276595743</v>
      </c>
      <c r="AF1639" s="253">
        <v>21.617021276595743</v>
      </c>
      <c r="AG1639" s="253">
        <f t="shared" si="223"/>
        <v>21.617021276595743</v>
      </c>
      <c r="DG1639" s="543"/>
      <c r="DH1639" s="149"/>
      <c r="DI1639" s="1020"/>
      <c r="DJ1639" s="2045"/>
    </row>
    <row r="1640" spans="1:114" ht="15" customHeight="1" outlineLevel="1" x14ac:dyDescent="0.25">
      <c r="A1640" s="2145"/>
      <c r="C1640" s="49"/>
      <c r="D1640" s="2394"/>
      <c r="E1640" s="2394"/>
      <c r="F1640" s="2404" t="str">
        <f>$E$739</f>
        <v>ASHP-SEER21-Replace_CAC_ElectricHeat_ER1_MF</v>
      </c>
      <c r="G1640" s="2404"/>
      <c r="H1640" s="2404"/>
      <c r="I1640" s="2404"/>
      <c r="J1640" s="1506" t="str">
        <f>$C$739</f>
        <v>353600_2024_12_</v>
      </c>
      <c r="K1640" s="1517">
        <v>21</v>
      </c>
      <c r="L1640" s="244"/>
      <c r="M1640" s="1504" t="s">
        <v>1302</v>
      </c>
      <c r="P1640" s="243"/>
      <c r="Q1640" s="192"/>
      <c r="R1640" s="243"/>
      <c r="T1640" s="166"/>
      <c r="U1640" s="50"/>
      <c r="V1640" s="2394"/>
      <c r="W1640" s="1268">
        <v>21</v>
      </c>
      <c r="X1640" s="1268">
        <v>21</v>
      </c>
      <c r="Y1640" s="1268">
        <v>21</v>
      </c>
      <c r="Z1640" s="1268">
        <v>21</v>
      </c>
      <c r="AA1640" s="1268">
        <v>21</v>
      </c>
      <c r="AB1640" s="194">
        <v>21</v>
      </c>
      <c r="AC1640" s="194">
        <v>21</v>
      </c>
      <c r="AD1640" s="194">
        <v>21</v>
      </c>
      <c r="AE1640" s="194">
        <v>21</v>
      </c>
      <c r="AF1640" s="253">
        <v>21</v>
      </c>
      <c r="AG1640" s="253">
        <f t="shared" si="223"/>
        <v>21</v>
      </c>
      <c r="DG1640" s="543"/>
      <c r="DH1640" s="149"/>
      <c r="DI1640" s="1020"/>
      <c r="DJ1640" s="2045"/>
    </row>
    <row r="1641" spans="1:114" ht="15" customHeight="1" outlineLevel="1" x14ac:dyDescent="0.25">
      <c r="A1641" s="2145"/>
      <c r="C1641" s="49"/>
      <c r="D1641" s="2394"/>
      <c r="E1641" s="2394"/>
      <c r="F1641" s="2404" t="str">
        <f>$E$741</f>
        <v>ASHP-SEER21-Replace_CAC_ElectricHeat_ER2_MF</v>
      </c>
      <c r="G1641" s="2404"/>
      <c r="H1641" s="2404"/>
      <c r="I1641" s="2404"/>
      <c r="J1641" s="1506" t="str">
        <f>$C$741</f>
        <v>353600_2024_12_</v>
      </c>
      <c r="K1641" s="1517">
        <v>21</v>
      </c>
      <c r="L1641" s="244"/>
      <c r="M1641" s="1504" t="s">
        <v>1302</v>
      </c>
      <c r="P1641" s="243"/>
      <c r="Q1641" s="192"/>
      <c r="R1641" s="243"/>
      <c r="T1641" s="166"/>
      <c r="U1641" s="50"/>
      <c r="V1641" s="2394"/>
      <c r="W1641" s="1268">
        <v>21</v>
      </c>
      <c r="X1641" s="1268">
        <v>21</v>
      </c>
      <c r="Y1641" s="1268">
        <v>21</v>
      </c>
      <c r="Z1641" s="1268">
        <v>21</v>
      </c>
      <c r="AA1641" s="1268">
        <v>21</v>
      </c>
      <c r="AB1641" s="194">
        <v>21</v>
      </c>
      <c r="AC1641" s="194">
        <v>21</v>
      </c>
      <c r="AD1641" s="194">
        <v>21</v>
      </c>
      <c r="AE1641" s="194">
        <v>21</v>
      </c>
      <c r="AF1641" s="253">
        <v>21</v>
      </c>
      <c r="AG1641" s="253">
        <f t="shared" si="223"/>
        <v>21</v>
      </c>
      <c r="DG1641" s="543"/>
      <c r="DH1641" s="149"/>
      <c r="DI1641" s="1020"/>
      <c r="DJ1641" s="2045"/>
    </row>
    <row r="1642" spans="1:114" ht="15" customHeight="1" outlineLevel="1" x14ac:dyDescent="0.25">
      <c r="A1642" s="2145"/>
      <c r="C1642" s="49"/>
      <c r="D1642" s="2394"/>
      <c r="E1642" s="2394"/>
      <c r="F1642" s="2404" t="str">
        <f>$E$743</f>
        <v>ASHP-SEER21-Replace_CAC_ElectricHeat_ROF_SF</v>
      </c>
      <c r="G1642" s="2404"/>
      <c r="H1642" s="2404"/>
      <c r="I1642" s="2404"/>
      <c r="J1642" s="1506" t="str">
        <f>$C$743</f>
        <v>353650_2024_12_</v>
      </c>
      <c r="K1642" s="859">
        <v>21.727272727272723</v>
      </c>
      <c r="L1642" s="244"/>
      <c r="M1642" s="1503" t="s">
        <v>929</v>
      </c>
      <c r="P1642" s="243"/>
      <c r="Q1642" s="192"/>
      <c r="R1642" s="243"/>
      <c r="T1642" s="166"/>
      <c r="U1642" s="50"/>
      <c r="V1642" s="2394"/>
      <c r="W1642" s="1268">
        <v>21</v>
      </c>
      <c r="X1642" s="1268">
        <v>21</v>
      </c>
      <c r="Y1642" s="1268">
        <v>21</v>
      </c>
      <c r="Z1642" s="1268">
        <v>21</v>
      </c>
      <c r="AA1642" s="1268">
        <v>21</v>
      </c>
      <c r="AB1642" s="194">
        <v>21</v>
      </c>
      <c r="AC1642" s="195">
        <v>21.5</v>
      </c>
      <c r="AD1642" s="910">
        <v>21.59375</v>
      </c>
      <c r="AE1642" s="910">
        <v>21.727272727272723</v>
      </c>
      <c r="AF1642" s="253">
        <v>21.727272727272723</v>
      </c>
      <c r="AG1642" s="253">
        <f t="shared" si="223"/>
        <v>21.727272727272723</v>
      </c>
      <c r="DG1642" s="543"/>
      <c r="DH1642" s="149"/>
      <c r="DI1642" s="1020"/>
      <c r="DJ1642" s="2045"/>
    </row>
    <row r="1643" spans="1:114" ht="15" customHeight="1" outlineLevel="1" x14ac:dyDescent="0.25">
      <c r="A1643" s="2145"/>
      <c r="C1643" s="49"/>
      <c r="D1643" s="2394"/>
      <c r="E1643" s="2394"/>
      <c r="F1643" s="2404" t="str">
        <f>$E$745</f>
        <v>ASHP-SEER21-Replace_CAC_NonElectricHeat_ROF_SF</v>
      </c>
      <c r="G1643" s="2404"/>
      <c r="H1643" s="2404"/>
      <c r="I1643" s="2404"/>
      <c r="J1643" s="1506" t="str">
        <f>$C$745</f>
        <v>353660_2024_12_</v>
      </c>
      <c r="K1643" s="859">
        <v>21.727272727272723</v>
      </c>
      <c r="L1643" s="244"/>
      <c r="M1643" s="1503" t="s">
        <v>1018</v>
      </c>
      <c r="P1643" s="243"/>
      <c r="Q1643" s="192"/>
      <c r="R1643" s="243"/>
      <c r="T1643" s="166"/>
      <c r="U1643" s="50"/>
      <c r="V1643" s="2394"/>
      <c r="W1643" s="1268"/>
      <c r="X1643" s="1268"/>
      <c r="Y1643" s="1268"/>
      <c r="Z1643" s="1268"/>
      <c r="AA1643" s="1268"/>
      <c r="AB1643" s="194"/>
      <c r="AC1643" s="194"/>
      <c r="AD1643" s="910">
        <v>21.59375</v>
      </c>
      <c r="AE1643" s="910">
        <v>21.727272727272723</v>
      </c>
      <c r="AF1643" s="253">
        <v>21.727272727272723</v>
      </c>
      <c r="AG1643" s="253">
        <f t="shared" si="223"/>
        <v>21.727272727272723</v>
      </c>
      <c r="DG1643" s="543"/>
      <c r="DH1643" s="149"/>
      <c r="DI1643" s="1020"/>
      <c r="DJ1643" s="2045"/>
    </row>
    <row r="1644" spans="1:114" ht="15" customHeight="1" outlineLevel="1" x14ac:dyDescent="0.25">
      <c r="A1644" s="2145"/>
      <c r="C1644" s="49"/>
      <c r="D1644" s="2394"/>
      <c r="E1644" s="2394"/>
      <c r="F1644" s="2404" t="str">
        <f>$E$747</f>
        <v>ASHP-SEER17_ER1_SF</v>
      </c>
      <c r="G1644" s="2404"/>
      <c r="H1644" s="2404"/>
      <c r="I1644" s="2404"/>
      <c r="J1644" s="1506" t="str">
        <f>$C$747</f>
        <v>353750_2024_12_</v>
      </c>
      <c r="K1644" s="859">
        <v>17.255828877005346</v>
      </c>
      <c r="L1644" s="244"/>
      <c r="M1644" s="1503" t="s">
        <v>931</v>
      </c>
      <c r="T1644" s="50"/>
      <c r="U1644" s="50"/>
      <c r="V1644" s="2394"/>
      <c r="W1644" s="1268">
        <v>17</v>
      </c>
      <c r="X1644" s="1268">
        <v>17</v>
      </c>
      <c r="Y1644" s="1268">
        <v>17</v>
      </c>
      <c r="Z1644" s="1268">
        <v>17</v>
      </c>
      <c r="AA1644" s="1268">
        <v>17</v>
      </c>
      <c r="AB1644" s="194">
        <v>17</v>
      </c>
      <c r="AC1644" s="195">
        <v>17.142857142857142</v>
      </c>
      <c r="AD1644" s="910">
        <v>17.195075757575758</v>
      </c>
      <c r="AE1644" s="910">
        <v>17.255828877005346</v>
      </c>
      <c r="AF1644" s="253">
        <v>17.255828877005346</v>
      </c>
      <c r="AG1644" s="253">
        <f t="shared" si="223"/>
        <v>17.255828877005346</v>
      </c>
      <c r="DG1644" s="543"/>
      <c r="DH1644" s="149"/>
      <c r="DI1644" s="1020"/>
      <c r="DJ1644" s="2045"/>
    </row>
    <row r="1645" spans="1:114" ht="15" customHeight="1" outlineLevel="1" x14ac:dyDescent="0.25">
      <c r="A1645" s="2145"/>
      <c r="C1645" s="49"/>
      <c r="D1645" s="2394"/>
      <c r="E1645" s="2394"/>
      <c r="F1645" s="2404" t="str">
        <f>$E$749</f>
        <v>ASHP-SEER17_ER2_SF</v>
      </c>
      <c r="G1645" s="2404"/>
      <c r="H1645" s="2404"/>
      <c r="I1645" s="2404"/>
      <c r="J1645" s="1506" t="str">
        <f>$C$749</f>
        <v>353750_2024_12_</v>
      </c>
      <c r="K1645" s="859">
        <v>17.255828877005346</v>
      </c>
      <c r="L1645" s="244"/>
      <c r="M1645" s="1503" t="s">
        <v>931</v>
      </c>
      <c r="P1645" s="243"/>
      <c r="Q1645" s="192"/>
      <c r="R1645" s="243"/>
      <c r="T1645" s="166"/>
      <c r="U1645" s="50"/>
      <c r="V1645" s="2394"/>
      <c r="W1645" s="1268">
        <v>17</v>
      </c>
      <c r="X1645" s="1268">
        <v>17</v>
      </c>
      <c r="Y1645" s="1268">
        <v>17</v>
      </c>
      <c r="Z1645" s="1268">
        <v>17</v>
      </c>
      <c r="AA1645" s="1268">
        <v>17</v>
      </c>
      <c r="AB1645" s="194">
        <v>17</v>
      </c>
      <c r="AC1645" s="195">
        <f>AC1644</f>
        <v>17.142857142857142</v>
      </c>
      <c r="AD1645" s="910">
        <v>17.195075757575758</v>
      </c>
      <c r="AE1645" s="910">
        <v>17.255828877005346</v>
      </c>
      <c r="AF1645" s="253">
        <v>17.255828877005346</v>
      </c>
      <c r="AG1645" s="253">
        <f t="shared" si="223"/>
        <v>17.255828877005346</v>
      </c>
      <c r="DG1645" s="543"/>
      <c r="DH1645" s="149"/>
      <c r="DI1645" s="1020"/>
      <c r="DJ1645" s="2045"/>
    </row>
    <row r="1646" spans="1:114" ht="15" customHeight="1" outlineLevel="1" x14ac:dyDescent="0.25">
      <c r="A1646" s="2145"/>
      <c r="C1646" s="49"/>
      <c r="D1646" s="2394"/>
      <c r="E1646" s="2394"/>
      <c r="F1646" s="2404" t="str">
        <f>$E$751</f>
        <v>ASHP-SEER17_ROF_SF</v>
      </c>
      <c r="G1646" s="2404"/>
      <c r="H1646" s="2404"/>
      <c r="I1646" s="2404"/>
      <c r="J1646" s="1506" t="str">
        <f>$C$751</f>
        <v>353800_2024_12_</v>
      </c>
      <c r="K1646" s="859">
        <v>17.149666666666668</v>
      </c>
      <c r="L1646" s="244"/>
      <c r="M1646" s="1503" t="s">
        <v>929</v>
      </c>
      <c r="T1646" s="50"/>
      <c r="U1646" s="50"/>
      <c r="V1646" s="2394"/>
      <c r="W1646" s="1268">
        <v>17</v>
      </c>
      <c r="X1646" s="1268">
        <v>17</v>
      </c>
      <c r="Y1646" s="1268">
        <v>17</v>
      </c>
      <c r="Z1646" s="1268">
        <v>17</v>
      </c>
      <c r="AA1646" s="1268">
        <v>17</v>
      </c>
      <c r="AB1646" s="194">
        <v>17</v>
      </c>
      <c r="AC1646" s="195">
        <v>17.795238095238094</v>
      </c>
      <c r="AD1646" s="910">
        <v>17.237142857142857</v>
      </c>
      <c r="AE1646" s="910">
        <v>17.149666666666668</v>
      </c>
      <c r="AF1646" s="253">
        <v>17.149666666666668</v>
      </c>
      <c r="AG1646" s="253">
        <f t="shared" si="223"/>
        <v>17.149666666666668</v>
      </c>
      <c r="DG1646" s="543"/>
      <c r="DH1646" s="149"/>
      <c r="DI1646" s="1020"/>
      <c r="DJ1646" s="2045"/>
    </row>
    <row r="1647" spans="1:114" ht="15" customHeight="1" outlineLevel="1" x14ac:dyDescent="0.25">
      <c r="A1647" s="2145"/>
      <c r="C1647" s="49"/>
      <c r="D1647" s="2394"/>
      <c r="E1647" s="2394"/>
      <c r="F1647" s="2404" t="str">
        <f>$E$753</f>
        <v>ASHP-SEER18_ER1_SF</v>
      </c>
      <c r="G1647" s="2404"/>
      <c r="H1647" s="2404"/>
      <c r="I1647" s="2404"/>
      <c r="J1647" s="1506" t="str">
        <f>$C$753</f>
        <v>353850_2024_12_</v>
      </c>
      <c r="K1647" s="859">
        <v>18.045275590551181</v>
      </c>
      <c r="L1647" s="244"/>
      <c r="M1647" s="1503" t="s">
        <v>931</v>
      </c>
      <c r="P1647" s="243"/>
      <c r="Q1647" s="192"/>
      <c r="R1647" s="243"/>
      <c r="T1647" s="166"/>
      <c r="U1647" s="50"/>
      <c r="V1647" s="2394"/>
      <c r="W1647" s="1268">
        <v>18</v>
      </c>
      <c r="X1647" s="1268">
        <v>18</v>
      </c>
      <c r="Y1647" s="1268">
        <v>18</v>
      </c>
      <c r="Z1647" s="1268">
        <v>18</v>
      </c>
      <c r="AA1647" s="1268">
        <v>18</v>
      </c>
      <c r="AB1647" s="195">
        <v>18.991935483870968</v>
      </c>
      <c r="AC1647" s="195">
        <v>17.920289855072465</v>
      </c>
      <c r="AD1647" s="910">
        <v>18.023684210526316</v>
      </c>
      <c r="AE1647" s="910">
        <v>18.045275590551181</v>
      </c>
      <c r="AF1647" s="253">
        <v>18.045275590551181</v>
      </c>
      <c r="AG1647" s="253">
        <f t="shared" si="223"/>
        <v>18.045275590551181</v>
      </c>
      <c r="DG1647" s="543"/>
      <c r="DH1647" s="149"/>
      <c r="DI1647" s="1020"/>
      <c r="DJ1647" s="2045"/>
    </row>
    <row r="1648" spans="1:114" ht="15" customHeight="1" outlineLevel="1" x14ac:dyDescent="0.25">
      <c r="A1648" s="2145"/>
      <c r="C1648" s="49"/>
      <c r="D1648" s="2394"/>
      <c r="E1648" s="2394"/>
      <c r="F1648" s="2404" t="str">
        <f>$E$755</f>
        <v>ASHP-SEER18_ER2_SF</v>
      </c>
      <c r="G1648" s="2404"/>
      <c r="H1648" s="2404"/>
      <c r="I1648" s="2404"/>
      <c r="J1648" s="1506" t="str">
        <f>$C$755</f>
        <v>353850_2024_12_</v>
      </c>
      <c r="K1648" s="859">
        <v>18.045275590551181</v>
      </c>
      <c r="L1648" s="244"/>
      <c r="M1648" s="1503" t="s">
        <v>931</v>
      </c>
      <c r="T1648" s="50"/>
      <c r="U1648" s="50"/>
      <c r="V1648" s="2394"/>
      <c r="W1648" s="1268">
        <v>18</v>
      </c>
      <c r="X1648" s="1268">
        <v>18</v>
      </c>
      <c r="Y1648" s="1268">
        <v>18</v>
      </c>
      <c r="Z1648" s="1268">
        <v>18</v>
      </c>
      <c r="AA1648" s="1268">
        <v>18</v>
      </c>
      <c r="AB1648" s="195">
        <v>18.991935483870968</v>
      </c>
      <c r="AC1648" s="195">
        <f>AC1647</f>
        <v>17.920289855072465</v>
      </c>
      <c r="AD1648" s="910">
        <v>18.023684210526316</v>
      </c>
      <c r="AE1648" s="910">
        <v>18.045275590551181</v>
      </c>
      <c r="AF1648" s="253">
        <v>18.045275590551181</v>
      </c>
      <c r="AG1648" s="253">
        <f t="shared" si="223"/>
        <v>18.045275590551181</v>
      </c>
      <c r="DG1648" s="543"/>
      <c r="DH1648" s="149"/>
      <c r="DI1648" s="1020"/>
      <c r="DJ1648" s="2045"/>
    </row>
    <row r="1649" spans="1:114" ht="15" customHeight="1" outlineLevel="1" x14ac:dyDescent="0.25">
      <c r="A1649" s="2145"/>
      <c r="C1649" s="49"/>
      <c r="D1649" s="2394"/>
      <c r="E1649" s="2394"/>
      <c r="F1649" s="2404" t="str">
        <f>$E$757</f>
        <v>ASHP-SEER18_ROF_SF</v>
      </c>
      <c r="G1649" s="2404"/>
      <c r="H1649" s="2404"/>
      <c r="I1649" s="2404"/>
      <c r="J1649" s="1506" t="str">
        <f>$C$757</f>
        <v>353950_2024_12_</v>
      </c>
      <c r="K1649" s="859">
        <v>18.027777777777779</v>
      </c>
      <c r="L1649" s="244"/>
      <c r="M1649" s="1503" t="s">
        <v>929</v>
      </c>
      <c r="P1649" s="243"/>
      <c r="Q1649" s="192"/>
      <c r="R1649" s="243"/>
      <c r="T1649" s="166"/>
      <c r="U1649" s="50"/>
      <c r="V1649" s="2394"/>
      <c r="W1649" s="1268">
        <v>18</v>
      </c>
      <c r="X1649" s="1268">
        <v>18</v>
      </c>
      <c r="Y1649" s="1268">
        <v>18</v>
      </c>
      <c r="Z1649" s="1268">
        <v>18</v>
      </c>
      <c r="AA1649" s="1268">
        <v>18</v>
      </c>
      <c r="AB1649" s="194">
        <v>18</v>
      </c>
      <c r="AC1649" s="195">
        <v>18.203125</v>
      </c>
      <c r="AD1649" s="910">
        <v>17.872340425531913</v>
      </c>
      <c r="AE1649" s="910">
        <v>18.027777777777779</v>
      </c>
      <c r="AF1649" s="253">
        <v>18.027777777777779</v>
      </c>
      <c r="AG1649" s="253">
        <f t="shared" si="223"/>
        <v>18.027777777777779</v>
      </c>
      <c r="DG1649" s="543"/>
      <c r="DH1649" s="149"/>
      <c r="DI1649" s="1020"/>
      <c r="DJ1649" s="2045"/>
    </row>
    <row r="1650" spans="1:114" ht="15" customHeight="1" outlineLevel="1" x14ac:dyDescent="0.25">
      <c r="A1650" s="2145"/>
      <c r="C1650" s="49"/>
      <c r="D1650" s="2394"/>
      <c r="E1650" s="2394"/>
      <c r="F1650" s="2404" t="str">
        <f>$E$759</f>
        <v>ASHP-SEER19_ER1_SF</v>
      </c>
      <c r="G1650" s="2404"/>
      <c r="H1650" s="2404"/>
      <c r="I1650" s="2404"/>
      <c r="J1650" s="1506" t="str">
        <f>$C$759</f>
        <v>354000_2024_12_</v>
      </c>
      <c r="K1650" s="859">
        <v>19.195652173913039</v>
      </c>
      <c r="L1650" s="244"/>
      <c r="M1650" s="1503" t="s">
        <v>929</v>
      </c>
      <c r="P1650" s="243"/>
      <c r="Q1650" s="192"/>
      <c r="R1650" s="243"/>
      <c r="T1650" s="166"/>
      <c r="U1650" s="50"/>
      <c r="V1650" s="2394"/>
      <c r="W1650" s="1268">
        <v>19</v>
      </c>
      <c r="X1650" s="1268">
        <v>19</v>
      </c>
      <c r="Y1650" s="1268">
        <v>19</v>
      </c>
      <c r="Z1650" s="1268">
        <v>19</v>
      </c>
      <c r="AA1650" s="1268">
        <v>19</v>
      </c>
      <c r="AB1650" s="194">
        <v>19</v>
      </c>
      <c r="AC1650" s="195">
        <v>19.100000000000001</v>
      </c>
      <c r="AD1650" s="910">
        <v>19.132352941176471</v>
      </c>
      <c r="AE1650" s="910">
        <v>19.195652173913039</v>
      </c>
      <c r="AF1650" s="253">
        <v>19.195652173913039</v>
      </c>
      <c r="AG1650" s="253">
        <f t="shared" si="223"/>
        <v>19.195652173913039</v>
      </c>
      <c r="DG1650" s="543"/>
      <c r="DH1650" s="149"/>
      <c r="DI1650" s="1020"/>
      <c r="DJ1650" s="2045"/>
    </row>
    <row r="1651" spans="1:114" ht="15" customHeight="1" outlineLevel="1" x14ac:dyDescent="0.25">
      <c r="A1651" s="2145"/>
      <c r="C1651" s="49"/>
      <c r="D1651" s="2394"/>
      <c r="E1651" s="2394"/>
      <c r="F1651" s="2404" t="str">
        <f>$E$761</f>
        <v>ASHP-SEER19_ER2_SF</v>
      </c>
      <c r="G1651" s="2404"/>
      <c r="H1651" s="2404"/>
      <c r="I1651" s="2404"/>
      <c r="J1651" s="1506" t="str">
        <f>$C$761</f>
        <v>354000_2024_12_</v>
      </c>
      <c r="K1651" s="859">
        <v>19.195652173913039</v>
      </c>
      <c r="L1651" s="244"/>
      <c r="M1651" s="1503" t="s">
        <v>1018</v>
      </c>
      <c r="T1651" s="50"/>
      <c r="U1651" s="50"/>
      <c r="V1651" s="2394"/>
      <c r="W1651" s="1268">
        <v>19</v>
      </c>
      <c r="X1651" s="1268">
        <v>19</v>
      </c>
      <c r="Y1651" s="1268">
        <v>19</v>
      </c>
      <c r="Z1651" s="1268">
        <v>19</v>
      </c>
      <c r="AA1651" s="1268">
        <v>19</v>
      </c>
      <c r="AB1651" s="194">
        <v>19</v>
      </c>
      <c r="AC1651" s="195">
        <f>AC1650</f>
        <v>19.100000000000001</v>
      </c>
      <c r="AD1651" s="910">
        <v>19.132352941176471</v>
      </c>
      <c r="AE1651" s="910">
        <v>19.195652173913039</v>
      </c>
      <c r="AF1651" s="253">
        <v>19.195652173913039</v>
      </c>
      <c r="AG1651" s="253">
        <f t="shared" si="223"/>
        <v>19.195652173913039</v>
      </c>
      <c r="DG1651" s="543"/>
      <c r="DH1651" s="149"/>
      <c r="DI1651" s="1020"/>
      <c r="DJ1651" s="2045"/>
    </row>
    <row r="1652" spans="1:114" ht="15" customHeight="1" outlineLevel="1" x14ac:dyDescent="0.25">
      <c r="A1652" s="2145"/>
      <c r="C1652" s="49"/>
      <c r="D1652" s="2394"/>
      <c r="E1652" s="2394"/>
      <c r="F1652" s="2404" t="str">
        <f>$E$763</f>
        <v>ASHP-SEER19_ROF_SF</v>
      </c>
      <c r="G1652" s="2404"/>
      <c r="H1652" s="2404"/>
      <c r="I1652" s="2404"/>
      <c r="J1652" s="1506" t="str">
        <f>$C$763</f>
        <v>354050_2024_12_</v>
      </c>
      <c r="K1652" s="859">
        <v>19.28846153846154</v>
      </c>
      <c r="L1652" s="244"/>
      <c r="M1652" s="1503" t="s">
        <v>931</v>
      </c>
      <c r="T1652" s="50"/>
      <c r="U1652" s="50"/>
      <c r="V1652" s="2394"/>
      <c r="W1652" s="1268">
        <v>19</v>
      </c>
      <c r="X1652" s="1268">
        <v>19</v>
      </c>
      <c r="Y1652" s="1268">
        <v>19</v>
      </c>
      <c r="Z1652" s="1268">
        <v>19</v>
      </c>
      <c r="AA1652" s="1268">
        <v>19</v>
      </c>
      <c r="AB1652" s="194">
        <v>19</v>
      </c>
      <c r="AC1652" s="195">
        <v>19.033333333333335</v>
      </c>
      <c r="AD1652" s="910">
        <v>19.28846153846154</v>
      </c>
      <c r="AE1652" s="911">
        <v>19.28846153846154</v>
      </c>
      <c r="AF1652" s="253">
        <v>19.28846153846154</v>
      </c>
      <c r="AG1652" s="253">
        <f t="shared" si="223"/>
        <v>19.28846153846154</v>
      </c>
      <c r="DG1652" s="543"/>
      <c r="DH1652" s="149"/>
      <c r="DI1652" s="1020"/>
      <c r="DJ1652" s="2045"/>
    </row>
    <row r="1653" spans="1:114" ht="15" customHeight="1" outlineLevel="1" x14ac:dyDescent="0.25">
      <c r="A1653" s="2145"/>
      <c r="C1653" s="49"/>
      <c r="D1653" s="2394"/>
      <c r="E1653" s="2394"/>
      <c r="F1653" s="2404" t="str">
        <f>$E$765</f>
        <v>ASHP-SEER17-Replace_CAC_ElectricHeat_ER1_SF</v>
      </c>
      <c r="G1653" s="2404"/>
      <c r="H1653" s="2404"/>
      <c r="I1653" s="2404"/>
      <c r="J1653" s="1506" t="str">
        <f>$C$765</f>
        <v>354100_2024_12_</v>
      </c>
      <c r="K1653" s="859">
        <v>17.255828877005346</v>
      </c>
      <c r="L1653" s="244"/>
      <c r="M1653" s="1503" t="s">
        <v>931</v>
      </c>
      <c r="T1653" s="50"/>
      <c r="U1653" s="50"/>
      <c r="V1653" s="2394"/>
      <c r="W1653" s="1268">
        <v>17</v>
      </c>
      <c r="X1653" s="1268">
        <v>17</v>
      </c>
      <c r="Y1653" s="1268">
        <v>17</v>
      </c>
      <c r="Z1653" s="1268">
        <v>17</v>
      </c>
      <c r="AA1653" s="1268">
        <v>17</v>
      </c>
      <c r="AB1653" s="194">
        <v>17</v>
      </c>
      <c r="AC1653" s="195">
        <v>17.136363636363637</v>
      </c>
      <c r="AD1653" s="910">
        <v>17.195075757575758</v>
      </c>
      <c r="AE1653" s="910">
        <v>17.255828877005346</v>
      </c>
      <c r="AF1653" s="253">
        <v>17.255828877005346</v>
      </c>
      <c r="AG1653" s="253">
        <f t="shared" ref="AG1653:AG1708" si="224">IF(K1653&lt;&gt;"",K1653,"")</f>
        <v>17.255828877005346</v>
      </c>
      <c r="DG1653" s="543"/>
      <c r="DH1653" s="149"/>
      <c r="DI1653" s="1020"/>
      <c r="DJ1653" s="2045"/>
    </row>
    <row r="1654" spans="1:114" ht="15" customHeight="1" outlineLevel="1" x14ac:dyDescent="0.25">
      <c r="A1654" s="2145"/>
      <c r="C1654" s="49"/>
      <c r="D1654" s="2394"/>
      <c r="E1654" s="2394"/>
      <c r="F1654" s="2404" t="str">
        <f>$E$767</f>
        <v>ASHP-SEER17-Replace_CAC_ElectricHeat_ER2_SF</v>
      </c>
      <c r="G1654" s="2404"/>
      <c r="H1654" s="2404"/>
      <c r="I1654" s="2404"/>
      <c r="J1654" s="1506" t="str">
        <f>$C$767</f>
        <v>354100_2024_12_</v>
      </c>
      <c r="K1654" s="859">
        <v>17.255828877005346</v>
      </c>
      <c r="L1654" s="244"/>
      <c r="M1654" s="1503" t="s">
        <v>931</v>
      </c>
      <c r="T1654" s="50"/>
      <c r="U1654" s="50"/>
      <c r="V1654" s="2394"/>
      <c r="W1654" s="1268">
        <v>17</v>
      </c>
      <c r="X1654" s="1268">
        <v>17</v>
      </c>
      <c r="Y1654" s="1268">
        <v>17</v>
      </c>
      <c r="Z1654" s="1268">
        <v>17</v>
      </c>
      <c r="AA1654" s="1268">
        <v>17</v>
      </c>
      <c r="AB1654" s="194">
        <v>17</v>
      </c>
      <c r="AC1654" s="195">
        <f>AC1653</f>
        <v>17.136363636363637</v>
      </c>
      <c r="AD1654" s="910">
        <v>17.195075757575758</v>
      </c>
      <c r="AE1654" s="910">
        <v>17.255828877005346</v>
      </c>
      <c r="AF1654" s="253">
        <v>17.255828877005346</v>
      </c>
      <c r="AG1654" s="253">
        <f t="shared" si="224"/>
        <v>17.255828877005346</v>
      </c>
      <c r="DG1654" s="543"/>
      <c r="DH1654" s="149"/>
      <c r="DI1654" s="1020"/>
      <c r="DJ1654" s="2045"/>
    </row>
    <row r="1655" spans="1:114" ht="15" customHeight="1" outlineLevel="1" x14ac:dyDescent="0.25">
      <c r="A1655" s="2145"/>
      <c r="C1655" s="49"/>
      <c r="D1655" s="2394"/>
      <c r="E1655" s="2394"/>
      <c r="F1655" s="2404" t="str">
        <f>$E$769</f>
        <v>ASHP-SEER17-Replace_CAC_NonElectricHeat_ER1_SF</v>
      </c>
      <c r="G1655" s="2404"/>
      <c r="H1655" s="2404"/>
      <c r="I1655" s="2404"/>
      <c r="J1655" s="1506" t="str">
        <f>$C$769</f>
        <v>354110_2024_12_</v>
      </c>
      <c r="K1655" s="859">
        <v>17.255828877005346</v>
      </c>
      <c r="L1655" s="244"/>
      <c r="M1655" s="1504" t="s">
        <v>1018</v>
      </c>
      <c r="T1655" s="50"/>
      <c r="U1655" s="50"/>
      <c r="V1655" s="2394"/>
      <c r="W1655" s="1268"/>
      <c r="X1655" s="1268"/>
      <c r="Y1655" s="1268"/>
      <c r="Z1655" s="1268"/>
      <c r="AA1655" s="1268"/>
      <c r="AB1655" s="194"/>
      <c r="AC1655" s="195">
        <v>17.136363636363637</v>
      </c>
      <c r="AD1655" s="910">
        <v>17.195075757575758</v>
      </c>
      <c r="AE1655" s="910">
        <v>17.255828877005346</v>
      </c>
      <c r="AF1655" s="253">
        <v>17.255828877005346</v>
      </c>
      <c r="AG1655" s="253">
        <f t="shared" si="224"/>
        <v>17.255828877005346</v>
      </c>
      <c r="DG1655" s="543"/>
      <c r="DH1655" s="149"/>
      <c r="DI1655" s="1020"/>
      <c r="DJ1655" s="2045"/>
    </row>
    <row r="1656" spans="1:114" ht="15" customHeight="1" outlineLevel="1" x14ac:dyDescent="0.25">
      <c r="A1656" s="2145"/>
      <c r="C1656" s="49"/>
      <c r="D1656" s="2394"/>
      <c r="E1656" s="2394"/>
      <c r="F1656" s="2404" t="str">
        <f>$E$771</f>
        <v>ASHP-SEER17-Replace_CAC_NonElectricHeat_ER2_SF</v>
      </c>
      <c r="G1656" s="2404"/>
      <c r="H1656" s="2404"/>
      <c r="I1656" s="2404"/>
      <c r="J1656" s="1506" t="str">
        <f>$C$771</f>
        <v>354110_2024_12_</v>
      </c>
      <c r="K1656" s="859">
        <v>17.255828877005346</v>
      </c>
      <c r="L1656" s="244"/>
      <c r="M1656" s="1504" t="s">
        <v>1018</v>
      </c>
      <c r="T1656" s="50"/>
      <c r="U1656" s="50"/>
      <c r="V1656" s="2394"/>
      <c r="W1656" s="1268"/>
      <c r="X1656" s="1268"/>
      <c r="Y1656" s="1268"/>
      <c r="Z1656" s="1268"/>
      <c r="AA1656" s="1268"/>
      <c r="AB1656" s="194"/>
      <c r="AC1656" s="195">
        <f>AC1655</f>
        <v>17.136363636363637</v>
      </c>
      <c r="AD1656" s="910">
        <v>17.195075757575758</v>
      </c>
      <c r="AE1656" s="910">
        <v>17.255828877005346</v>
      </c>
      <c r="AF1656" s="253">
        <v>17.255828877005346</v>
      </c>
      <c r="AG1656" s="253">
        <f t="shared" si="224"/>
        <v>17.255828877005346</v>
      </c>
      <c r="DG1656" s="543"/>
      <c r="DH1656" s="149"/>
      <c r="DI1656" s="1020"/>
      <c r="DJ1656" s="2045"/>
    </row>
    <row r="1657" spans="1:114" ht="15.75" customHeight="1" outlineLevel="1" x14ac:dyDescent="0.25">
      <c r="A1657" s="2145"/>
      <c r="C1657" s="49"/>
      <c r="D1657" s="2394"/>
      <c r="E1657" s="2394"/>
      <c r="F1657" s="1968" t="s">
        <v>1223</v>
      </c>
      <c r="G1657" s="1969"/>
      <c r="H1657" s="1969"/>
      <c r="I1657" s="1970"/>
      <c r="J1657" s="2095" t="s">
        <v>1222</v>
      </c>
      <c r="K1657" s="1957">
        <v>17</v>
      </c>
      <c r="L1657" s="913"/>
      <c r="M1657" s="645" t="s">
        <v>1297</v>
      </c>
      <c r="T1657" s="50"/>
      <c r="U1657" s="50"/>
      <c r="V1657" s="2394"/>
      <c r="W1657" s="1268"/>
      <c r="X1657" s="1268"/>
      <c r="Y1657" s="1268"/>
      <c r="Z1657" s="1268"/>
      <c r="AA1657" s="1268"/>
      <c r="AB1657" s="1268"/>
      <c r="AC1657" s="752"/>
      <c r="AD1657" s="966"/>
      <c r="AE1657" s="909"/>
      <c r="AF1657" s="253"/>
      <c r="AG1657" s="253">
        <f>IF(K1657&lt;&gt;"",K1657,"")</f>
        <v>17</v>
      </c>
      <c r="DG1657" s="543"/>
      <c r="DH1657" s="149"/>
      <c r="DI1657" s="1020"/>
      <c r="DJ1657" s="2045"/>
    </row>
    <row r="1658" spans="1:114" ht="15.75" customHeight="1" outlineLevel="1" x14ac:dyDescent="0.25">
      <c r="A1658" s="2145"/>
      <c r="C1658" s="49"/>
      <c r="D1658" s="2394"/>
      <c r="E1658" s="2394"/>
      <c r="F1658" s="1968" t="s">
        <v>1224</v>
      </c>
      <c r="G1658" s="1969"/>
      <c r="H1658" s="1969"/>
      <c r="I1658" s="1970"/>
      <c r="J1658" s="2095" t="s">
        <v>1222</v>
      </c>
      <c r="K1658" s="1957">
        <v>17</v>
      </c>
      <c r="L1658" s="913"/>
      <c r="M1658" s="645" t="s">
        <v>1297</v>
      </c>
      <c r="T1658" s="50"/>
      <c r="U1658" s="50"/>
      <c r="V1658" s="2394"/>
      <c r="W1658" s="1268"/>
      <c r="X1658" s="1268"/>
      <c r="Y1658" s="1268"/>
      <c r="Z1658" s="1268"/>
      <c r="AA1658" s="1268"/>
      <c r="AB1658" s="1268"/>
      <c r="AC1658" s="752"/>
      <c r="AD1658" s="966"/>
      <c r="AE1658" s="909"/>
      <c r="AF1658" s="253"/>
      <c r="AG1658" s="253">
        <f>IF(K1658&lt;&gt;"",K1658,"")</f>
        <v>17</v>
      </c>
      <c r="DG1658" s="543"/>
      <c r="DH1658" s="149"/>
      <c r="DI1658" s="1020"/>
      <c r="DJ1658" s="2045"/>
    </row>
    <row r="1659" spans="1:114" ht="15" customHeight="1" outlineLevel="1" x14ac:dyDescent="0.25">
      <c r="A1659" s="2145"/>
      <c r="C1659" s="49"/>
      <c r="D1659" s="2394"/>
      <c r="E1659" s="2394"/>
      <c r="F1659" s="2404" t="str">
        <f>$E$777</f>
        <v>ASHP-SEER17-Replace_CAC_ElectricHeat_ER1_MF</v>
      </c>
      <c r="G1659" s="2404"/>
      <c r="H1659" s="2404"/>
      <c r="I1659" s="2404"/>
      <c r="J1659" s="1506" t="str">
        <f>$C$777</f>
        <v>354150_2024_12_</v>
      </c>
      <c r="K1659" s="1517">
        <v>17</v>
      </c>
      <c r="L1659" s="244"/>
      <c r="M1659" s="1504" t="s">
        <v>1302</v>
      </c>
      <c r="T1659" s="50"/>
      <c r="U1659" s="50"/>
      <c r="V1659" s="2394"/>
      <c r="W1659" s="1268">
        <v>17</v>
      </c>
      <c r="X1659" s="1268">
        <v>17</v>
      </c>
      <c r="Y1659" s="1268">
        <v>17</v>
      </c>
      <c r="Z1659" s="1268">
        <v>17</v>
      </c>
      <c r="AA1659" s="1268">
        <v>17</v>
      </c>
      <c r="AB1659" s="194">
        <v>17</v>
      </c>
      <c r="AC1659" s="194">
        <v>17</v>
      </c>
      <c r="AD1659" s="194">
        <v>17</v>
      </c>
      <c r="AE1659" s="194">
        <v>17</v>
      </c>
      <c r="AF1659" s="253">
        <v>17</v>
      </c>
      <c r="AG1659" s="253">
        <f t="shared" si="224"/>
        <v>17</v>
      </c>
      <c r="DG1659" s="543"/>
      <c r="DH1659" s="149"/>
      <c r="DI1659" s="1020"/>
      <c r="DJ1659" s="2045"/>
    </row>
    <row r="1660" spans="1:114" ht="15" customHeight="1" outlineLevel="1" x14ac:dyDescent="0.25">
      <c r="A1660" s="2145"/>
      <c r="C1660" s="49"/>
      <c r="D1660" s="2394"/>
      <c r="E1660" s="2394"/>
      <c r="F1660" s="2404" t="str">
        <f>$E$779</f>
        <v>ASHP-SEER17-Replace_CAC_ElectricHeat_ER2_MF</v>
      </c>
      <c r="G1660" s="2404"/>
      <c r="H1660" s="2404"/>
      <c r="I1660" s="2404"/>
      <c r="J1660" s="1506" t="str">
        <f>$C$779</f>
        <v>354150_2024_12_</v>
      </c>
      <c r="K1660" s="1517">
        <v>17</v>
      </c>
      <c r="L1660" s="244"/>
      <c r="M1660" s="1504" t="s">
        <v>1302</v>
      </c>
      <c r="T1660" s="50"/>
      <c r="U1660" s="50"/>
      <c r="V1660" s="2394"/>
      <c r="W1660" s="1268">
        <v>17</v>
      </c>
      <c r="X1660" s="1268">
        <v>17</v>
      </c>
      <c r="Y1660" s="1268">
        <v>17</v>
      </c>
      <c r="Z1660" s="1268">
        <v>17</v>
      </c>
      <c r="AA1660" s="1268">
        <v>17</v>
      </c>
      <c r="AB1660" s="194">
        <v>17</v>
      </c>
      <c r="AC1660" s="194">
        <v>17</v>
      </c>
      <c r="AD1660" s="194">
        <v>17</v>
      </c>
      <c r="AE1660" s="194">
        <v>17</v>
      </c>
      <c r="AF1660" s="253">
        <v>17</v>
      </c>
      <c r="AG1660" s="253">
        <f t="shared" si="224"/>
        <v>17</v>
      </c>
      <c r="DG1660" s="543"/>
      <c r="DH1660" s="149"/>
      <c r="DI1660" s="1020"/>
      <c r="DJ1660" s="2045"/>
    </row>
    <row r="1661" spans="1:114" ht="15" customHeight="1" outlineLevel="1" x14ac:dyDescent="0.25">
      <c r="A1661" s="2145"/>
      <c r="C1661" s="49"/>
      <c r="D1661" s="2394"/>
      <c r="E1661" s="2394"/>
      <c r="F1661" s="2404" t="str">
        <f>$E$781</f>
        <v>ASHP-SEER17_ER1_MF</v>
      </c>
      <c r="G1661" s="2404"/>
      <c r="H1661" s="2404"/>
      <c r="I1661" s="2404"/>
      <c r="J1661" s="1506" t="str">
        <f>$C$781</f>
        <v>354200_2024_12_</v>
      </c>
      <c r="K1661" s="1517">
        <v>17</v>
      </c>
      <c r="L1661" s="244"/>
      <c r="M1661" s="1504" t="s">
        <v>1302</v>
      </c>
      <c r="T1661" s="50"/>
      <c r="U1661" s="50"/>
      <c r="V1661" s="2394"/>
      <c r="W1661" s="1268">
        <v>17</v>
      </c>
      <c r="X1661" s="1268">
        <v>17</v>
      </c>
      <c r="Y1661" s="1268">
        <v>17</v>
      </c>
      <c r="Z1661" s="1268">
        <v>17</v>
      </c>
      <c r="AA1661" s="1268">
        <v>17</v>
      </c>
      <c r="AB1661" s="194">
        <v>17</v>
      </c>
      <c r="AC1661" s="194">
        <v>17</v>
      </c>
      <c r="AD1661" s="194">
        <v>17</v>
      </c>
      <c r="AE1661" s="194">
        <v>17</v>
      </c>
      <c r="AF1661" s="253">
        <v>17</v>
      </c>
      <c r="AG1661" s="253">
        <f t="shared" si="224"/>
        <v>17</v>
      </c>
      <c r="DG1661" s="543"/>
      <c r="DH1661" s="149"/>
      <c r="DI1661" s="1020"/>
      <c r="DJ1661" s="2045"/>
    </row>
    <row r="1662" spans="1:114" ht="15" customHeight="1" outlineLevel="1" x14ac:dyDescent="0.25">
      <c r="A1662" s="2145"/>
      <c r="C1662" s="49"/>
      <c r="D1662" s="2394"/>
      <c r="E1662" s="2394"/>
      <c r="F1662" s="2404" t="str">
        <f>$E$783</f>
        <v>ASHP-SEER17_ER2_MF</v>
      </c>
      <c r="G1662" s="2404"/>
      <c r="H1662" s="2404"/>
      <c r="I1662" s="2404"/>
      <c r="J1662" s="1506" t="str">
        <f>$C$783</f>
        <v>354200_2024_12_</v>
      </c>
      <c r="K1662" s="1517">
        <v>17</v>
      </c>
      <c r="L1662" s="244"/>
      <c r="M1662" s="1504" t="s">
        <v>1302</v>
      </c>
      <c r="T1662" s="50"/>
      <c r="U1662" s="50"/>
      <c r="V1662" s="2394"/>
      <c r="W1662" s="1268">
        <v>17</v>
      </c>
      <c r="X1662" s="1268">
        <v>17</v>
      </c>
      <c r="Y1662" s="1268">
        <v>17</v>
      </c>
      <c r="Z1662" s="1268">
        <v>17</v>
      </c>
      <c r="AA1662" s="1268">
        <v>17</v>
      </c>
      <c r="AB1662" s="194">
        <v>17</v>
      </c>
      <c r="AC1662" s="194">
        <v>17</v>
      </c>
      <c r="AD1662" s="194">
        <v>17</v>
      </c>
      <c r="AE1662" s="194">
        <v>17</v>
      </c>
      <c r="AF1662" s="253">
        <v>17</v>
      </c>
      <c r="AG1662" s="253">
        <f t="shared" si="224"/>
        <v>17</v>
      </c>
      <c r="DG1662" s="543"/>
      <c r="DH1662" s="149"/>
      <c r="DI1662" s="1020"/>
      <c r="DJ1662" s="2045"/>
    </row>
    <row r="1663" spans="1:114" ht="15" customHeight="1" outlineLevel="1" x14ac:dyDescent="0.25">
      <c r="A1663" s="2145"/>
      <c r="C1663" s="49"/>
      <c r="D1663" s="2394"/>
      <c r="E1663" s="2394"/>
      <c r="F1663" s="2404" t="str">
        <f>$E$785</f>
        <v>ASHP-SEER18-Replace_CAC_ElectricHeat_ER1_SF</v>
      </c>
      <c r="G1663" s="2404"/>
      <c r="H1663" s="2404"/>
      <c r="I1663" s="2404"/>
      <c r="J1663" s="1506" t="str">
        <f>$C$785</f>
        <v>354250_2024_12_</v>
      </c>
      <c r="K1663" s="859">
        <v>18.045275590551181</v>
      </c>
      <c r="L1663" s="244"/>
      <c r="M1663" s="1503" t="s">
        <v>931</v>
      </c>
      <c r="T1663" s="50"/>
      <c r="U1663" s="50"/>
      <c r="V1663" s="2394"/>
      <c r="W1663" s="1268">
        <v>18</v>
      </c>
      <c r="X1663" s="1268">
        <v>18</v>
      </c>
      <c r="Y1663" s="1268">
        <v>18</v>
      </c>
      <c r="Z1663" s="1268">
        <v>18</v>
      </c>
      <c r="AA1663" s="1268">
        <v>18</v>
      </c>
      <c r="AB1663" s="195">
        <v>18.582558139534882</v>
      </c>
      <c r="AC1663" s="195">
        <v>17.967652173913041</v>
      </c>
      <c r="AD1663" s="910">
        <v>18.023684210526316</v>
      </c>
      <c r="AE1663" s="910">
        <v>18.045275590551181</v>
      </c>
      <c r="AF1663" s="253">
        <v>18.045275590551181</v>
      </c>
      <c r="AG1663" s="253">
        <f t="shared" si="224"/>
        <v>18.045275590551181</v>
      </c>
      <c r="DG1663" s="543"/>
      <c r="DH1663" s="149"/>
      <c r="DI1663" s="1020"/>
      <c r="DJ1663" s="2045"/>
    </row>
    <row r="1664" spans="1:114" ht="15" customHeight="1" outlineLevel="1" x14ac:dyDescent="0.25">
      <c r="A1664" s="2145"/>
      <c r="C1664" s="49"/>
      <c r="D1664" s="2394"/>
      <c r="E1664" s="2394"/>
      <c r="F1664" s="2404" t="str">
        <f>$E$787</f>
        <v>ASHP-SEER18-Replace_CAC_ElectricHeat_ER2_SF</v>
      </c>
      <c r="G1664" s="2404"/>
      <c r="H1664" s="2404"/>
      <c r="I1664" s="2404"/>
      <c r="J1664" s="1506" t="str">
        <f>$C$787</f>
        <v>354250_2024_12_</v>
      </c>
      <c r="K1664" s="859">
        <v>18.045275590551181</v>
      </c>
      <c r="L1664" s="244"/>
      <c r="M1664" s="1503" t="s">
        <v>931</v>
      </c>
      <c r="T1664" s="50"/>
      <c r="U1664" s="50"/>
      <c r="V1664" s="2394"/>
      <c r="W1664" s="1268">
        <v>18</v>
      </c>
      <c r="X1664" s="1268">
        <v>18</v>
      </c>
      <c r="Y1664" s="1268">
        <v>18</v>
      </c>
      <c r="Z1664" s="1268">
        <v>18</v>
      </c>
      <c r="AA1664" s="1268">
        <v>18</v>
      </c>
      <c r="AB1664" s="195">
        <v>18.582558139534882</v>
      </c>
      <c r="AC1664" s="195">
        <f>AC1663</f>
        <v>17.967652173913041</v>
      </c>
      <c r="AD1664" s="910">
        <v>18.023684210526316</v>
      </c>
      <c r="AE1664" s="910">
        <v>18.045275590551181</v>
      </c>
      <c r="AF1664" s="253">
        <v>18.045275590551181</v>
      </c>
      <c r="AG1664" s="253">
        <f t="shared" si="224"/>
        <v>18.045275590551181</v>
      </c>
      <c r="DG1664" s="543"/>
      <c r="DH1664" s="149"/>
      <c r="DI1664" s="1020"/>
      <c r="DJ1664" s="2045"/>
    </row>
    <row r="1665" spans="1:114" ht="15" customHeight="1" outlineLevel="1" x14ac:dyDescent="0.25">
      <c r="A1665" s="2145"/>
      <c r="C1665" s="49"/>
      <c r="D1665" s="2394"/>
      <c r="E1665" s="2394"/>
      <c r="F1665" s="2404" t="str">
        <f>$E$789</f>
        <v>ASHP-SEER18-Replace_CAC_NonElectricHeat_ER1_SF</v>
      </c>
      <c r="G1665" s="2404"/>
      <c r="H1665" s="2404"/>
      <c r="I1665" s="2404"/>
      <c r="J1665" s="1506" t="str">
        <f>$C$789</f>
        <v>354260_2024_12_</v>
      </c>
      <c r="K1665" s="859">
        <v>18.045275590551181</v>
      </c>
      <c r="L1665" s="244"/>
      <c r="M1665" s="1504" t="s">
        <v>1018</v>
      </c>
      <c r="T1665" s="50"/>
      <c r="U1665" s="50"/>
      <c r="V1665" s="2394"/>
      <c r="W1665" s="1268"/>
      <c r="X1665" s="1268"/>
      <c r="Y1665" s="1268"/>
      <c r="Z1665" s="1268"/>
      <c r="AA1665" s="1268"/>
      <c r="AB1665" s="195"/>
      <c r="AC1665" s="195">
        <v>17.967652173913041</v>
      </c>
      <c r="AD1665" s="910">
        <v>18.023684210526316</v>
      </c>
      <c r="AE1665" s="910">
        <v>18.045275590551181</v>
      </c>
      <c r="AF1665" s="253">
        <v>18.045275590551181</v>
      </c>
      <c r="AG1665" s="253">
        <f t="shared" si="224"/>
        <v>18.045275590551181</v>
      </c>
      <c r="DG1665" s="543"/>
      <c r="DH1665" s="149"/>
      <c r="DI1665" s="1020"/>
      <c r="DJ1665" s="2045"/>
    </row>
    <row r="1666" spans="1:114" ht="15" customHeight="1" outlineLevel="1" x14ac:dyDescent="0.25">
      <c r="A1666" s="2145"/>
      <c r="C1666" s="49"/>
      <c r="D1666" s="2394"/>
      <c r="E1666" s="2394"/>
      <c r="F1666" s="2404" t="str">
        <f>$E$791</f>
        <v>ASHP-SEER18-Replace_CAC_NonElectricHeat_ER2_SF</v>
      </c>
      <c r="G1666" s="2404"/>
      <c r="H1666" s="2404"/>
      <c r="I1666" s="2404"/>
      <c r="J1666" s="1506" t="str">
        <f>$C$791</f>
        <v>354260_2024_12_</v>
      </c>
      <c r="K1666" s="859">
        <v>18.045275590551181</v>
      </c>
      <c r="L1666" s="244"/>
      <c r="M1666" s="1504" t="s">
        <v>1018</v>
      </c>
      <c r="T1666" s="50"/>
      <c r="U1666" s="50"/>
      <c r="V1666" s="2394"/>
      <c r="W1666" s="1268"/>
      <c r="X1666" s="1268"/>
      <c r="Y1666" s="1268"/>
      <c r="Z1666" s="1268"/>
      <c r="AA1666" s="1268"/>
      <c r="AB1666" s="195"/>
      <c r="AC1666" s="195">
        <f>AC1665</f>
        <v>17.967652173913041</v>
      </c>
      <c r="AD1666" s="910">
        <v>18.023684210526316</v>
      </c>
      <c r="AE1666" s="910">
        <v>18.045275590551181</v>
      </c>
      <c r="AF1666" s="253">
        <v>18.045275590551181</v>
      </c>
      <c r="AG1666" s="253">
        <f t="shared" si="224"/>
        <v>18.045275590551181</v>
      </c>
      <c r="DG1666" s="543"/>
      <c r="DH1666" s="149"/>
      <c r="DI1666" s="1020"/>
      <c r="DJ1666" s="2045"/>
    </row>
    <row r="1667" spans="1:114" ht="15" customHeight="1" outlineLevel="1" x14ac:dyDescent="0.25">
      <c r="A1667" s="2145"/>
      <c r="C1667" s="49"/>
      <c r="D1667" s="2394"/>
      <c r="E1667" s="2394"/>
      <c r="F1667" s="2404" t="str">
        <f>$E$793</f>
        <v>ASHP-SEER18-Replace_CAC_ElectricHeat_ER1_MF</v>
      </c>
      <c r="G1667" s="2404"/>
      <c r="H1667" s="2404"/>
      <c r="I1667" s="2404"/>
      <c r="J1667" s="1506" t="str">
        <f>$C$793</f>
        <v>354300_2024_12_</v>
      </c>
      <c r="K1667" s="1517">
        <v>18</v>
      </c>
      <c r="L1667" s="244"/>
      <c r="M1667" s="1504" t="s">
        <v>1288</v>
      </c>
      <c r="T1667" s="50"/>
      <c r="U1667" s="50"/>
      <c r="V1667" s="2394"/>
      <c r="W1667" s="1268">
        <v>18</v>
      </c>
      <c r="X1667" s="1268">
        <v>18</v>
      </c>
      <c r="Y1667" s="1268">
        <v>18</v>
      </c>
      <c r="Z1667" s="1268">
        <v>18</v>
      </c>
      <c r="AA1667" s="1268">
        <v>18</v>
      </c>
      <c r="AB1667" s="195">
        <v>18</v>
      </c>
      <c r="AC1667" s="195">
        <v>18</v>
      </c>
      <c r="AD1667" s="194">
        <v>18</v>
      </c>
      <c r="AE1667" s="194">
        <v>18</v>
      </c>
      <c r="AF1667" s="253">
        <v>18</v>
      </c>
      <c r="AG1667" s="253">
        <f t="shared" si="224"/>
        <v>18</v>
      </c>
      <c r="DG1667" s="543"/>
      <c r="DH1667" s="149"/>
      <c r="DI1667" s="1020"/>
      <c r="DJ1667" s="2045"/>
    </row>
    <row r="1668" spans="1:114" ht="15" customHeight="1" outlineLevel="1" x14ac:dyDescent="0.25">
      <c r="A1668" s="2145"/>
      <c r="C1668" s="49"/>
      <c r="D1668" s="2394"/>
      <c r="E1668" s="2394"/>
      <c r="F1668" s="2404" t="str">
        <f>$E$795</f>
        <v>ASHP-SEER18-Replace_CAC_ElectricHeat_ER2_MF</v>
      </c>
      <c r="G1668" s="2404"/>
      <c r="H1668" s="2404"/>
      <c r="I1668" s="2404"/>
      <c r="J1668" s="1506" t="str">
        <f>$C$795</f>
        <v>354300_2024_12_</v>
      </c>
      <c r="K1668" s="1517">
        <v>18</v>
      </c>
      <c r="L1668" s="244"/>
      <c r="M1668" s="1504" t="s">
        <v>1288</v>
      </c>
      <c r="T1668" s="50"/>
      <c r="U1668" s="50"/>
      <c r="V1668" s="2394"/>
      <c r="W1668" s="1268">
        <v>18</v>
      </c>
      <c r="X1668" s="1268">
        <v>18</v>
      </c>
      <c r="Y1668" s="1268">
        <v>18</v>
      </c>
      <c r="Z1668" s="1268">
        <v>18</v>
      </c>
      <c r="AA1668" s="1268">
        <v>18</v>
      </c>
      <c r="AB1668" s="195">
        <v>18</v>
      </c>
      <c r="AC1668" s="195">
        <f>AC1667</f>
        <v>18</v>
      </c>
      <c r="AD1668" s="194">
        <v>18</v>
      </c>
      <c r="AE1668" s="194">
        <v>18</v>
      </c>
      <c r="AF1668" s="253">
        <v>18</v>
      </c>
      <c r="AG1668" s="253">
        <f t="shared" si="224"/>
        <v>18</v>
      </c>
      <c r="DG1668" s="543"/>
      <c r="DH1668" s="149"/>
      <c r="DI1668" s="1020"/>
      <c r="DJ1668" s="2045"/>
    </row>
    <row r="1669" spans="1:114" ht="15" customHeight="1" outlineLevel="1" x14ac:dyDescent="0.25">
      <c r="A1669" s="2145"/>
      <c r="C1669" s="49"/>
      <c r="D1669" s="2394"/>
      <c r="E1669" s="2394"/>
      <c r="F1669" s="2404" t="str">
        <f>$E$797</f>
        <v>ASHP-SEER18_ER1_MF</v>
      </c>
      <c r="G1669" s="2404"/>
      <c r="H1669" s="2404"/>
      <c r="I1669" s="2404"/>
      <c r="J1669" s="1506" t="str">
        <f>$C$797</f>
        <v>354350_2024_12_</v>
      </c>
      <c r="K1669" s="859">
        <v>18</v>
      </c>
      <c r="L1669" s="244"/>
      <c r="M1669" s="1503" t="s">
        <v>931</v>
      </c>
      <c r="T1669" s="50"/>
      <c r="U1669" s="50"/>
      <c r="V1669" s="2394"/>
      <c r="W1669" s="1268">
        <v>18</v>
      </c>
      <c r="X1669" s="1268">
        <v>18</v>
      </c>
      <c r="Y1669" s="1268">
        <v>18</v>
      </c>
      <c r="Z1669" s="1268">
        <v>18</v>
      </c>
      <c r="AA1669" s="1268">
        <v>18</v>
      </c>
      <c r="AB1669" s="1268">
        <v>18</v>
      </c>
      <c r="AC1669" s="195">
        <v>18.5</v>
      </c>
      <c r="AD1669" s="910">
        <v>18</v>
      </c>
      <c r="AE1669" s="911">
        <v>18</v>
      </c>
      <c r="AF1669" s="253">
        <v>18</v>
      </c>
      <c r="AG1669" s="253">
        <f t="shared" si="224"/>
        <v>18</v>
      </c>
      <c r="DG1669" s="543"/>
      <c r="DH1669" s="149"/>
      <c r="DI1669" s="1020"/>
      <c r="DJ1669" s="2045"/>
    </row>
    <row r="1670" spans="1:114" ht="15" customHeight="1" outlineLevel="1" x14ac:dyDescent="0.25">
      <c r="A1670" s="2145"/>
      <c r="C1670" s="49"/>
      <c r="D1670" s="2394"/>
      <c r="E1670" s="2394"/>
      <c r="F1670" s="2404" t="str">
        <f>$E$799</f>
        <v>ASHP-SEER18_ER2_MF</v>
      </c>
      <c r="G1670" s="2404"/>
      <c r="H1670" s="2404"/>
      <c r="I1670" s="2404"/>
      <c r="J1670" s="1506" t="str">
        <f>$C$799</f>
        <v>354350_2024_12_</v>
      </c>
      <c r="K1670" s="859">
        <v>18</v>
      </c>
      <c r="L1670" s="244"/>
      <c r="M1670" s="1503" t="s">
        <v>931</v>
      </c>
      <c r="T1670" s="50"/>
      <c r="U1670" s="50"/>
      <c r="V1670" s="2394"/>
      <c r="W1670" s="1268">
        <v>18</v>
      </c>
      <c r="X1670" s="1268">
        <v>18</v>
      </c>
      <c r="Y1670" s="1268">
        <v>18</v>
      </c>
      <c r="Z1670" s="1268">
        <v>18</v>
      </c>
      <c r="AA1670" s="1268">
        <v>18</v>
      </c>
      <c r="AB1670" s="1268">
        <v>18</v>
      </c>
      <c r="AC1670" s="195">
        <f>AC1669</f>
        <v>18.5</v>
      </c>
      <c r="AD1670" s="910">
        <v>18</v>
      </c>
      <c r="AE1670" s="911">
        <v>18</v>
      </c>
      <c r="AF1670" s="253">
        <v>18</v>
      </c>
      <c r="AG1670" s="253">
        <f t="shared" si="224"/>
        <v>18</v>
      </c>
      <c r="DG1670" s="543"/>
      <c r="DH1670" s="149"/>
      <c r="DI1670" s="1020"/>
      <c r="DJ1670" s="2045"/>
    </row>
    <row r="1671" spans="1:114" ht="15" customHeight="1" outlineLevel="1" x14ac:dyDescent="0.25">
      <c r="A1671" s="2145"/>
      <c r="C1671" s="49"/>
      <c r="D1671" s="2394"/>
      <c r="E1671" s="2394"/>
      <c r="F1671" s="2404" t="str">
        <f>$E$801</f>
        <v>ASHP-SEER19-Replace_CAC_ElectricHeat_ER1_SF</v>
      </c>
      <c r="G1671" s="2404"/>
      <c r="H1671" s="2404"/>
      <c r="I1671" s="2404"/>
      <c r="J1671" s="1506" t="str">
        <f>$C$801</f>
        <v>354400_2024_12_</v>
      </c>
      <c r="K1671" s="859">
        <v>19.195652173913039</v>
      </c>
      <c r="L1671" s="244"/>
      <c r="M1671" s="1503" t="s">
        <v>929</v>
      </c>
      <c r="T1671" s="50"/>
      <c r="U1671" s="50"/>
      <c r="V1671" s="2394"/>
      <c r="W1671" s="1268">
        <v>19</v>
      </c>
      <c r="X1671" s="1268">
        <v>19</v>
      </c>
      <c r="Y1671" s="1268">
        <v>19</v>
      </c>
      <c r="Z1671" s="1268">
        <v>19</v>
      </c>
      <c r="AA1671" s="1268">
        <v>19</v>
      </c>
      <c r="AB1671" s="1268">
        <v>19</v>
      </c>
      <c r="AC1671" s="195">
        <v>19.125</v>
      </c>
      <c r="AD1671" s="910">
        <v>19.132352941176471</v>
      </c>
      <c r="AE1671" s="910">
        <v>19.195652173913039</v>
      </c>
      <c r="AF1671" s="253">
        <v>19.195652173913039</v>
      </c>
      <c r="AG1671" s="253">
        <f t="shared" si="224"/>
        <v>19.195652173913039</v>
      </c>
      <c r="DG1671" s="543"/>
      <c r="DH1671" s="149"/>
      <c r="DI1671" s="1020"/>
      <c r="DJ1671" s="2045"/>
    </row>
    <row r="1672" spans="1:114" ht="15" customHeight="1" outlineLevel="1" x14ac:dyDescent="0.25">
      <c r="A1672" s="2145"/>
      <c r="C1672" s="49"/>
      <c r="D1672" s="2394"/>
      <c r="E1672" s="2394"/>
      <c r="F1672" s="2404" t="str">
        <f>$E$803</f>
        <v>ASHP-SEER19-Replace_CAC_ElectricHeat_ER2_SF</v>
      </c>
      <c r="G1672" s="2404"/>
      <c r="H1672" s="2404"/>
      <c r="I1672" s="2404"/>
      <c r="J1672" s="1506" t="str">
        <f>$C$803</f>
        <v>354400_2024_12_</v>
      </c>
      <c r="K1672" s="859">
        <v>19.195652173913039</v>
      </c>
      <c r="L1672" s="244"/>
      <c r="M1672" s="1503" t="s">
        <v>1018</v>
      </c>
      <c r="T1672" s="50"/>
      <c r="U1672" s="50"/>
      <c r="V1672" s="2394"/>
      <c r="W1672" s="1268">
        <v>19</v>
      </c>
      <c r="X1672" s="1268">
        <v>19</v>
      </c>
      <c r="Y1672" s="1268">
        <v>19</v>
      </c>
      <c r="Z1672" s="1268">
        <v>19</v>
      </c>
      <c r="AA1672" s="1268">
        <v>19</v>
      </c>
      <c r="AB1672" s="1268">
        <v>19</v>
      </c>
      <c r="AC1672" s="195">
        <f>AC1671</f>
        <v>19.125</v>
      </c>
      <c r="AD1672" s="910">
        <v>19.132352941176471</v>
      </c>
      <c r="AE1672" s="910">
        <v>19.195652173913039</v>
      </c>
      <c r="AF1672" s="253">
        <v>19.195652173913039</v>
      </c>
      <c r="AG1672" s="253">
        <f t="shared" si="224"/>
        <v>19.195652173913039</v>
      </c>
      <c r="DG1672" s="543"/>
      <c r="DH1672" s="149"/>
      <c r="DI1672" s="1020"/>
      <c r="DJ1672" s="2045"/>
    </row>
    <row r="1673" spans="1:114" ht="15" customHeight="1" outlineLevel="1" x14ac:dyDescent="0.25">
      <c r="A1673" s="2145"/>
      <c r="C1673" s="49"/>
      <c r="D1673" s="2394"/>
      <c r="E1673" s="2394"/>
      <c r="F1673" s="2404" t="str">
        <f>$E$805</f>
        <v>ASHP-SEER19-Replace_CAC_NonElectricHeat_ER1_SF</v>
      </c>
      <c r="G1673" s="2404"/>
      <c r="H1673" s="2404"/>
      <c r="I1673" s="2404"/>
      <c r="J1673" s="1506" t="str">
        <f>$C$805</f>
        <v>354410_2024_12_</v>
      </c>
      <c r="K1673" s="1517">
        <v>19.195652173913039</v>
      </c>
      <c r="L1673" s="244"/>
      <c r="M1673" s="1504" t="s">
        <v>1018</v>
      </c>
      <c r="T1673" s="50"/>
      <c r="U1673" s="50"/>
      <c r="V1673" s="2394"/>
      <c r="W1673" s="1268"/>
      <c r="X1673" s="1268"/>
      <c r="Y1673" s="1268"/>
      <c r="Z1673" s="1268"/>
      <c r="AA1673" s="1268"/>
      <c r="AB1673" s="1268"/>
      <c r="AC1673" s="195">
        <v>19.125</v>
      </c>
      <c r="AD1673" s="194">
        <v>19.125</v>
      </c>
      <c r="AE1673" s="195">
        <v>19.195652173913039</v>
      </c>
      <c r="AF1673" s="253">
        <v>19.195652173913039</v>
      </c>
      <c r="AG1673" s="253">
        <f t="shared" si="224"/>
        <v>19.195652173913039</v>
      </c>
      <c r="DG1673" s="543"/>
      <c r="DH1673" s="149"/>
      <c r="DI1673" s="1020"/>
      <c r="DJ1673" s="2045"/>
    </row>
    <row r="1674" spans="1:114" ht="15" customHeight="1" outlineLevel="1" x14ac:dyDescent="0.25">
      <c r="A1674" s="2145"/>
      <c r="C1674" s="49"/>
      <c r="D1674" s="2394"/>
      <c r="E1674" s="2394"/>
      <c r="F1674" s="2404" t="str">
        <f>$E$807</f>
        <v>ASHP-SEER19-Replace_CAC_NonElectricHeat_ER2_SF</v>
      </c>
      <c r="G1674" s="2404"/>
      <c r="H1674" s="2404"/>
      <c r="I1674" s="2404"/>
      <c r="J1674" s="1506" t="str">
        <f>$C$807</f>
        <v>354410_2024_12_</v>
      </c>
      <c r="K1674" s="1517">
        <v>19.195652173913039</v>
      </c>
      <c r="L1674" s="244"/>
      <c r="M1674" s="1504" t="s">
        <v>1018</v>
      </c>
      <c r="T1674" s="50"/>
      <c r="U1674" s="50"/>
      <c r="V1674" s="2394"/>
      <c r="W1674" s="1268"/>
      <c r="X1674" s="1268"/>
      <c r="Y1674" s="1268"/>
      <c r="Z1674" s="1268"/>
      <c r="AA1674" s="1268"/>
      <c r="AB1674" s="1268"/>
      <c r="AC1674" s="195">
        <f>AC1673</f>
        <v>19.125</v>
      </c>
      <c r="AD1674" s="194">
        <v>19.125</v>
      </c>
      <c r="AE1674" s="195">
        <v>19.195652173913039</v>
      </c>
      <c r="AF1674" s="253">
        <v>19.195652173913039</v>
      </c>
      <c r="AG1674" s="253">
        <f t="shared" si="224"/>
        <v>19.195652173913039</v>
      </c>
      <c r="DG1674" s="543"/>
      <c r="DH1674" s="149"/>
      <c r="DI1674" s="1020"/>
      <c r="DJ1674" s="2045"/>
    </row>
    <row r="1675" spans="1:114" ht="15" customHeight="1" outlineLevel="1" x14ac:dyDescent="0.25">
      <c r="A1675" s="2145"/>
      <c r="C1675" s="49"/>
      <c r="D1675" s="2394"/>
      <c r="E1675" s="2394"/>
      <c r="F1675" s="2404" t="str">
        <f>$E$809</f>
        <v>ASHP-SEER19-Replace_CAC_ElectricHeat_ER1_MF</v>
      </c>
      <c r="G1675" s="2404"/>
      <c r="H1675" s="2404"/>
      <c r="I1675" s="2404"/>
      <c r="J1675" s="1506" t="str">
        <f>$C$809</f>
        <v>354450_2024_12_</v>
      </c>
      <c r="K1675" s="1517">
        <v>19</v>
      </c>
      <c r="L1675" s="244"/>
      <c r="M1675" s="1504" t="s">
        <v>1302</v>
      </c>
      <c r="T1675" s="50"/>
      <c r="U1675" s="50"/>
      <c r="V1675" s="2394"/>
      <c r="W1675" s="1268">
        <v>19</v>
      </c>
      <c r="X1675" s="1268">
        <v>19</v>
      </c>
      <c r="Y1675" s="1268">
        <v>19</v>
      </c>
      <c r="Z1675" s="1268">
        <v>19</v>
      </c>
      <c r="AA1675" s="1268">
        <v>19</v>
      </c>
      <c r="AB1675" s="1268">
        <v>19</v>
      </c>
      <c r="AC1675" s="194">
        <v>19</v>
      </c>
      <c r="AD1675" s="194">
        <v>19</v>
      </c>
      <c r="AE1675" s="194">
        <v>19</v>
      </c>
      <c r="AF1675" s="253">
        <v>19</v>
      </c>
      <c r="AG1675" s="253">
        <f t="shared" si="224"/>
        <v>19</v>
      </c>
      <c r="DG1675" s="543"/>
      <c r="DH1675" s="149"/>
      <c r="DI1675" s="1020"/>
      <c r="DJ1675" s="2045"/>
    </row>
    <row r="1676" spans="1:114" ht="15" customHeight="1" outlineLevel="1" x14ac:dyDescent="0.25">
      <c r="A1676" s="2145"/>
      <c r="C1676" s="49"/>
      <c r="D1676" s="2394"/>
      <c r="E1676" s="2394"/>
      <c r="F1676" s="2404" t="str">
        <f>$E$811</f>
        <v>ASHP-SEER19-Replace_CAC_ElectricHeat_ER2_MF</v>
      </c>
      <c r="G1676" s="2404"/>
      <c r="H1676" s="2404"/>
      <c r="I1676" s="2404"/>
      <c r="J1676" s="1506" t="str">
        <f>$C$811</f>
        <v>354450_2024_12_</v>
      </c>
      <c r="K1676" s="1517">
        <v>19</v>
      </c>
      <c r="L1676" s="244"/>
      <c r="M1676" s="1504" t="s">
        <v>1302</v>
      </c>
      <c r="T1676" s="50"/>
      <c r="U1676" s="50"/>
      <c r="V1676" s="2394"/>
      <c r="W1676" s="1268">
        <v>19</v>
      </c>
      <c r="X1676" s="1268">
        <v>19</v>
      </c>
      <c r="Y1676" s="1268">
        <v>19</v>
      </c>
      <c r="Z1676" s="1268">
        <v>19</v>
      </c>
      <c r="AA1676" s="1268">
        <v>19</v>
      </c>
      <c r="AB1676" s="1268">
        <v>19</v>
      </c>
      <c r="AC1676" s="194">
        <v>19</v>
      </c>
      <c r="AD1676" s="194">
        <v>19</v>
      </c>
      <c r="AE1676" s="194">
        <v>19</v>
      </c>
      <c r="AF1676" s="253">
        <v>19</v>
      </c>
      <c r="AG1676" s="253">
        <f t="shared" si="224"/>
        <v>19</v>
      </c>
      <c r="DG1676" s="543"/>
      <c r="DH1676" s="149"/>
      <c r="DI1676" s="1020"/>
      <c r="DJ1676" s="2045"/>
    </row>
    <row r="1677" spans="1:114" ht="15" customHeight="1" outlineLevel="1" x14ac:dyDescent="0.25">
      <c r="A1677" s="2145"/>
      <c r="C1677" s="49"/>
      <c r="D1677" s="2394"/>
      <c r="E1677" s="2394"/>
      <c r="F1677" s="2404" t="str">
        <f>$E$813</f>
        <v>ASHP-SEER19_ER1_MF</v>
      </c>
      <c r="G1677" s="2404"/>
      <c r="H1677" s="2404"/>
      <c r="I1677" s="2404"/>
      <c r="J1677" s="1506" t="str">
        <f>$C$813</f>
        <v>354500_2024_12_</v>
      </c>
      <c r="K1677" s="1517">
        <v>19</v>
      </c>
      <c r="L1677" s="244"/>
      <c r="M1677" s="1504" t="s">
        <v>1302</v>
      </c>
      <c r="T1677" s="50"/>
      <c r="U1677" s="50"/>
      <c r="V1677" s="2394"/>
      <c r="W1677" s="1268">
        <v>19</v>
      </c>
      <c r="X1677" s="1268">
        <v>19</v>
      </c>
      <c r="Y1677" s="1268">
        <v>19</v>
      </c>
      <c r="Z1677" s="1268">
        <v>19</v>
      </c>
      <c r="AA1677" s="1268">
        <v>19</v>
      </c>
      <c r="AB1677" s="1268">
        <v>19</v>
      </c>
      <c r="AC1677" s="194">
        <v>19</v>
      </c>
      <c r="AD1677" s="194">
        <v>19</v>
      </c>
      <c r="AE1677" s="194">
        <v>19</v>
      </c>
      <c r="AF1677" s="253">
        <v>19</v>
      </c>
      <c r="AG1677" s="253">
        <f t="shared" si="224"/>
        <v>19</v>
      </c>
      <c r="DG1677" s="543"/>
      <c r="DH1677" s="149"/>
      <c r="DI1677" s="1020"/>
      <c r="DJ1677" s="2045"/>
    </row>
    <row r="1678" spans="1:114" ht="15" customHeight="1" outlineLevel="1" x14ac:dyDescent="0.25">
      <c r="A1678" s="2145"/>
      <c r="C1678" s="49"/>
      <c r="D1678" s="2394"/>
      <c r="E1678" s="2394"/>
      <c r="F1678" s="2404" t="str">
        <f>$E$815</f>
        <v>ASHP-SEER19_ER2_MF</v>
      </c>
      <c r="G1678" s="2404"/>
      <c r="H1678" s="2404"/>
      <c r="I1678" s="2404"/>
      <c r="J1678" s="1506" t="str">
        <f>$C$815</f>
        <v>354500_2024_12_</v>
      </c>
      <c r="K1678" s="1517">
        <v>19</v>
      </c>
      <c r="L1678" s="244"/>
      <c r="M1678" s="1504" t="s">
        <v>1302</v>
      </c>
      <c r="T1678" s="50"/>
      <c r="U1678" s="50"/>
      <c r="V1678" s="2394"/>
      <c r="W1678" s="1268">
        <v>19</v>
      </c>
      <c r="X1678" s="1268">
        <v>19</v>
      </c>
      <c r="Y1678" s="1268">
        <v>19</v>
      </c>
      <c r="Z1678" s="1268">
        <v>19</v>
      </c>
      <c r="AA1678" s="1268">
        <v>19</v>
      </c>
      <c r="AB1678" s="1268">
        <v>19</v>
      </c>
      <c r="AC1678" s="194">
        <v>19</v>
      </c>
      <c r="AD1678" s="194">
        <v>19</v>
      </c>
      <c r="AE1678" s="194">
        <v>19</v>
      </c>
      <c r="AF1678" s="253">
        <v>19</v>
      </c>
      <c r="AG1678" s="253">
        <f t="shared" si="224"/>
        <v>19</v>
      </c>
      <c r="DG1678" s="543"/>
      <c r="DH1678" s="149"/>
      <c r="DI1678" s="1020"/>
      <c r="DJ1678" s="2045"/>
    </row>
    <row r="1679" spans="1:114" ht="15" customHeight="1" outlineLevel="1" x14ac:dyDescent="0.25">
      <c r="A1679" s="2145"/>
      <c r="C1679" s="49"/>
      <c r="D1679" s="2394"/>
      <c r="E1679" s="2394"/>
      <c r="F1679" s="2404" t="str">
        <f>$E$817</f>
        <v>ASHP-SEER20_ER1_SF</v>
      </c>
      <c r="G1679" s="2404"/>
      <c r="H1679" s="2404"/>
      <c r="I1679" s="2404"/>
      <c r="J1679" s="1506" t="str">
        <f>$C$817</f>
        <v>354550_2024_12_</v>
      </c>
      <c r="K1679" s="1517">
        <v>20.048611111111107</v>
      </c>
      <c r="L1679" s="244"/>
      <c r="M1679" s="1503" t="s">
        <v>931</v>
      </c>
      <c r="T1679" s="50"/>
      <c r="U1679" s="50"/>
      <c r="V1679" s="2394"/>
      <c r="W1679" s="1268">
        <v>20</v>
      </c>
      <c r="X1679" s="1268">
        <v>20</v>
      </c>
      <c r="Y1679" s="1268">
        <v>20</v>
      </c>
      <c r="Z1679" s="1268">
        <v>20</v>
      </c>
      <c r="AA1679" s="1268">
        <v>20</v>
      </c>
      <c r="AB1679" s="1268">
        <v>20</v>
      </c>
      <c r="AC1679" s="194">
        <v>20</v>
      </c>
      <c r="AD1679" s="195">
        <v>20.033333333333335</v>
      </c>
      <c r="AE1679" s="195">
        <v>20.048611111111107</v>
      </c>
      <c r="AF1679" s="253">
        <v>20.048611111111107</v>
      </c>
      <c r="AG1679" s="253">
        <f t="shared" si="224"/>
        <v>20.048611111111107</v>
      </c>
      <c r="DG1679" s="543"/>
      <c r="DH1679" s="149"/>
      <c r="DI1679" s="1020"/>
      <c r="DJ1679" s="2045"/>
    </row>
    <row r="1680" spans="1:114" ht="15" customHeight="1" outlineLevel="1" x14ac:dyDescent="0.25">
      <c r="A1680" s="2145"/>
      <c r="C1680" s="49"/>
      <c r="D1680" s="2394"/>
      <c r="E1680" s="2394"/>
      <c r="F1680" s="2404" t="str">
        <f>$E$819</f>
        <v>ASHP-SEER20_ER2_SF</v>
      </c>
      <c r="G1680" s="2404"/>
      <c r="H1680" s="2404"/>
      <c r="I1680" s="2404"/>
      <c r="J1680" s="1506" t="str">
        <f>$C$819</f>
        <v>354550_2024_12_</v>
      </c>
      <c r="K1680" s="1517">
        <v>20.048611111111107</v>
      </c>
      <c r="L1680" s="244"/>
      <c r="M1680" s="1503" t="s">
        <v>931</v>
      </c>
      <c r="T1680" s="50"/>
      <c r="U1680" s="50"/>
      <c r="V1680" s="2394"/>
      <c r="W1680" s="1268">
        <v>20</v>
      </c>
      <c r="X1680" s="1268">
        <v>20</v>
      </c>
      <c r="Y1680" s="1268">
        <v>20</v>
      </c>
      <c r="Z1680" s="1268">
        <v>20</v>
      </c>
      <c r="AA1680" s="1268">
        <v>20</v>
      </c>
      <c r="AB1680" s="1268">
        <v>20</v>
      </c>
      <c r="AC1680" s="194">
        <f>AC1679</f>
        <v>20</v>
      </c>
      <c r="AD1680" s="195">
        <v>20.033333333333335</v>
      </c>
      <c r="AE1680" s="195">
        <v>20.048611111111107</v>
      </c>
      <c r="AF1680" s="253">
        <v>20.048611111111107</v>
      </c>
      <c r="AG1680" s="253">
        <f t="shared" si="224"/>
        <v>20.048611111111107</v>
      </c>
      <c r="DG1680" s="543"/>
      <c r="DH1680" s="149"/>
      <c r="DI1680" s="1020"/>
      <c r="DJ1680" s="2045"/>
    </row>
    <row r="1681" spans="1:114" ht="15" customHeight="1" outlineLevel="1" x14ac:dyDescent="0.25">
      <c r="A1681" s="2145"/>
      <c r="C1681" s="49"/>
      <c r="D1681" s="2394"/>
      <c r="E1681" s="2394"/>
      <c r="F1681" s="2404" t="str">
        <f>$E$821</f>
        <v>ASHP-SEER20_ROF_SF</v>
      </c>
      <c r="G1681" s="2404"/>
      <c r="H1681" s="2404"/>
      <c r="I1681" s="2404"/>
      <c r="J1681" s="1506" t="str">
        <f>$C$821</f>
        <v>354600_2024_12_</v>
      </c>
      <c r="K1681" s="1517">
        <v>20.089285714285715</v>
      </c>
      <c r="L1681" s="244"/>
      <c r="M1681" s="1503" t="s">
        <v>931</v>
      </c>
      <c r="T1681" s="50"/>
      <c r="U1681" s="50"/>
      <c r="V1681" s="2394"/>
      <c r="W1681" s="1268">
        <v>20</v>
      </c>
      <c r="X1681" s="1268">
        <v>20</v>
      </c>
      <c r="Y1681" s="1268">
        <v>20</v>
      </c>
      <c r="Z1681" s="1268">
        <v>20</v>
      </c>
      <c r="AA1681" s="1268">
        <v>20</v>
      </c>
      <c r="AB1681" s="1268">
        <v>20</v>
      </c>
      <c r="AC1681" s="195">
        <v>20.066666666666666</v>
      </c>
      <c r="AD1681" s="195">
        <v>20.089285714285715</v>
      </c>
      <c r="AE1681" s="194">
        <v>20.089285714285715</v>
      </c>
      <c r="AF1681" s="253">
        <v>20.089285714285715</v>
      </c>
      <c r="AG1681" s="253">
        <f t="shared" si="224"/>
        <v>20.089285714285715</v>
      </c>
      <c r="DG1681" s="543"/>
      <c r="DH1681" s="149"/>
      <c r="DI1681" s="1020"/>
      <c r="DJ1681" s="2045"/>
    </row>
    <row r="1682" spans="1:114" ht="15" customHeight="1" outlineLevel="1" x14ac:dyDescent="0.25">
      <c r="A1682" s="2145"/>
      <c r="C1682" s="49"/>
      <c r="D1682" s="2394"/>
      <c r="E1682" s="2394"/>
      <c r="F1682" s="2404" t="str">
        <f>$E$823</f>
        <v>ASHP-SEER20-Replace_CAC_ElectricHeat_ER1_MF</v>
      </c>
      <c r="G1682" s="2404"/>
      <c r="H1682" s="2404"/>
      <c r="I1682" s="2404"/>
      <c r="J1682" s="1506" t="str">
        <f>$C$823</f>
        <v>354650_2024_12_</v>
      </c>
      <c r="K1682" s="1517">
        <v>20</v>
      </c>
      <c r="L1682" s="244"/>
      <c r="M1682" s="1504" t="s">
        <v>1302</v>
      </c>
      <c r="T1682" s="50"/>
      <c r="U1682" s="50"/>
      <c r="V1682" s="2394"/>
      <c r="W1682" s="1268">
        <v>20</v>
      </c>
      <c r="X1682" s="1268">
        <v>20</v>
      </c>
      <c r="Y1682" s="1268">
        <v>20</v>
      </c>
      <c r="Z1682" s="1268">
        <v>20</v>
      </c>
      <c r="AA1682" s="1268">
        <v>20</v>
      </c>
      <c r="AB1682" s="1268">
        <v>20</v>
      </c>
      <c r="AC1682" s="194">
        <v>20</v>
      </c>
      <c r="AD1682" s="194">
        <v>20</v>
      </c>
      <c r="AE1682" s="194">
        <v>20</v>
      </c>
      <c r="AF1682" s="253">
        <v>20</v>
      </c>
      <c r="AG1682" s="253">
        <f t="shared" si="224"/>
        <v>20</v>
      </c>
      <c r="DG1682" s="543"/>
      <c r="DH1682" s="149"/>
      <c r="DI1682" s="1020"/>
      <c r="DJ1682" s="2045"/>
    </row>
    <row r="1683" spans="1:114" ht="15" customHeight="1" outlineLevel="1" x14ac:dyDescent="0.25">
      <c r="A1683" s="2145"/>
      <c r="C1683" s="49"/>
      <c r="D1683" s="2394"/>
      <c r="E1683" s="2394"/>
      <c r="F1683" s="2404" t="str">
        <f>$E$825</f>
        <v>ASHP-SEER20-Replace_CAC_ElectricHeat_ER2_MF</v>
      </c>
      <c r="G1683" s="2404"/>
      <c r="H1683" s="2404"/>
      <c r="I1683" s="2404"/>
      <c r="J1683" s="1506" t="str">
        <f>$C$825</f>
        <v>354650_2024_12_</v>
      </c>
      <c r="K1683" s="1517">
        <v>20</v>
      </c>
      <c r="L1683" s="244"/>
      <c r="M1683" s="1505" t="s">
        <v>1302</v>
      </c>
      <c r="T1683" s="50"/>
      <c r="U1683" s="50"/>
      <c r="V1683" s="2394"/>
      <c r="W1683" s="1268">
        <v>20</v>
      </c>
      <c r="X1683" s="1268">
        <v>20</v>
      </c>
      <c r="Y1683" s="1268">
        <v>20</v>
      </c>
      <c r="Z1683" s="1268">
        <v>20</v>
      </c>
      <c r="AA1683" s="1268">
        <v>20</v>
      </c>
      <c r="AB1683" s="1268">
        <v>20</v>
      </c>
      <c r="AC1683" s="194">
        <v>20</v>
      </c>
      <c r="AD1683" s="194">
        <v>20</v>
      </c>
      <c r="AE1683" s="194">
        <v>20</v>
      </c>
      <c r="AF1683" s="253">
        <v>20</v>
      </c>
      <c r="AG1683" s="253">
        <f t="shared" si="224"/>
        <v>20</v>
      </c>
      <c r="DG1683" s="543"/>
      <c r="DH1683" s="149"/>
      <c r="DI1683" s="1020"/>
      <c r="DJ1683" s="2045"/>
    </row>
    <row r="1684" spans="1:114" ht="15" customHeight="1" outlineLevel="1" x14ac:dyDescent="0.25">
      <c r="A1684" s="2145"/>
      <c r="C1684" s="49"/>
      <c r="D1684" s="2394"/>
      <c r="E1684" s="2394"/>
      <c r="F1684" s="2404" t="str">
        <f>$E$827</f>
        <v>ASHP-SEER20_ER1_MF</v>
      </c>
      <c r="G1684" s="2404"/>
      <c r="H1684" s="2404"/>
      <c r="I1684" s="2404"/>
      <c r="J1684" s="1506" t="str">
        <f>$C$827</f>
        <v>354700_2024_12_</v>
      </c>
      <c r="K1684" s="1517">
        <v>20</v>
      </c>
      <c r="L1684" s="244"/>
      <c r="M1684" s="1505" t="s">
        <v>1302</v>
      </c>
      <c r="T1684" s="50"/>
      <c r="U1684" s="50"/>
      <c r="V1684" s="2394"/>
      <c r="W1684" s="1268">
        <v>20</v>
      </c>
      <c r="X1684" s="1268">
        <v>20</v>
      </c>
      <c r="Y1684" s="1268">
        <v>20</v>
      </c>
      <c r="Z1684" s="1268">
        <v>20</v>
      </c>
      <c r="AA1684" s="1268">
        <v>20</v>
      </c>
      <c r="AB1684" s="1268">
        <v>20</v>
      </c>
      <c r="AC1684" s="194">
        <v>20</v>
      </c>
      <c r="AD1684" s="194">
        <v>20</v>
      </c>
      <c r="AE1684" s="194">
        <v>20</v>
      </c>
      <c r="AF1684" s="253">
        <v>20</v>
      </c>
      <c r="AG1684" s="253">
        <f t="shared" si="224"/>
        <v>20</v>
      </c>
      <c r="DG1684" s="543"/>
      <c r="DH1684" s="149"/>
      <c r="DI1684" s="1020"/>
      <c r="DJ1684" s="2045"/>
    </row>
    <row r="1685" spans="1:114" ht="15" customHeight="1" outlineLevel="1" x14ac:dyDescent="0.25">
      <c r="A1685" s="2145"/>
      <c r="C1685" s="49"/>
      <c r="D1685" s="2394"/>
      <c r="E1685" s="2394"/>
      <c r="F1685" s="2404" t="str">
        <f>$E$829</f>
        <v>ASHP-SEER20_ER2_MF</v>
      </c>
      <c r="G1685" s="2404"/>
      <c r="H1685" s="2404"/>
      <c r="I1685" s="2404"/>
      <c r="J1685" s="1506" t="str">
        <f>$C$829</f>
        <v>354700_2024_12_</v>
      </c>
      <c r="K1685" s="1517">
        <v>20</v>
      </c>
      <c r="L1685" s="244"/>
      <c r="M1685" s="1505" t="s">
        <v>1302</v>
      </c>
      <c r="T1685" s="50"/>
      <c r="U1685" s="50"/>
      <c r="V1685" s="2394"/>
      <c r="W1685" s="1268">
        <v>20</v>
      </c>
      <c r="X1685" s="1268">
        <v>20</v>
      </c>
      <c r="Y1685" s="1268">
        <v>20</v>
      </c>
      <c r="Z1685" s="1268">
        <v>20</v>
      </c>
      <c r="AA1685" s="1268">
        <v>20</v>
      </c>
      <c r="AB1685" s="1268">
        <v>20</v>
      </c>
      <c r="AC1685" s="194">
        <v>20</v>
      </c>
      <c r="AD1685" s="194">
        <v>20</v>
      </c>
      <c r="AE1685" s="194">
        <v>20</v>
      </c>
      <c r="AF1685" s="253">
        <v>20</v>
      </c>
      <c r="AG1685" s="253">
        <f t="shared" si="224"/>
        <v>20</v>
      </c>
      <c r="DG1685" s="543"/>
      <c r="DH1685" s="149"/>
      <c r="DI1685" s="1020"/>
      <c r="DJ1685" s="2045"/>
    </row>
    <row r="1686" spans="1:114" ht="15" customHeight="1" outlineLevel="1" x14ac:dyDescent="0.25">
      <c r="A1686" s="2145"/>
      <c r="C1686" s="49"/>
      <c r="D1686" s="2394"/>
      <c r="E1686" s="2394"/>
      <c r="F1686" s="2404" t="str">
        <f>$E$831</f>
        <v>ASHP-SEER21_ER1_SF</v>
      </c>
      <c r="G1686" s="2404"/>
      <c r="H1686" s="2404"/>
      <c r="I1686" s="2404"/>
      <c r="J1686" s="1506" t="str">
        <f>$C$831</f>
        <v>354750_2024_12_</v>
      </c>
      <c r="K1686" s="859">
        <v>21.617021276595743</v>
      </c>
      <c r="L1686" s="244"/>
      <c r="M1686" s="1503" t="s">
        <v>931</v>
      </c>
      <c r="T1686" s="50"/>
      <c r="U1686" s="50"/>
      <c r="V1686" s="2394"/>
      <c r="W1686" s="1268">
        <v>21</v>
      </c>
      <c r="X1686" s="1268">
        <v>21</v>
      </c>
      <c r="Y1686" s="1268">
        <v>21</v>
      </c>
      <c r="Z1686" s="1268">
        <v>21</v>
      </c>
      <c r="AA1686" s="1268">
        <v>21</v>
      </c>
      <c r="AB1686" s="1268">
        <v>21</v>
      </c>
      <c r="AC1686" s="195">
        <v>21.846153846153847</v>
      </c>
      <c r="AD1686" s="910">
        <v>21.551136363636363</v>
      </c>
      <c r="AE1686" s="910">
        <v>21.617021276595743</v>
      </c>
      <c r="AF1686" s="253">
        <v>21.617021276595743</v>
      </c>
      <c r="AG1686" s="253">
        <f t="shared" si="224"/>
        <v>21.617021276595743</v>
      </c>
      <c r="DG1686" s="543"/>
      <c r="DH1686" s="149"/>
      <c r="DI1686" s="1020"/>
      <c r="DJ1686" s="2045"/>
    </row>
    <row r="1687" spans="1:114" ht="15" customHeight="1" outlineLevel="1" x14ac:dyDescent="0.25">
      <c r="A1687" s="2145"/>
      <c r="C1687" s="49"/>
      <c r="D1687" s="2394"/>
      <c r="E1687" s="2394"/>
      <c r="F1687" s="2404" t="str">
        <f>$E$833</f>
        <v>ASHP-SEER21_ER2_SF</v>
      </c>
      <c r="G1687" s="2404"/>
      <c r="H1687" s="2404"/>
      <c r="I1687" s="2404"/>
      <c r="J1687" s="1506" t="str">
        <f>$C$833</f>
        <v>354750_2024_12_</v>
      </c>
      <c r="K1687" s="859">
        <v>21.617021276595743</v>
      </c>
      <c r="L1687" s="244"/>
      <c r="M1687" s="1503" t="s">
        <v>931</v>
      </c>
      <c r="T1687" s="50"/>
      <c r="U1687" s="50"/>
      <c r="V1687" s="2394"/>
      <c r="W1687" s="1268">
        <v>21</v>
      </c>
      <c r="X1687" s="1268">
        <v>21</v>
      </c>
      <c r="Y1687" s="1268">
        <v>21</v>
      </c>
      <c r="Z1687" s="1268">
        <v>21</v>
      </c>
      <c r="AA1687" s="1268">
        <v>21</v>
      </c>
      <c r="AB1687" s="1268">
        <v>21</v>
      </c>
      <c r="AC1687" s="195">
        <f>AC1686</f>
        <v>21.846153846153847</v>
      </c>
      <c r="AD1687" s="910">
        <v>21.551136363636363</v>
      </c>
      <c r="AE1687" s="910">
        <v>21.617021276595743</v>
      </c>
      <c r="AF1687" s="253">
        <v>21.617021276595743</v>
      </c>
      <c r="AG1687" s="253">
        <f t="shared" si="224"/>
        <v>21.617021276595743</v>
      </c>
      <c r="DG1687" s="543"/>
      <c r="DH1687" s="149"/>
      <c r="DI1687" s="1020"/>
      <c r="DJ1687" s="2045"/>
    </row>
    <row r="1688" spans="1:114" ht="15" customHeight="1" outlineLevel="1" x14ac:dyDescent="0.25">
      <c r="A1688" s="2145"/>
      <c r="C1688" s="49"/>
      <c r="D1688" s="2394"/>
      <c r="E1688" s="2394"/>
      <c r="F1688" s="2404" t="str">
        <f>$E$835</f>
        <v>ASHP-SEER21_ROF_SF</v>
      </c>
      <c r="G1688" s="2404"/>
      <c r="H1688" s="2404"/>
      <c r="I1688" s="2404"/>
      <c r="J1688" s="1506" t="str">
        <f>$C$835</f>
        <v>354800_2024_12_</v>
      </c>
      <c r="K1688" s="859">
        <v>21.727272727272723</v>
      </c>
      <c r="L1688" s="244"/>
      <c r="M1688" s="1503" t="s">
        <v>929</v>
      </c>
      <c r="T1688" s="50"/>
      <c r="U1688" s="50"/>
      <c r="V1688" s="2394"/>
      <c r="W1688" s="1268">
        <v>21</v>
      </c>
      <c r="X1688" s="1268">
        <v>21</v>
      </c>
      <c r="Y1688" s="1268">
        <v>21</v>
      </c>
      <c r="Z1688" s="1268">
        <v>21</v>
      </c>
      <c r="AA1688" s="1268">
        <v>21</v>
      </c>
      <c r="AB1688" s="1268">
        <v>21</v>
      </c>
      <c r="AC1688" s="195">
        <v>21.375</v>
      </c>
      <c r="AD1688" s="910">
        <v>21.59375</v>
      </c>
      <c r="AE1688" s="910">
        <v>21.727272727272723</v>
      </c>
      <c r="AF1688" s="253">
        <v>21.727272727272723</v>
      </c>
      <c r="AG1688" s="253">
        <f t="shared" si="224"/>
        <v>21.727272727272723</v>
      </c>
      <c r="DG1688" s="543"/>
      <c r="DH1688" s="149"/>
      <c r="DI1688" s="1020"/>
      <c r="DJ1688" s="2045"/>
    </row>
    <row r="1689" spans="1:114" ht="15" customHeight="1" outlineLevel="1" x14ac:dyDescent="0.25">
      <c r="A1689" s="2145"/>
      <c r="C1689" s="49"/>
      <c r="D1689" s="2394"/>
      <c r="E1689" s="2394"/>
      <c r="F1689" s="2404" t="str">
        <f>$E$837</f>
        <v>ASHP-SEER21-Replace_CAC_ElectricHeat_ROF_MF</v>
      </c>
      <c r="G1689" s="2404"/>
      <c r="H1689" s="2404"/>
      <c r="I1689" s="2404"/>
      <c r="J1689" s="1506" t="str">
        <f>$C$837</f>
        <v>354850_2024_12_</v>
      </c>
      <c r="K1689" s="1517">
        <v>21</v>
      </c>
      <c r="L1689" s="244"/>
      <c r="M1689" s="1505" t="s">
        <v>1302</v>
      </c>
      <c r="T1689" s="50"/>
      <c r="U1689" s="50"/>
      <c r="V1689" s="2394"/>
      <c r="W1689" s="1268">
        <v>21</v>
      </c>
      <c r="X1689" s="1268">
        <v>21</v>
      </c>
      <c r="Y1689" s="1268">
        <v>21</v>
      </c>
      <c r="Z1689" s="1268">
        <v>21</v>
      </c>
      <c r="AA1689" s="1268">
        <v>21</v>
      </c>
      <c r="AB1689" s="1268">
        <v>21</v>
      </c>
      <c r="AC1689" s="194">
        <v>21</v>
      </c>
      <c r="AD1689" s="194">
        <v>21</v>
      </c>
      <c r="AE1689" s="194">
        <v>21</v>
      </c>
      <c r="AF1689" s="253">
        <v>21</v>
      </c>
      <c r="AG1689" s="253">
        <f t="shared" si="224"/>
        <v>21</v>
      </c>
      <c r="DG1689" s="543"/>
      <c r="DH1689" s="149"/>
      <c r="DI1689" s="1020"/>
      <c r="DJ1689" s="2045"/>
    </row>
    <row r="1690" spans="1:114" ht="15" customHeight="1" outlineLevel="1" x14ac:dyDescent="0.25">
      <c r="A1690" s="2145"/>
      <c r="C1690" s="49"/>
      <c r="D1690" s="2394"/>
      <c r="E1690" s="2394"/>
      <c r="F1690" s="2404" t="str">
        <f>$E$839</f>
        <v>ASHP-SEER21_ER1_MF</v>
      </c>
      <c r="G1690" s="2404"/>
      <c r="H1690" s="2404"/>
      <c r="I1690" s="2404"/>
      <c r="J1690" s="1506" t="str">
        <f>$C$839</f>
        <v>354900_2024_12_</v>
      </c>
      <c r="K1690" s="1517">
        <v>21</v>
      </c>
      <c r="L1690" s="244"/>
      <c r="M1690" s="1505" t="s">
        <v>1302</v>
      </c>
      <c r="T1690" s="50"/>
      <c r="U1690" s="50"/>
      <c r="V1690" s="2394"/>
      <c r="W1690" s="1268">
        <v>21</v>
      </c>
      <c r="X1690" s="1268">
        <v>21</v>
      </c>
      <c r="Y1690" s="1268">
        <v>21</v>
      </c>
      <c r="Z1690" s="1268">
        <v>21</v>
      </c>
      <c r="AA1690" s="1268">
        <v>21</v>
      </c>
      <c r="AB1690" s="1268">
        <v>21</v>
      </c>
      <c r="AC1690" s="194">
        <v>21</v>
      </c>
      <c r="AD1690" s="194">
        <v>21</v>
      </c>
      <c r="AE1690" s="194">
        <v>21</v>
      </c>
      <c r="AF1690" s="253">
        <v>21</v>
      </c>
      <c r="AG1690" s="253">
        <f t="shared" si="224"/>
        <v>21</v>
      </c>
      <c r="DG1690" s="543"/>
      <c r="DH1690" s="149"/>
      <c r="DI1690" s="1020"/>
      <c r="DJ1690" s="2045"/>
    </row>
    <row r="1691" spans="1:114" ht="15" customHeight="1" outlineLevel="1" x14ac:dyDescent="0.25">
      <c r="A1691" s="2145"/>
      <c r="C1691" s="49"/>
      <c r="D1691" s="2394"/>
      <c r="E1691" s="2394"/>
      <c r="F1691" s="2404" t="str">
        <f>$E$841</f>
        <v>ASHP-SEER21_ER2_MF</v>
      </c>
      <c r="G1691" s="2404"/>
      <c r="H1691" s="2404"/>
      <c r="I1691" s="2404"/>
      <c r="J1691" s="1506" t="str">
        <f>$C$841</f>
        <v>354900_2024_12_</v>
      </c>
      <c r="K1691" s="1517">
        <v>21</v>
      </c>
      <c r="L1691" s="244"/>
      <c r="M1691" s="1505" t="s">
        <v>1302</v>
      </c>
      <c r="T1691" s="50"/>
      <c r="U1691" s="50"/>
      <c r="V1691" s="2394"/>
      <c r="W1691" s="1268">
        <v>21</v>
      </c>
      <c r="X1691" s="1268">
        <v>21</v>
      </c>
      <c r="Y1691" s="1268">
        <v>21</v>
      </c>
      <c r="Z1691" s="1268">
        <v>21</v>
      </c>
      <c r="AA1691" s="1268">
        <v>21</v>
      </c>
      <c r="AB1691" s="1268">
        <v>21</v>
      </c>
      <c r="AC1691" s="194">
        <v>21</v>
      </c>
      <c r="AD1691" s="194">
        <v>21</v>
      </c>
      <c r="AE1691" s="194">
        <v>21</v>
      </c>
      <c r="AF1691" s="253">
        <v>21</v>
      </c>
      <c r="AG1691" s="253">
        <f t="shared" si="224"/>
        <v>21</v>
      </c>
      <c r="DG1691" s="543"/>
      <c r="DH1691" s="149"/>
      <c r="DI1691" s="1020"/>
      <c r="DJ1691" s="2045"/>
    </row>
    <row r="1692" spans="1:114" ht="15" customHeight="1" outlineLevel="1" x14ac:dyDescent="0.25">
      <c r="A1692" s="2145"/>
      <c r="C1692" s="49"/>
      <c r="D1692" s="2394"/>
      <c r="E1692" s="2394"/>
      <c r="F1692" s="2404" t="str">
        <f>$E$843</f>
        <v>ASHP-SEER17_ROF_MF</v>
      </c>
      <c r="G1692" s="2404"/>
      <c r="H1692" s="2404"/>
      <c r="I1692" s="2404"/>
      <c r="J1692" s="1506" t="str">
        <f>$C$843</f>
        <v>354950_2024_12_</v>
      </c>
      <c r="K1692" s="1517">
        <v>17</v>
      </c>
      <c r="L1692" s="244"/>
      <c r="M1692" s="1505" t="s">
        <v>1302</v>
      </c>
      <c r="P1692" s="243"/>
      <c r="Q1692" s="192"/>
      <c r="R1692" s="243"/>
      <c r="T1692" s="166"/>
      <c r="U1692" s="50"/>
      <c r="V1692" s="2394"/>
      <c r="W1692" s="1268">
        <v>17</v>
      </c>
      <c r="X1692" s="1268">
        <v>17</v>
      </c>
      <c r="Y1692" s="1268">
        <v>17</v>
      </c>
      <c r="Z1692" s="1268">
        <v>17</v>
      </c>
      <c r="AA1692" s="1268">
        <v>17</v>
      </c>
      <c r="AB1692" s="1268">
        <v>17</v>
      </c>
      <c r="AC1692" s="194">
        <v>17</v>
      </c>
      <c r="AD1692" s="194">
        <v>17</v>
      </c>
      <c r="AE1692" s="194">
        <v>17</v>
      </c>
      <c r="AF1692" s="253">
        <v>17</v>
      </c>
      <c r="AG1692" s="253">
        <f t="shared" si="224"/>
        <v>17</v>
      </c>
      <c r="DG1692" s="543"/>
      <c r="DH1692" s="149"/>
      <c r="DI1692" s="1020"/>
      <c r="DJ1692" s="2045"/>
    </row>
    <row r="1693" spans="1:114" ht="15" customHeight="1" outlineLevel="1" x14ac:dyDescent="0.25">
      <c r="A1693" s="2145"/>
      <c r="C1693" s="49"/>
      <c r="D1693" s="2394"/>
      <c r="E1693" s="2394"/>
      <c r="F1693" s="2404" t="str">
        <f>$E$845</f>
        <v>ASHP-SEER18_ROF_MF</v>
      </c>
      <c r="G1693" s="2404"/>
      <c r="H1693" s="2404"/>
      <c r="I1693" s="2404"/>
      <c r="J1693" s="1506" t="str">
        <f>$C$845</f>
        <v>355000_2024_12_</v>
      </c>
      <c r="K1693" s="1517">
        <v>18</v>
      </c>
      <c r="L1693" s="244"/>
      <c r="M1693" s="1505" t="s">
        <v>1302</v>
      </c>
      <c r="P1693" s="243"/>
      <c r="Q1693" s="192"/>
      <c r="R1693" s="243"/>
      <c r="T1693" s="166"/>
      <c r="U1693" s="50"/>
      <c r="V1693" s="2394"/>
      <c r="W1693" s="1268">
        <v>18</v>
      </c>
      <c r="X1693" s="1268">
        <v>18</v>
      </c>
      <c r="Y1693" s="1268">
        <v>18</v>
      </c>
      <c r="Z1693" s="1268">
        <v>18</v>
      </c>
      <c r="AA1693" s="1268">
        <v>18</v>
      </c>
      <c r="AB1693" s="1268">
        <v>18</v>
      </c>
      <c r="AC1693" s="194">
        <v>18</v>
      </c>
      <c r="AD1693" s="194">
        <v>18</v>
      </c>
      <c r="AE1693" s="194">
        <v>18</v>
      </c>
      <c r="AF1693" s="253">
        <v>18</v>
      </c>
      <c r="AG1693" s="253">
        <f t="shared" si="224"/>
        <v>18</v>
      </c>
      <c r="DG1693" s="543"/>
      <c r="DH1693" s="149"/>
      <c r="DI1693" s="1020"/>
      <c r="DJ1693" s="2045"/>
    </row>
    <row r="1694" spans="1:114" ht="15" customHeight="1" outlineLevel="1" x14ac:dyDescent="0.25">
      <c r="A1694" s="2145"/>
      <c r="C1694" s="49"/>
      <c r="D1694" s="2394"/>
      <c r="E1694" s="2394"/>
      <c r="F1694" s="2404" t="str">
        <f>$E$847</f>
        <v>ASHP-SEER19_ROF_MF</v>
      </c>
      <c r="G1694" s="2404"/>
      <c r="H1694" s="2404"/>
      <c r="I1694" s="2404"/>
      <c r="J1694" s="1506" t="str">
        <f>$C$847</f>
        <v>355050_2024_12_</v>
      </c>
      <c r="K1694" s="1517">
        <v>19</v>
      </c>
      <c r="L1694" s="244"/>
      <c r="M1694" s="1505" t="s">
        <v>1302</v>
      </c>
      <c r="T1694" s="50"/>
      <c r="U1694" s="50"/>
      <c r="V1694" s="2394"/>
      <c r="W1694" s="1268">
        <v>19</v>
      </c>
      <c r="X1694" s="1268">
        <v>19</v>
      </c>
      <c r="Y1694" s="1268">
        <v>19</v>
      </c>
      <c r="Z1694" s="1268">
        <v>19</v>
      </c>
      <c r="AA1694" s="1268">
        <v>19</v>
      </c>
      <c r="AB1694" s="1268">
        <v>19</v>
      </c>
      <c r="AC1694" s="194">
        <v>19</v>
      </c>
      <c r="AD1694" s="194">
        <v>19</v>
      </c>
      <c r="AE1694" s="194">
        <v>19</v>
      </c>
      <c r="AF1694" s="253">
        <v>19</v>
      </c>
      <c r="AG1694" s="253">
        <f t="shared" si="224"/>
        <v>19</v>
      </c>
      <c r="DG1694" s="543"/>
      <c r="DH1694" s="149"/>
      <c r="DI1694" s="1020"/>
      <c r="DJ1694" s="2045"/>
    </row>
    <row r="1695" spans="1:114" ht="15" customHeight="1" outlineLevel="1" x14ac:dyDescent="0.25">
      <c r="A1695" s="2145"/>
      <c r="C1695" s="49"/>
      <c r="D1695" s="2394"/>
      <c r="E1695" s="2394"/>
      <c r="F1695" s="2404" t="str">
        <f>$E$849</f>
        <v>ASHP-SEER20_ROF_MF</v>
      </c>
      <c r="G1695" s="2404"/>
      <c r="H1695" s="2404"/>
      <c r="I1695" s="2404"/>
      <c r="J1695" s="1506" t="str">
        <f>$C$849</f>
        <v>355100_2024_12_</v>
      </c>
      <c r="K1695" s="1517">
        <v>20</v>
      </c>
      <c r="L1695" s="244"/>
      <c r="M1695" s="1505" t="s">
        <v>1302</v>
      </c>
      <c r="T1695" s="50"/>
      <c r="U1695" s="50"/>
      <c r="V1695" s="2394"/>
      <c r="W1695" s="1268">
        <v>20</v>
      </c>
      <c r="X1695" s="1268">
        <v>20</v>
      </c>
      <c r="Y1695" s="1268">
        <v>20</v>
      </c>
      <c r="Z1695" s="1268">
        <v>20</v>
      </c>
      <c r="AA1695" s="1268">
        <v>20</v>
      </c>
      <c r="AB1695" s="1268">
        <v>20</v>
      </c>
      <c r="AC1695" s="194">
        <v>20</v>
      </c>
      <c r="AD1695" s="194">
        <v>20</v>
      </c>
      <c r="AE1695" s="194">
        <v>20</v>
      </c>
      <c r="AF1695" s="253">
        <v>20</v>
      </c>
      <c r="AG1695" s="253">
        <f t="shared" si="224"/>
        <v>20</v>
      </c>
      <c r="DG1695" s="543"/>
      <c r="DH1695" s="149"/>
      <c r="DI1695" s="1020"/>
      <c r="DJ1695" s="2045"/>
    </row>
    <row r="1696" spans="1:114" ht="15.75" customHeight="1" outlineLevel="1" x14ac:dyDescent="0.25">
      <c r="A1696" s="2145"/>
      <c r="C1696" s="49"/>
      <c r="D1696" s="2395"/>
      <c r="E1696" s="2395"/>
      <c r="F1696" s="2404" t="str">
        <f>$E$851</f>
        <v>ASHP-SEER21_ROF_MF</v>
      </c>
      <c r="G1696" s="2404"/>
      <c r="H1696" s="2404"/>
      <c r="I1696" s="2404"/>
      <c r="J1696" s="1506" t="str">
        <f>$C$851</f>
        <v>355150_2024_12_</v>
      </c>
      <c r="K1696" s="1517">
        <v>21</v>
      </c>
      <c r="L1696" s="244"/>
      <c r="M1696" s="1505" t="s">
        <v>1302</v>
      </c>
      <c r="P1696" s="243"/>
      <c r="Q1696" s="192"/>
      <c r="R1696" s="243"/>
      <c r="T1696" s="166"/>
      <c r="U1696" s="50"/>
      <c r="V1696" s="2395"/>
      <c r="W1696" s="1268">
        <v>21</v>
      </c>
      <c r="X1696" s="1268">
        <v>21</v>
      </c>
      <c r="Y1696" s="1268">
        <v>21</v>
      </c>
      <c r="Z1696" s="1268">
        <v>21</v>
      </c>
      <c r="AA1696" s="1268">
        <v>21</v>
      </c>
      <c r="AB1696" s="1268">
        <v>21</v>
      </c>
      <c r="AC1696" s="194">
        <v>21</v>
      </c>
      <c r="AD1696" s="194">
        <v>21</v>
      </c>
      <c r="AE1696" s="194">
        <v>21</v>
      </c>
      <c r="AF1696" s="253">
        <v>21</v>
      </c>
      <c r="AG1696" s="253">
        <f t="shared" si="224"/>
        <v>21</v>
      </c>
      <c r="DG1696" s="543"/>
      <c r="DH1696" s="149"/>
      <c r="DI1696" s="1020"/>
      <c r="DJ1696" s="2045"/>
    </row>
    <row r="1697" spans="1:114" ht="15" customHeight="1" outlineLevel="1" x14ac:dyDescent="0.25">
      <c r="A1697" s="2145"/>
      <c r="C1697" s="49"/>
      <c r="D1697" s="2393" t="s">
        <v>730</v>
      </c>
      <c r="E1697" s="2393" t="s">
        <v>1021</v>
      </c>
      <c r="F1697" s="2404" t="str">
        <f>$E$647</f>
        <v>ASHP-SEER15-Replace_CAC_ElectricHeat_ER1_SF</v>
      </c>
      <c r="G1697" s="2404"/>
      <c r="H1697" s="2404"/>
      <c r="I1697" s="2404"/>
      <c r="J1697" s="962" t="str">
        <f>$C$647</f>
        <v>352300_2024_12_</v>
      </c>
      <c r="K1697" s="1458">
        <v>1</v>
      </c>
      <c r="L1697" s="12"/>
      <c r="M1697" s="1249"/>
      <c r="P1697" s="243"/>
      <c r="Q1697" s="243"/>
      <c r="R1697" s="243"/>
      <c r="T1697" s="166"/>
      <c r="U1697" s="50"/>
      <c r="V1697" s="2393" t="s">
        <v>730</v>
      </c>
      <c r="W1697" s="223">
        <v>1</v>
      </c>
      <c r="X1697" s="223">
        <v>1</v>
      </c>
      <c r="Y1697" s="223">
        <v>1</v>
      </c>
      <c r="Z1697" s="223">
        <v>1</v>
      </c>
      <c r="AA1697" s="223">
        <v>1</v>
      </c>
      <c r="AB1697" s="223">
        <v>1</v>
      </c>
      <c r="AC1697" s="223">
        <v>1</v>
      </c>
      <c r="AD1697" s="223">
        <v>1</v>
      </c>
      <c r="AE1697" s="223">
        <v>1</v>
      </c>
      <c r="AF1697" s="1323">
        <v>1</v>
      </c>
      <c r="AG1697" s="1323">
        <f t="shared" si="224"/>
        <v>1</v>
      </c>
      <c r="DG1697" s="543"/>
      <c r="DH1697" s="149"/>
      <c r="DI1697" s="1020"/>
      <c r="DJ1697" s="2045"/>
    </row>
    <row r="1698" spans="1:114" ht="15" customHeight="1" outlineLevel="1" x14ac:dyDescent="0.25">
      <c r="A1698" s="2145"/>
      <c r="C1698" s="49"/>
      <c r="D1698" s="2394"/>
      <c r="E1698" s="2394"/>
      <c r="F1698" s="2404" t="str">
        <f>$E$649</f>
        <v>ASHP-SEER15-Replace_CAC_ElectricHeat_ER2_SF</v>
      </c>
      <c r="G1698" s="2404"/>
      <c r="H1698" s="2404"/>
      <c r="I1698" s="2404"/>
      <c r="J1698" s="962" t="str">
        <f>$C$649</f>
        <v>352300_2024_12_</v>
      </c>
      <c r="K1698" s="1458">
        <v>1</v>
      </c>
      <c r="L1698" s="12"/>
      <c r="M1698" s="1249"/>
      <c r="P1698" s="243"/>
      <c r="Q1698" s="243"/>
      <c r="R1698" s="243"/>
      <c r="T1698" s="166"/>
      <c r="U1698" s="50"/>
      <c r="V1698" s="2394"/>
      <c r="W1698" s="223">
        <v>1</v>
      </c>
      <c r="X1698" s="223">
        <v>1</v>
      </c>
      <c r="Y1698" s="223">
        <v>1</v>
      </c>
      <c r="Z1698" s="223">
        <v>1</v>
      </c>
      <c r="AA1698" s="223">
        <v>1</v>
      </c>
      <c r="AB1698" s="223">
        <v>1</v>
      </c>
      <c r="AC1698" s="223">
        <v>1</v>
      </c>
      <c r="AD1698" s="223">
        <v>1</v>
      </c>
      <c r="AE1698" s="223">
        <v>1</v>
      </c>
      <c r="AF1698" s="1323">
        <v>1</v>
      </c>
      <c r="AG1698" s="1323">
        <f t="shared" si="224"/>
        <v>1</v>
      </c>
      <c r="DG1698" s="543"/>
      <c r="DH1698" s="149"/>
      <c r="DI1698" s="1020"/>
      <c r="DJ1698" s="2045"/>
    </row>
    <row r="1699" spans="1:114" ht="15" customHeight="1" outlineLevel="1" x14ac:dyDescent="0.25">
      <c r="A1699" s="2145"/>
      <c r="C1699" s="49"/>
      <c r="D1699" s="2394"/>
      <c r="E1699" s="2394"/>
      <c r="F1699" s="2404" t="str">
        <f>$E$651</f>
        <v>ASHP-SEER15-Replace_CAC_NonElectricHeat_ER1_SF</v>
      </c>
      <c r="G1699" s="2404"/>
      <c r="H1699" s="2404"/>
      <c r="I1699" s="2404"/>
      <c r="J1699" s="962" t="str">
        <f>$C$651</f>
        <v>352310_2024_12_</v>
      </c>
      <c r="K1699" s="1458">
        <v>1</v>
      </c>
      <c r="L1699" s="12"/>
      <c r="M1699" s="1249"/>
      <c r="P1699" s="243"/>
      <c r="Q1699" s="243"/>
      <c r="R1699" s="243"/>
      <c r="T1699" s="166"/>
      <c r="U1699" s="50"/>
      <c r="V1699" s="2394"/>
      <c r="W1699" s="223"/>
      <c r="X1699" s="223"/>
      <c r="Y1699" s="223"/>
      <c r="Z1699" s="223"/>
      <c r="AA1699" s="223"/>
      <c r="AB1699" s="223"/>
      <c r="AC1699" s="222">
        <v>1</v>
      </c>
      <c r="AD1699" s="223">
        <v>1</v>
      </c>
      <c r="AE1699" s="223">
        <v>1</v>
      </c>
      <c r="AF1699" s="1323">
        <v>1</v>
      </c>
      <c r="AG1699" s="1323">
        <f t="shared" si="224"/>
        <v>1</v>
      </c>
      <c r="DG1699" s="543"/>
      <c r="DH1699" s="149"/>
      <c r="DI1699" s="1020"/>
      <c r="DJ1699" s="2045"/>
    </row>
    <row r="1700" spans="1:114" ht="15" customHeight="1" outlineLevel="1" x14ac:dyDescent="0.25">
      <c r="A1700" s="2145"/>
      <c r="C1700" s="49"/>
      <c r="D1700" s="2394"/>
      <c r="E1700" s="2394"/>
      <c r="F1700" s="2404" t="str">
        <f>$E$653</f>
        <v>ASHP-SEER15-Replace_CAC_NonElectricHeat_ER2_SF</v>
      </c>
      <c r="G1700" s="2404"/>
      <c r="H1700" s="2404"/>
      <c r="I1700" s="2404"/>
      <c r="J1700" s="962" t="str">
        <f>$C$653</f>
        <v>352310_2024_12_</v>
      </c>
      <c r="K1700" s="1458">
        <v>1</v>
      </c>
      <c r="L1700" s="12"/>
      <c r="M1700" s="1249"/>
      <c r="P1700" s="243"/>
      <c r="Q1700" s="243"/>
      <c r="R1700" s="243"/>
      <c r="T1700" s="166"/>
      <c r="U1700" s="50"/>
      <c r="V1700" s="2394"/>
      <c r="W1700" s="223"/>
      <c r="X1700" s="223"/>
      <c r="Y1700" s="223"/>
      <c r="Z1700" s="223"/>
      <c r="AA1700" s="223"/>
      <c r="AB1700" s="223"/>
      <c r="AC1700" s="222">
        <v>1</v>
      </c>
      <c r="AD1700" s="223">
        <v>1</v>
      </c>
      <c r="AE1700" s="223">
        <v>1</v>
      </c>
      <c r="AF1700" s="1323">
        <v>1</v>
      </c>
      <c r="AG1700" s="1323">
        <f t="shared" si="224"/>
        <v>1</v>
      </c>
      <c r="DG1700" s="543"/>
      <c r="DH1700" s="149"/>
      <c r="DI1700" s="1020"/>
      <c r="DJ1700" s="2045"/>
    </row>
    <row r="1701" spans="1:114" ht="15" customHeight="1" outlineLevel="1" x14ac:dyDescent="0.25">
      <c r="A1701" s="2145"/>
      <c r="C1701" s="49"/>
      <c r="D1701" s="2394"/>
      <c r="E1701" s="2394"/>
      <c r="F1701" s="2404" t="str">
        <f>$E$655</f>
        <v>ASHP-SEER15_ER1_SF</v>
      </c>
      <c r="G1701" s="2404"/>
      <c r="H1701" s="2404"/>
      <c r="I1701" s="2404"/>
      <c r="J1701" s="962" t="str">
        <f>$C$655</f>
        <v>352350_2024_12_</v>
      </c>
      <c r="K1701" s="1458">
        <v>1</v>
      </c>
      <c r="L1701" s="12"/>
      <c r="M1701" s="1249"/>
      <c r="P1701" s="243"/>
      <c r="Q1701" s="243"/>
      <c r="R1701" s="243"/>
      <c r="T1701" s="166"/>
      <c r="U1701" s="50"/>
      <c r="V1701" s="2394"/>
      <c r="W1701" s="223">
        <v>1</v>
      </c>
      <c r="X1701" s="223">
        <v>1</v>
      </c>
      <c r="Y1701" s="223">
        <v>1</v>
      </c>
      <c r="Z1701" s="223">
        <v>1</v>
      </c>
      <c r="AA1701" s="223">
        <v>1</v>
      </c>
      <c r="AB1701" s="223">
        <v>1</v>
      </c>
      <c r="AC1701" s="223">
        <v>1</v>
      </c>
      <c r="AD1701" s="223">
        <v>1</v>
      </c>
      <c r="AE1701" s="223">
        <v>1</v>
      </c>
      <c r="AF1701" s="1323">
        <v>1</v>
      </c>
      <c r="AG1701" s="1323">
        <f t="shared" si="224"/>
        <v>1</v>
      </c>
      <c r="DG1701" s="543"/>
      <c r="DH1701" s="149"/>
      <c r="DI1701" s="1020"/>
      <c r="DJ1701" s="2045"/>
    </row>
    <row r="1702" spans="1:114" ht="15" customHeight="1" outlineLevel="1" x14ac:dyDescent="0.25">
      <c r="A1702" s="2145"/>
      <c r="C1702" s="49"/>
      <c r="D1702" s="2394"/>
      <c r="E1702" s="2394"/>
      <c r="F1702" s="2404" t="str">
        <f>$E$657</f>
        <v>ASHP-SEER15_ER2_SF</v>
      </c>
      <c r="G1702" s="2404"/>
      <c r="H1702" s="2404"/>
      <c r="I1702" s="2404"/>
      <c r="J1702" s="962" t="str">
        <f>$C$657</f>
        <v>352350_2024_12_</v>
      </c>
      <c r="K1702" s="1458">
        <v>1</v>
      </c>
      <c r="L1702" s="12"/>
      <c r="M1702" s="1249"/>
      <c r="P1702" s="243"/>
      <c r="Q1702" s="243"/>
      <c r="R1702" s="243"/>
      <c r="T1702" s="166"/>
      <c r="U1702" s="50"/>
      <c r="V1702" s="2394"/>
      <c r="W1702" s="223">
        <v>1</v>
      </c>
      <c r="X1702" s="223">
        <v>1</v>
      </c>
      <c r="Y1702" s="223">
        <v>1</v>
      </c>
      <c r="Z1702" s="223">
        <v>1</v>
      </c>
      <c r="AA1702" s="223">
        <v>1</v>
      </c>
      <c r="AB1702" s="223">
        <v>1</v>
      </c>
      <c r="AC1702" s="223">
        <v>1</v>
      </c>
      <c r="AD1702" s="223">
        <v>1</v>
      </c>
      <c r="AE1702" s="223">
        <v>1</v>
      </c>
      <c r="AF1702" s="1323">
        <v>1</v>
      </c>
      <c r="AG1702" s="1323">
        <f t="shared" si="224"/>
        <v>1</v>
      </c>
      <c r="DG1702" s="543"/>
      <c r="DH1702" s="149"/>
      <c r="DI1702" s="1020"/>
      <c r="DJ1702" s="2045"/>
    </row>
    <row r="1703" spans="1:114" ht="15" customHeight="1" outlineLevel="1" x14ac:dyDescent="0.25">
      <c r="A1703" s="2145"/>
      <c r="C1703" s="49"/>
      <c r="D1703" s="2394"/>
      <c r="E1703" s="2394"/>
      <c r="F1703" s="2404" t="str">
        <f>$E$659</f>
        <v>ASHP-SEER15-Replace_CAC_ElectricHeat_ROF_SF</v>
      </c>
      <c r="G1703" s="2404"/>
      <c r="H1703" s="2404"/>
      <c r="I1703" s="2404"/>
      <c r="J1703" s="962" t="str">
        <f>$C$659</f>
        <v>352400_2024_12_</v>
      </c>
      <c r="K1703" s="1458">
        <v>1</v>
      </c>
      <c r="L1703" s="12"/>
      <c r="M1703" s="1249"/>
      <c r="P1703" s="243"/>
      <c r="Q1703" s="243"/>
      <c r="R1703" s="243"/>
      <c r="T1703" s="166"/>
      <c r="U1703" s="50"/>
      <c r="V1703" s="2394"/>
      <c r="W1703" s="223">
        <v>1</v>
      </c>
      <c r="X1703" s="223">
        <v>1</v>
      </c>
      <c r="Y1703" s="223">
        <v>1</v>
      </c>
      <c r="Z1703" s="223">
        <v>1</v>
      </c>
      <c r="AA1703" s="223">
        <v>1</v>
      </c>
      <c r="AB1703" s="223">
        <v>1</v>
      </c>
      <c r="AC1703" s="223">
        <v>1</v>
      </c>
      <c r="AD1703" s="223">
        <v>1</v>
      </c>
      <c r="AE1703" s="223">
        <v>1</v>
      </c>
      <c r="AF1703" s="1323">
        <v>1</v>
      </c>
      <c r="AG1703" s="1323">
        <f t="shared" si="224"/>
        <v>1</v>
      </c>
      <c r="DG1703" s="543"/>
      <c r="DH1703" s="149"/>
      <c r="DI1703" s="1020"/>
      <c r="DJ1703" s="2045"/>
    </row>
    <row r="1704" spans="1:114" ht="15" customHeight="1" outlineLevel="1" x14ac:dyDescent="0.25">
      <c r="A1704" s="2145"/>
      <c r="C1704" s="49"/>
      <c r="D1704" s="2394"/>
      <c r="E1704" s="2394"/>
      <c r="F1704" s="2404" t="str">
        <f>$E$661</f>
        <v>ASHP-SEER15-Replace_CAC_NonElectricHeat_ROF_SF</v>
      </c>
      <c r="G1704" s="2404"/>
      <c r="H1704" s="2404"/>
      <c r="I1704" s="2404"/>
      <c r="J1704" s="962" t="str">
        <f>$C$661</f>
        <v>352410_2024_12_</v>
      </c>
      <c r="K1704" s="1458">
        <v>1</v>
      </c>
      <c r="L1704" s="12"/>
      <c r="M1704" s="1249"/>
      <c r="P1704" s="243"/>
      <c r="Q1704" s="243"/>
      <c r="R1704" s="243"/>
      <c r="T1704" s="166"/>
      <c r="U1704" s="50"/>
      <c r="V1704" s="2394"/>
      <c r="W1704" s="223"/>
      <c r="X1704" s="223"/>
      <c r="Y1704" s="223"/>
      <c r="Z1704" s="223"/>
      <c r="AA1704" s="223"/>
      <c r="AB1704" s="223"/>
      <c r="AC1704" s="222">
        <v>1</v>
      </c>
      <c r="AD1704" s="223">
        <v>1</v>
      </c>
      <c r="AE1704" s="223">
        <v>1</v>
      </c>
      <c r="AF1704" s="1323">
        <v>1</v>
      </c>
      <c r="AG1704" s="1323">
        <f t="shared" si="224"/>
        <v>1</v>
      </c>
      <c r="DG1704" s="543"/>
      <c r="DH1704" s="149"/>
      <c r="DI1704" s="1020"/>
      <c r="DJ1704" s="2045"/>
    </row>
    <row r="1705" spans="1:114" ht="15.75" customHeight="1" outlineLevel="1" x14ac:dyDescent="0.25">
      <c r="A1705" s="2145"/>
      <c r="C1705" s="49"/>
      <c r="D1705" s="2394"/>
      <c r="E1705" s="2394"/>
      <c r="F1705" s="1968" t="s">
        <v>1130</v>
      </c>
      <c r="G1705" s="1969"/>
      <c r="H1705" s="1969"/>
      <c r="I1705" s="1970"/>
      <c r="J1705" s="2095" t="str">
        <f>$C$663</f>
        <v>352420_2025_12_</v>
      </c>
      <c r="K1705" s="2173">
        <v>1</v>
      </c>
      <c r="L1705" s="913"/>
      <c r="M1705" s="645" t="s">
        <v>1297</v>
      </c>
      <c r="T1705" s="50"/>
      <c r="U1705" s="50"/>
      <c r="V1705" s="2394"/>
      <c r="W1705" s="1268"/>
      <c r="X1705" s="1268"/>
      <c r="Y1705" s="1268"/>
      <c r="Z1705" s="1268"/>
      <c r="AA1705" s="1268"/>
      <c r="AB1705" s="1268"/>
      <c r="AC1705" s="752"/>
      <c r="AD1705" s="966"/>
      <c r="AE1705" s="909"/>
      <c r="AF1705" s="253"/>
      <c r="AG1705" s="1323">
        <f>IF(K1705&lt;&gt;"",K1705,"")</f>
        <v>1</v>
      </c>
      <c r="DG1705" s="543"/>
      <c r="DH1705" s="149"/>
      <c r="DI1705" s="1020"/>
      <c r="DJ1705" s="2045"/>
    </row>
    <row r="1706" spans="1:114" ht="15.75" customHeight="1" outlineLevel="1" x14ac:dyDescent="0.25">
      <c r="A1706" s="2145"/>
      <c r="C1706" s="49"/>
      <c r="D1706" s="2394"/>
      <c r="E1706" s="2394"/>
      <c r="F1706" s="1968" t="s">
        <v>1131</v>
      </c>
      <c r="G1706" s="1969"/>
      <c r="H1706" s="1969"/>
      <c r="I1706" s="1970"/>
      <c r="J1706" s="2095" t="str">
        <f>$C$664</f>
        <v>352420_2025_12_</v>
      </c>
      <c r="K1706" s="2173">
        <v>1</v>
      </c>
      <c r="L1706" s="913"/>
      <c r="M1706" s="645" t="s">
        <v>1297</v>
      </c>
      <c r="T1706" s="50"/>
      <c r="U1706" s="50"/>
      <c r="V1706" s="2394"/>
      <c r="W1706" s="1268"/>
      <c r="X1706" s="1268"/>
      <c r="Y1706" s="1268"/>
      <c r="Z1706" s="1268"/>
      <c r="AA1706" s="1268"/>
      <c r="AB1706" s="1268"/>
      <c r="AC1706" s="752"/>
      <c r="AD1706" s="966"/>
      <c r="AE1706" s="909"/>
      <c r="AF1706" s="253"/>
      <c r="AG1706" s="1323">
        <f>IF(K1706&lt;&gt;"",K1706,"")</f>
        <v>1</v>
      </c>
      <c r="DG1706" s="543"/>
      <c r="DH1706" s="149"/>
      <c r="DI1706" s="1020"/>
      <c r="DJ1706" s="2045"/>
    </row>
    <row r="1707" spans="1:114" ht="15.75" customHeight="1" outlineLevel="1" x14ac:dyDescent="0.25">
      <c r="A1707" s="2145"/>
      <c r="C1707" s="49"/>
      <c r="D1707" s="2394"/>
      <c r="E1707" s="2394"/>
      <c r="F1707" s="1968" t="s">
        <v>1133</v>
      </c>
      <c r="G1707" s="1969"/>
      <c r="H1707" s="1969"/>
      <c r="I1707" s="1970"/>
      <c r="J1707" s="2095" t="str">
        <f>$C$667</f>
        <v>352425_2025_12_</v>
      </c>
      <c r="K1707" s="2173">
        <v>1</v>
      </c>
      <c r="L1707" s="913"/>
      <c r="M1707" s="645" t="s">
        <v>1297</v>
      </c>
      <c r="T1707" s="50"/>
      <c r="U1707" s="50"/>
      <c r="V1707" s="2394"/>
      <c r="W1707" s="1268"/>
      <c r="X1707" s="1268"/>
      <c r="Y1707" s="1268"/>
      <c r="Z1707" s="1268"/>
      <c r="AA1707" s="1268"/>
      <c r="AB1707" s="1268"/>
      <c r="AC1707" s="752"/>
      <c r="AD1707" s="966"/>
      <c r="AE1707" s="909"/>
      <c r="AF1707" s="253"/>
      <c r="AG1707" s="1323">
        <f>IF(K1707&lt;&gt;"",K1707,"")</f>
        <v>1</v>
      </c>
      <c r="DG1707" s="543"/>
      <c r="DH1707" s="149"/>
      <c r="DI1707" s="1020"/>
      <c r="DJ1707" s="2045"/>
    </row>
    <row r="1708" spans="1:114" ht="15" customHeight="1" outlineLevel="1" x14ac:dyDescent="0.25">
      <c r="A1708" s="2145"/>
      <c r="C1708" s="49"/>
      <c r="D1708" s="2394"/>
      <c r="E1708" s="2394"/>
      <c r="F1708" s="2404" t="str">
        <f>$E$669</f>
        <v>ASHP-SEER16-Replace_CAC_ElectricHeat_ER1_SF</v>
      </c>
      <c r="G1708" s="2404"/>
      <c r="H1708" s="2404"/>
      <c r="I1708" s="2404"/>
      <c r="J1708" s="962" t="str">
        <f>$C$669</f>
        <v>352500_2024_12_</v>
      </c>
      <c r="K1708" s="1458">
        <v>1</v>
      </c>
      <c r="L1708" s="12"/>
      <c r="M1708" s="1249"/>
      <c r="P1708" s="243"/>
      <c r="Q1708" s="243"/>
      <c r="R1708" s="243"/>
      <c r="T1708" s="166"/>
      <c r="U1708" s="50"/>
      <c r="V1708" s="2394"/>
      <c r="W1708" s="223">
        <v>1</v>
      </c>
      <c r="X1708" s="223">
        <v>1</v>
      </c>
      <c r="Y1708" s="223">
        <v>1</v>
      </c>
      <c r="Z1708" s="223">
        <v>1</v>
      </c>
      <c r="AA1708" s="223">
        <v>1</v>
      </c>
      <c r="AB1708" s="223">
        <v>1</v>
      </c>
      <c r="AC1708" s="223">
        <v>1</v>
      </c>
      <c r="AD1708" s="223">
        <v>1</v>
      </c>
      <c r="AE1708" s="223">
        <v>1</v>
      </c>
      <c r="AF1708" s="1323">
        <v>1</v>
      </c>
      <c r="AG1708" s="1323">
        <f t="shared" si="224"/>
        <v>1</v>
      </c>
      <c r="DG1708" s="543"/>
      <c r="DH1708" s="149"/>
      <c r="DI1708" s="1020"/>
      <c r="DJ1708" s="2045"/>
    </row>
    <row r="1709" spans="1:114" ht="15" customHeight="1" outlineLevel="1" x14ac:dyDescent="0.25">
      <c r="A1709" s="2145"/>
      <c r="C1709" s="49"/>
      <c r="D1709" s="2394"/>
      <c r="E1709" s="2394"/>
      <c r="F1709" s="2404" t="str">
        <f>$E$671</f>
        <v>ASHP-SEER16-Replace_CAC_ElectricHeat_ER2_SF</v>
      </c>
      <c r="G1709" s="2404"/>
      <c r="H1709" s="2404"/>
      <c r="I1709" s="2404"/>
      <c r="J1709" s="1506" t="str">
        <f>$C$671</f>
        <v>352500_2024_12_</v>
      </c>
      <c r="K1709" s="1458">
        <v>1</v>
      </c>
      <c r="L1709" s="12"/>
      <c r="M1709" s="1249"/>
      <c r="P1709" s="243"/>
      <c r="Q1709" s="243"/>
      <c r="R1709" s="243"/>
      <c r="T1709" s="166"/>
      <c r="U1709" s="50"/>
      <c r="V1709" s="2394"/>
      <c r="W1709" s="223">
        <v>1</v>
      </c>
      <c r="X1709" s="223">
        <v>1</v>
      </c>
      <c r="Y1709" s="223">
        <v>1</v>
      </c>
      <c r="Z1709" s="223">
        <v>1</v>
      </c>
      <c r="AA1709" s="223">
        <v>1</v>
      </c>
      <c r="AB1709" s="223">
        <v>1</v>
      </c>
      <c r="AC1709" s="223">
        <v>1</v>
      </c>
      <c r="AD1709" s="223">
        <v>1</v>
      </c>
      <c r="AE1709" s="223">
        <v>1</v>
      </c>
      <c r="AF1709" s="1323">
        <v>1</v>
      </c>
      <c r="AG1709" s="1323">
        <f t="shared" ref="AG1709:AG1782" si="225">IF(K1709&lt;&gt;"",K1709,"")</f>
        <v>1</v>
      </c>
      <c r="DG1709" s="543"/>
      <c r="DH1709" s="149"/>
      <c r="DI1709" s="1020"/>
      <c r="DJ1709" s="2045"/>
    </row>
    <row r="1710" spans="1:114" ht="15" customHeight="1" outlineLevel="1" x14ac:dyDescent="0.25">
      <c r="A1710" s="2145"/>
      <c r="C1710" s="49"/>
      <c r="D1710" s="2394"/>
      <c r="E1710" s="2394"/>
      <c r="F1710" s="2404" t="str">
        <f>$E$673</f>
        <v>ASHP-SEER16-Replace_CAC_NonElectricHeat_ER1_SF</v>
      </c>
      <c r="G1710" s="2404"/>
      <c r="H1710" s="2404"/>
      <c r="I1710" s="2404"/>
      <c r="J1710" s="1506" t="str">
        <f>$C$673</f>
        <v>352510_2024_12_</v>
      </c>
      <c r="K1710" s="1458">
        <v>1</v>
      </c>
      <c r="L1710" s="12"/>
      <c r="M1710" s="1249"/>
      <c r="P1710" s="243"/>
      <c r="Q1710" s="243"/>
      <c r="R1710" s="243"/>
      <c r="T1710" s="166"/>
      <c r="U1710" s="50"/>
      <c r="V1710" s="2394"/>
      <c r="W1710" s="223"/>
      <c r="X1710" s="223"/>
      <c r="Y1710" s="223"/>
      <c r="Z1710" s="223"/>
      <c r="AA1710" s="223"/>
      <c r="AB1710" s="223"/>
      <c r="AC1710" s="222">
        <v>1</v>
      </c>
      <c r="AD1710" s="223">
        <v>1</v>
      </c>
      <c r="AE1710" s="223">
        <v>1</v>
      </c>
      <c r="AF1710" s="1323">
        <v>1</v>
      </c>
      <c r="AG1710" s="1323">
        <f t="shared" si="225"/>
        <v>1</v>
      </c>
      <c r="DG1710" s="543"/>
      <c r="DH1710" s="149"/>
      <c r="DI1710" s="1020"/>
      <c r="DJ1710" s="2045"/>
    </row>
    <row r="1711" spans="1:114" ht="15" customHeight="1" outlineLevel="1" x14ac:dyDescent="0.25">
      <c r="A1711" s="2145"/>
      <c r="C1711" s="49"/>
      <c r="D1711" s="2394"/>
      <c r="E1711" s="2394"/>
      <c r="F1711" s="2404" t="str">
        <f>$E$675</f>
        <v>ASHP-SEER16-Replace_CAC_NonElectricHeat_ER2_SF</v>
      </c>
      <c r="G1711" s="2404"/>
      <c r="H1711" s="2404"/>
      <c r="I1711" s="2404"/>
      <c r="J1711" s="1506" t="str">
        <f>$C$675</f>
        <v>352510_2024_12_</v>
      </c>
      <c r="K1711" s="1458">
        <v>1</v>
      </c>
      <c r="L1711" s="12"/>
      <c r="M1711" s="1249"/>
      <c r="P1711" s="243"/>
      <c r="Q1711" s="243"/>
      <c r="R1711" s="243"/>
      <c r="T1711" s="166"/>
      <c r="U1711" s="50"/>
      <c r="V1711" s="2394"/>
      <c r="W1711" s="223"/>
      <c r="X1711" s="223"/>
      <c r="Y1711" s="223"/>
      <c r="Z1711" s="223"/>
      <c r="AA1711" s="223"/>
      <c r="AB1711" s="223"/>
      <c r="AC1711" s="222">
        <v>1</v>
      </c>
      <c r="AD1711" s="223">
        <v>1</v>
      </c>
      <c r="AE1711" s="223">
        <v>1</v>
      </c>
      <c r="AF1711" s="1323">
        <v>1</v>
      </c>
      <c r="AG1711" s="1323">
        <f t="shared" si="225"/>
        <v>1</v>
      </c>
      <c r="DG1711" s="543"/>
      <c r="DH1711" s="149"/>
      <c r="DI1711" s="1020"/>
      <c r="DJ1711" s="2045"/>
    </row>
    <row r="1712" spans="1:114" ht="15.75" customHeight="1" outlineLevel="1" x14ac:dyDescent="0.25">
      <c r="A1712" s="2145"/>
      <c r="C1712" s="49"/>
      <c r="D1712" s="2394"/>
      <c r="E1712" s="2394"/>
      <c r="F1712" s="1968" t="s">
        <v>1141</v>
      </c>
      <c r="G1712" s="1969"/>
      <c r="H1712" s="1969"/>
      <c r="I1712" s="1970"/>
      <c r="J1712" s="2095" t="s">
        <v>1140</v>
      </c>
      <c r="K1712" s="2173">
        <v>1</v>
      </c>
      <c r="L1712" s="913"/>
      <c r="M1712" s="645" t="s">
        <v>1298</v>
      </c>
      <c r="T1712" s="50"/>
      <c r="U1712" s="50"/>
      <c r="V1712" s="2394"/>
      <c r="W1712" s="1268"/>
      <c r="X1712" s="1268"/>
      <c r="Y1712" s="1268"/>
      <c r="Z1712" s="1268"/>
      <c r="AA1712" s="1268"/>
      <c r="AB1712" s="1268"/>
      <c r="AC1712" s="752"/>
      <c r="AD1712" s="966"/>
      <c r="AE1712" s="909"/>
      <c r="AF1712" s="253"/>
      <c r="AG1712" s="1323">
        <f>IF(K1712&lt;&gt;"",K1712,"")</f>
        <v>1</v>
      </c>
      <c r="DG1712" s="543"/>
      <c r="DH1712" s="149"/>
      <c r="DI1712" s="1020"/>
      <c r="DJ1712" s="2045"/>
    </row>
    <row r="1713" spans="1:114" ht="15.75" customHeight="1" outlineLevel="1" x14ac:dyDescent="0.25">
      <c r="A1713" s="2145"/>
      <c r="C1713" s="49"/>
      <c r="D1713" s="2394"/>
      <c r="E1713" s="2394"/>
      <c r="F1713" s="1968" t="s">
        <v>1142</v>
      </c>
      <c r="G1713" s="1969"/>
      <c r="H1713" s="1969"/>
      <c r="I1713" s="1970"/>
      <c r="J1713" s="2095" t="s">
        <v>1140</v>
      </c>
      <c r="K1713" s="2173">
        <v>1</v>
      </c>
      <c r="L1713" s="913"/>
      <c r="M1713" s="645" t="s">
        <v>1298</v>
      </c>
      <c r="T1713" s="50"/>
      <c r="U1713" s="50"/>
      <c r="V1713" s="2394"/>
      <c r="W1713" s="1268"/>
      <c r="X1713" s="1268"/>
      <c r="Y1713" s="1268"/>
      <c r="Z1713" s="1268"/>
      <c r="AA1713" s="1268"/>
      <c r="AB1713" s="1268"/>
      <c r="AC1713" s="752"/>
      <c r="AD1713" s="966"/>
      <c r="AE1713" s="909"/>
      <c r="AF1713" s="253"/>
      <c r="AG1713" s="1323">
        <f>IF(K1713&lt;&gt;"",K1713,"")</f>
        <v>1</v>
      </c>
      <c r="DG1713" s="543"/>
      <c r="DH1713" s="149"/>
      <c r="DI1713" s="1020"/>
      <c r="DJ1713" s="2045"/>
    </row>
    <row r="1714" spans="1:114" ht="15" customHeight="1" outlineLevel="1" x14ac:dyDescent="0.25">
      <c r="A1714" s="2145"/>
      <c r="C1714" s="49"/>
      <c r="D1714" s="2394"/>
      <c r="E1714" s="2394"/>
      <c r="F1714" s="2404" t="str">
        <f>$E$681</f>
        <v>ASHP-SEER16_ER1_SF</v>
      </c>
      <c r="G1714" s="2404"/>
      <c r="H1714" s="2404"/>
      <c r="I1714" s="2404"/>
      <c r="J1714" s="1506" t="str">
        <f>$C$681</f>
        <v>352550_2024_12_</v>
      </c>
      <c r="K1714" s="1458">
        <v>1</v>
      </c>
      <c r="L1714" s="12"/>
      <c r="M1714" s="1249"/>
      <c r="P1714" s="243"/>
      <c r="Q1714" s="243"/>
      <c r="R1714" s="243"/>
      <c r="T1714" s="166"/>
      <c r="U1714" s="50"/>
      <c r="V1714" s="2394"/>
      <c r="W1714" s="223">
        <v>1</v>
      </c>
      <c r="X1714" s="223">
        <v>1</v>
      </c>
      <c r="Y1714" s="223">
        <v>1</v>
      </c>
      <c r="Z1714" s="223">
        <v>1</v>
      </c>
      <c r="AA1714" s="223">
        <v>1</v>
      </c>
      <c r="AB1714" s="223">
        <v>1</v>
      </c>
      <c r="AC1714" s="223">
        <v>1</v>
      </c>
      <c r="AD1714" s="223">
        <v>1</v>
      </c>
      <c r="AE1714" s="223">
        <v>1</v>
      </c>
      <c r="AF1714" s="1323">
        <v>1</v>
      </c>
      <c r="AG1714" s="1323">
        <f t="shared" si="225"/>
        <v>1</v>
      </c>
      <c r="DG1714" s="543"/>
      <c r="DH1714" s="149"/>
      <c r="DI1714" s="1020"/>
      <c r="DJ1714" s="2045"/>
    </row>
    <row r="1715" spans="1:114" ht="15" customHeight="1" outlineLevel="1" x14ac:dyDescent="0.25">
      <c r="A1715" s="2145"/>
      <c r="C1715" s="49"/>
      <c r="D1715" s="2394"/>
      <c r="E1715" s="2394"/>
      <c r="F1715" s="2404" t="str">
        <f>$E$683</f>
        <v>ASHP-SEER16_ER2_SF</v>
      </c>
      <c r="G1715" s="2404"/>
      <c r="H1715" s="2404"/>
      <c r="I1715" s="2404"/>
      <c r="J1715" s="1506" t="str">
        <f>$C$683</f>
        <v>352550_2024_12_</v>
      </c>
      <c r="K1715" s="1458">
        <v>1</v>
      </c>
      <c r="L1715" s="244"/>
      <c r="M1715" s="1249"/>
      <c r="P1715" s="243"/>
      <c r="Q1715" s="243"/>
      <c r="R1715" s="243"/>
      <c r="T1715" s="166"/>
      <c r="U1715" s="50"/>
      <c r="V1715" s="2394"/>
      <c r="W1715" s="223">
        <v>1</v>
      </c>
      <c r="X1715" s="223">
        <v>1</v>
      </c>
      <c r="Y1715" s="223">
        <v>1</v>
      </c>
      <c r="Z1715" s="223">
        <v>1</v>
      </c>
      <c r="AA1715" s="223">
        <v>1</v>
      </c>
      <c r="AB1715" s="223">
        <v>1</v>
      </c>
      <c r="AC1715" s="223">
        <v>1</v>
      </c>
      <c r="AD1715" s="223">
        <v>1</v>
      </c>
      <c r="AE1715" s="223">
        <v>1</v>
      </c>
      <c r="AF1715" s="1323">
        <v>1</v>
      </c>
      <c r="AG1715" s="1323">
        <f t="shared" si="225"/>
        <v>1</v>
      </c>
      <c r="DG1715" s="543"/>
      <c r="DH1715" s="149"/>
      <c r="DI1715" s="1020"/>
      <c r="DJ1715" s="2045"/>
    </row>
    <row r="1716" spans="1:114" ht="15" customHeight="1" outlineLevel="1" x14ac:dyDescent="0.25">
      <c r="A1716" s="2145"/>
      <c r="C1716" s="49"/>
      <c r="D1716" s="2394"/>
      <c r="E1716" s="2394"/>
      <c r="F1716" s="2404" t="str">
        <f>$E$685</f>
        <v>ASHP-SEER16-Replace_CAC_ElectricHeat_ROF_SF</v>
      </c>
      <c r="G1716" s="2404"/>
      <c r="H1716" s="2404"/>
      <c r="I1716" s="2404"/>
      <c r="J1716" s="1506" t="str">
        <f>$C$685</f>
        <v>352600_2024_12_</v>
      </c>
      <c r="K1716" s="1458">
        <v>1</v>
      </c>
      <c r="L1716" s="244"/>
      <c r="M1716" s="1249"/>
      <c r="P1716" s="243"/>
      <c r="Q1716" s="243"/>
      <c r="R1716" s="243"/>
      <c r="T1716" s="166"/>
      <c r="U1716" s="50"/>
      <c r="V1716" s="2394"/>
      <c r="W1716" s="223">
        <v>1</v>
      </c>
      <c r="X1716" s="223">
        <v>1</v>
      </c>
      <c r="Y1716" s="223">
        <v>1</v>
      </c>
      <c r="Z1716" s="223">
        <v>1</v>
      </c>
      <c r="AA1716" s="223">
        <v>1</v>
      </c>
      <c r="AB1716" s="223">
        <v>1</v>
      </c>
      <c r="AC1716" s="223">
        <v>1</v>
      </c>
      <c r="AD1716" s="223">
        <v>1</v>
      </c>
      <c r="AE1716" s="223">
        <v>1</v>
      </c>
      <c r="AF1716" s="1323">
        <v>1</v>
      </c>
      <c r="AG1716" s="1323">
        <f t="shared" si="225"/>
        <v>1</v>
      </c>
      <c r="DG1716" s="543"/>
      <c r="DH1716" s="149"/>
      <c r="DI1716" s="1020"/>
      <c r="DJ1716" s="2045"/>
    </row>
    <row r="1717" spans="1:114" ht="15.75" customHeight="1" outlineLevel="1" x14ac:dyDescent="0.25">
      <c r="A1717" s="2145"/>
      <c r="C1717" s="49"/>
      <c r="D1717" s="2394"/>
      <c r="E1717" s="2394"/>
      <c r="F1717" s="1968" t="s">
        <v>1149</v>
      </c>
      <c r="G1717" s="1969"/>
      <c r="H1717" s="1969"/>
      <c r="I1717" s="1970"/>
      <c r="J1717" s="2095" t="s">
        <v>1148</v>
      </c>
      <c r="K1717" s="2173">
        <v>1</v>
      </c>
      <c r="L1717" s="913"/>
      <c r="M1717" s="645" t="s">
        <v>1297</v>
      </c>
      <c r="T1717" s="50"/>
      <c r="U1717" s="50"/>
      <c r="V1717" s="2394"/>
      <c r="W1717" s="1268"/>
      <c r="X1717" s="1268"/>
      <c r="Y1717" s="1268"/>
      <c r="Z1717" s="1268"/>
      <c r="AA1717" s="1268"/>
      <c r="AB1717" s="1268"/>
      <c r="AC1717" s="752"/>
      <c r="AD1717" s="966"/>
      <c r="AE1717" s="909"/>
      <c r="AF1717" s="253"/>
      <c r="AG1717" s="1323">
        <f>IF(K1717&lt;&gt;"",K1717,"")</f>
        <v>1</v>
      </c>
      <c r="DG1717" s="543"/>
      <c r="DH1717" s="149"/>
      <c r="DI1717" s="1020"/>
      <c r="DJ1717" s="2045"/>
    </row>
    <row r="1718" spans="1:114" ht="15" customHeight="1" outlineLevel="1" x14ac:dyDescent="0.25">
      <c r="A1718" s="2145"/>
      <c r="C1718" s="49"/>
      <c r="D1718" s="2394"/>
      <c r="E1718" s="2394"/>
      <c r="F1718" s="2404" t="str">
        <f>$E$689</f>
        <v>ASHP-SEER16-Replace_CAC_NonElectricHeat_ROF_SF</v>
      </c>
      <c r="G1718" s="2404"/>
      <c r="H1718" s="2404"/>
      <c r="I1718" s="2404"/>
      <c r="J1718" s="1506" t="str">
        <f>$C$689</f>
        <v>352610_2024_12_</v>
      </c>
      <c r="K1718" s="1458">
        <v>1</v>
      </c>
      <c r="L1718" s="244"/>
      <c r="M1718" s="1249"/>
      <c r="P1718" s="243"/>
      <c r="Q1718" s="243"/>
      <c r="R1718" s="243"/>
      <c r="T1718" s="166"/>
      <c r="U1718" s="50"/>
      <c r="V1718" s="2394"/>
      <c r="W1718" s="223"/>
      <c r="X1718" s="223"/>
      <c r="Y1718" s="223"/>
      <c r="Z1718" s="223"/>
      <c r="AA1718" s="223"/>
      <c r="AB1718" s="223"/>
      <c r="AC1718" s="223"/>
      <c r="AD1718" s="222">
        <v>1</v>
      </c>
      <c r="AE1718" s="223">
        <v>1</v>
      </c>
      <c r="AF1718" s="1323">
        <v>1</v>
      </c>
      <c r="AG1718" s="1323">
        <f t="shared" si="225"/>
        <v>1</v>
      </c>
      <c r="DG1718" s="543"/>
      <c r="DH1718" s="149"/>
      <c r="DI1718" s="1020"/>
      <c r="DJ1718" s="2045"/>
    </row>
    <row r="1719" spans="1:114" ht="15" customHeight="1" outlineLevel="1" x14ac:dyDescent="0.25">
      <c r="A1719" s="2145"/>
      <c r="C1719" s="49"/>
      <c r="D1719" s="2394"/>
      <c r="E1719" s="2394"/>
      <c r="F1719" s="2404" t="str">
        <f>$E$691</f>
        <v>ASHP-SEER16_ROF_SF</v>
      </c>
      <c r="G1719" s="2404"/>
      <c r="H1719" s="2404"/>
      <c r="I1719" s="2404"/>
      <c r="J1719" s="1506" t="str">
        <f>$C$691</f>
        <v>352650_2024_12_</v>
      </c>
      <c r="K1719" s="1458">
        <v>1</v>
      </c>
      <c r="L1719" s="244"/>
      <c r="M1719" s="1249"/>
      <c r="P1719" s="243"/>
      <c r="Q1719" s="243"/>
      <c r="R1719" s="243"/>
      <c r="T1719" s="166"/>
      <c r="U1719" s="50"/>
      <c r="V1719" s="2394"/>
      <c r="W1719" s="223">
        <v>1</v>
      </c>
      <c r="X1719" s="223">
        <v>1</v>
      </c>
      <c r="Y1719" s="223">
        <v>1</v>
      </c>
      <c r="Z1719" s="223">
        <v>1</v>
      </c>
      <c r="AA1719" s="223">
        <v>1</v>
      </c>
      <c r="AB1719" s="223">
        <v>1</v>
      </c>
      <c r="AC1719" s="223">
        <v>1</v>
      </c>
      <c r="AD1719" s="223">
        <v>1</v>
      </c>
      <c r="AE1719" s="223">
        <v>1</v>
      </c>
      <c r="AF1719" s="1323">
        <v>1</v>
      </c>
      <c r="AG1719" s="1323">
        <f t="shared" si="225"/>
        <v>1</v>
      </c>
      <c r="DG1719" s="543"/>
      <c r="DH1719" s="149"/>
      <c r="DI1719" s="1020"/>
      <c r="DJ1719" s="2045"/>
    </row>
    <row r="1720" spans="1:114" ht="15.75" customHeight="1" outlineLevel="1" x14ac:dyDescent="0.25">
      <c r="A1720" s="2145"/>
      <c r="C1720" s="49"/>
      <c r="D1720" s="2394"/>
      <c r="E1720" s="2394"/>
      <c r="F1720" s="1968" t="s">
        <v>1155</v>
      </c>
      <c r="G1720" s="1969"/>
      <c r="H1720" s="1969"/>
      <c r="I1720" s="1970"/>
      <c r="J1720" s="2095" t="s">
        <v>1154</v>
      </c>
      <c r="K1720" s="2173">
        <v>1</v>
      </c>
      <c r="L1720" s="913"/>
      <c r="M1720" s="645" t="s">
        <v>1297</v>
      </c>
      <c r="T1720" s="50"/>
      <c r="U1720" s="50"/>
      <c r="V1720" s="2394"/>
      <c r="W1720" s="1268"/>
      <c r="X1720" s="1268"/>
      <c r="Y1720" s="1268"/>
      <c r="Z1720" s="1268"/>
      <c r="AA1720" s="1268"/>
      <c r="AB1720" s="1268"/>
      <c r="AC1720" s="752"/>
      <c r="AD1720" s="966"/>
      <c r="AE1720" s="909"/>
      <c r="AF1720" s="253"/>
      <c r="AG1720" s="1323">
        <f>IF(K1720&lt;&gt;"",K1720,"")</f>
        <v>1</v>
      </c>
      <c r="DG1720" s="543"/>
      <c r="DH1720" s="149"/>
      <c r="DI1720" s="1020"/>
      <c r="DJ1720" s="2045"/>
    </row>
    <row r="1721" spans="1:114" ht="15" customHeight="1" outlineLevel="1" x14ac:dyDescent="0.25">
      <c r="A1721" s="2145"/>
      <c r="C1721" s="49"/>
      <c r="D1721" s="2394"/>
      <c r="E1721" s="2394"/>
      <c r="F1721" s="2404" t="str">
        <f>$E$695</f>
        <v>ASHP-SEER16-Replace_CAC_ElectricHeat_ER1_MF</v>
      </c>
      <c r="G1721" s="2404"/>
      <c r="H1721" s="2404"/>
      <c r="I1721" s="2404"/>
      <c r="J1721" s="1506" t="str">
        <f>$C$695</f>
        <v>353000_2024_12_</v>
      </c>
      <c r="K1721" s="1458">
        <v>1</v>
      </c>
      <c r="L1721" s="244"/>
      <c r="M1721" s="1307"/>
      <c r="P1721" s="243"/>
      <c r="Q1721" s="243"/>
      <c r="R1721" s="243"/>
      <c r="T1721" s="166"/>
      <c r="U1721" s="50"/>
      <c r="V1721" s="2394"/>
      <c r="W1721" s="223">
        <v>0.65</v>
      </c>
      <c r="X1721" s="223">
        <v>0.65</v>
      </c>
      <c r="Y1721" s="223">
        <v>0.65</v>
      </c>
      <c r="Z1721" s="223">
        <v>0.65</v>
      </c>
      <c r="AA1721" s="223">
        <v>0.65</v>
      </c>
      <c r="AB1721" s="223">
        <v>0.65</v>
      </c>
      <c r="AC1721" s="223">
        <v>0.65</v>
      </c>
      <c r="AD1721" s="222">
        <v>1</v>
      </c>
      <c r="AE1721" s="223">
        <v>1</v>
      </c>
      <c r="AF1721" s="1323">
        <v>1</v>
      </c>
      <c r="AG1721" s="1323">
        <f t="shared" si="225"/>
        <v>1</v>
      </c>
      <c r="DG1721" s="543"/>
      <c r="DH1721" s="149"/>
      <c r="DI1721" s="1020"/>
      <c r="DJ1721" s="2045"/>
    </row>
    <row r="1722" spans="1:114" ht="15" customHeight="1" outlineLevel="1" x14ac:dyDescent="0.25">
      <c r="A1722" s="2145"/>
      <c r="C1722" s="49"/>
      <c r="D1722" s="2394"/>
      <c r="E1722" s="2394"/>
      <c r="F1722" s="2404" t="str">
        <f>$E$697</f>
        <v>ASHP-SEER16-Replace_CAC_ElectricHeat_ER2_MF</v>
      </c>
      <c r="G1722" s="2404"/>
      <c r="H1722" s="2404"/>
      <c r="I1722" s="2404"/>
      <c r="J1722" s="1506" t="str">
        <f>$C$697</f>
        <v>353000_2024_12_</v>
      </c>
      <c r="K1722" s="1458">
        <v>1</v>
      </c>
      <c r="L1722" s="244"/>
      <c r="M1722" s="1307"/>
      <c r="P1722" s="243"/>
      <c r="Q1722" s="243"/>
      <c r="R1722" s="243"/>
      <c r="T1722" s="166"/>
      <c r="U1722" s="50"/>
      <c r="V1722" s="2394"/>
      <c r="W1722" s="223">
        <v>0.65</v>
      </c>
      <c r="X1722" s="223">
        <v>0.65</v>
      </c>
      <c r="Y1722" s="223">
        <v>0.65</v>
      </c>
      <c r="Z1722" s="223">
        <v>0.65</v>
      </c>
      <c r="AA1722" s="223">
        <v>0.65</v>
      </c>
      <c r="AB1722" s="223">
        <v>0.65</v>
      </c>
      <c r="AC1722" s="223">
        <v>0.65</v>
      </c>
      <c r="AD1722" s="222">
        <v>1</v>
      </c>
      <c r="AE1722" s="223">
        <v>1</v>
      </c>
      <c r="AF1722" s="1323">
        <v>1</v>
      </c>
      <c r="AG1722" s="1323">
        <f t="shared" si="225"/>
        <v>1</v>
      </c>
      <c r="DG1722" s="543"/>
      <c r="DH1722" s="149"/>
      <c r="DI1722" s="1020"/>
      <c r="DJ1722" s="2045"/>
    </row>
    <row r="1723" spans="1:114" ht="15" customHeight="1" outlineLevel="1" x14ac:dyDescent="0.25">
      <c r="A1723" s="2145"/>
      <c r="C1723" s="49"/>
      <c r="D1723" s="2394"/>
      <c r="E1723" s="2394"/>
      <c r="F1723" s="2404" t="str">
        <f>$E$699</f>
        <v>ASHP-SEER17-Replace_CAC_ElectricHeat_ROF_SF</v>
      </c>
      <c r="G1723" s="2404"/>
      <c r="H1723" s="2404"/>
      <c r="I1723" s="2404"/>
      <c r="J1723" s="1506" t="str">
        <f>$C$699</f>
        <v>353100_2024_12_</v>
      </c>
      <c r="K1723" s="1458">
        <v>1</v>
      </c>
      <c r="L1723" s="244"/>
      <c r="M1723" s="1307"/>
      <c r="P1723" s="243"/>
      <c r="Q1723" s="243"/>
      <c r="R1723" s="243"/>
      <c r="T1723" s="166"/>
      <c r="U1723" s="50"/>
      <c r="V1723" s="2394"/>
      <c r="W1723" s="223">
        <v>1</v>
      </c>
      <c r="X1723" s="223">
        <v>1</v>
      </c>
      <c r="Y1723" s="223">
        <v>1</v>
      </c>
      <c r="Z1723" s="223">
        <v>1</v>
      </c>
      <c r="AA1723" s="223">
        <v>1</v>
      </c>
      <c r="AB1723" s="223">
        <v>1</v>
      </c>
      <c r="AC1723" s="223">
        <v>1</v>
      </c>
      <c r="AD1723" s="223">
        <v>1</v>
      </c>
      <c r="AE1723" s="223">
        <v>1</v>
      </c>
      <c r="AF1723" s="1323">
        <v>1</v>
      </c>
      <c r="AG1723" s="1323">
        <f t="shared" si="225"/>
        <v>1</v>
      </c>
      <c r="DG1723" s="543"/>
      <c r="DH1723" s="149"/>
      <c r="DI1723" s="1020"/>
      <c r="DJ1723" s="2045"/>
    </row>
    <row r="1724" spans="1:114" ht="15.75" customHeight="1" outlineLevel="1" x14ac:dyDescent="0.25">
      <c r="A1724" s="2145"/>
      <c r="C1724" s="49"/>
      <c r="D1724" s="2394"/>
      <c r="E1724" s="2394"/>
      <c r="F1724" s="1968" t="s">
        <v>1162</v>
      </c>
      <c r="G1724" s="1969"/>
      <c r="H1724" s="1969"/>
      <c r="I1724" s="1970"/>
      <c r="J1724" s="2095" t="s">
        <v>1161</v>
      </c>
      <c r="K1724" s="1458">
        <v>1</v>
      </c>
      <c r="L1724" s="913"/>
      <c r="M1724" s="645" t="s">
        <v>1297</v>
      </c>
      <c r="T1724" s="50"/>
      <c r="U1724" s="50"/>
      <c r="V1724" s="2394"/>
      <c r="W1724" s="1268"/>
      <c r="X1724" s="1268"/>
      <c r="Y1724" s="1268"/>
      <c r="Z1724" s="1268"/>
      <c r="AA1724" s="1268"/>
      <c r="AB1724" s="1268"/>
      <c r="AC1724" s="752"/>
      <c r="AD1724" s="966"/>
      <c r="AE1724" s="909"/>
      <c r="AF1724" s="253"/>
      <c r="AG1724" s="1323">
        <f>IF(K1724&lt;&gt;"",K1724,"")</f>
        <v>1</v>
      </c>
      <c r="DG1724" s="543"/>
      <c r="DH1724" s="149"/>
      <c r="DI1724" s="1020"/>
      <c r="DJ1724" s="2045"/>
    </row>
    <row r="1725" spans="1:114" ht="15" customHeight="1" outlineLevel="1" x14ac:dyDescent="0.25">
      <c r="A1725" s="2145"/>
      <c r="C1725" s="49"/>
      <c r="D1725" s="2394"/>
      <c r="E1725" s="2394"/>
      <c r="F1725" s="2404" t="str">
        <f>$E$703</f>
        <v>ASHP-SEER17-Replace_CAC_NonElectricHeat_ROF_SF</v>
      </c>
      <c r="G1725" s="2404"/>
      <c r="H1725" s="2404"/>
      <c r="I1725" s="2404"/>
      <c r="J1725" s="1506" t="str">
        <f>$C$703</f>
        <v>353110_2024_12_</v>
      </c>
      <c r="K1725" s="1458">
        <v>1</v>
      </c>
      <c r="L1725" s="244"/>
      <c r="M1725" s="1249"/>
      <c r="P1725" s="243"/>
      <c r="Q1725" s="243"/>
      <c r="R1725" s="243"/>
      <c r="T1725" s="166"/>
      <c r="U1725" s="50"/>
      <c r="V1725" s="2394"/>
      <c r="W1725" s="223"/>
      <c r="X1725" s="223"/>
      <c r="Y1725" s="223"/>
      <c r="Z1725" s="223"/>
      <c r="AA1725" s="223"/>
      <c r="AB1725" s="223"/>
      <c r="AC1725" s="223"/>
      <c r="AD1725" s="222">
        <v>1</v>
      </c>
      <c r="AE1725" s="223">
        <v>1</v>
      </c>
      <c r="AF1725" s="1323">
        <v>1</v>
      </c>
      <c r="AG1725" s="1323">
        <f t="shared" si="225"/>
        <v>1</v>
      </c>
      <c r="DG1725" s="543"/>
      <c r="DH1725" s="149"/>
      <c r="DI1725" s="1020"/>
      <c r="DJ1725" s="2045"/>
    </row>
    <row r="1726" spans="1:114" ht="15" customHeight="1" outlineLevel="1" x14ac:dyDescent="0.25">
      <c r="A1726" s="2145"/>
      <c r="C1726" s="49"/>
      <c r="D1726" s="2394"/>
      <c r="E1726" s="2394"/>
      <c r="F1726" s="2404" t="str">
        <f>$E$705</f>
        <v>ASHP-SEER18-Replace_CAC_ElectricHeat_ROF_SF</v>
      </c>
      <c r="G1726" s="2404"/>
      <c r="H1726" s="2404"/>
      <c r="I1726" s="2404"/>
      <c r="J1726" s="1506" t="str">
        <f>$C$705</f>
        <v>353200_2024_12_</v>
      </c>
      <c r="K1726" s="1458">
        <v>1</v>
      </c>
      <c r="L1726" s="244"/>
      <c r="M1726" s="1307"/>
      <c r="P1726" s="243"/>
      <c r="Q1726" s="243"/>
      <c r="R1726" s="243"/>
      <c r="T1726" s="166"/>
      <c r="U1726" s="50"/>
      <c r="V1726" s="2394"/>
      <c r="W1726" s="223">
        <v>1</v>
      </c>
      <c r="X1726" s="223">
        <v>1</v>
      </c>
      <c r="Y1726" s="223">
        <v>1</v>
      </c>
      <c r="Z1726" s="223">
        <v>1</v>
      </c>
      <c r="AA1726" s="223">
        <v>1</v>
      </c>
      <c r="AB1726" s="223">
        <v>1</v>
      </c>
      <c r="AC1726" s="223">
        <v>1</v>
      </c>
      <c r="AD1726" s="223">
        <v>1</v>
      </c>
      <c r="AE1726" s="223">
        <v>1</v>
      </c>
      <c r="AF1726" s="1323">
        <v>1</v>
      </c>
      <c r="AG1726" s="1323">
        <f t="shared" si="225"/>
        <v>1</v>
      </c>
      <c r="DG1726" s="543"/>
      <c r="DH1726" s="149"/>
      <c r="DI1726" s="1020"/>
      <c r="DJ1726" s="2045"/>
    </row>
    <row r="1727" spans="1:114" ht="15" customHeight="1" outlineLevel="1" x14ac:dyDescent="0.25">
      <c r="A1727" s="2145"/>
      <c r="C1727" s="49"/>
      <c r="D1727" s="2394"/>
      <c r="E1727" s="2394"/>
      <c r="F1727" s="2404" t="str">
        <f>$E$707</f>
        <v>ASHP-SEER18-Replace_CAC_NonElectricHeat_ROF_SF</v>
      </c>
      <c r="G1727" s="2404"/>
      <c r="H1727" s="2404"/>
      <c r="I1727" s="2404"/>
      <c r="J1727" s="1506" t="str">
        <f>$C$707</f>
        <v>353210_2024_12_</v>
      </c>
      <c r="K1727" s="1458">
        <v>1</v>
      </c>
      <c r="L1727" s="244"/>
      <c r="M1727" s="1249"/>
      <c r="P1727" s="243"/>
      <c r="Q1727" s="243"/>
      <c r="R1727" s="243"/>
      <c r="T1727" s="166"/>
      <c r="U1727" s="50"/>
      <c r="V1727" s="2394"/>
      <c r="W1727" s="223"/>
      <c r="X1727" s="223"/>
      <c r="Y1727" s="223"/>
      <c r="Z1727" s="223"/>
      <c r="AA1727" s="223"/>
      <c r="AB1727" s="223"/>
      <c r="AC1727" s="223"/>
      <c r="AD1727" s="222">
        <v>1</v>
      </c>
      <c r="AE1727" s="223">
        <v>1</v>
      </c>
      <c r="AF1727" s="1323">
        <v>1</v>
      </c>
      <c r="AG1727" s="1323">
        <f t="shared" si="225"/>
        <v>1</v>
      </c>
      <c r="DG1727" s="543"/>
      <c r="DH1727" s="149"/>
      <c r="DI1727" s="1020"/>
      <c r="DJ1727" s="2045"/>
    </row>
    <row r="1728" spans="1:114" ht="15" customHeight="1" outlineLevel="1" x14ac:dyDescent="0.25">
      <c r="A1728" s="2145"/>
      <c r="C1728" s="49"/>
      <c r="D1728" s="2394"/>
      <c r="E1728" s="2394"/>
      <c r="F1728" s="2404" t="str">
        <f>$E$709</f>
        <v>ASHP-SEER19-Replace_CAC_ElectricHeat_ROF_SF</v>
      </c>
      <c r="G1728" s="2404"/>
      <c r="H1728" s="2404"/>
      <c r="I1728" s="2404"/>
      <c r="J1728" s="1506" t="str">
        <f>$C$709</f>
        <v>353300_2024_12_</v>
      </c>
      <c r="K1728" s="1458">
        <v>1</v>
      </c>
      <c r="L1728" s="244"/>
      <c r="M1728" s="1307"/>
      <c r="P1728" s="243"/>
      <c r="Q1728" s="243"/>
      <c r="R1728" s="243"/>
      <c r="T1728" s="166"/>
      <c r="U1728" s="50"/>
      <c r="V1728" s="2394"/>
      <c r="W1728" s="223">
        <v>1</v>
      </c>
      <c r="X1728" s="223">
        <v>1</v>
      </c>
      <c r="Y1728" s="223">
        <v>1</v>
      </c>
      <c r="Z1728" s="223">
        <v>1</v>
      </c>
      <c r="AA1728" s="223">
        <v>1</v>
      </c>
      <c r="AB1728" s="223">
        <v>1</v>
      </c>
      <c r="AC1728" s="223">
        <v>1</v>
      </c>
      <c r="AD1728" s="223">
        <v>1</v>
      </c>
      <c r="AE1728" s="223">
        <v>1</v>
      </c>
      <c r="AF1728" s="1323">
        <v>1</v>
      </c>
      <c r="AG1728" s="1323">
        <f t="shared" si="225"/>
        <v>1</v>
      </c>
      <c r="DG1728" s="543"/>
      <c r="DH1728" s="149"/>
      <c r="DI1728" s="1020"/>
      <c r="DJ1728" s="2045"/>
    </row>
    <row r="1729" spans="1:114" ht="15" customHeight="1" outlineLevel="1" x14ac:dyDescent="0.25">
      <c r="A1729" s="2145"/>
      <c r="C1729" s="49"/>
      <c r="D1729" s="2394"/>
      <c r="E1729" s="2394"/>
      <c r="F1729" s="2404" t="str">
        <f>$E$711</f>
        <v>ASHP-SEER19-Replace_CAC_NonElectricHeat_ROF_SF</v>
      </c>
      <c r="G1729" s="2404"/>
      <c r="H1729" s="2404"/>
      <c r="I1729" s="2404"/>
      <c r="J1729" s="1506" t="str">
        <f>$C$711</f>
        <v>353310_2024_12_</v>
      </c>
      <c r="K1729" s="1458">
        <v>1</v>
      </c>
      <c r="L1729" s="244"/>
      <c r="M1729" s="1249"/>
      <c r="P1729" s="243"/>
      <c r="Q1729" s="243"/>
      <c r="R1729" s="243"/>
      <c r="T1729" s="166"/>
      <c r="U1729" s="50"/>
      <c r="V1729" s="2394"/>
      <c r="W1729" s="223"/>
      <c r="X1729" s="223"/>
      <c r="Y1729" s="223"/>
      <c r="Z1729" s="223"/>
      <c r="AA1729" s="223"/>
      <c r="AB1729" s="223"/>
      <c r="AC1729" s="223"/>
      <c r="AD1729" s="222">
        <v>1</v>
      </c>
      <c r="AE1729" s="223">
        <v>1</v>
      </c>
      <c r="AF1729" s="1323">
        <v>1</v>
      </c>
      <c r="AG1729" s="1323">
        <f t="shared" si="225"/>
        <v>1</v>
      </c>
      <c r="DG1729" s="543"/>
      <c r="DH1729" s="149"/>
      <c r="DI1729" s="1020"/>
      <c r="DJ1729" s="2045"/>
    </row>
    <row r="1730" spans="1:114" ht="15" customHeight="1" outlineLevel="1" x14ac:dyDescent="0.25">
      <c r="A1730" s="2145"/>
      <c r="C1730" s="49"/>
      <c r="D1730" s="2394"/>
      <c r="E1730" s="2394"/>
      <c r="F1730" s="2404" t="str">
        <f>$E$713</f>
        <v>ASHP-SEER20-Replace_CAC_ElectricHeat_ER1_SF</v>
      </c>
      <c r="G1730" s="2404"/>
      <c r="H1730" s="2404"/>
      <c r="I1730" s="2404"/>
      <c r="J1730" s="1506" t="str">
        <f>$C$713</f>
        <v>353400_2024_12_</v>
      </c>
      <c r="K1730" s="1458">
        <v>1</v>
      </c>
      <c r="L1730" s="244"/>
      <c r="M1730" s="1307"/>
      <c r="P1730" s="243"/>
      <c r="Q1730" s="243"/>
      <c r="R1730" s="243"/>
      <c r="T1730" s="166"/>
      <c r="U1730" s="50"/>
      <c r="V1730" s="2394"/>
      <c r="W1730" s="223">
        <v>1</v>
      </c>
      <c r="X1730" s="223">
        <v>1</v>
      </c>
      <c r="Y1730" s="223">
        <v>1</v>
      </c>
      <c r="Z1730" s="223">
        <v>1</v>
      </c>
      <c r="AA1730" s="223">
        <v>1</v>
      </c>
      <c r="AB1730" s="223">
        <v>1</v>
      </c>
      <c r="AC1730" s="223">
        <v>1</v>
      </c>
      <c r="AD1730" s="223">
        <v>1</v>
      </c>
      <c r="AE1730" s="223">
        <v>1</v>
      </c>
      <c r="AF1730" s="1323">
        <v>1</v>
      </c>
      <c r="AG1730" s="1323">
        <f t="shared" si="225"/>
        <v>1</v>
      </c>
      <c r="DG1730" s="543"/>
      <c r="DH1730" s="149"/>
      <c r="DI1730" s="1020"/>
      <c r="DJ1730" s="2045"/>
    </row>
    <row r="1731" spans="1:114" ht="15" customHeight="1" outlineLevel="1" x14ac:dyDescent="0.25">
      <c r="A1731" s="2145"/>
      <c r="C1731" s="49"/>
      <c r="D1731" s="2394"/>
      <c r="E1731" s="2394"/>
      <c r="F1731" s="2404" t="str">
        <f>$E$715</f>
        <v>ASHP-SEER20-Replace_CAC_ElectricHeat_ER2_SF</v>
      </c>
      <c r="G1731" s="2404"/>
      <c r="H1731" s="2404"/>
      <c r="I1731" s="2404"/>
      <c r="J1731" s="1506" t="str">
        <f>$C$715</f>
        <v>353400_2024_12_</v>
      </c>
      <c r="K1731" s="1458">
        <v>1</v>
      </c>
      <c r="L1731" s="244"/>
      <c r="M1731" s="1307"/>
      <c r="P1731" s="243"/>
      <c r="Q1731" s="243"/>
      <c r="R1731" s="243"/>
      <c r="T1731" s="166"/>
      <c r="U1731" s="50"/>
      <c r="V1731" s="2394"/>
      <c r="W1731" s="223">
        <v>1</v>
      </c>
      <c r="X1731" s="223">
        <v>1</v>
      </c>
      <c r="Y1731" s="223">
        <v>1</v>
      </c>
      <c r="Z1731" s="223">
        <v>1</v>
      </c>
      <c r="AA1731" s="223">
        <v>1</v>
      </c>
      <c r="AB1731" s="223">
        <v>1</v>
      </c>
      <c r="AC1731" s="223">
        <v>1</v>
      </c>
      <c r="AD1731" s="223">
        <v>1</v>
      </c>
      <c r="AE1731" s="223">
        <v>1</v>
      </c>
      <c r="AF1731" s="1323">
        <v>1</v>
      </c>
      <c r="AG1731" s="1323">
        <f t="shared" si="225"/>
        <v>1</v>
      </c>
      <c r="DG1731" s="543"/>
      <c r="DH1731" s="149"/>
      <c r="DI1731" s="1020"/>
      <c r="DJ1731" s="2045"/>
    </row>
    <row r="1732" spans="1:114" ht="15" customHeight="1" outlineLevel="1" x14ac:dyDescent="0.25">
      <c r="A1732" s="2145"/>
      <c r="C1732" s="49"/>
      <c r="D1732" s="2394"/>
      <c r="E1732" s="2394"/>
      <c r="F1732" s="2404" t="str">
        <f>$E$717</f>
        <v>ASHP-SEER20-Replace_CAC_NonElectricHeat_ER1_SF</v>
      </c>
      <c r="G1732" s="2404"/>
      <c r="H1732" s="2404"/>
      <c r="I1732" s="2404"/>
      <c r="J1732" s="1506" t="str">
        <f>$C$717</f>
        <v>353410_2024_12_</v>
      </c>
      <c r="K1732" s="1458">
        <v>1</v>
      </c>
      <c r="L1732" s="244"/>
      <c r="M1732" s="1307"/>
      <c r="P1732" s="243"/>
      <c r="Q1732" s="243"/>
      <c r="R1732" s="243"/>
      <c r="T1732" s="166"/>
      <c r="U1732" s="50"/>
      <c r="V1732" s="2394"/>
      <c r="W1732" s="223"/>
      <c r="X1732" s="223"/>
      <c r="Y1732" s="223"/>
      <c r="Z1732" s="223"/>
      <c r="AA1732" s="223"/>
      <c r="AB1732" s="223"/>
      <c r="AC1732" s="222">
        <v>1</v>
      </c>
      <c r="AD1732" s="223">
        <v>1</v>
      </c>
      <c r="AE1732" s="223">
        <v>1</v>
      </c>
      <c r="AF1732" s="1323">
        <v>1</v>
      </c>
      <c r="AG1732" s="1323">
        <f t="shared" si="225"/>
        <v>1</v>
      </c>
      <c r="DG1732" s="543"/>
      <c r="DH1732" s="149"/>
      <c r="DI1732" s="1020"/>
      <c r="DJ1732" s="2045"/>
    </row>
    <row r="1733" spans="1:114" ht="15" customHeight="1" outlineLevel="1" x14ac:dyDescent="0.25">
      <c r="A1733" s="2145"/>
      <c r="C1733" s="49"/>
      <c r="D1733" s="2394"/>
      <c r="E1733" s="2394"/>
      <c r="F1733" s="2404" t="str">
        <f>$E$719</f>
        <v>ASHP-SEER20-Replace_CAC_NonElectricHeat_ER2_SF</v>
      </c>
      <c r="G1733" s="2404"/>
      <c r="H1733" s="2404"/>
      <c r="I1733" s="2404"/>
      <c r="J1733" s="1506" t="str">
        <f>$C$719</f>
        <v>353410_2024_12_</v>
      </c>
      <c r="K1733" s="1458">
        <v>1</v>
      </c>
      <c r="L1733" s="244"/>
      <c r="M1733" s="1307"/>
      <c r="P1733" s="243"/>
      <c r="Q1733" s="243"/>
      <c r="R1733" s="243"/>
      <c r="T1733" s="166"/>
      <c r="U1733" s="50"/>
      <c r="V1733" s="2394"/>
      <c r="W1733" s="223"/>
      <c r="X1733" s="223"/>
      <c r="Y1733" s="223"/>
      <c r="Z1733" s="223"/>
      <c r="AA1733" s="223"/>
      <c r="AB1733" s="223"/>
      <c r="AC1733" s="222">
        <v>1</v>
      </c>
      <c r="AD1733" s="223">
        <v>1</v>
      </c>
      <c r="AE1733" s="223">
        <v>1</v>
      </c>
      <c r="AF1733" s="1323">
        <v>1</v>
      </c>
      <c r="AG1733" s="1323">
        <f t="shared" si="225"/>
        <v>1</v>
      </c>
      <c r="DG1733" s="543"/>
      <c r="DH1733" s="149"/>
      <c r="DI1733" s="1020"/>
      <c r="DJ1733" s="2045"/>
    </row>
    <row r="1734" spans="1:114" ht="15.75" customHeight="1" outlineLevel="1" x14ac:dyDescent="0.25">
      <c r="A1734" s="2145"/>
      <c r="C1734" s="49"/>
      <c r="D1734" s="2394"/>
      <c r="E1734" s="2394"/>
      <c r="F1734" s="1968" t="s">
        <v>1180</v>
      </c>
      <c r="G1734" s="1969"/>
      <c r="H1734" s="1969"/>
      <c r="I1734" s="1970"/>
      <c r="J1734" s="2095" t="s">
        <v>1179</v>
      </c>
      <c r="K1734" s="2173">
        <v>1</v>
      </c>
      <c r="L1734" s="913"/>
      <c r="M1734" s="645" t="s">
        <v>1297</v>
      </c>
      <c r="T1734" s="50"/>
      <c r="U1734" s="50"/>
      <c r="V1734" s="2394"/>
      <c r="W1734" s="1268"/>
      <c r="X1734" s="1268"/>
      <c r="Y1734" s="1268"/>
      <c r="Z1734" s="1268"/>
      <c r="AA1734" s="1268"/>
      <c r="AB1734" s="1268"/>
      <c r="AC1734" s="752"/>
      <c r="AD1734" s="966"/>
      <c r="AE1734" s="909"/>
      <c r="AF1734" s="253"/>
      <c r="AG1734" s="1323">
        <f>IF(K1734&lt;&gt;"",K1734,"")</f>
        <v>1</v>
      </c>
      <c r="DG1734" s="543"/>
      <c r="DH1734" s="149"/>
      <c r="DI1734" s="1020"/>
      <c r="DJ1734" s="2045"/>
    </row>
    <row r="1735" spans="1:114" ht="15.75" customHeight="1" outlineLevel="1" x14ac:dyDescent="0.25">
      <c r="A1735" s="2145"/>
      <c r="C1735" s="49"/>
      <c r="D1735" s="2394"/>
      <c r="E1735" s="2394"/>
      <c r="F1735" s="1968" t="s">
        <v>1181</v>
      </c>
      <c r="G1735" s="1969"/>
      <c r="H1735" s="1969"/>
      <c r="I1735" s="1970"/>
      <c r="J1735" s="2095" t="s">
        <v>1179</v>
      </c>
      <c r="K1735" s="2173">
        <v>1</v>
      </c>
      <c r="L1735" s="913"/>
      <c r="M1735" s="645" t="s">
        <v>1297</v>
      </c>
      <c r="T1735" s="50"/>
      <c r="U1735" s="50"/>
      <c r="V1735" s="2394"/>
      <c r="W1735" s="1268"/>
      <c r="X1735" s="1268"/>
      <c r="Y1735" s="1268"/>
      <c r="Z1735" s="1268"/>
      <c r="AA1735" s="1268"/>
      <c r="AB1735" s="1268"/>
      <c r="AC1735" s="752"/>
      <c r="AD1735" s="966"/>
      <c r="AE1735" s="909"/>
      <c r="AF1735" s="253"/>
      <c r="AG1735" s="1323">
        <f>IF(K1735&lt;&gt;"",K1735,"")</f>
        <v>1</v>
      </c>
      <c r="DG1735" s="543"/>
      <c r="DH1735" s="149"/>
      <c r="DI1735" s="1020"/>
      <c r="DJ1735" s="2045"/>
    </row>
    <row r="1736" spans="1:114" ht="15" customHeight="1" outlineLevel="1" x14ac:dyDescent="0.25">
      <c r="A1736" s="2145"/>
      <c r="C1736" s="49"/>
      <c r="D1736" s="2394"/>
      <c r="E1736" s="2394"/>
      <c r="F1736" s="2404" t="str">
        <f>$E$725</f>
        <v>ASHP-SEER20-Replace_CAC_ElectricHeat_ROF_SF</v>
      </c>
      <c r="G1736" s="2404"/>
      <c r="H1736" s="2404"/>
      <c r="I1736" s="2404"/>
      <c r="J1736" s="1506" t="str">
        <f>$C$725</f>
        <v>353450_2024_12_</v>
      </c>
      <c r="K1736" s="1458">
        <v>1</v>
      </c>
      <c r="L1736" s="244"/>
      <c r="M1736" s="1307"/>
      <c r="P1736" s="243"/>
      <c r="Q1736" s="243"/>
      <c r="R1736" s="243"/>
      <c r="T1736" s="166"/>
      <c r="U1736" s="50"/>
      <c r="V1736" s="2394"/>
      <c r="W1736" s="223">
        <v>1</v>
      </c>
      <c r="X1736" s="223">
        <v>1</v>
      </c>
      <c r="Y1736" s="223">
        <v>1</v>
      </c>
      <c r="Z1736" s="223">
        <v>1</v>
      </c>
      <c r="AA1736" s="223">
        <v>1</v>
      </c>
      <c r="AB1736" s="223">
        <v>1</v>
      </c>
      <c r="AC1736" s="223">
        <v>1</v>
      </c>
      <c r="AD1736" s="223">
        <v>1</v>
      </c>
      <c r="AE1736" s="223">
        <v>1</v>
      </c>
      <c r="AF1736" s="1323">
        <v>1</v>
      </c>
      <c r="AG1736" s="1323">
        <f t="shared" si="225"/>
        <v>1</v>
      </c>
      <c r="DG1736" s="543"/>
      <c r="DH1736" s="149"/>
      <c r="DI1736" s="1020"/>
      <c r="DJ1736" s="2045"/>
    </row>
    <row r="1737" spans="1:114" ht="15.75" customHeight="1" outlineLevel="1" x14ac:dyDescent="0.25">
      <c r="A1737" s="2145"/>
      <c r="C1737" s="49"/>
      <c r="D1737" s="2394"/>
      <c r="E1737" s="2394"/>
      <c r="F1737" s="1968" t="s">
        <v>1185</v>
      </c>
      <c r="G1737" s="1969"/>
      <c r="H1737" s="1969"/>
      <c r="I1737" s="1970"/>
      <c r="J1737" s="2095" t="s">
        <v>1184</v>
      </c>
      <c r="K1737" s="2173">
        <v>1</v>
      </c>
      <c r="L1737" s="913"/>
      <c r="M1737" s="645" t="s">
        <v>1297</v>
      </c>
      <c r="T1737" s="50"/>
      <c r="U1737" s="50"/>
      <c r="V1737" s="2394"/>
      <c r="W1737" s="1268"/>
      <c r="X1737" s="1268"/>
      <c r="Y1737" s="1268"/>
      <c r="Z1737" s="1268"/>
      <c r="AA1737" s="1268"/>
      <c r="AB1737" s="1268"/>
      <c r="AC1737" s="752"/>
      <c r="AD1737" s="966"/>
      <c r="AE1737" s="909"/>
      <c r="AF1737" s="253"/>
      <c r="AG1737" s="1323">
        <f>IF(K1737&lt;&gt;"",K1737,"")</f>
        <v>1</v>
      </c>
      <c r="DG1737" s="543"/>
      <c r="DH1737" s="149"/>
      <c r="DI1737" s="1020"/>
      <c r="DJ1737" s="2045"/>
    </row>
    <row r="1738" spans="1:114" ht="15" customHeight="1" outlineLevel="1" x14ac:dyDescent="0.25">
      <c r="A1738" s="2145"/>
      <c r="C1738" s="49"/>
      <c r="D1738" s="2394"/>
      <c r="E1738" s="2394"/>
      <c r="F1738" s="2404" t="str">
        <f>$E$729</f>
        <v>ASHP-SEER20-Replace_CAC_NonElectricHeat_ROF_SF</v>
      </c>
      <c r="G1738" s="2404"/>
      <c r="H1738" s="2404"/>
      <c r="I1738" s="2404"/>
      <c r="J1738" s="1506" t="str">
        <f>$C$729</f>
        <v>353460_2024_12_</v>
      </c>
      <c r="K1738" s="1458">
        <v>1</v>
      </c>
      <c r="L1738" s="244"/>
      <c r="M1738" s="1249"/>
      <c r="P1738" s="243"/>
      <c r="Q1738" s="243"/>
      <c r="R1738" s="243"/>
      <c r="T1738" s="166"/>
      <c r="U1738" s="50"/>
      <c r="V1738" s="2394"/>
      <c r="W1738" s="223"/>
      <c r="X1738" s="223"/>
      <c r="Y1738" s="223"/>
      <c r="Z1738" s="223"/>
      <c r="AA1738" s="223"/>
      <c r="AB1738" s="223"/>
      <c r="AC1738" s="223"/>
      <c r="AD1738" s="222">
        <v>1</v>
      </c>
      <c r="AE1738" s="223">
        <v>1</v>
      </c>
      <c r="AF1738" s="1323">
        <v>1</v>
      </c>
      <c r="AG1738" s="1323">
        <f t="shared" si="225"/>
        <v>1</v>
      </c>
      <c r="DG1738" s="543"/>
      <c r="DH1738" s="149"/>
      <c r="DI1738" s="1020"/>
      <c r="DJ1738" s="2045"/>
    </row>
    <row r="1739" spans="1:114" ht="15" customHeight="1" outlineLevel="1" x14ac:dyDescent="0.25">
      <c r="A1739" s="2145"/>
      <c r="C1739" s="49"/>
      <c r="D1739" s="2394"/>
      <c r="E1739" s="2394"/>
      <c r="F1739" s="2404" t="str">
        <f>$E$731</f>
        <v>ASHP-SEER21-Replace_CAC_ElectricHeat_ER1_SF</v>
      </c>
      <c r="G1739" s="2404"/>
      <c r="H1739" s="2404"/>
      <c r="I1739" s="2404"/>
      <c r="J1739" s="1506" t="str">
        <f>$C$731</f>
        <v>353550_2024_12_</v>
      </c>
      <c r="K1739" s="1458">
        <v>1</v>
      </c>
      <c r="L1739" s="244"/>
      <c r="M1739" s="1307"/>
      <c r="P1739" s="243"/>
      <c r="Q1739" s="192"/>
      <c r="R1739" s="243"/>
      <c r="T1739" s="166"/>
      <c r="U1739" s="50"/>
      <c r="V1739" s="2394"/>
      <c r="W1739" s="223">
        <v>1</v>
      </c>
      <c r="X1739" s="223">
        <v>1</v>
      </c>
      <c r="Y1739" s="223">
        <v>1</v>
      </c>
      <c r="Z1739" s="223">
        <v>1</v>
      </c>
      <c r="AA1739" s="223">
        <v>1</v>
      </c>
      <c r="AB1739" s="223">
        <v>1</v>
      </c>
      <c r="AC1739" s="223">
        <v>1</v>
      </c>
      <c r="AD1739" s="223">
        <v>1</v>
      </c>
      <c r="AE1739" s="223">
        <v>1</v>
      </c>
      <c r="AF1739" s="1323">
        <v>1</v>
      </c>
      <c r="AG1739" s="1323">
        <f t="shared" si="225"/>
        <v>1</v>
      </c>
      <c r="DG1739" s="543"/>
      <c r="DH1739" s="149"/>
      <c r="DI1739" s="1020"/>
      <c r="DJ1739" s="2045"/>
    </row>
    <row r="1740" spans="1:114" ht="15" customHeight="1" outlineLevel="1" x14ac:dyDescent="0.25">
      <c r="A1740" s="2145"/>
      <c r="C1740" s="49"/>
      <c r="D1740" s="2394"/>
      <c r="E1740" s="2394"/>
      <c r="F1740" s="2404" t="str">
        <f>$E$733</f>
        <v>ASHP-SEER21-Replace_CAC_ElectricHeat_ER2_SF</v>
      </c>
      <c r="G1740" s="2404"/>
      <c r="H1740" s="2404"/>
      <c r="I1740" s="2404"/>
      <c r="J1740" s="1506" t="str">
        <f>$C$733</f>
        <v>353550_2024_12_</v>
      </c>
      <c r="K1740" s="1458">
        <v>1</v>
      </c>
      <c r="L1740" s="244"/>
      <c r="M1740" s="1307"/>
      <c r="P1740" s="243"/>
      <c r="Q1740" s="192"/>
      <c r="R1740" s="243"/>
      <c r="T1740" s="166"/>
      <c r="U1740" s="50"/>
      <c r="V1740" s="2394"/>
      <c r="W1740" s="223">
        <v>1</v>
      </c>
      <c r="X1740" s="223">
        <v>1</v>
      </c>
      <c r="Y1740" s="223">
        <v>1</v>
      </c>
      <c r="Z1740" s="223">
        <v>1</v>
      </c>
      <c r="AA1740" s="223">
        <v>1</v>
      </c>
      <c r="AB1740" s="223">
        <v>1</v>
      </c>
      <c r="AC1740" s="223">
        <v>1</v>
      </c>
      <c r="AD1740" s="223">
        <v>1</v>
      </c>
      <c r="AE1740" s="223">
        <v>1</v>
      </c>
      <c r="AF1740" s="1323">
        <v>1</v>
      </c>
      <c r="AG1740" s="1323">
        <f t="shared" si="225"/>
        <v>1</v>
      </c>
      <c r="DG1740" s="543"/>
      <c r="DH1740" s="149"/>
      <c r="DI1740" s="1020"/>
      <c r="DJ1740" s="2045"/>
    </row>
    <row r="1741" spans="1:114" ht="15" customHeight="1" outlineLevel="1" x14ac:dyDescent="0.25">
      <c r="A1741" s="2145"/>
      <c r="C1741" s="49"/>
      <c r="D1741" s="2394"/>
      <c r="E1741" s="2394"/>
      <c r="F1741" s="2404" t="str">
        <f>$E$735</f>
        <v>ASHP-SEER21-Replace_CAC_NonElectricHeat_ER1_SF</v>
      </c>
      <c r="G1741" s="2404"/>
      <c r="H1741" s="2404"/>
      <c r="I1741" s="2404"/>
      <c r="J1741" s="1506" t="str">
        <f>$C$735</f>
        <v>353560_2024_12_</v>
      </c>
      <c r="K1741" s="1458">
        <v>1</v>
      </c>
      <c r="L1741" s="244"/>
      <c r="M1741" s="1307"/>
      <c r="P1741" s="243"/>
      <c r="Q1741" s="192"/>
      <c r="R1741" s="243"/>
      <c r="T1741" s="166"/>
      <c r="U1741" s="50"/>
      <c r="V1741" s="2394"/>
      <c r="W1741" s="223"/>
      <c r="X1741" s="223"/>
      <c r="Y1741" s="223"/>
      <c r="Z1741" s="223"/>
      <c r="AA1741" s="223"/>
      <c r="AB1741" s="223"/>
      <c r="AC1741" s="222">
        <v>1</v>
      </c>
      <c r="AD1741" s="223">
        <v>1</v>
      </c>
      <c r="AE1741" s="223">
        <v>1</v>
      </c>
      <c r="AF1741" s="1323">
        <v>1</v>
      </c>
      <c r="AG1741" s="1323">
        <f t="shared" si="225"/>
        <v>1</v>
      </c>
      <c r="DG1741" s="543"/>
      <c r="DH1741" s="149"/>
      <c r="DI1741" s="1020"/>
      <c r="DJ1741" s="2045"/>
    </row>
    <row r="1742" spans="1:114" ht="15" customHeight="1" outlineLevel="1" x14ac:dyDescent="0.25">
      <c r="A1742" s="2145"/>
      <c r="C1742" s="49"/>
      <c r="D1742" s="2394"/>
      <c r="E1742" s="2394"/>
      <c r="F1742" s="2404" t="str">
        <f>$E$737</f>
        <v>ASHP-SEER21-Replace_CAC_NonElectricHeat_ER2_SF</v>
      </c>
      <c r="G1742" s="2404"/>
      <c r="H1742" s="2404"/>
      <c r="I1742" s="2404"/>
      <c r="J1742" s="1506" t="str">
        <f>$C$737</f>
        <v>353560_2024_12_</v>
      </c>
      <c r="K1742" s="1458">
        <v>1</v>
      </c>
      <c r="L1742" s="244"/>
      <c r="M1742" s="1307"/>
      <c r="P1742" s="243"/>
      <c r="Q1742" s="192"/>
      <c r="R1742" s="243"/>
      <c r="T1742" s="166"/>
      <c r="U1742" s="50"/>
      <c r="V1742" s="2394"/>
      <c r="W1742" s="223"/>
      <c r="X1742" s="223"/>
      <c r="Y1742" s="223"/>
      <c r="Z1742" s="223"/>
      <c r="AA1742" s="223"/>
      <c r="AB1742" s="223"/>
      <c r="AC1742" s="222">
        <v>1</v>
      </c>
      <c r="AD1742" s="223">
        <v>1</v>
      </c>
      <c r="AE1742" s="223">
        <v>1</v>
      </c>
      <c r="AF1742" s="1323">
        <v>1</v>
      </c>
      <c r="AG1742" s="1323">
        <f t="shared" si="225"/>
        <v>1</v>
      </c>
      <c r="DG1742" s="543"/>
      <c r="DH1742" s="149"/>
      <c r="DI1742" s="1020"/>
      <c r="DJ1742" s="2045"/>
    </row>
    <row r="1743" spans="1:114" ht="15" customHeight="1" outlineLevel="1" x14ac:dyDescent="0.25">
      <c r="A1743" s="2145"/>
      <c r="C1743" s="49"/>
      <c r="D1743" s="2394"/>
      <c r="E1743" s="2394"/>
      <c r="F1743" s="2404" t="str">
        <f>$E$739</f>
        <v>ASHP-SEER21-Replace_CAC_ElectricHeat_ER1_MF</v>
      </c>
      <c r="G1743" s="2404"/>
      <c r="H1743" s="2404"/>
      <c r="I1743" s="2404"/>
      <c r="J1743" s="1506" t="str">
        <f>$C$739</f>
        <v>353600_2024_12_</v>
      </c>
      <c r="K1743" s="1458">
        <v>0.65</v>
      </c>
      <c r="L1743" s="244"/>
      <c r="M1743" s="1307"/>
      <c r="P1743" s="243"/>
      <c r="Q1743" s="192"/>
      <c r="R1743" s="243"/>
      <c r="T1743" s="166"/>
      <c r="U1743" s="50"/>
      <c r="V1743" s="2394"/>
      <c r="W1743" s="223">
        <v>0.65</v>
      </c>
      <c r="X1743" s="223">
        <v>0.65</v>
      </c>
      <c r="Y1743" s="223">
        <v>0.65</v>
      </c>
      <c r="Z1743" s="223">
        <v>0.65</v>
      </c>
      <c r="AA1743" s="223">
        <v>0.65</v>
      </c>
      <c r="AB1743" s="223">
        <v>0.65</v>
      </c>
      <c r="AC1743" s="223">
        <v>0.65</v>
      </c>
      <c r="AD1743" s="223">
        <v>0.65</v>
      </c>
      <c r="AE1743" s="223">
        <v>0.65</v>
      </c>
      <c r="AF1743" s="1323">
        <v>0.65</v>
      </c>
      <c r="AG1743" s="1323">
        <f t="shared" si="225"/>
        <v>0.65</v>
      </c>
      <c r="DG1743" s="543"/>
      <c r="DH1743" s="149"/>
      <c r="DI1743" s="1020"/>
      <c r="DJ1743" s="2045"/>
    </row>
    <row r="1744" spans="1:114" ht="15" customHeight="1" outlineLevel="1" x14ac:dyDescent="0.25">
      <c r="A1744" s="2145"/>
      <c r="C1744" s="49"/>
      <c r="D1744" s="2394"/>
      <c r="E1744" s="2394"/>
      <c r="F1744" s="2404" t="str">
        <f>$E$741</f>
        <v>ASHP-SEER21-Replace_CAC_ElectricHeat_ER2_MF</v>
      </c>
      <c r="G1744" s="2404"/>
      <c r="H1744" s="2404"/>
      <c r="I1744" s="2404"/>
      <c r="J1744" s="1506" t="str">
        <f>$C$741</f>
        <v>353600_2024_12_</v>
      </c>
      <c r="K1744" s="1458">
        <v>0.65</v>
      </c>
      <c r="L1744" s="244"/>
      <c r="M1744" s="1307"/>
      <c r="P1744" s="243"/>
      <c r="Q1744" s="192"/>
      <c r="R1744" s="243"/>
      <c r="T1744" s="166"/>
      <c r="U1744" s="50"/>
      <c r="V1744" s="2394"/>
      <c r="W1744" s="223">
        <v>0.65</v>
      </c>
      <c r="X1744" s="223">
        <v>0.65</v>
      </c>
      <c r="Y1744" s="223">
        <v>0.65</v>
      </c>
      <c r="Z1744" s="223">
        <v>0.65</v>
      </c>
      <c r="AA1744" s="223">
        <v>0.65</v>
      </c>
      <c r="AB1744" s="223">
        <v>0.65</v>
      </c>
      <c r="AC1744" s="223">
        <v>0.65</v>
      </c>
      <c r="AD1744" s="223">
        <v>0.65</v>
      </c>
      <c r="AE1744" s="223">
        <v>0.65</v>
      </c>
      <c r="AF1744" s="1323">
        <v>0.65</v>
      </c>
      <c r="AG1744" s="1323">
        <f t="shared" si="225"/>
        <v>0.65</v>
      </c>
      <c r="DG1744" s="543"/>
      <c r="DH1744" s="149"/>
      <c r="DI1744" s="1020"/>
      <c r="DJ1744" s="2045"/>
    </row>
    <row r="1745" spans="1:114" ht="15" customHeight="1" outlineLevel="1" x14ac:dyDescent="0.25">
      <c r="A1745" s="2145"/>
      <c r="C1745" s="49"/>
      <c r="D1745" s="2394"/>
      <c r="E1745" s="2394"/>
      <c r="F1745" s="2404" t="str">
        <f>$E$743</f>
        <v>ASHP-SEER21-Replace_CAC_ElectricHeat_ROF_SF</v>
      </c>
      <c r="G1745" s="2404"/>
      <c r="H1745" s="2404"/>
      <c r="I1745" s="2404"/>
      <c r="J1745" s="1506" t="str">
        <f>$C$743</f>
        <v>353650_2024_12_</v>
      </c>
      <c r="K1745" s="1458">
        <v>1</v>
      </c>
      <c r="L1745" s="244"/>
      <c r="M1745" s="1307"/>
      <c r="P1745" s="243"/>
      <c r="Q1745" s="192"/>
      <c r="R1745" s="243"/>
      <c r="T1745" s="166"/>
      <c r="U1745" s="50"/>
      <c r="V1745" s="2394"/>
      <c r="W1745" s="223">
        <v>1</v>
      </c>
      <c r="X1745" s="223">
        <v>1</v>
      </c>
      <c r="Y1745" s="223">
        <v>1</v>
      </c>
      <c r="Z1745" s="223">
        <v>1</v>
      </c>
      <c r="AA1745" s="223">
        <v>1</v>
      </c>
      <c r="AB1745" s="223">
        <v>1</v>
      </c>
      <c r="AC1745" s="223">
        <v>1</v>
      </c>
      <c r="AD1745" s="223">
        <v>1</v>
      </c>
      <c r="AE1745" s="223">
        <v>1</v>
      </c>
      <c r="AF1745" s="1323">
        <v>1</v>
      </c>
      <c r="AG1745" s="1323">
        <f t="shared" si="225"/>
        <v>1</v>
      </c>
      <c r="DG1745" s="543"/>
      <c r="DH1745" s="149"/>
      <c r="DI1745" s="1020"/>
      <c r="DJ1745" s="2045"/>
    </row>
    <row r="1746" spans="1:114" ht="15" customHeight="1" outlineLevel="1" x14ac:dyDescent="0.25">
      <c r="A1746" s="2145"/>
      <c r="C1746" s="49"/>
      <c r="D1746" s="2394"/>
      <c r="E1746" s="2394"/>
      <c r="F1746" s="2404" t="str">
        <f>$E$745</f>
        <v>ASHP-SEER21-Replace_CAC_NonElectricHeat_ROF_SF</v>
      </c>
      <c r="G1746" s="2404"/>
      <c r="H1746" s="2404"/>
      <c r="I1746" s="2404"/>
      <c r="J1746" s="1506" t="str">
        <f>$C$745</f>
        <v>353660_2024_12_</v>
      </c>
      <c r="K1746" s="1458">
        <v>1</v>
      </c>
      <c r="L1746" s="244"/>
      <c r="M1746" s="1249"/>
      <c r="P1746" s="243"/>
      <c r="Q1746" s="192"/>
      <c r="R1746" s="243"/>
      <c r="T1746" s="166"/>
      <c r="U1746" s="50"/>
      <c r="V1746" s="2394"/>
      <c r="W1746" s="223"/>
      <c r="X1746" s="223"/>
      <c r="Y1746" s="223"/>
      <c r="Z1746" s="223"/>
      <c r="AA1746" s="223"/>
      <c r="AB1746" s="223"/>
      <c r="AC1746" s="223"/>
      <c r="AD1746" s="222">
        <v>1</v>
      </c>
      <c r="AE1746" s="223">
        <v>1</v>
      </c>
      <c r="AF1746" s="1323">
        <v>1</v>
      </c>
      <c r="AG1746" s="1323">
        <f t="shared" si="225"/>
        <v>1</v>
      </c>
      <c r="DG1746" s="543"/>
      <c r="DH1746" s="149"/>
      <c r="DI1746" s="1020"/>
      <c r="DJ1746" s="2045"/>
    </row>
    <row r="1747" spans="1:114" ht="15" customHeight="1" outlineLevel="1" x14ac:dyDescent="0.25">
      <c r="A1747" s="2145"/>
      <c r="C1747" s="49"/>
      <c r="D1747" s="2394"/>
      <c r="E1747" s="2394"/>
      <c r="F1747" s="2404" t="str">
        <f>$E$747</f>
        <v>ASHP-SEER17_ER1_SF</v>
      </c>
      <c r="G1747" s="2404"/>
      <c r="H1747" s="2404"/>
      <c r="I1747" s="2404"/>
      <c r="J1747" s="1506" t="str">
        <f>$C$747</f>
        <v>353750_2024_12_</v>
      </c>
      <c r="K1747" s="1458">
        <v>1</v>
      </c>
      <c r="L1747" s="244"/>
      <c r="M1747" s="1249"/>
      <c r="P1747" s="243"/>
      <c r="Q1747" s="192"/>
      <c r="R1747" s="243"/>
      <c r="T1747" s="166"/>
      <c r="U1747" s="50"/>
      <c r="V1747" s="2394"/>
      <c r="W1747" s="223">
        <v>1</v>
      </c>
      <c r="X1747" s="223">
        <v>1</v>
      </c>
      <c r="Y1747" s="223">
        <v>1</v>
      </c>
      <c r="Z1747" s="223">
        <v>1</v>
      </c>
      <c r="AA1747" s="223">
        <v>1</v>
      </c>
      <c r="AB1747" s="223">
        <v>1</v>
      </c>
      <c r="AC1747" s="223">
        <v>1</v>
      </c>
      <c r="AD1747" s="223">
        <v>1</v>
      </c>
      <c r="AE1747" s="223">
        <v>1</v>
      </c>
      <c r="AF1747" s="1323">
        <v>1</v>
      </c>
      <c r="AG1747" s="1323">
        <f t="shared" si="225"/>
        <v>1</v>
      </c>
      <c r="DG1747" s="543"/>
      <c r="DH1747" s="149"/>
      <c r="DI1747" s="1020"/>
      <c r="DJ1747" s="2045"/>
    </row>
    <row r="1748" spans="1:114" ht="15" customHeight="1" outlineLevel="1" x14ac:dyDescent="0.25">
      <c r="A1748" s="2145"/>
      <c r="C1748" s="49"/>
      <c r="D1748" s="2394"/>
      <c r="E1748" s="2394"/>
      <c r="F1748" s="2404" t="str">
        <f>$E$749</f>
        <v>ASHP-SEER17_ER2_SF</v>
      </c>
      <c r="G1748" s="2404"/>
      <c r="H1748" s="2404"/>
      <c r="I1748" s="2404"/>
      <c r="J1748" s="1506" t="str">
        <f>$C$749</f>
        <v>353750_2024_12_</v>
      </c>
      <c r="K1748" s="1458">
        <v>1</v>
      </c>
      <c r="L1748" s="244"/>
      <c r="M1748" s="1249"/>
      <c r="T1748" s="50"/>
      <c r="U1748" s="50"/>
      <c r="V1748" s="2394"/>
      <c r="W1748" s="223">
        <v>1</v>
      </c>
      <c r="X1748" s="223">
        <v>1</v>
      </c>
      <c r="Y1748" s="223">
        <v>1</v>
      </c>
      <c r="Z1748" s="223">
        <v>1</v>
      </c>
      <c r="AA1748" s="223">
        <v>1</v>
      </c>
      <c r="AB1748" s="223">
        <v>1</v>
      </c>
      <c r="AC1748" s="223">
        <v>1</v>
      </c>
      <c r="AD1748" s="223">
        <v>1</v>
      </c>
      <c r="AE1748" s="223">
        <v>1</v>
      </c>
      <c r="AF1748" s="1323">
        <v>1</v>
      </c>
      <c r="AG1748" s="1323">
        <f t="shared" si="225"/>
        <v>1</v>
      </c>
      <c r="DG1748" s="543"/>
      <c r="DH1748" s="149"/>
      <c r="DI1748" s="1020"/>
      <c r="DJ1748" s="2045"/>
    </row>
    <row r="1749" spans="1:114" ht="15" customHeight="1" outlineLevel="1" x14ac:dyDescent="0.25">
      <c r="A1749" s="2145"/>
      <c r="C1749" s="49"/>
      <c r="D1749" s="2394"/>
      <c r="E1749" s="2394"/>
      <c r="F1749" s="2404" t="str">
        <f>$E$751</f>
        <v>ASHP-SEER17_ROF_SF</v>
      </c>
      <c r="G1749" s="2404"/>
      <c r="H1749" s="2404"/>
      <c r="I1749" s="2404"/>
      <c r="J1749" s="1506" t="str">
        <f>$C$751</f>
        <v>353800_2024_12_</v>
      </c>
      <c r="K1749" s="1458">
        <v>1</v>
      </c>
      <c r="L1749" s="244"/>
      <c r="M1749" s="1249"/>
      <c r="P1749" s="243"/>
      <c r="Q1749" s="192"/>
      <c r="R1749" s="243"/>
      <c r="T1749" s="166"/>
      <c r="U1749" s="50"/>
      <c r="V1749" s="2394"/>
      <c r="W1749" s="223">
        <v>1</v>
      </c>
      <c r="X1749" s="223">
        <v>1</v>
      </c>
      <c r="Y1749" s="223">
        <v>1</v>
      </c>
      <c r="Z1749" s="223">
        <v>1</v>
      </c>
      <c r="AA1749" s="223">
        <v>1</v>
      </c>
      <c r="AB1749" s="223">
        <v>1</v>
      </c>
      <c r="AC1749" s="223">
        <v>1</v>
      </c>
      <c r="AD1749" s="223">
        <v>1</v>
      </c>
      <c r="AE1749" s="223">
        <v>1</v>
      </c>
      <c r="AF1749" s="1323">
        <v>1</v>
      </c>
      <c r="AG1749" s="1323">
        <f t="shared" si="225"/>
        <v>1</v>
      </c>
      <c r="DG1749" s="543"/>
      <c r="DH1749" s="149"/>
      <c r="DI1749" s="1020"/>
      <c r="DJ1749" s="2045"/>
    </row>
    <row r="1750" spans="1:114" ht="15" customHeight="1" outlineLevel="1" x14ac:dyDescent="0.25">
      <c r="A1750" s="2145"/>
      <c r="C1750" s="49"/>
      <c r="D1750" s="2394"/>
      <c r="E1750" s="2394"/>
      <c r="F1750" s="2404" t="str">
        <f>$E$753</f>
        <v>ASHP-SEER18_ER1_SF</v>
      </c>
      <c r="G1750" s="2404"/>
      <c r="H1750" s="2404"/>
      <c r="I1750" s="2404"/>
      <c r="J1750" s="1506" t="str">
        <f>$C$753</f>
        <v>353850_2024_12_</v>
      </c>
      <c r="K1750" s="1458">
        <v>1</v>
      </c>
      <c r="L1750" s="244"/>
      <c r="M1750" s="1249"/>
      <c r="T1750" s="50"/>
      <c r="U1750" s="50"/>
      <c r="V1750" s="2394"/>
      <c r="W1750" s="223">
        <v>1</v>
      </c>
      <c r="X1750" s="223">
        <v>1</v>
      </c>
      <c r="Y1750" s="223">
        <v>1</v>
      </c>
      <c r="Z1750" s="223">
        <v>1</v>
      </c>
      <c r="AA1750" s="223">
        <v>1</v>
      </c>
      <c r="AB1750" s="223">
        <v>1</v>
      </c>
      <c r="AC1750" s="223">
        <v>1</v>
      </c>
      <c r="AD1750" s="223">
        <v>1</v>
      </c>
      <c r="AE1750" s="223">
        <v>1</v>
      </c>
      <c r="AF1750" s="1323">
        <v>1</v>
      </c>
      <c r="AG1750" s="1323">
        <f t="shared" si="225"/>
        <v>1</v>
      </c>
      <c r="DG1750" s="543"/>
      <c r="DH1750" s="149"/>
      <c r="DI1750" s="1020"/>
      <c r="DJ1750" s="2045"/>
    </row>
    <row r="1751" spans="1:114" ht="15" customHeight="1" outlineLevel="1" x14ac:dyDescent="0.25">
      <c r="A1751" s="2145"/>
      <c r="C1751" s="49"/>
      <c r="D1751" s="2394"/>
      <c r="E1751" s="2394"/>
      <c r="F1751" s="2404" t="str">
        <f>$E$755</f>
        <v>ASHP-SEER18_ER2_SF</v>
      </c>
      <c r="G1751" s="2404"/>
      <c r="H1751" s="2404"/>
      <c r="I1751" s="2404"/>
      <c r="J1751" s="1506" t="str">
        <f>$C$755</f>
        <v>353850_2024_12_</v>
      </c>
      <c r="K1751" s="1458">
        <v>1</v>
      </c>
      <c r="L1751" s="244"/>
      <c r="M1751" s="1249"/>
      <c r="T1751" s="50"/>
      <c r="U1751" s="50"/>
      <c r="V1751" s="2394"/>
      <c r="W1751" s="223">
        <v>1</v>
      </c>
      <c r="X1751" s="223">
        <v>1</v>
      </c>
      <c r="Y1751" s="223">
        <v>1</v>
      </c>
      <c r="Z1751" s="223">
        <v>1</v>
      </c>
      <c r="AA1751" s="223">
        <v>1</v>
      </c>
      <c r="AB1751" s="223">
        <v>1</v>
      </c>
      <c r="AC1751" s="223">
        <v>1</v>
      </c>
      <c r="AD1751" s="223">
        <v>1</v>
      </c>
      <c r="AE1751" s="223">
        <v>1</v>
      </c>
      <c r="AF1751" s="1323">
        <v>1</v>
      </c>
      <c r="AG1751" s="1323">
        <f t="shared" si="225"/>
        <v>1</v>
      </c>
      <c r="DG1751" s="543"/>
      <c r="DH1751" s="149"/>
      <c r="DI1751" s="1020"/>
      <c r="DJ1751" s="2045"/>
    </row>
    <row r="1752" spans="1:114" ht="15" customHeight="1" outlineLevel="1" x14ac:dyDescent="0.25">
      <c r="A1752" s="2145"/>
      <c r="C1752" s="49"/>
      <c r="D1752" s="2394"/>
      <c r="E1752" s="2394"/>
      <c r="F1752" s="2404" t="str">
        <f>$E$757</f>
        <v>ASHP-SEER18_ROF_SF</v>
      </c>
      <c r="G1752" s="2404"/>
      <c r="H1752" s="2404"/>
      <c r="I1752" s="2404"/>
      <c r="J1752" s="1506" t="str">
        <f>$C$757</f>
        <v>353950_2024_12_</v>
      </c>
      <c r="K1752" s="1458">
        <v>1</v>
      </c>
      <c r="L1752" s="244"/>
      <c r="M1752" s="1249"/>
      <c r="P1752" s="243"/>
      <c r="Q1752" s="192"/>
      <c r="R1752" s="243"/>
      <c r="T1752" s="166"/>
      <c r="U1752" s="50"/>
      <c r="V1752" s="2394"/>
      <c r="W1752" s="223">
        <v>1</v>
      </c>
      <c r="X1752" s="223">
        <v>1</v>
      </c>
      <c r="Y1752" s="223">
        <v>1</v>
      </c>
      <c r="Z1752" s="223">
        <v>1</v>
      </c>
      <c r="AA1752" s="223">
        <v>1</v>
      </c>
      <c r="AB1752" s="223">
        <v>1</v>
      </c>
      <c r="AC1752" s="223">
        <v>1</v>
      </c>
      <c r="AD1752" s="223">
        <v>1</v>
      </c>
      <c r="AE1752" s="223">
        <v>1</v>
      </c>
      <c r="AF1752" s="1323">
        <v>1</v>
      </c>
      <c r="AG1752" s="1323">
        <f t="shared" si="225"/>
        <v>1</v>
      </c>
      <c r="DG1752" s="543"/>
      <c r="DH1752" s="149"/>
      <c r="DI1752" s="1020"/>
      <c r="DJ1752" s="2045"/>
    </row>
    <row r="1753" spans="1:114" ht="15" customHeight="1" outlineLevel="1" x14ac:dyDescent="0.25">
      <c r="A1753" s="2145"/>
      <c r="C1753" s="49"/>
      <c r="D1753" s="2394"/>
      <c r="E1753" s="2394"/>
      <c r="F1753" s="2404" t="str">
        <f>$E$759</f>
        <v>ASHP-SEER19_ER1_SF</v>
      </c>
      <c r="G1753" s="2404"/>
      <c r="H1753" s="2404"/>
      <c r="I1753" s="2404"/>
      <c r="J1753" s="1506" t="str">
        <f>$C$759</f>
        <v>354000_2024_12_</v>
      </c>
      <c r="K1753" s="1458">
        <v>1</v>
      </c>
      <c r="L1753" s="244"/>
      <c r="M1753" s="1249"/>
      <c r="T1753" s="50"/>
      <c r="U1753" s="50"/>
      <c r="V1753" s="2394"/>
      <c r="W1753" s="223">
        <v>1</v>
      </c>
      <c r="X1753" s="223">
        <v>1</v>
      </c>
      <c r="Y1753" s="223">
        <v>1</v>
      </c>
      <c r="Z1753" s="223">
        <v>1</v>
      </c>
      <c r="AA1753" s="223">
        <v>1</v>
      </c>
      <c r="AB1753" s="223">
        <v>1</v>
      </c>
      <c r="AC1753" s="223">
        <v>1</v>
      </c>
      <c r="AD1753" s="223">
        <v>1</v>
      </c>
      <c r="AE1753" s="223">
        <v>1</v>
      </c>
      <c r="AF1753" s="1323">
        <v>1</v>
      </c>
      <c r="AG1753" s="1323">
        <f t="shared" si="225"/>
        <v>1</v>
      </c>
      <c r="DG1753" s="543"/>
      <c r="DH1753" s="149"/>
      <c r="DI1753" s="1020"/>
      <c r="DJ1753" s="2045"/>
    </row>
    <row r="1754" spans="1:114" ht="15" customHeight="1" outlineLevel="1" x14ac:dyDescent="0.25">
      <c r="A1754" s="2145"/>
      <c r="C1754" s="49"/>
      <c r="D1754" s="2394"/>
      <c r="E1754" s="2394"/>
      <c r="F1754" s="2404" t="str">
        <f>$E$761</f>
        <v>ASHP-SEER19_ER2_SF</v>
      </c>
      <c r="G1754" s="2404"/>
      <c r="H1754" s="2404"/>
      <c r="I1754" s="2404"/>
      <c r="J1754" s="1506" t="str">
        <f>$C$761</f>
        <v>354000_2024_12_</v>
      </c>
      <c r="K1754" s="1458">
        <v>1</v>
      </c>
      <c r="L1754" s="244"/>
      <c r="M1754" s="1249"/>
      <c r="T1754" s="50"/>
      <c r="U1754" s="50"/>
      <c r="V1754" s="2394"/>
      <c r="W1754" s="223">
        <v>1</v>
      </c>
      <c r="X1754" s="223">
        <v>1</v>
      </c>
      <c r="Y1754" s="223">
        <v>1</v>
      </c>
      <c r="Z1754" s="223">
        <v>1</v>
      </c>
      <c r="AA1754" s="223">
        <v>1</v>
      </c>
      <c r="AB1754" s="223">
        <v>1</v>
      </c>
      <c r="AC1754" s="223">
        <v>1</v>
      </c>
      <c r="AD1754" s="223">
        <v>1</v>
      </c>
      <c r="AE1754" s="223">
        <v>1</v>
      </c>
      <c r="AF1754" s="1323">
        <v>1</v>
      </c>
      <c r="AG1754" s="1323">
        <f t="shared" si="225"/>
        <v>1</v>
      </c>
      <c r="DG1754" s="543"/>
      <c r="DH1754" s="149"/>
      <c r="DI1754" s="1020"/>
      <c r="DJ1754" s="2045"/>
    </row>
    <row r="1755" spans="1:114" ht="15" customHeight="1" outlineLevel="1" x14ac:dyDescent="0.25">
      <c r="A1755" s="2145"/>
      <c r="C1755" s="49"/>
      <c r="D1755" s="2394"/>
      <c r="E1755" s="2394"/>
      <c r="F1755" s="2404" t="str">
        <f>$E$763</f>
        <v>ASHP-SEER19_ROF_SF</v>
      </c>
      <c r="G1755" s="2404"/>
      <c r="H1755" s="2404"/>
      <c r="I1755" s="2404"/>
      <c r="J1755" s="1506" t="str">
        <f>$C$763</f>
        <v>354050_2024_12_</v>
      </c>
      <c r="K1755" s="1458">
        <v>1</v>
      </c>
      <c r="L1755" s="244"/>
      <c r="M1755" s="1249"/>
      <c r="P1755" s="243"/>
      <c r="Q1755" s="192"/>
      <c r="R1755" s="243"/>
      <c r="T1755" s="166"/>
      <c r="U1755" s="50"/>
      <c r="V1755" s="2394"/>
      <c r="W1755" s="223">
        <v>1</v>
      </c>
      <c r="X1755" s="223">
        <v>1</v>
      </c>
      <c r="Y1755" s="223">
        <v>1</v>
      </c>
      <c r="Z1755" s="223">
        <v>1</v>
      </c>
      <c r="AA1755" s="223">
        <v>1</v>
      </c>
      <c r="AB1755" s="223">
        <v>1</v>
      </c>
      <c r="AC1755" s="223">
        <v>1</v>
      </c>
      <c r="AD1755" s="223">
        <v>1</v>
      </c>
      <c r="AE1755" s="223">
        <v>1</v>
      </c>
      <c r="AF1755" s="1323">
        <v>1</v>
      </c>
      <c r="AG1755" s="1323">
        <f t="shared" si="225"/>
        <v>1</v>
      </c>
      <c r="DG1755" s="543"/>
      <c r="DH1755" s="149"/>
      <c r="DI1755" s="1020"/>
      <c r="DJ1755" s="2045"/>
    </row>
    <row r="1756" spans="1:114" ht="15" customHeight="1" outlineLevel="1" x14ac:dyDescent="0.25">
      <c r="A1756" s="2145"/>
      <c r="C1756" s="49"/>
      <c r="D1756" s="2394"/>
      <c r="E1756" s="2394"/>
      <c r="F1756" s="2404" t="str">
        <f>$E$765</f>
        <v>ASHP-SEER17-Replace_CAC_ElectricHeat_ER1_SF</v>
      </c>
      <c r="G1756" s="2404"/>
      <c r="H1756" s="2404"/>
      <c r="I1756" s="2404"/>
      <c r="J1756" s="1506" t="str">
        <f>$C$765</f>
        <v>354100_2024_12_</v>
      </c>
      <c r="K1756" s="1458">
        <v>1</v>
      </c>
      <c r="L1756" s="244"/>
      <c r="M1756" s="1249"/>
      <c r="P1756" s="243"/>
      <c r="Q1756" s="192"/>
      <c r="R1756" s="243"/>
      <c r="T1756" s="166"/>
      <c r="U1756" s="50"/>
      <c r="V1756" s="2394"/>
      <c r="W1756" s="223">
        <v>1</v>
      </c>
      <c r="X1756" s="223">
        <v>1</v>
      </c>
      <c r="Y1756" s="223">
        <v>1</v>
      </c>
      <c r="Z1756" s="223">
        <v>1</v>
      </c>
      <c r="AA1756" s="223">
        <v>1</v>
      </c>
      <c r="AB1756" s="223">
        <v>1</v>
      </c>
      <c r="AC1756" s="223">
        <v>1</v>
      </c>
      <c r="AD1756" s="223">
        <v>1</v>
      </c>
      <c r="AE1756" s="223">
        <v>1</v>
      </c>
      <c r="AF1756" s="1323">
        <v>1</v>
      </c>
      <c r="AG1756" s="1323">
        <f t="shared" si="225"/>
        <v>1</v>
      </c>
      <c r="DG1756" s="543"/>
      <c r="DH1756" s="149"/>
      <c r="DI1756" s="1020"/>
      <c r="DJ1756" s="2045"/>
    </row>
    <row r="1757" spans="1:114" ht="15" customHeight="1" outlineLevel="1" x14ac:dyDescent="0.25">
      <c r="A1757" s="2145"/>
      <c r="C1757" s="49"/>
      <c r="D1757" s="2394"/>
      <c r="E1757" s="2394"/>
      <c r="F1757" s="2404" t="str">
        <f>$E$767</f>
        <v>ASHP-SEER17-Replace_CAC_ElectricHeat_ER2_SF</v>
      </c>
      <c r="G1757" s="2404"/>
      <c r="H1757" s="2404"/>
      <c r="I1757" s="2404"/>
      <c r="J1757" s="1506" t="str">
        <f>$C$767</f>
        <v>354100_2024_12_</v>
      </c>
      <c r="K1757" s="1458">
        <v>1</v>
      </c>
      <c r="L1757" s="244"/>
      <c r="M1757" s="1249"/>
      <c r="P1757" s="243"/>
      <c r="Q1757" s="192"/>
      <c r="R1757" s="243"/>
      <c r="T1757" s="166"/>
      <c r="U1757" s="50"/>
      <c r="V1757" s="2394"/>
      <c r="W1757" s="223">
        <v>1</v>
      </c>
      <c r="X1757" s="223">
        <v>1</v>
      </c>
      <c r="Y1757" s="223">
        <v>1</v>
      </c>
      <c r="Z1757" s="223">
        <v>1</v>
      </c>
      <c r="AA1757" s="223">
        <v>1</v>
      </c>
      <c r="AB1757" s="223">
        <v>1</v>
      </c>
      <c r="AC1757" s="223">
        <v>1</v>
      </c>
      <c r="AD1757" s="223">
        <v>1</v>
      </c>
      <c r="AE1757" s="223">
        <v>1</v>
      </c>
      <c r="AF1757" s="1323">
        <v>1</v>
      </c>
      <c r="AG1757" s="1323">
        <f t="shared" si="225"/>
        <v>1</v>
      </c>
      <c r="DG1757" s="543"/>
      <c r="DH1757" s="149"/>
      <c r="DI1757" s="1020"/>
      <c r="DJ1757" s="2045"/>
    </row>
    <row r="1758" spans="1:114" ht="15" customHeight="1" outlineLevel="1" x14ac:dyDescent="0.25">
      <c r="A1758" s="2145"/>
      <c r="C1758" s="49"/>
      <c r="D1758" s="2394"/>
      <c r="E1758" s="2394"/>
      <c r="F1758" s="2404" t="str">
        <f>$E$769</f>
        <v>ASHP-SEER17-Replace_CAC_NonElectricHeat_ER1_SF</v>
      </c>
      <c r="G1758" s="2404"/>
      <c r="H1758" s="2404"/>
      <c r="I1758" s="2404"/>
      <c r="J1758" s="1506" t="str">
        <f>$C$769</f>
        <v>354110_2024_12_</v>
      </c>
      <c r="K1758" s="1458">
        <v>1</v>
      </c>
      <c r="L1758" s="244"/>
      <c r="M1758" s="1249"/>
      <c r="P1758" s="243"/>
      <c r="Q1758" s="192"/>
      <c r="R1758" s="243"/>
      <c r="T1758" s="166"/>
      <c r="U1758" s="50"/>
      <c r="V1758" s="2394"/>
      <c r="W1758" s="223"/>
      <c r="X1758" s="223"/>
      <c r="Y1758" s="223"/>
      <c r="Z1758" s="223"/>
      <c r="AA1758" s="223"/>
      <c r="AB1758" s="223"/>
      <c r="AC1758" s="222">
        <v>1</v>
      </c>
      <c r="AD1758" s="223">
        <v>1</v>
      </c>
      <c r="AE1758" s="223">
        <v>1</v>
      </c>
      <c r="AF1758" s="1323">
        <v>1</v>
      </c>
      <c r="AG1758" s="1323">
        <f t="shared" si="225"/>
        <v>1</v>
      </c>
      <c r="DG1758" s="543"/>
      <c r="DH1758" s="149"/>
      <c r="DI1758" s="1020"/>
      <c r="DJ1758" s="2045"/>
    </row>
    <row r="1759" spans="1:114" ht="15" customHeight="1" outlineLevel="1" x14ac:dyDescent="0.25">
      <c r="A1759" s="2145"/>
      <c r="C1759" s="49"/>
      <c r="D1759" s="2394"/>
      <c r="E1759" s="2394"/>
      <c r="F1759" s="2404" t="str">
        <f>$E$771</f>
        <v>ASHP-SEER17-Replace_CAC_NonElectricHeat_ER2_SF</v>
      </c>
      <c r="G1759" s="2404"/>
      <c r="H1759" s="2404"/>
      <c r="I1759" s="2404"/>
      <c r="J1759" s="1506" t="str">
        <f>$C$771</f>
        <v>354110_2024_12_</v>
      </c>
      <c r="K1759" s="1458">
        <v>1</v>
      </c>
      <c r="L1759" s="244"/>
      <c r="M1759" s="1249"/>
      <c r="P1759" s="243"/>
      <c r="Q1759" s="192"/>
      <c r="R1759" s="243"/>
      <c r="T1759" s="166"/>
      <c r="U1759" s="50"/>
      <c r="V1759" s="2394"/>
      <c r="W1759" s="223"/>
      <c r="X1759" s="223"/>
      <c r="Y1759" s="223"/>
      <c r="Z1759" s="223"/>
      <c r="AA1759" s="223"/>
      <c r="AB1759" s="223"/>
      <c r="AC1759" s="222">
        <v>1</v>
      </c>
      <c r="AD1759" s="223">
        <v>1</v>
      </c>
      <c r="AE1759" s="223">
        <v>1</v>
      </c>
      <c r="AF1759" s="1323">
        <v>1</v>
      </c>
      <c r="AG1759" s="1323">
        <f t="shared" si="225"/>
        <v>1</v>
      </c>
      <c r="DG1759" s="543"/>
      <c r="DH1759" s="149"/>
      <c r="DI1759" s="1020"/>
      <c r="DJ1759" s="2045"/>
    </row>
    <row r="1760" spans="1:114" ht="15.75" customHeight="1" outlineLevel="1" x14ac:dyDescent="0.25">
      <c r="A1760" s="2145"/>
      <c r="C1760" s="49"/>
      <c r="D1760" s="2394"/>
      <c r="E1760" s="2394"/>
      <c r="F1760" s="1968" t="s">
        <v>1223</v>
      </c>
      <c r="G1760" s="1969"/>
      <c r="H1760" s="1969"/>
      <c r="I1760" s="1970"/>
      <c r="J1760" s="2095" t="s">
        <v>1222</v>
      </c>
      <c r="K1760" s="2173">
        <v>1</v>
      </c>
      <c r="L1760" s="913"/>
      <c r="M1760" s="645" t="s">
        <v>1297</v>
      </c>
      <c r="T1760" s="50"/>
      <c r="U1760" s="50"/>
      <c r="V1760" s="2394"/>
      <c r="W1760" s="1268"/>
      <c r="X1760" s="1268"/>
      <c r="Y1760" s="1268"/>
      <c r="Z1760" s="1268"/>
      <c r="AA1760" s="1268"/>
      <c r="AB1760" s="1268"/>
      <c r="AC1760" s="752"/>
      <c r="AD1760" s="966"/>
      <c r="AE1760" s="909"/>
      <c r="AF1760" s="253"/>
      <c r="AG1760" s="1323">
        <f>IF(K1760&lt;&gt;"",K1760,"")</f>
        <v>1</v>
      </c>
      <c r="DG1760" s="543"/>
      <c r="DH1760" s="149"/>
      <c r="DI1760" s="1020"/>
      <c r="DJ1760" s="2045"/>
    </row>
    <row r="1761" spans="1:114" ht="15.75" customHeight="1" outlineLevel="1" x14ac:dyDescent="0.25">
      <c r="A1761" s="2145"/>
      <c r="C1761" s="49"/>
      <c r="D1761" s="2394"/>
      <c r="E1761" s="2394"/>
      <c r="F1761" s="1968" t="s">
        <v>1224</v>
      </c>
      <c r="G1761" s="1969"/>
      <c r="H1761" s="1969"/>
      <c r="I1761" s="1970"/>
      <c r="J1761" s="2095" t="s">
        <v>1222</v>
      </c>
      <c r="K1761" s="2173">
        <v>1</v>
      </c>
      <c r="L1761" s="913"/>
      <c r="M1761" s="645" t="s">
        <v>1297</v>
      </c>
      <c r="T1761" s="50"/>
      <c r="U1761" s="50"/>
      <c r="V1761" s="2394"/>
      <c r="W1761" s="1268"/>
      <c r="X1761" s="1268"/>
      <c r="Y1761" s="1268"/>
      <c r="Z1761" s="1268"/>
      <c r="AA1761" s="1268"/>
      <c r="AB1761" s="1268"/>
      <c r="AC1761" s="752"/>
      <c r="AD1761" s="966"/>
      <c r="AE1761" s="909"/>
      <c r="AF1761" s="253"/>
      <c r="AG1761" s="1323">
        <f>IF(K1761&lt;&gt;"",K1761,"")</f>
        <v>1</v>
      </c>
      <c r="DG1761" s="543"/>
      <c r="DH1761" s="149"/>
      <c r="DI1761" s="1020"/>
      <c r="DJ1761" s="2045"/>
    </row>
    <row r="1762" spans="1:114" ht="15" customHeight="1" outlineLevel="1" x14ac:dyDescent="0.25">
      <c r="A1762" s="2145"/>
      <c r="C1762" s="49"/>
      <c r="D1762" s="2394"/>
      <c r="E1762" s="2394"/>
      <c r="F1762" s="2404" t="str">
        <f>$E$777</f>
        <v>ASHP-SEER17-Replace_CAC_ElectricHeat_ER1_MF</v>
      </c>
      <c r="G1762" s="2404"/>
      <c r="H1762" s="2404"/>
      <c r="I1762" s="2404"/>
      <c r="J1762" s="1506" t="str">
        <f>$C$777</f>
        <v>354150_2024_12_</v>
      </c>
      <c r="K1762" s="1458">
        <v>0.65</v>
      </c>
      <c r="L1762" s="244"/>
      <c r="M1762" s="1249"/>
      <c r="P1762" s="243"/>
      <c r="Q1762" s="192"/>
      <c r="R1762" s="243"/>
      <c r="T1762" s="166"/>
      <c r="U1762" s="50"/>
      <c r="V1762" s="2394"/>
      <c r="W1762" s="223">
        <v>0.65</v>
      </c>
      <c r="X1762" s="223">
        <v>0.65</v>
      </c>
      <c r="Y1762" s="223">
        <v>0.65</v>
      </c>
      <c r="Z1762" s="223">
        <v>0.65</v>
      </c>
      <c r="AA1762" s="223">
        <v>0.65</v>
      </c>
      <c r="AB1762" s="223">
        <v>0.65</v>
      </c>
      <c r="AC1762" s="223">
        <v>0.65</v>
      </c>
      <c r="AD1762" s="223">
        <v>0.65</v>
      </c>
      <c r="AE1762" s="223">
        <v>0.65</v>
      </c>
      <c r="AF1762" s="1323">
        <v>0.65</v>
      </c>
      <c r="AG1762" s="1323">
        <f t="shared" si="225"/>
        <v>0.65</v>
      </c>
      <c r="DG1762" s="543"/>
      <c r="DH1762" s="149"/>
      <c r="DI1762" s="1020"/>
      <c r="DJ1762" s="2045"/>
    </row>
    <row r="1763" spans="1:114" ht="15" customHeight="1" outlineLevel="1" x14ac:dyDescent="0.25">
      <c r="A1763" s="2145"/>
      <c r="C1763" s="49"/>
      <c r="D1763" s="2394"/>
      <c r="E1763" s="2394"/>
      <c r="F1763" s="2404" t="str">
        <f>$E$779</f>
        <v>ASHP-SEER17-Replace_CAC_ElectricHeat_ER2_MF</v>
      </c>
      <c r="G1763" s="2404"/>
      <c r="H1763" s="2404"/>
      <c r="I1763" s="2404"/>
      <c r="J1763" s="1506" t="str">
        <f>$C$779</f>
        <v>354150_2024_12_</v>
      </c>
      <c r="K1763" s="1458">
        <v>0.65</v>
      </c>
      <c r="L1763" s="244"/>
      <c r="M1763" s="1249"/>
      <c r="P1763" s="243"/>
      <c r="Q1763" s="192"/>
      <c r="R1763" s="243"/>
      <c r="T1763" s="166"/>
      <c r="U1763" s="50"/>
      <c r="V1763" s="2394"/>
      <c r="W1763" s="223">
        <v>0.65</v>
      </c>
      <c r="X1763" s="223">
        <v>0.65</v>
      </c>
      <c r="Y1763" s="223">
        <v>0.65</v>
      </c>
      <c r="Z1763" s="223">
        <v>0.65</v>
      </c>
      <c r="AA1763" s="223">
        <v>0.65</v>
      </c>
      <c r="AB1763" s="223">
        <v>0.65</v>
      </c>
      <c r="AC1763" s="223">
        <v>0.65</v>
      </c>
      <c r="AD1763" s="223">
        <v>0.65</v>
      </c>
      <c r="AE1763" s="223">
        <v>0.65</v>
      </c>
      <c r="AF1763" s="1323">
        <v>0.65</v>
      </c>
      <c r="AG1763" s="1323">
        <f t="shared" si="225"/>
        <v>0.65</v>
      </c>
      <c r="DG1763" s="543"/>
      <c r="DH1763" s="149"/>
      <c r="DI1763" s="1020"/>
      <c r="DJ1763" s="2045"/>
    </row>
    <row r="1764" spans="1:114" ht="15" customHeight="1" outlineLevel="1" x14ac:dyDescent="0.25">
      <c r="A1764" s="2145"/>
      <c r="C1764" s="49"/>
      <c r="D1764" s="2394"/>
      <c r="E1764" s="2394"/>
      <c r="F1764" s="2404" t="str">
        <f>$E$781</f>
        <v>ASHP-SEER17_ER1_MF</v>
      </c>
      <c r="G1764" s="2404"/>
      <c r="H1764" s="2404"/>
      <c r="I1764" s="2404"/>
      <c r="J1764" s="1506" t="str">
        <f>$C$781</f>
        <v>354200_2024_12_</v>
      </c>
      <c r="K1764" s="1458">
        <v>0.65</v>
      </c>
      <c r="L1764" s="244"/>
      <c r="M1764" s="1249"/>
      <c r="P1764" s="243"/>
      <c r="Q1764" s="192"/>
      <c r="R1764" s="243"/>
      <c r="T1764" s="166"/>
      <c r="U1764" s="50"/>
      <c r="V1764" s="2394"/>
      <c r="W1764" s="223">
        <v>0.65</v>
      </c>
      <c r="X1764" s="223">
        <v>0.65</v>
      </c>
      <c r="Y1764" s="223">
        <v>0.65</v>
      </c>
      <c r="Z1764" s="223">
        <v>0.65</v>
      </c>
      <c r="AA1764" s="223">
        <v>0.65</v>
      </c>
      <c r="AB1764" s="223">
        <v>0.65</v>
      </c>
      <c r="AC1764" s="223">
        <v>0.65</v>
      </c>
      <c r="AD1764" s="223">
        <v>0.65</v>
      </c>
      <c r="AE1764" s="223">
        <v>0.65</v>
      </c>
      <c r="AF1764" s="1323">
        <v>0.65</v>
      </c>
      <c r="AG1764" s="1323">
        <f t="shared" si="225"/>
        <v>0.65</v>
      </c>
      <c r="DG1764" s="543"/>
      <c r="DH1764" s="149"/>
      <c r="DI1764" s="1020"/>
      <c r="DJ1764" s="2045"/>
    </row>
    <row r="1765" spans="1:114" ht="15" customHeight="1" outlineLevel="1" x14ac:dyDescent="0.25">
      <c r="A1765" s="2145"/>
      <c r="C1765" s="49"/>
      <c r="D1765" s="2394"/>
      <c r="E1765" s="2394"/>
      <c r="F1765" s="2404" t="str">
        <f>$E$783</f>
        <v>ASHP-SEER17_ER2_MF</v>
      </c>
      <c r="G1765" s="2404"/>
      <c r="H1765" s="2404"/>
      <c r="I1765" s="2404"/>
      <c r="J1765" s="1506" t="str">
        <f>$C$783</f>
        <v>354200_2024_12_</v>
      </c>
      <c r="K1765" s="1458">
        <v>0.65</v>
      </c>
      <c r="L1765" s="244"/>
      <c r="M1765" s="1249"/>
      <c r="P1765" s="243"/>
      <c r="Q1765" s="192"/>
      <c r="R1765" s="243"/>
      <c r="T1765" s="166"/>
      <c r="U1765" s="50"/>
      <c r="V1765" s="2394"/>
      <c r="W1765" s="223">
        <v>0.65</v>
      </c>
      <c r="X1765" s="223">
        <v>0.65</v>
      </c>
      <c r="Y1765" s="223">
        <v>0.65</v>
      </c>
      <c r="Z1765" s="223">
        <v>0.65</v>
      </c>
      <c r="AA1765" s="223">
        <v>0.65</v>
      </c>
      <c r="AB1765" s="223">
        <v>0.65</v>
      </c>
      <c r="AC1765" s="223">
        <v>0.65</v>
      </c>
      <c r="AD1765" s="223">
        <v>0.65</v>
      </c>
      <c r="AE1765" s="223">
        <v>0.65</v>
      </c>
      <c r="AF1765" s="1323">
        <v>0.65</v>
      </c>
      <c r="AG1765" s="1323">
        <f t="shared" si="225"/>
        <v>0.65</v>
      </c>
      <c r="DG1765" s="543"/>
      <c r="DH1765" s="149"/>
      <c r="DI1765" s="1020"/>
      <c r="DJ1765" s="2045"/>
    </row>
    <row r="1766" spans="1:114" ht="15" customHeight="1" outlineLevel="1" x14ac:dyDescent="0.25">
      <c r="A1766" s="2145"/>
      <c r="C1766" s="49"/>
      <c r="D1766" s="2394"/>
      <c r="E1766" s="2394"/>
      <c r="F1766" s="2404" t="str">
        <f>$E$785</f>
        <v>ASHP-SEER18-Replace_CAC_ElectricHeat_ER1_SF</v>
      </c>
      <c r="G1766" s="2404"/>
      <c r="H1766" s="2404"/>
      <c r="I1766" s="2404"/>
      <c r="J1766" s="1506" t="str">
        <f>$C$785</f>
        <v>354250_2024_12_</v>
      </c>
      <c r="K1766" s="1458">
        <v>1</v>
      </c>
      <c r="L1766" s="244"/>
      <c r="M1766" s="1249"/>
      <c r="P1766" s="243"/>
      <c r="Q1766" s="192"/>
      <c r="R1766" s="243"/>
      <c r="T1766" s="166"/>
      <c r="U1766" s="50"/>
      <c r="V1766" s="2394"/>
      <c r="W1766" s="223">
        <v>1</v>
      </c>
      <c r="X1766" s="223">
        <v>1</v>
      </c>
      <c r="Y1766" s="223">
        <v>1</v>
      </c>
      <c r="Z1766" s="223">
        <v>1</v>
      </c>
      <c r="AA1766" s="223">
        <v>1</v>
      </c>
      <c r="AB1766" s="223">
        <v>1</v>
      </c>
      <c r="AC1766" s="223">
        <v>1</v>
      </c>
      <c r="AD1766" s="223">
        <v>1</v>
      </c>
      <c r="AE1766" s="223">
        <v>1</v>
      </c>
      <c r="AF1766" s="1323">
        <v>1</v>
      </c>
      <c r="AG1766" s="1323">
        <f t="shared" si="225"/>
        <v>1</v>
      </c>
      <c r="DG1766" s="543"/>
      <c r="DH1766" s="149"/>
      <c r="DI1766" s="1020"/>
      <c r="DJ1766" s="2045"/>
    </row>
    <row r="1767" spans="1:114" ht="15" customHeight="1" outlineLevel="1" x14ac:dyDescent="0.25">
      <c r="A1767" s="2145"/>
      <c r="C1767" s="49"/>
      <c r="D1767" s="2394"/>
      <c r="E1767" s="2394"/>
      <c r="F1767" s="2404" t="str">
        <f>$E$787</f>
        <v>ASHP-SEER18-Replace_CAC_ElectricHeat_ER2_SF</v>
      </c>
      <c r="G1767" s="2404"/>
      <c r="H1767" s="2404"/>
      <c r="I1767" s="2404"/>
      <c r="J1767" s="1506" t="str">
        <f>$C$787</f>
        <v>354250_2024_12_</v>
      </c>
      <c r="K1767" s="1458">
        <v>1</v>
      </c>
      <c r="L1767" s="244"/>
      <c r="M1767" s="1249"/>
      <c r="P1767" s="243"/>
      <c r="Q1767" s="192"/>
      <c r="R1767" s="243"/>
      <c r="T1767" s="166"/>
      <c r="U1767" s="50"/>
      <c r="V1767" s="2394"/>
      <c r="W1767" s="223">
        <v>1</v>
      </c>
      <c r="X1767" s="223">
        <v>1</v>
      </c>
      <c r="Y1767" s="223">
        <v>1</v>
      </c>
      <c r="Z1767" s="223">
        <v>1</v>
      </c>
      <c r="AA1767" s="223">
        <v>1</v>
      </c>
      <c r="AB1767" s="223">
        <v>1</v>
      </c>
      <c r="AC1767" s="223">
        <v>1</v>
      </c>
      <c r="AD1767" s="223">
        <v>1</v>
      </c>
      <c r="AE1767" s="223">
        <v>1</v>
      </c>
      <c r="AF1767" s="1323">
        <v>1</v>
      </c>
      <c r="AG1767" s="1323">
        <f t="shared" si="225"/>
        <v>1</v>
      </c>
      <c r="DG1767" s="543"/>
      <c r="DH1767" s="149"/>
      <c r="DI1767" s="1020"/>
      <c r="DJ1767" s="2045"/>
    </row>
    <row r="1768" spans="1:114" ht="15" customHeight="1" outlineLevel="1" x14ac:dyDescent="0.25">
      <c r="A1768" s="2145"/>
      <c r="C1768" s="49"/>
      <c r="D1768" s="2394"/>
      <c r="E1768" s="2394"/>
      <c r="F1768" s="2404" t="str">
        <f>$E$789</f>
        <v>ASHP-SEER18-Replace_CAC_NonElectricHeat_ER1_SF</v>
      </c>
      <c r="G1768" s="2404"/>
      <c r="H1768" s="2404"/>
      <c r="I1768" s="2404"/>
      <c r="J1768" s="1506" t="str">
        <f>$C$789</f>
        <v>354260_2024_12_</v>
      </c>
      <c r="K1768" s="1458">
        <v>1</v>
      </c>
      <c r="L1768" s="244"/>
      <c r="M1768" s="1249"/>
      <c r="P1768" s="243"/>
      <c r="Q1768" s="192"/>
      <c r="R1768" s="243"/>
      <c r="T1768" s="166"/>
      <c r="U1768" s="50"/>
      <c r="V1768" s="2394"/>
      <c r="W1768" s="223"/>
      <c r="X1768" s="223"/>
      <c r="Y1768" s="223"/>
      <c r="Z1768" s="223"/>
      <c r="AA1768" s="223"/>
      <c r="AB1768" s="223"/>
      <c r="AC1768" s="222">
        <v>1</v>
      </c>
      <c r="AD1768" s="223">
        <v>1</v>
      </c>
      <c r="AE1768" s="223">
        <v>1</v>
      </c>
      <c r="AF1768" s="1323">
        <v>1</v>
      </c>
      <c r="AG1768" s="1323">
        <f t="shared" si="225"/>
        <v>1</v>
      </c>
      <c r="DG1768" s="543"/>
      <c r="DH1768" s="149"/>
      <c r="DI1768" s="1020"/>
      <c r="DJ1768" s="2045"/>
    </row>
    <row r="1769" spans="1:114" ht="15" customHeight="1" outlineLevel="1" x14ac:dyDescent="0.25">
      <c r="A1769" s="2145"/>
      <c r="C1769" s="49"/>
      <c r="D1769" s="2394"/>
      <c r="E1769" s="2394"/>
      <c r="F1769" s="2404" t="str">
        <f>$E$791</f>
        <v>ASHP-SEER18-Replace_CAC_NonElectricHeat_ER2_SF</v>
      </c>
      <c r="G1769" s="2404"/>
      <c r="H1769" s="2404"/>
      <c r="I1769" s="2404"/>
      <c r="J1769" s="1506" t="str">
        <f>$C$791</f>
        <v>354260_2024_12_</v>
      </c>
      <c r="K1769" s="1458">
        <v>1</v>
      </c>
      <c r="L1769" s="244"/>
      <c r="M1769" s="1249"/>
      <c r="P1769" s="243"/>
      <c r="Q1769" s="192"/>
      <c r="R1769" s="243"/>
      <c r="T1769" s="166"/>
      <c r="U1769" s="50"/>
      <c r="V1769" s="2394"/>
      <c r="W1769" s="223"/>
      <c r="X1769" s="223"/>
      <c r="Y1769" s="223"/>
      <c r="Z1769" s="223"/>
      <c r="AA1769" s="223"/>
      <c r="AB1769" s="223"/>
      <c r="AC1769" s="222">
        <v>1</v>
      </c>
      <c r="AD1769" s="223">
        <v>1</v>
      </c>
      <c r="AE1769" s="223">
        <v>1</v>
      </c>
      <c r="AF1769" s="1323">
        <v>1</v>
      </c>
      <c r="AG1769" s="1323">
        <f t="shared" si="225"/>
        <v>1</v>
      </c>
      <c r="DG1769" s="543"/>
      <c r="DH1769" s="149"/>
      <c r="DI1769" s="1020"/>
      <c r="DJ1769" s="2045"/>
    </row>
    <row r="1770" spans="1:114" ht="15" customHeight="1" outlineLevel="1" x14ac:dyDescent="0.25">
      <c r="A1770" s="2145"/>
      <c r="C1770" s="49"/>
      <c r="D1770" s="2394"/>
      <c r="E1770" s="2394"/>
      <c r="F1770" s="2404" t="str">
        <f>$E$793</f>
        <v>ASHP-SEER18-Replace_CAC_ElectricHeat_ER1_MF</v>
      </c>
      <c r="G1770" s="2404"/>
      <c r="H1770" s="2404"/>
      <c r="I1770" s="2404"/>
      <c r="J1770" s="1506" t="str">
        <f>$C$793</f>
        <v>354300_2024_12_</v>
      </c>
      <c r="K1770" s="1458">
        <v>1</v>
      </c>
      <c r="L1770" s="244"/>
      <c r="M1770" s="1249"/>
      <c r="P1770" s="243"/>
      <c r="Q1770" s="192"/>
      <c r="R1770" s="243"/>
      <c r="T1770" s="166"/>
      <c r="U1770" s="50"/>
      <c r="V1770" s="2394"/>
      <c r="W1770" s="223">
        <v>0.65</v>
      </c>
      <c r="X1770" s="223">
        <v>0.65</v>
      </c>
      <c r="Y1770" s="223">
        <v>0.65</v>
      </c>
      <c r="Z1770" s="223">
        <v>0.65</v>
      </c>
      <c r="AA1770" s="223">
        <v>0.65</v>
      </c>
      <c r="AB1770" s="223">
        <v>0.65</v>
      </c>
      <c r="AC1770" s="223">
        <v>0.65</v>
      </c>
      <c r="AD1770" s="222">
        <v>1</v>
      </c>
      <c r="AE1770" s="223">
        <v>1</v>
      </c>
      <c r="AF1770" s="1323">
        <v>1</v>
      </c>
      <c r="AG1770" s="1323">
        <f t="shared" si="225"/>
        <v>1</v>
      </c>
      <c r="DG1770" s="543"/>
      <c r="DH1770" s="149"/>
      <c r="DI1770" s="1020"/>
      <c r="DJ1770" s="2045"/>
    </row>
    <row r="1771" spans="1:114" ht="15" customHeight="1" outlineLevel="1" x14ac:dyDescent="0.25">
      <c r="A1771" s="2145"/>
      <c r="C1771" s="49"/>
      <c r="D1771" s="2394"/>
      <c r="E1771" s="2394"/>
      <c r="F1771" s="2404" t="str">
        <f>$E$795</f>
        <v>ASHP-SEER18-Replace_CAC_ElectricHeat_ER2_MF</v>
      </c>
      <c r="G1771" s="2404"/>
      <c r="H1771" s="2404"/>
      <c r="I1771" s="2404"/>
      <c r="J1771" s="1506" t="str">
        <f>$C$795</f>
        <v>354300_2024_12_</v>
      </c>
      <c r="K1771" s="1458">
        <v>1</v>
      </c>
      <c r="L1771" s="244"/>
      <c r="M1771" s="1249"/>
      <c r="P1771" s="243"/>
      <c r="Q1771" s="192"/>
      <c r="R1771" s="243"/>
      <c r="T1771" s="166"/>
      <c r="U1771" s="50"/>
      <c r="V1771" s="2394"/>
      <c r="W1771" s="223">
        <v>0.65</v>
      </c>
      <c r="X1771" s="223">
        <v>0.65</v>
      </c>
      <c r="Y1771" s="223">
        <v>0.65</v>
      </c>
      <c r="Z1771" s="223">
        <v>0.65</v>
      </c>
      <c r="AA1771" s="223">
        <v>0.65</v>
      </c>
      <c r="AB1771" s="223">
        <v>0.65</v>
      </c>
      <c r="AC1771" s="223">
        <v>0.65</v>
      </c>
      <c r="AD1771" s="222">
        <v>1</v>
      </c>
      <c r="AE1771" s="223">
        <v>1</v>
      </c>
      <c r="AF1771" s="1323">
        <v>1</v>
      </c>
      <c r="AG1771" s="1323">
        <f t="shared" si="225"/>
        <v>1</v>
      </c>
      <c r="DG1771" s="543"/>
      <c r="DH1771" s="149"/>
      <c r="DI1771" s="1020"/>
      <c r="DJ1771" s="2045"/>
    </row>
    <row r="1772" spans="1:114" ht="15" customHeight="1" outlineLevel="1" x14ac:dyDescent="0.25">
      <c r="A1772" s="2145"/>
      <c r="C1772" s="49"/>
      <c r="D1772" s="2394"/>
      <c r="E1772" s="2394"/>
      <c r="F1772" s="2404" t="str">
        <f>$E$797</f>
        <v>ASHP-SEER18_ER1_MF</v>
      </c>
      <c r="G1772" s="2404"/>
      <c r="H1772" s="2404"/>
      <c r="I1772" s="2404"/>
      <c r="J1772" s="1506" t="str">
        <f>$C$797</f>
        <v>354350_2024_12_</v>
      </c>
      <c r="K1772" s="1458">
        <v>1</v>
      </c>
      <c r="L1772" s="244"/>
      <c r="M1772" s="1249"/>
      <c r="P1772" s="243"/>
      <c r="Q1772" s="192"/>
      <c r="R1772" s="243"/>
      <c r="T1772" s="166"/>
      <c r="U1772" s="50"/>
      <c r="V1772" s="2394"/>
      <c r="W1772" s="223">
        <v>0.65</v>
      </c>
      <c r="X1772" s="223">
        <v>0.65</v>
      </c>
      <c r="Y1772" s="223">
        <v>0.65</v>
      </c>
      <c r="Z1772" s="223">
        <v>0.65</v>
      </c>
      <c r="AA1772" s="223">
        <v>0.65</v>
      </c>
      <c r="AB1772" s="223">
        <v>0.65</v>
      </c>
      <c r="AC1772" s="223">
        <v>0.65</v>
      </c>
      <c r="AD1772" s="222">
        <v>1</v>
      </c>
      <c r="AE1772" s="223">
        <v>1</v>
      </c>
      <c r="AF1772" s="1323">
        <v>1</v>
      </c>
      <c r="AG1772" s="1323">
        <f t="shared" si="225"/>
        <v>1</v>
      </c>
      <c r="DG1772" s="543"/>
      <c r="DH1772" s="149"/>
      <c r="DI1772" s="1020"/>
      <c r="DJ1772" s="2045"/>
    </row>
    <row r="1773" spans="1:114" ht="15" customHeight="1" outlineLevel="1" x14ac:dyDescent="0.25">
      <c r="A1773" s="2145"/>
      <c r="C1773" s="49"/>
      <c r="D1773" s="2394"/>
      <c r="E1773" s="2394"/>
      <c r="F1773" s="2404" t="str">
        <f>$E$799</f>
        <v>ASHP-SEER18_ER2_MF</v>
      </c>
      <c r="G1773" s="2404"/>
      <c r="H1773" s="2404"/>
      <c r="I1773" s="2404"/>
      <c r="J1773" s="1506" t="str">
        <f>$C$799</f>
        <v>354350_2024_12_</v>
      </c>
      <c r="K1773" s="1458">
        <v>1</v>
      </c>
      <c r="L1773" s="244"/>
      <c r="M1773" s="1249"/>
      <c r="P1773" s="243"/>
      <c r="Q1773" s="192"/>
      <c r="R1773" s="243"/>
      <c r="T1773" s="166"/>
      <c r="U1773" s="50"/>
      <c r="V1773" s="2394"/>
      <c r="W1773" s="223">
        <v>0.65</v>
      </c>
      <c r="X1773" s="223">
        <v>0.65</v>
      </c>
      <c r="Y1773" s="223">
        <v>0.65</v>
      </c>
      <c r="Z1773" s="223">
        <v>0.65</v>
      </c>
      <c r="AA1773" s="223">
        <v>0.65</v>
      </c>
      <c r="AB1773" s="223">
        <v>0.65</v>
      </c>
      <c r="AC1773" s="223">
        <v>0.65</v>
      </c>
      <c r="AD1773" s="222">
        <v>1</v>
      </c>
      <c r="AE1773" s="223">
        <v>1</v>
      </c>
      <c r="AF1773" s="1323">
        <v>1</v>
      </c>
      <c r="AG1773" s="1323">
        <f t="shared" si="225"/>
        <v>1</v>
      </c>
      <c r="DG1773" s="543"/>
      <c r="DH1773" s="149"/>
      <c r="DI1773" s="1020"/>
      <c r="DJ1773" s="2045"/>
    </row>
    <row r="1774" spans="1:114" ht="15" customHeight="1" outlineLevel="1" x14ac:dyDescent="0.25">
      <c r="A1774" s="2145"/>
      <c r="C1774" s="49"/>
      <c r="D1774" s="2394"/>
      <c r="E1774" s="2394"/>
      <c r="F1774" s="2404" t="str">
        <f>$E$801</f>
        <v>ASHP-SEER19-Replace_CAC_ElectricHeat_ER1_SF</v>
      </c>
      <c r="G1774" s="2404"/>
      <c r="H1774" s="2404"/>
      <c r="I1774" s="2404"/>
      <c r="J1774" s="1506" t="str">
        <f>$C$801</f>
        <v>354400_2024_12_</v>
      </c>
      <c r="K1774" s="1458">
        <v>1</v>
      </c>
      <c r="L1774" s="244"/>
      <c r="M1774" s="1249"/>
      <c r="P1774" s="243"/>
      <c r="Q1774" s="192"/>
      <c r="R1774" s="243"/>
      <c r="T1774" s="166"/>
      <c r="U1774" s="50"/>
      <c r="V1774" s="2394"/>
      <c r="W1774" s="223">
        <v>1</v>
      </c>
      <c r="X1774" s="223">
        <v>1</v>
      </c>
      <c r="Y1774" s="223">
        <v>1</v>
      </c>
      <c r="Z1774" s="223">
        <v>1</v>
      </c>
      <c r="AA1774" s="223">
        <v>1</v>
      </c>
      <c r="AB1774" s="223">
        <v>1</v>
      </c>
      <c r="AC1774" s="223">
        <v>1</v>
      </c>
      <c r="AD1774" s="223">
        <v>1</v>
      </c>
      <c r="AE1774" s="223">
        <v>1</v>
      </c>
      <c r="AF1774" s="1323">
        <v>1</v>
      </c>
      <c r="AG1774" s="1323">
        <f t="shared" si="225"/>
        <v>1</v>
      </c>
      <c r="DG1774" s="543"/>
      <c r="DH1774" s="149"/>
      <c r="DI1774" s="1020"/>
      <c r="DJ1774" s="2045"/>
    </row>
    <row r="1775" spans="1:114" ht="15" customHeight="1" outlineLevel="1" x14ac:dyDescent="0.25">
      <c r="A1775" s="2145"/>
      <c r="C1775" s="49"/>
      <c r="D1775" s="2394"/>
      <c r="E1775" s="2394"/>
      <c r="F1775" s="2404" t="str">
        <f>$E$803</f>
        <v>ASHP-SEER19-Replace_CAC_ElectricHeat_ER2_SF</v>
      </c>
      <c r="G1775" s="2404"/>
      <c r="H1775" s="2404"/>
      <c r="I1775" s="2404"/>
      <c r="J1775" s="1506" t="str">
        <f>$C$803</f>
        <v>354400_2024_12_</v>
      </c>
      <c r="K1775" s="1458">
        <v>1</v>
      </c>
      <c r="L1775" s="244"/>
      <c r="M1775" s="1249"/>
      <c r="P1775" s="243"/>
      <c r="Q1775" s="192"/>
      <c r="R1775" s="243"/>
      <c r="T1775" s="166"/>
      <c r="U1775" s="50"/>
      <c r="V1775" s="2394"/>
      <c r="W1775" s="223">
        <v>1</v>
      </c>
      <c r="X1775" s="223">
        <v>1</v>
      </c>
      <c r="Y1775" s="223">
        <v>1</v>
      </c>
      <c r="Z1775" s="223">
        <v>1</v>
      </c>
      <c r="AA1775" s="223">
        <v>1</v>
      </c>
      <c r="AB1775" s="223">
        <v>1</v>
      </c>
      <c r="AC1775" s="223">
        <v>1</v>
      </c>
      <c r="AD1775" s="223">
        <v>1</v>
      </c>
      <c r="AE1775" s="223">
        <v>1</v>
      </c>
      <c r="AF1775" s="1323">
        <v>1</v>
      </c>
      <c r="AG1775" s="1323">
        <f t="shared" si="225"/>
        <v>1</v>
      </c>
      <c r="DG1775" s="543"/>
      <c r="DH1775" s="149"/>
      <c r="DI1775" s="1020"/>
      <c r="DJ1775" s="2045"/>
    </row>
    <row r="1776" spans="1:114" ht="15" customHeight="1" outlineLevel="1" x14ac:dyDescent="0.25">
      <c r="A1776" s="2145"/>
      <c r="C1776" s="49"/>
      <c r="D1776" s="2394"/>
      <c r="E1776" s="2394"/>
      <c r="F1776" s="2404" t="str">
        <f>$E$805</f>
        <v>ASHP-SEER19-Replace_CAC_NonElectricHeat_ER1_SF</v>
      </c>
      <c r="G1776" s="2404"/>
      <c r="H1776" s="2404"/>
      <c r="I1776" s="2404"/>
      <c r="J1776" s="1506" t="str">
        <f>$C$805</f>
        <v>354410_2024_12_</v>
      </c>
      <c r="K1776" s="1458">
        <v>1</v>
      </c>
      <c r="L1776" s="244"/>
      <c r="M1776" s="1249"/>
      <c r="P1776" s="243"/>
      <c r="Q1776" s="192"/>
      <c r="R1776" s="243"/>
      <c r="T1776" s="166"/>
      <c r="U1776" s="50"/>
      <c r="V1776" s="2394"/>
      <c r="W1776" s="223"/>
      <c r="X1776" s="223"/>
      <c r="Y1776" s="223"/>
      <c r="Z1776" s="223"/>
      <c r="AA1776" s="223"/>
      <c r="AB1776" s="223"/>
      <c r="AC1776" s="222">
        <v>1</v>
      </c>
      <c r="AD1776" s="223">
        <v>1</v>
      </c>
      <c r="AE1776" s="223">
        <v>1</v>
      </c>
      <c r="AF1776" s="1323">
        <v>1</v>
      </c>
      <c r="AG1776" s="1323">
        <f t="shared" si="225"/>
        <v>1</v>
      </c>
      <c r="DG1776" s="543"/>
      <c r="DH1776" s="149"/>
      <c r="DI1776" s="1020"/>
      <c r="DJ1776" s="2045"/>
    </row>
    <row r="1777" spans="1:114" ht="15" customHeight="1" outlineLevel="1" x14ac:dyDescent="0.25">
      <c r="A1777" s="2145"/>
      <c r="C1777" s="49"/>
      <c r="D1777" s="2394"/>
      <c r="E1777" s="2394"/>
      <c r="F1777" s="2404" t="str">
        <f>$E$807</f>
        <v>ASHP-SEER19-Replace_CAC_NonElectricHeat_ER2_SF</v>
      </c>
      <c r="G1777" s="2404"/>
      <c r="H1777" s="2404"/>
      <c r="I1777" s="2404"/>
      <c r="J1777" s="1506" t="str">
        <f>$C$807</f>
        <v>354410_2024_12_</v>
      </c>
      <c r="K1777" s="1458">
        <v>1</v>
      </c>
      <c r="L1777" s="244"/>
      <c r="M1777" s="1249"/>
      <c r="P1777" s="243"/>
      <c r="Q1777" s="192"/>
      <c r="R1777" s="243"/>
      <c r="T1777" s="166"/>
      <c r="U1777" s="50"/>
      <c r="V1777" s="2394"/>
      <c r="W1777" s="223"/>
      <c r="X1777" s="223"/>
      <c r="Y1777" s="223"/>
      <c r="Z1777" s="223"/>
      <c r="AA1777" s="223"/>
      <c r="AB1777" s="223"/>
      <c r="AC1777" s="222">
        <v>1</v>
      </c>
      <c r="AD1777" s="223">
        <v>1</v>
      </c>
      <c r="AE1777" s="223">
        <v>1</v>
      </c>
      <c r="AF1777" s="1323">
        <v>1</v>
      </c>
      <c r="AG1777" s="1323">
        <f t="shared" si="225"/>
        <v>1</v>
      </c>
      <c r="DG1777" s="543"/>
      <c r="DH1777" s="149"/>
      <c r="DI1777" s="1020"/>
      <c r="DJ1777" s="2045"/>
    </row>
    <row r="1778" spans="1:114" ht="15" customHeight="1" outlineLevel="1" x14ac:dyDescent="0.25">
      <c r="A1778" s="2145"/>
      <c r="C1778" s="49"/>
      <c r="D1778" s="2394"/>
      <c r="E1778" s="2394"/>
      <c r="F1778" s="2404" t="str">
        <f>$E$809</f>
        <v>ASHP-SEER19-Replace_CAC_ElectricHeat_ER1_MF</v>
      </c>
      <c r="G1778" s="2404"/>
      <c r="H1778" s="2404"/>
      <c r="I1778" s="2404"/>
      <c r="J1778" s="1506" t="str">
        <f>$C$809</f>
        <v>354450_2024_12_</v>
      </c>
      <c r="K1778" s="1458">
        <v>0.65</v>
      </c>
      <c r="L1778" s="244"/>
      <c r="M1778" s="1249"/>
      <c r="P1778" s="243"/>
      <c r="Q1778" s="192"/>
      <c r="R1778" s="243"/>
      <c r="T1778" s="166"/>
      <c r="U1778" s="50"/>
      <c r="V1778" s="2394"/>
      <c r="W1778" s="223">
        <v>0.65</v>
      </c>
      <c r="X1778" s="223">
        <v>0.65</v>
      </c>
      <c r="Y1778" s="223">
        <v>0.65</v>
      </c>
      <c r="Z1778" s="223">
        <v>0.65</v>
      </c>
      <c r="AA1778" s="223">
        <v>0.65</v>
      </c>
      <c r="AB1778" s="223">
        <v>0.65</v>
      </c>
      <c r="AC1778" s="223">
        <v>0.65</v>
      </c>
      <c r="AD1778" s="223">
        <v>0.65</v>
      </c>
      <c r="AE1778" s="223">
        <v>0.65</v>
      </c>
      <c r="AF1778" s="1323">
        <v>0.65</v>
      </c>
      <c r="AG1778" s="1323">
        <f t="shared" si="225"/>
        <v>0.65</v>
      </c>
      <c r="DG1778" s="543"/>
      <c r="DH1778" s="149"/>
      <c r="DI1778" s="1020"/>
      <c r="DJ1778" s="2045"/>
    </row>
    <row r="1779" spans="1:114" ht="15" customHeight="1" outlineLevel="1" x14ac:dyDescent="0.25">
      <c r="A1779" s="2145"/>
      <c r="C1779" s="49"/>
      <c r="D1779" s="2394"/>
      <c r="E1779" s="2394"/>
      <c r="F1779" s="2404" t="str">
        <f>$E$811</f>
        <v>ASHP-SEER19-Replace_CAC_ElectricHeat_ER2_MF</v>
      </c>
      <c r="G1779" s="2404"/>
      <c r="H1779" s="2404"/>
      <c r="I1779" s="2404"/>
      <c r="J1779" s="1506" t="str">
        <f>$C$811</f>
        <v>354450_2024_12_</v>
      </c>
      <c r="K1779" s="1458">
        <v>0.65</v>
      </c>
      <c r="L1779" s="244"/>
      <c r="M1779" s="1249"/>
      <c r="P1779" s="243"/>
      <c r="Q1779" s="192"/>
      <c r="R1779" s="243"/>
      <c r="T1779" s="166"/>
      <c r="U1779" s="50"/>
      <c r="V1779" s="2394"/>
      <c r="W1779" s="223">
        <v>0.65</v>
      </c>
      <c r="X1779" s="223">
        <v>0.65</v>
      </c>
      <c r="Y1779" s="223">
        <v>0.65</v>
      </c>
      <c r="Z1779" s="223">
        <v>0.65</v>
      </c>
      <c r="AA1779" s="223">
        <v>0.65</v>
      </c>
      <c r="AB1779" s="223">
        <v>0.65</v>
      </c>
      <c r="AC1779" s="223">
        <v>0.65</v>
      </c>
      <c r="AD1779" s="223">
        <v>0.65</v>
      </c>
      <c r="AE1779" s="223">
        <v>0.65</v>
      </c>
      <c r="AF1779" s="1323">
        <v>0.65</v>
      </c>
      <c r="AG1779" s="1323">
        <f t="shared" si="225"/>
        <v>0.65</v>
      </c>
      <c r="DG1779" s="543"/>
      <c r="DH1779" s="149"/>
      <c r="DI1779" s="1020"/>
      <c r="DJ1779" s="2045"/>
    </row>
    <row r="1780" spans="1:114" ht="15" customHeight="1" outlineLevel="1" x14ac:dyDescent="0.25">
      <c r="A1780" s="2145"/>
      <c r="C1780" s="49"/>
      <c r="D1780" s="2394"/>
      <c r="E1780" s="2394"/>
      <c r="F1780" s="2404" t="str">
        <f>$E$813</f>
        <v>ASHP-SEER19_ER1_MF</v>
      </c>
      <c r="G1780" s="2404"/>
      <c r="H1780" s="2404"/>
      <c r="I1780" s="2404"/>
      <c r="J1780" s="1506" t="str">
        <f>$C$813</f>
        <v>354500_2024_12_</v>
      </c>
      <c r="K1780" s="1458">
        <v>0.65</v>
      </c>
      <c r="L1780" s="244"/>
      <c r="M1780" s="1249"/>
      <c r="P1780" s="243"/>
      <c r="Q1780" s="192"/>
      <c r="R1780" s="243"/>
      <c r="T1780" s="166"/>
      <c r="U1780" s="50"/>
      <c r="V1780" s="2394"/>
      <c r="W1780" s="223">
        <v>0.65</v>
      </c>
      <c r="X1780" s="223">
        <v>0.65</v>
      </c>
      <c r="Y1780" s="223">
        <v>0.65</v>
      </c>
      <c r="Z1780" s="223">
        <v>0.65</v>
      </c>
      <c r="AA1780" s="223">
        <v>0.65</v>
      </c>
      <c r="AB1780" s="223">
        <v>0.65</v>
      </c>
      <c r="AC1780" s="223">
        <v>0.65</v>
      </c>
      <c r="AD1780" s="223">
        <v>0.65</v>
      </c>
      <c r="AE1780" s="223">
        <v>0.65</v>
      </c>
      <c r="AF1780" s="1323">
        <v>0.65</v>
      </c>
      <c r="AG1780" s="1323">
        <f t="shared" si="225"/>
        <v>0.65</v>
      </c>
      <c r="DG1780" s="543"/>
      <c r="DH1780" s="149"/>
      <c r="DI1780" s="1020"/>
      <c r="DJ1780" s="2045"/>
    </row>
    <row r="1781" spans="1:114" ht="15" customHeight="1" outlineLevel="1" x14ac:dyDescent="0.25">
      <c r="A1781" s="2145"/>
      <c r="C1781" s="49"/>
      <c r="D1781" s="2394"/>
      <c r="E1781" s="2394"/>
      <c r="F1781" s="2404" t="str">
        <f>$E$815</f>
        <v>ASHP-SEER19_ER2_MF</v>
      </c>
      <c r="G1781" s="2404"/>
      <c r="H1781" s="2404"/>
      <c r="I1781" s="2404"/>
      <c r="J1781" s="1506" t="str">
        <f>$C$815</f>
        <v>354500_2024_12_</v>
      </c>
      <c r="K1781" s="1458">
        <v>0.65</v>
      </c>
      <c r="L1781" s="244"/>
      <c r="M1781" s="1249"/>
      <c r="P1781" s="243"/>
      <c r="Q1781" s="192"/>
      <c r="R1781" s="243"/>
      <c r="T1781" s="166"/>
      <c r="U1781" s="50"/>
      <c r="V1781" s="2394"/>
      <c r="W1781" s="223">
        <v>0.65</v>
      </c>
      <c r="X1781" s="223">
        <v>0.65</v>
      </c>
      <c r="Y1781" s="223">
        <v>0.65</v>
      </c>
      <c r="Z1781" s="223">
        <v>0.65</v>
      </c>
      <c r="AA1781" s="223">
        <v>0.65</v>
      </c>
      <c r="AB1781" s="223">
        <v>0.65</v>
      </c>
      <c r="AC1781" s="223">
        <v>0.65</v>
      </c>
      <c r="AD1781" s="223">
        <v>0.65</v>
      </c>
      <c r="AE1781" s="223">
        <v>0.65</v>
      </c>
      <c r="AF1781" s="1323">
        <v>0.65</v>
      </c>
      <c r="AG1781" s="1323">
        <f t="shared" si="225"/>
        <v>0.65</v>
      </c>
      <c r="DG1781" s="543"/>
      <c r="DH1781" s="149"/>
      <c r="DI1781" s="1020"/>
      <c r="DJ1781" s="2045"/>
    </row>
    <row r="1782" spans="1:114" ht="15" customHeight="1" outlineLevel="1" x14ac:dyDescent="0.25">
      <c r="A1782" s="2145"/>
      <c r="C1782" s="49"/>
      <c r="D1782" s="2394"/>
      <c r="E1782" s="2394"/>
      <c r="F1782" s="2404" t="str">
        <f>$E$817</f>
        <v>ASHP-SEER20_ER1_SF</v>
      </c>
      <c r="G1782" s="2404"/>
      <c r="H1782" s="2404"/>
      <c r="I1782" s="2404"/>
      <c r="J1782" s="1506" t="str">
        <f>$C$817</f>
        <v>354550_2024_12_</v>
      </c>
      <c r="K1782" s="1458">
        <v>1</v>
      </c>
      <c r="L1782" s="244"/>
      <c r="M1782" s="1249"/>
      <c r="P1782" s="243"/>
      <c r="Q1782" s="192"/>
      <c r="R1782" s="243"/>
      <c r="T1782" s="166"/>
      <c r="U1782" s="50"/>
      <c r="V1782" s="2394"/>
      <c r="W1782" s="223">
        <v>1</v>
      </c>
      <c r="X1782" s="223">
        <v>1</v>
      </c>
      <c r="Y1782" s="223">
        <v>1</v>
      </c>
      <c r="Z1782" s="223">
        <v>1</v>
      </c>
      <c r="AA1782" s="223">
        <v>1</v>
      </c>
      <c r="AB1782" s="223">
        <v>1</v>
      </c>
      <c r="AC1782" s="223">
        <v>1</v>
      </c>
      <c r="AD1782" s="223">
        <v>1</v>
      </c>
      <c r="AE1782" s="223">
        <v>1</v>
      </c>
      <c r="AF1782" s="1323">
        <v>1</v>
      </c>
      <c r="AG1782" s="1323">
        <f t="shared" si="225"/>
        <v>1</v>
      </c>
      <c r="DG1782" s="543"/>
      <c r="DH1782" s="149"/>
      <c r="DI1782" s="1020"/>
      <c r="DJ1782" s="2045"/>
    </row>
    <row r="1783" spans="1:114" ht="15" customHeight="1" outlineLevel="1" x14ac:dyDescent="0.25">
      <c r="A1783" s="2145"/>
      <c r="C1783" s="49"/>
      <c r="D1783" s="2394"/>
      <c r="E1783" s="2394"/>
      <c r="F1783" s="2404" t="str">
        <f>$E$819</f>
        <v>ASHP-SEER20_ER2_SF</v>
      </c>
      <c r="G1783" s="2404"/>
      <c r="H1783" s="2404"/>
      <c r="I1783" s="2404"/>
      <c r="J1783" s="1506" t="str">
        <f>$C$819</f>
        <v>354550_2024_12_</v>
      </c>
      <c r="K1783" s="1458">
        <v>1</v>
      </c>
      <c r="L1783" s="244"/>
      <c r="M1783" s="1249"/>
      <c r="P1783" s="243"/>
      <c r="Q1783" s="192"/>
      <c r="R1783" s="243"/>
      <c r="T1783" s="166"/>
      <c r="U1783" s="50"/>
      <c r="V1783" s="2394"/>
      <c r="W1783" s="223">
        <v>1</v>
      </c>
      <c r="X1783" s="223">
        <v>1</v>
      </c>
      <c r="Y1783" s="223">
        <v>1</v>
      </c>
      <c r="Z1783" s="223">
        <v>1</v>
      </c>
      <c r="AA1783" s="223">
        <v>1</v>
      </c>
      <c r="AB1783" s="223">
        <v>1</v>
      </c>
      <c r="AC1783" s="223">
        <v>1</v>
      </c>
      <c r="AD1783" s="223">
        <v>1</v>
      </c>
      <c r="AE1783" s="223">
        <v>1</v>
      </c>
      <c r="AF1783" s="1323">
        <v>1</v>
      </c>
      <c r="AG1783" s="1323">
        <f t="shared" ref="AG1783:AG1845" si="226">IF(K1783&lt;&gt;"",K1783,"")</f>
        <v>1</v>
      </c>
      <c r="DG1783" s="543"/>
      <c r="DH1783" s="149"/>
      <c r="DI1783" s="1020"/>
      <c r="DJ1783" s="2045"/>
    </row>
    <row r="1784" spans="1:114" ht="15" customHeight="1" outlineLevel="1" x14ac:dyDescent="0.25">
      <c r="A1784" s="2145"/>
      <c r="C1784" s="49"/>
      <c r="D1784" s="2394"/>
      <c r="E1784" s="2394"/>
      <c r="F1784" s="2404" t="str">
        <f>$E$821</f>
        <v>ASHP-SEER20_ROF_SF</v>
      </c>
      <c r="G1784" s="2404"/>
      <c r="H1784" s="2404"/>
      <c r="I1784" s="2404"/>
      <c r="J1784" s="1506" t="str">
        <f>$C$821</f>
        <v>354600_2024_12_</v>
      </c>
      <c r="K1784" s="1458">
        <v>1</v>
      </c>
      <c r="L1784" s="244"/>
      <c r="M1784" s="1249"/>
      <c r="P1784" s="243"/>
      <c r="Q1784" s="192"/>
      <c r="R1784" s="243"/>
      <c r="T1784" s="166"/>
      <c r="U1784" s="50"/>
      <c r="V1784" s="2394"/>
      <c r="W1784" s="223">
        <v>1</v>
      </c>
      <c r="X1784" s="223">
        <v>1</v>
      </c>
      <c r="Y1784" s="223">
        <v>1</v>
      </c>
      <c r="Z1784" s="223">
        <v>1</v>
      </c>
      <c r="AA1784" s="223">
        <v>1</v>
      </c>
      <c r="AB1784" s="223">
        <v>1</v>
      </c>
      <c r="AC1784" s="223">
        <v>1</v>
      </c>
      <c r="AD1784" s="223">
        <v>1</v>
      </c>
      <c r="AE1784" s="223">
        <v>1</v>
      </c>
      <c r="AF1784" s="1323">
        <v>1</v>
      </c>
      <c r="AG1784" s="1323">
        <f t="shared" si="226"/>
        <v>1</v>
      </c>
      <c r="DG1784" s="543"/>
      <c r="DH1784" s="149"/>
      <c r="DI1784" s="1020"/>
      <c r="DJ1784" s="2045"/>
    </row>
    <row r="1785" spans="1:114" ht="15" customHeight="1" outlineLevel="1" x14ac:dyDescent="0.25">
      <c r="A1785" s="2145"/>
      <c r="C1785" s="49"/>
      <c r="D1785" s="2394"/>
      <c r="E1785" s="2394"/>
      <c r="F1785" s="2404" t="str">
        <f>$E$823</f>
        <v>ASHP-SEER20-Replace_CAC_ElectricHeat_ER1_MF</v>
      </c>
      <c r="G1785" s="2404"/>
      <c r="H1785" s="2404"/>
      <c r="I1785" s="2404"/>
      <c r="J1785" s="1506" t="str">
        <f>$C$823</f>
        <v>354650_2024_12_</v>
      </c>
      <c r="K1785" s="1458">
        <v>0.65</v>
      </c>
      <c r="L1785" s="244"/>
      <c r="M1785" s="1249"/>
      <c r="P1785" s="243"/>
      <c r="Q1785" s="192"/>
      <c r="R1785" s="243"/>
      <c r="T1785" s="166"/>
      <c r="U1785" s="50"/>
      <c r="V1785" s="2394"/>
      <c r="W1785" s="223">
        <v>0.65</v>
      </c>
      <c r="X1785" s="223">
        <v>0.65</v>
      </c>
      <c r="Y1785" s="223">
        <v>0.65</v>
      </c>
      <c r="Z1785" s="223">
        <v>0.65</v>
      </c>
      <c r="AA1785" s="223">
        <v>0.65</v>
      </c>
      <c r="AB1785" s="223">
        <v>0.65</v>
      </c>
      <c r="AC1785" s="223">
        <v>0.65</v>
      </c>
      <c r="AD1785" s="223">
        <v>0.65</v>
      </c>
      <c r="AE1785" s="223">
        <v>0.65</v>
      </c>
      <c r="AF1785" s="1323">
        <v>0.65</v>
      </c>
      <c r="AG1785" s="1323">
        <f t="shared" si="226"/>
        <v>0.65</v>
      </c>
      <c r="DG1785" s="543"/>
      <c r="DH1785" s="149"/>
      <c r="DI1785" s="1020"/>
      <c r="DJ1785" s="2045"/>
    </row>
    <row r="1786" spans="1:114" ht="15" customHeight="1" outlineLevel="1" x14ac:dyDescent="0.25">
      <c r="A1786" s="2145"/>
      <c r="C1786" s="49"/>
      <c r="D1786" s="2394"/>
      <c r="E1786" s="2394"/>
      <c r="F1786" s="2404" t="str">
        <f>$E$825</f>
        <v>ASHP-SEER20-Replace_CAC_ElectricHeat_ER2_MF</v>
      </c>
      <c r="G1786" s="2404"/>
      <c r="H1786" s="2404"/>
      <c r="I1786" s="2404"/>
      <c r="J1786" s="1506" t="str">
        <f>$C$825</f>
        <v>354650_2024_12_</v>
      </c>
      <c r="K1786" s="1458">
        <v>0.65</v>
      </c>
      <c r="L1786" s="244"/>
      <c r="M1786" s="1249"/>
      <c r="P1786" s="243"/>
      <c r="Q1786" s="192"/>
      <c r="R1786" s="243"/>
      <c r="T1786" s="166"/>
      <c r="U1786" s="50"/>
      <c r="V1786" s="2394"/>
      <c r="W1786" s="223">
        <v>0.65</v>
      </c>
      <c r="X1786" s="223">
        <v>0.65</v>
      </c>
      <c r="Y1786" s="223">
        <v>0.65</v>
      </c>
      <c r="Z1786" s="223">
        <v>0.65</v>
      </c>
      <c r="AA1786" s="223">
        <v>0.65</v>
      </c>
      <c r="AB1786" s="223">
        <v>0.65</v>
      </c>
      <c r="AC1786" s="223">
        <v>0.65</v>
      </c>
      <c r="AD1786" s="223">
        <v>0.65</v>
      </c>
      <c r="AE1786" s="223">
        <v>0.65</v>
      </c>
      <c r="AF1786" s="1323">
        <v>0.65</v>
      </c>
      <c r="AG1786" s="1323">
        <f t="shared" si="226"/>
        <v>0.65</v>
      </c>
      <c r="DG1786" s="543"/>
      <c r="DH1786" s="149"/>
      <c r="DI1786" s="1020"/>
      <c r="DJ1786" s="2045"/>
    </row>
    <row r="1787" spans="1:114" ht="15" customHeight="1" outlineLevel="1" x14ac:dyDescent="0.25">
      <c r="A1787" s="2145"/>
      <c r="C1787" s="49"/>
      <c r="D1787" s="2394"/>
      <c r="E1787" s="2394"/>
      <c r="F1787" s="2404" t="str">
        <f>$E$827</f>
        <v>ASHP-SEER20_ER1_MF</v>
      </c>
      <c r="G1787" s="2404"/>
      <c r="H1787" s="2404"/>
      <c r="I1787" s="2404"/>
      <c r="J1787" s="1506" t="str">
        <f>$C$827</f>
        <v>354700_2024_12_</v>
      </c>
      <c r="K1787" s="1458">
        <v>0.65</v>
      </c>
      <c r="L1787" s="244"/>
      <c r="M1787" s="1249"/>
      <c r="P1787" s="243"/>
      <c r="Q1787" s="192"/>
      <c r="R1787" s="243"/>
      <c r="T1787" s="166"/>
      <c r="U1787" s="50"/>
      <c r="V1787" s="2394"/>
      <c r="W1787" s="223">
        <v>0.65</v>
      </c>
      <c r="X1787" s="223">
        <v>0.65</v>
      </c>
      <c r="Y1787" s="223">
        <v>0.65</v>
      </c>
      <c r="Z1787" s="223">
        <v>0.65</v>
      </c>
      <c r="AA1787" s="223">
        <v>0.65</v>
      </c>
      <c r="AB1787" s="223">
        <v>0.65</v>
      </c>
      <c r="AC1787" s="223">
        <v>0.65</v>
      </c>
      <c r="AD1787" s="223">
        <v>0.65</v>
      </c>
      <c r="AE1787" s="223">
        <v>0.65</v>
      </c>
      <c r="AF1787" s="1323">
        <v>0.65</v>
      </c>
      <c r="AG1787" s="1323">
        <f t="shared" si="226"/>
        <v>0.65</v>
      </c>
      <c r="DG1787" s="543"/>
      <c r="DH1787" s="149"/>
      <c r="DI1787" s="1020"/>
      <c r="DJ1787" s="2045"/>
    </row>
    <row r="1788" spans="1:114" ht="15" customHeight="1" outlineLevel="1" x14ac:dyDescent="0.25">
      <c r="A1788" s="2145"/>
      <c r="C1788" s="49"/>
      <c r="D1788" s="2394"/>
      <c r="E1788" s="2394"/>
      <c r="F1788" s="2404" t="str">
        <f>$E$829</f>
        <v>ASHP-SEER20_ER2_MF</v>
      </c>
      <c r="G1788" s="2404"/>
      <c r="H1788" s="2404"/>
      <c r="I1788" s="2404"/>
      <c r="J1788" s="1506" t="str">
        <f>$C$829</f>
        <v>354700_2024_12_</v>
      </c>
      <c r="K1788" s="1458">
        <v>0.65</v>
      </c>
      <c r="L1788" s="244"/>
      <c r="M1788" s="1249"/>
      <c r="P1788" s="243"/>
      <c r="Q1788" s="192"/>
      <c r="R1788" s="243"/>
      <c r="T1788" s="166"/>
      <c r="U1788" s="50"/>
      <c r="V1788" s="2394"/>
      <c r="W1788" s="223">
        <v>0.65</v>
      </c>
      <c r="X1788" s="223">
        <v>0.65</v>
      </c>
      <c r="Y1788" s="223">
        <v>0.65</v>
      </c>
      <c r="Z1788" s="223">
        <v>0.65</v>
      </c>
      <c r="AA1788" s="223">
        <v>0.65</v>
      </c>
      <c r="AB1788" s="223">
        <v>0.65</v>
      </c>
      <c r="AC1788" s="223">
        <v>0.65</v>
      </c>
      <c r="AD1788" s="223">
        <v>0.65</v>
      </c>
      <c r="AE1788" s="223">
        <v>0.65</v>
      </c>
      <c r="AF1788" s="1323">
        <v>0.65</v>
      </c>
      <c r="AG1788" s="1323">
        <f t="shared" si="226"/>
        <v>0.65</v>
      </c>
      <c r="DG1788" s="543"/>
      <c r="DH1788" s="149"/>
      <c r="DI1788" s="1020"/>
      <c r="DJ1788" s="2045"/>
    </row>
    <row r="1789" spans="1:114" ht="15" customHeight="1" outlineLevel="1" x14ac:dyDescent="0.25">
      <c r="A1789" s="2145"/>
      <c r="C1789" s="49"/>
      <c r="D1789" s="2394"/>
      <c r="E1789" s="2394"/>
      <c r="F1789" s="2404" t="str">
        <f>$E$831</f>
        <v>ASHP-SEER21_ER1_SF</v>
      </c>
      <c r="G1789" s="2404"/>
      <c r="H1789" s="2404"/>
      <c r="I1789" s="2404"/>
      <c r="J1789" s="1506" t="str">
        <f>$C$831</f>
        <v>354750_2024_12_</v>
      </c>
      <c r="K1789" s="1458">
        <v>1</v>
      </c>
      <c r="L1789" s="244"/>
      <c r="M1789" s="1249"/>
      <c r="P1789" s="243"/>
      <c r="Q1789" s="192"/>
      <c r="R1789" s="243"/>
      <c r="T1789" s="166"/>
      <c r="U1789" s="50"/>
      <c r="V1789" s="2394"/>
      <c r="W1789" s="223">
        <v>1</v>
      </c>
      <c r="X1789" s="223">
        <v>1</v>
      </c>
      <c r="Y1789" s="223">
        <v>1</v>
      </c>
      <c r="Z1789" s="223">
        <v>1</v>
      </c>
      <c r="AA1789" s="223">
        <v>1</v>
      </c>
      <c r="AB1789" s="223">
        <v>1</v>
      </c>
      <c r="AC1789" s="223">
        <v>1</v>
      </c>
      <c r="AD1789" s="223">
        <v>1</v>
      </c>
      <c r="AE1789" s="223">
        <v>1</v>
      </c>
      <c r="AF1789" s="1323">
        <v>1</v>
      </c>
      <c r="AG1789" s="1323">
        <f t="shared" si="226"/>
        <v>1</v>
      </c>
      <c r="DG1789" s="543"/>
      <c r="DH1789" s="149"/>
      <c r="DI1789" s="1020"/>
      <c r="DJ1789" s="2045"/>
    </row>
    <row r="1790" spans="1:114" ht="15" customHeight="1" outlineLevel="1" x14ac:dyDescent="0.25">
      <c r="A1790" s="2145"/>
      <c r="C1790" s="49"/>
      <c r="D1790" s="2394"/>
      <c r="E1790" s="2394"/>
      <c r="F1790" s="2404" t="str">
        <f>$E$833</f>
        <v>ASHP-SEER21_ER2_SF</v>
      </c>
      <c r="G1790" s="2404"/>
      <c r="H1790" s="2404"/>
      <c r="I1790" s="2404"/>
      <c r="J1790" s="1506" t="str">
        <f>$C$833</f>
        <v>354750_2024_12_</v>
      </c>
      <c r="K1790" s="1458">
        <v>1</v>
      </c>
      <c r="L1790" s="244"/>
      <c r="M1790" s="1249"/>
      <c r="P1790" s="243"/>
      <c r="Q1790" s="192"/>
      <c r="R1790" s="243"/>
      <c r="T1790" s="166"/>
      <c r="U1790" s="50"/>
      <c r="V1790" s="2394"/>
      <c r="W1790" s="223">
        <v>1</v>
      </c>
      <c r="X1790" s="223">
        <v>1</v>
      </c>
      <c r="Y1790" s="223">
        <v>1</v>
      </c>
      <c r="Z1790" s="223">
        <v>1</v>
      </c>
      <c r="AA1790" s="223">
        <v>1</v>
      </c>
      <c r="AB1790" s="223">
        <v>1</v>
      </c>
      <c r="AC1790" s="223">
        <v>1</v>
      </c>
      <c r="AD1790" s="223">
        <v>1</v>
      </c>
      <c r="AE1790" s="223">
        <v>1</v>
      </c>
      <c r="AF1790" s="1323">
        <v>1</v>
      </c>
      <c r="AG1790" s="1323">
        <f t="shared" si="226"/>
        <v>1</v>
      </c>
      <c r="DG1790" s="543"/>
      <c r="DH1790" s="149"/>
      <c r="DI1790" s="1020"/>
      <c r="DJ1790" s="2045"/>
    </row>
    <row r="1791" spans="1:114" ht="15" customHeight="1" outlineLevel="1" x14ac:dyDescent="0.25">
      <c r="A1791" s="2145"/>
      <c r="C1791" s="49"/>
      <c r="D1791" s="2394"/>
      <c r="E1791" s="2394"/>
      <c r="F1791" s="2404" t="str">
        <f>$E$835</f>
        <v>ASHP-SEER21_ROF_SF</v>
      </c>
      <c r="G1791" s="2404"/>
      <c r="H1791" s="2404"/>
      <c r="I1791" s="2404"/>
      <c r="J1791" s="1506" t="str">
        <f>$C$835</f>
        <v>354800_2024_12_</v>
      </c>
      <c r="K1791" s="1458">
        <v>1</v>
      </c>
      <c r="L1791" s="244"/>
      <c r="M1791" s="1249"/>
      <c r="P1791" s="243"/>
      <c r="Q1791" s="192"/>
      <c r="R1791" s="243"/>
      <c r="T1791" s="166"/>
      <c r="U1791" s="50"/>
      <c r="V1791" s="2394"/>
      <c r="W1791" s="223">
        <v>1</v>
      </c>
      <c r="X1791" s="223">
        <v>1</v>
      </c>
      <c r="Y1791" s="223">
        <v>1</v>
      </c>
      <c r="Z1791" s="223">
        <v>1</v>
      </c>
      <c r="AA1791" s="223">
        <v>1</v>
      </c>
      <c r="AB1791" s="223">
        <v>1</v>
      </c>
      <c r="AC1791" s="223">
        <v>1</v>
      </c>
      <c r="AD1791" s="223">
        <v>1</v>
      </c>
      <c r="AE1791" s="223">
        <v>1</v>
      </c>
      <c r="AF1791" s="1323">
        <v>1</v>
      </c>
      <c r="AG1791" s="1323">
        <f t="shared" si="226"/>
        <v>1</v>
      </c>
      <c r="DG1791" s="543"/>
      <c r="DH1791" s="149"/>
      <c r="DI1791" s="1020"/>
      <c r="DJ1791" s="2045"/>
    </row>
    <row r="1792" spans="1:114" ht="15" customHeight="1" outlineLevel="1" x14ac:dyDescent="0.25">
      <c r="A1792" s="2145"/>
      <c r="C1792" s="49"/>
      <c r="D1792" s="2394"/>
      <c r="E1792" s="2394"/>
      <c r="F1792" s="2404" t="str">
        <f>$E$837</f>
        <v>ASHP-SEER21-Replace_CAC_ElectricHeat_ROF_MF</v>
      </c>
      <c r="G1792" s="2404"/>
      <c r="H1792" s="2404"/>
      <c r="I1792" s="2404"/>
      <c r="J1792" s="1506" t="str">
        <f>$C$837</f>
        <v>354850_2024_12_</v>
      </c>
      <c r="K1792" s="1458">
        <v>0.65</v>
      </c>
      <c r="L1792" s="244"/>
      <c r="M1792" s="1249"/>
      <c r="P1792" s="243"/>
      <c r="Q1792" s="192"/>
      <c r="R1792" s="243"/>
      <c r="T1792" s="166"/>
      <c r="U1792" s="50"/>
      <c r="V1792" s="2394"/>
      <c r="W1792" s="223">
        <v>0.65</v>
      </c>
      <c r="X1792" s="223">
        <v>0.65</v>
      </c>
      <c r="Y1792" s="223">
        <v>0.65</v>
      </c>
      <c r="Z1792" s="223">
        <v>0.65</v>
      </c>
      <c r="AA1792" s="223">
        <v>0.65</v>
      </c>
      <c r="AB1792" s="223">
        <v>0.65</v>
      </c>
      <c r="AC1792" s="223">
        <v>0.65</v>
      </c>
      <c r="AD1792" s="223">
        <v>0.65</v>
      </c>
      <c r="AE1792" s="223">
        <v>0.65</v>
      </c>
      <c r="AF1792" s="1323">
        <v>0.65</v>
      </c>
      <c r="AG1792" s="1323">
        <f t="shared" si="226"/>
        <v>0.65</v>
      </c>
      <c r="DG1792" s="543"/>
      <c r="DH1792" s="149"/>
      <c r="DI1792" s="1020"/>
      <c r="DJ1792" s="2045"/>
    </row>
    <row r="1793" spans="1:115" ht="15" customHeight="1" outlineLevel="1" x14ac:dyDescent="0.25">
      <c r="A1793" s="2145"/>
      <c r="C1793" s="49"/>
      <c r="D1793" s="2394"/>
      <c r="E1793" s="2394"/>
      <c r="F1793" s="2404" t="str">
        <f>$E$839</f>
        <v>ASHP-SEER21_ER1_MF</v>
      </c>
      <c r="G1793" s="2404"/>
      <c r="H1793" s="2404"/>
      <c r="I1793" s="2404"/>
      <c r="J1793" s="1506" t="str">
        <f>$C$839</f>
        <v>354900_2024_12_</v>
      </c>
      <c r="K1793" s="1458">
        <v>0.65</v>
      </c>
      <c r="L1793" s="244"/>
      <c r="M1793" s="1249"/>
      <c r="P1793" s="243"/>
      <c r="Q1793" s="192"/>
      <c r="R1793" s="243"/>
      <c r="T1793" s="166"/>
      <c r="U1793" s="50"/>
      <c r="V1793" s="2394"/>
      <c r="W1793" s="223">
        <v>0.65</v>
      </c>
      <c r="X1793" s="223">
        <v>0.65</v>
      </c>
      <c r="Y1793" s="223">
        <v>0.65</v>
      </c>
      <c r="Z1793" s="223">
        <v>0.65</v>
      </c>
      <c r="AA1793" s="223">
        <v>0.65</v>
      </c>
      <c r="AB1793" s="223">
        <v>0.65</v>
      </c>
      <c r="AC1793" s="223">
        <v>0.65</v>
      </c>
      <c r="AD1793" s="223">
        <v>0.65</v>
      </c>
      <c r="AE1793" s="223">
        <v>0.65</v>
      </c>
      <c r="AF1793" s="1323">
        <v>0.65</v>
      </c>
      <c r="AG1793" s="1323">
        <f t="shared" si="226"/>
        <v>0.65</v>
      </c>
      <c r="DG1793" s="543"/>
      <c r="DH1793" s="149"/>
      <c r="DI1793" s="1020"/>
      <c r="DJ1793" s="2045"/>
    </row>
    <row r="1794" spans="1:115" ht="15" customHeight="1" outlineLevel="1" x14ac:dyDescent="0.25">
      <c r="A1794" s="2145"/>
      <c r="C1794" s="49"/>
      <c r="D1794" s="2394"/>
      <c r="E1794" s="2394"/>
      <c r="F1794" s="2404" t="str">
        <f>$E$841</f>
        <v>ASHP-SEER21_ER2_MF</v>
      </c>
      <c r="G1794" s="2404"/>
      <c r="H1794" s="2404"/>
      <c r="I1794" s="2404"/>
      <c r="J1794" s="1506" t="str">
        <f>$C$841</f>
        <v>354900_2024_12_</v>
      </c>
      <c r="K1794" s="1458">
        <v>0.65</v>
      </c>
      <c r="L1794" s="244"/>
      <c r="M1794" s="1249"/>
      <c r="P1794" s="243"/>
      <c r="Q1794" s="192"/>
      <c r="R1794" s="243"/>
      <c r="T1794" s="166"/>
      <c r="U1794" s="50"/>
      <c r="V1794" s="2394"/>
      <c r="W1794" s="223">
        <v>0.65</v>
      </c>
      <c r="X1794" s="223">
        <v>0.65</v>
      </c>
      <c r="Y1794" s="223">
        <v>0.65</v>
      </c>
      <c r="Z1794" s="223">
        <v>0.65</v>
      </c>
      <c r="AA1794" s="223">
        <v>0.65</v>
      </c>
      <c r="AB1794" s="223">
        <v>0.65</v>
      </c>
      <c r="AC1794" s="223">
        <v>0.65</v>
      </c>
      <c r="AD1794" s="223">
        <v>0.65</v>
      </c>
      <c r="AE1794" s="223">
        <v>0.65</v>
      </c>
      <c r="AF1794" s="1323">
        <v>0.65</v>
      </c>
      <c r="AG1794" s="1323">
        <f t="shared" si="226"/>
        <v>0.65</v>
      </c>
      <c r="DG1794" s="543"/>
      <c r="DH1794" s="149"/>
      <c r="DI1794" s="1020"/>
      <c r="DJ1794" s="2045"/>
    </row>
    <row r="1795" spans="1:115" ht="15" customHeight="1" outlineLevel="1" x14ac:dyDescent="0.25">
      <c r="A1795" s="2145"/>
      <c r="C1795" s="49"/>
      <c r="D1795" s="2394"/>
      <c r="E1795" s="2394"/>
      <c r="F1795" s="2404" t="str">
        <f>$E$843</f>
        <v>ASHP-SEER17_ROF_MF</v>
      </c>
      <c r="G1795" s="2404"/>
      <c r="H1795" s="2404"/>
      <c r="I1795" s="2404"/>
      <c r="J1795" s="1506" t="str">
        <f>$C$843</f>
        <v>354950_2024_12_</v>
      </c>
      <c r="K1795" s="1458">
        <v>0.65</v>
      </c>
      <c r="L1795" s="244"/>
      <c r="M1795" s="1307"/>
      <c r="P1795" s="243"/>
      <c r="Q1795" s="192"/>
      <c r="R1795" s="243"/>
      <c r="T1795" s="166"/>
      <c r="U1795" s="50"/>
      <c r="V1795" s="2394"/>
      <c r="W1795" s="223">
        <v>0.65</v>
      </c>
      <c r="X1795" s="223">
        <v>0.65</v>
      </c>
      <c r="Y1795" s="223">
        <v>0.65</v>
      </c>
      <c r="Z1795" s="223">
        <v>0.65</v>
      </c>
      <c r="AA1795" s="223">
        <v>0.65</v>
      </c>
      <c r="AB1795" s="223">
        <v>0.65</v>
      </c>
      <c r="AC1795" s="223">
        <v>0.65</v>
      </c>
      <c r="AD1795" s="223">
        <v>0.65</v>
      </c>
      <c r="AE1795" s="223">
        <v>0.65</v>
      </c>
      <c r="AF1795" s="1323">
        <v>0.65</v>
      </c>
      <c r="AG1795" s="1323">
        <f t="shared" si="226"/>
        <v>0.65</v>
      </c>
      <c r="DG1795" s="543"/>
      <c r="DH1795" s="149"/>
      <c r="DI1795" s="1020"/>
      <c r="DJ1795" s="2045"/>
    </row>
    <row r="1796" spans="1:115" ht="15" customHeight="1" outlineLevel="1" x14ac:dyDescent="0.25">
      <c r="A1796" s="2145"/>
      <c r="C1796" s="49"/>
      <c r="D1796" s="2394"/>
      <c r="E1796" s="2394"/>
      <c r="F1796" s="2404" t="str">
        <f>$E$845</f>
        <v>ASHP-SEER18_ROF_MF</v>
      </c>
      <c r="G1796" s="2404"/>
      <c r="H1796" s="2404"/>
      <c r="I1796" s="2404"/>
      <c r="J1796" s="1506" t="str">
        <f>$C$845</f>
        <v>355000_2024_12_</v>
      </c>
      <c r="K1796" s="1458">
        <v>0.65</v>
      </c>
      <c r="L1796" s="244"/>
      <c r="M1796" s="1307"/>
      <c r="P1796" s="243"/>
      <c r="Q1796" s="192"/>
      <c r="R1796" s="243"/>
      <c r="T1796" s="166"/>
      <c r="U1796" s="50"/>
      <c r="V1796" s="2394"/>
      <c r="W1796" s="223">
        <v>0.65</v>
      </c>
      <c r="X1796" s="223">
        <v>0.65</v>
      </c>
      <c r="Y1796" s="223">
        <v>0.65</v>
      </c>
      <c r="Z1796" s="223">
        <v>0.65</v>
      </c>
      <c r="AA1796" s="223">
        <v>0.65</v>
      </c>
      <c r="AB1796" s="223">
        <v>0.65</v>
      </c>
      <c r="AC1796" s="223">
        <v>0.65</v>
      </c>
      <c r="AD1796" s="223">
        <v>0.65</v>
      </c>
      <c r="AE1796" s="223">
        <v>0.65</v>
      </c>
      <c r="AF1796" s="1323">
        <v>0.65</v>
      </c>
      <c r="AG1796" s="1323">
        <f t="shared" si="226"/>
        <v>0.65</v>
      </c>
      <c r="DG1796" s="543"/>
      <c r="DH1796" s="149"/>
      <c r="DI1796" s="1020"/>
      <c r="DJ1796" s="2045"/>
    </row>
    <row r="1797" spans="1:115" ht="15" customHeight="1" outlineLevel="1" x14ac:dyDescent="0.25">
      <c r="A1797" s="2145"/>
      <c r="C1797" s="49"/>
      <c r="D1797" s="2394"/>
      <c r="E1797" s="2394"/>
      <c r="F1797" s="2404" t="str">
        <f>$E$847</f>
        <v>ASHP-SEER19_ROF_MF</v>
      </c>
      <c r="G1797" s="2404"/>
      <c r="H1797" s="2404"/>
      <c r="I1797" s="2404"/>
      <c r="J1797" s="1506" t="str">
        <f>$C$847</f>
        <v>355050_2024_12_</v>
      </c>
      <c r="K1797" s="1458">
        <v>0.65</v>
      </c>
      <c r="L1797" s="244"/>
      <c r="M1797" s="1307"/>
      <c r="P1797" s="243"/>
      <c r="Q1797" s="192"/>
      <c r="R1797" s="243"/>
      <c r="T1797" s="166"/>
      <c r="U1797" s="50"/>
      <c r="V1797" s="2394"/>
      <c r="W1797" s="223">
        <v>0.65</v>
      </c>
      <c r="X1797" s="223">
        <v>0.65</v>
      </c>
      <c r="Y1797" s="223">
        <v>0.65</v>
      </c>
      <c r="Z1797" s="223">
        <v>0.65</v>
      </c>
      <c r="AA1797" s="223">
        <v>0.65</v>
      </c>
      <c r="AB1797" s="223">
        <v>0.65</v>
      </c>
      <c r="AC1797" s="223">
        <v>0.65</v>
      </c>
      <c r="AD1797" s="223">
        <v>0.65</v>
      </c>
      <c r="AE1797" s="223">
        <v>0.65</v>
      </c>
      <c r="AF1797" s="1323">
        <v>0.65</v>
      </c>
      <c r="AG1797" s="1323">
        <f t="shared" si="226"/>
        <v>0.65</v>
      </c>
      <c r="DG1797" s="543"/>
      <c r="DH1797" s="149"/>
      <c r="DI1797" s="1020"/>
      <c r="DJ1797" s="2045"/>
    </row>
    <row r="1798" spans="1:115" ht="15" customHeight="1" outlineLevel="1" x14ac:dyDescent="0.25">
      <c r="A1798" s="2145"/>
      <c r="C1798" s="49"/>
      <c r="D1798" s="2394"/>
      <c r="E1798" s="2394"/>
      <c r="F1798" s="2404" t="str">
        <f>$E$849</f>
        <v>ASHP-SEER20_ROF_MF</v>
      </c>
      <c r="G1798" s="2404"/>
      <c r="H1798" s="2404"/>
      <c r="I1798" s="2404"/>
      <c r="J1798" s="1506" t="str">
        <f>$C$849</f>
        <v>355100_2024_12_</v>
      </c>
      <c r="K1798" s="1458">
        <v>0.65</v>
      </c>
      <c r="L1798" s="244"/>
      <c r="M1798" s="1307"/>
      <c r="P1798" s="243"/>
      <c r="Q1798" s="192"/>
      <c r="R1798" s="243"/>
      <c r="T1798" s="166"/>
      <c r="U1798" s="50"/>
      <c r="V1798" s="2394"/>
      <c r="W1798" s="223">
        <v>0.65</v>
      </c>
      <c r="X1798" s="223">
        <v>0.65</v>
      </c>
      <c r="Y1798" s="223">
        <v>0.65</v>
      </c>
      <c r="Z1798" s="223">
        <v>0.65</v>
      </c>
      <c r="AA1798" s="223">
        <v>0.65</v>
      </c>
      <c r="AB1798" s="223">
        <v>0.65</v>
      </c>
      <c r="AC1798" s="223">
        <v>0.65</v>
      </c>
      <c r="AD1798" s="223">
        <v>0.65</v>
      </c>
      <c r="AE1798" s="223">
        <v>0.65</v>
      </c>
      <c r="AF1798" s="1323">
        <v>0.65</v>
      </c>
      <c r="AG1798" s="1323">
        <f t="shared" si="226"/>
        <v>0.65</v>
      </c>
      <c r="DG1798" s="543"/>
      <c r="DH1798" s="149"/>
      <c r="DI1798" s="1020"/>
      <c r="DJ1798" s="2045"/>
    </row>
    <row r="1799" spans="1:115" ht="15.75" customHeight="1" outlineLevel="1" x14ac:dyDescent="0.25">
      <c r="A1799" s="2145"/>
      <c r="C1799" s="49"/>
      <c r="D1799" s="2395"/>
      <c r="E1799" s="2395"/>
      <c r="F1799" s="2404" t="str">
        <f>$E$851</f>
        <v>ASHP-SEER21_ROF_MF</v>
      </c>
      <c r="G1799" s="2404"/>
      <c r="H1799" s="2404"/>
      <c r="I1799" s="2404"/>
      <c r="J1799" s="1506" t="str">
        <f>$C$851</f>
        <v>355150_2024_12_</v>
      </c>
      <c r="K1799" s="1458">
        <v>0.65</v>
      </c>
      <c r="L1799" s="244"/>
      <c r="M1799" s="1307"/>
      <c r="P1799" s="243"/>
      <c r="Q1799" s="192"/>
      <c r="R1799" s="243"/>
      <c r="T1799" s="166"/>
      <c r="U1799" s="50"/>
      <c r="V1799" s="2395"/>
      <c r="W1799" s="223">
        <v>0.65</v>
      </c>
      <c r="X1799" s="223">
        <v>0.65</v>
      </c>
      <c r="Y1799" s="223">
        <v>0.65</v>
      </c>
      <c r="Z1799" s="223">
        <v>0.65</v>
      </c>
      <c r="AA1799" s="223">
        <v>0.65</v>
      </c>
      <c r="AB1799" s="223">
        <v>0.65</v>
      </c>
      <c r="AC1799" s="223">
        <v>0.65</v>
      </c>
      <c r="AD1799" s="223">
        <v>0.65</v>
      </c>
      <c r="AE1799" s="223">
        <v>0.65</v>
      </c>
      <c r="AF1799" s="1323">
        <v>0.65</v>
      </c>
      <c r="AG1799" s="1323">
        <f t="shared" si="226"/>
        <v>0.65</v>
      </c>
      <c r="DG1799" s="543"/>
      <c r="DH1799" s="149"/>
      <c r="DI1799" s="1020"/>
      <c r="DJ1799" s="2045"/>
    </row>
    <row r="1800" spans="1:115" outlineLevel="1" x14ac:dyDescent="0.25">
      <c r="A1800" s="2145"/>
      <c r="C1800" s="49"/>
      <c r="D1800" s="1248" t="s">
        <v>105</v>
      </c>
      <c r="E1800" s="1248" t="s">
        <v>944</v>
      </c>
      <c r="F1800" s="2404" t="s">
        <v>742</v>
      </c>
      <c r="G1800" s="2404"/>
      <c r="H1800" s="2404"/>
      <c r="I1800" s="2404"/>
      <c r="J1800" s="962"/>
      <c r="K1800" s="1490">
        <v>1</v>
      </c>
      <c r="L1800" s="244"/>
      <c r="M1800" s="1249" t="s">
        <v>945</v>
      </c>
      <c r="P1800" s="243"/>
      <c r="Q1800" s="192"/>
      <c r="R1800" s="243"/>
      <c r="T1800" s="143"/>
      <c r="U1800" s="39"/>
      <c r="V1800" s="1239" t="s">
        <v>105</v>
      </c>
      <c r="W1800" s="222"/>
      <c r="X1800" s="222"/>
      <c r="Y1800" s="222"/>
      <c r="Z1800" s="222"/>
      <c r="AA1800" s="222"/>
      <c r="AB1800" s="222">
        <v>1</v>
      </c>
      <c r="AC1800" s="223">
        <v>1</v>
      </c>
      <c r="AD1800" s="223">
        <v>1</v>
      </c>
      <c r="AE1800" s="223">
        <v>1</v>
      </c>
      <c r="AF1800" s="1323">
        <v>1</v>
      </c>
      <c r="AG1800" s="253">
        <f t="shared" si="226"/>
        <v>1</v>
      </c>
      <c r="AH1800" s="39"/>
      <c r="AI1800" s="39"/>
      <c r="AJ1800" s="39"/>
      <c r="AK1800" s="39"/>
      <c r="AL1800" s="39"/>
      <c r="AM1800" s="39"/>
      <c r="AN1800" s="39"/>
      <c r="AO1800" s="39"/>
      <c r="AP1800" s="39"/>
      <c r="AQ1800" s="39"/>
      <c r="AR1800" s="39"/>
      <c r="AS1800" s="39"/>
      <c r="AT1800" s="39"/>
      <c r="AU1800" s="39"/>
      <c r="AV1800" s="39"/>
      <c r="AW1800" s="39"/>
      <c r="AX1800" s="39"/>
      <c r="AY1800" s="39"/>
      <c r="AZ1800" s="39"/>
      <c r="BA1800" s="39"/>
      <c r="BB1800" s="39"/>
      <c r="BC1800" s="39"/>
      <c r="BD1800" s="39"/>
      <c r="BE1800" s="39"/>
      <c r="BF1800" s="39"/>
      <c r="BG1800" s="39"/>
      <c r="BH1800" s="39"/>
      <c r="BI1800" s="39"/>
      <c r="BJ1800" s="39"/>
      <c r="BK1800" s="39"/>
      <c r="BL1800" s="39"/>
      <c r="BM1800" s="39"/>
      <c r="BN1800" s="39"/>
      <c r="BO1800" s="39"/>
      <c r="BP1800" s="39"/>
      <c r="BQ1800" s="39"/>
      <c r="BR1800" s="39"/>
      <c r="BS1800" s="39"/>
      <c r="BT1800" s="39"/>
      <c r="BU1800" s="39"/>
      <c r="BV1800" s="39"/>
      <c r="BW1800" s="39"/>
      <c r="BX1800" s="39"/>
      <c r="BY1800" s="39"/>
      <c r="BZ1800" s="39"/>
      <c r="CA1800" s="39"/>
      <c r="CB1800" s="39"/>
      <c r="CC1800" s="39"/>
      <c r="CD1800" s="39"/>
      <c r="CE1800" s="39"/>
      <c r="CF1800" s="39"/>
      <c r="CG1800" s="39"/>
      <c r="CH1800" s="39"/>
      <c r="CI1800" s="39"/>
      <c r="CJ1800" s="39"/>
      <c r="CK1800" s="39"/>
      <c r="CL1800" s="39"/>
      <c r="CM1800" s="39"/>
      <c r="CN1800" s="39"/>
      <c r="CO1800" s="39"/>
      <c r="CP1800" s="39"/>
      <c r="CQ1800" s="39"/>
      <c r="CR1800" s="39"/>
      <c r="CS1800" s="39"/>
      <c r="CT1800" s="39"/>
      <c r="CU1800" s="39"/>
      <c r="CV1800" s="39"/>
      <c r="CW1800" s="39"/>
      <c r="CX1800" s="39"/>
      <c r="CY1800" s="39"/>
      <c r="CZ1800" s="39"/>
      <c r="DA1800" s="39"/>
      <c r="DB1800" s="39"/>
      <c r="DC1800" s="39"/>
      <c r="DD1800" s="39"/>
      <c r="DE1800" s="39"/>
      <c r="DF1800" s="39"/>
      <c r="DG1800" s="1015"/>
      <c r="DI1800" s="1020"/>
      <c r="DJ1800" s="2045"/>
      <c r="DK1800" s="39"/>
    </row>
    <row r="1801" spans="1:115" ht="14.65" customHeight="1" outlineLevel="1" x14ac:dyDescent="0.25">
      <c r="A1801" s="2145"/>
      <c r="C1801" s="49"/>
      <c r="D1801" s="2436" t="s">
        <v>50</v>
      </c>
      <c r="E1801" s="2436" t="s">
        <v>801</v>
      </c>
      <c r="F1801" s="2404" t="str">
        <f t="shared" ref="F1801:F1816" si="227">E647</f>
        <v>ASHP-SEER15-Replace_CAC_ElectricHeat_ER1_SF</v>
      </c>
      <c r="G1801" s="2404"/>
      <c r="H1801" s="2404"/>
      <c r="I1801" s="2404"/>
      <c r="J1801" s="1506" t="str">
        <f t="shared" ref="J1801:J1816" si="228">C647</f>
        <v>352300_2024_12_</v>
      </c>
      <c r="K1801" s="1537">
        <v>6</v>
      </c>
      <c r="L1801" s="12"/>
      <c r="M1801" s="1251" t="s">
        <v>1303</v>
      </c>
      <c r="P1801" s="243"/>
      <c r="Q1801" s="243"/>
      <c r="R1801" s="243"/>
      <c r="T1801" s="166"/>
      <c r="U1801" s="50"/>
      <c r="V1801" s="2436" t="s">
        <v>50</v>
      </c>
      <c r="W1801" s="245">
        <v>6</v>
      </c>
      <c r="X1801" s="245">
        <v>6</v>
      </c>
      <c r="Y1801" s="245">
        <v>6</v>
      </c>
      <c r="Z1801" s="245">
        <v>6</v>
      </c>
      <c r="AA1801" s="245">
        <v>6</v>
      </c>
      <c r="AB1801" s="245">
        <v>6</v>
      </c>
      <c r="AC1801" s="245">
        <v>6</v>
      </c>
      <c r="AD1801" s="245">
        <v>6</v>
      </c>
      <c r="AE1801" s="245">
        <v>6</v>
      </c>
      <c r="AF1801" s="253">
        <v>6</v>
      </c>
      <c r="AG1801" s="253">
        <f t="shared" si="226"/>
        <v>6</v>
      </c>
      <c r="DG1801" s="543"/>
      <c r="DH1801" s="149"/>
      <c r="DI1801" s="1020"/>
      <c r="DJ1801" s="2045"/>
    </row>
    <row r="1802" spans="1:115" ht="15" customHeight="1" outlineLevel="1" x14ac:dyDescent="0.25">
      <c r="A1802" s="2145"/>
      <c r="C1802" s="49"/>
      <c r="D1802" s="2394"/>
      <c r="E1802" s="2394"/>
      <c r="F1802" s="2404" t="str">
        <f t="shared" si="227"/>
        <v>ASHP-SEER15-Replace_CAC_ElectricHeat_ER1_SF</v>
      </c>
      <c r="G1802" s="2404"/>
      <c r="H1802" s="2404"/>
      <c r="I1802" s="2404"/>
      <c r="J1802" s="1506" t="str">
        <f t="shared" si="228"/>
        <v>352300_2024_12_</v>
      </c>
      <c r="K1802" s="1537">
        <v>6</v>
      </c>
      <c r="L1802" s="12"/>
      <c r="M1802" s="1251" t="s">
        <v>1303</v>
      </c>
      <c r="P1802" s="243"/>
      <c r="Q1802" s="243"/>
      <c r="R1802" s="243"/>
      <c r="T1802" s="166"/>
      <c r="U1802" s="50"/>
      <c r="V1802" s="2394"/>
      <c r="W1802" s="245">
        <v>6</v>
      </c>
      <c r="X1802" s="245">
        <v>6</v>
      </c>
      <c r="Y1802" s="245">
        <v>6</v>
      </c>
      <c r="Z1802" s="245">
        <v>6</v>
      </c>
      <c r="AA1802" s="245">
        <v>6</v>
      </c>
      <c r="AB1802" s="245">
        <v>6</v>
      </c>
      <c r="AC1802" s="245">
        <v>6</v>
      </c>
      <c r="AD1802" s="245">
        <v>6</v>
      </c>
      <c r="AE1802" s="245">
        <v>6</v>
      </c>
      <c r="AF1802" s="253">
        <v>6</v>
      </c>
      <c r="AG1802" s="253">
        <f t="shared" si="226"/>
        <v>6</v>
      </c>
      <c r="DG1802" s="543"/>
      <c r="DH1802" s="149"/>
      <c r="DI1802" s="1020"/>
      <c r="DJ1802" s="2045"/>
    </row>
    <row r="1803" spans="1:115" ht="15" customHeight="1" outlineLevel="1" x14ac:dyDescent="0.25">
      <c r="A1803" s="2145"/>
      <c r="C1803" s="49"/>
      <c r="D1803" s="2394"/>
      <c r="E1803" s="2394"/>
      <c r="F1803" s="2404" t="str">
        <f t="shared" si="227"/>
        <v>ASHP-SEER15-Replace_CAC_ElectricHeat_ER2_SF</v>
      </c>
      <c r="G1803" s="2404"/>
      <c r="H1803" s="2404"/>
      <c r="I1803" s="2404"/>
      <c r="J1803" s="1506" t="str">
        <f t="shared" si="228"/>
        <v>352300_2024_12_</v>
      </c>
      <c r="K1803" s="1537">
        <v>12</v>
      </c>
      <c r="L1803" s="12"/>
      <c r="M1803" s="1251" t="s">
        <v>1303</v>
      </c>
      <c r="P1803" s="243"/>
      <c r="Q1803" s="243"/>
      <c r="R1803" s="243"/>
      <c r="T1803" s="166"/>
      <c r="U1803" s="50"/>
      <c r="V1803" s="2394"/>
      <c r="W1803" s="245">
        <v>12</v>
      </c>
      <c r="X1803" s="245">
        <v>12</v>
      </c>
      <c r="Y1803" s="245">
        <v>12</v>
      </c>
      <c r="Z1803" s="245">
        <v>12</v>
      </c>
      <c r="AA1803" s="245">
        <v>12</v>
      </c>
      <c r="AB1803" s="245">
        <v>12</v>
      </c>
      <c r="AC1803" s="245">
        <v>12</v>
      </c>
      <c r="AD1803" s="245">
        <v>12</v>
      </c>
      <c r="AE1803" s="245">
        <v>12</v>
      </c>
      <c r="AF1803" s="253">
        <v>12</v>
      </c>
      <c r="AG1803" s="253">
        <f t="shared" si="226"/>
        <v>12</v>
      </c>
      <c r="DG1803" s="543"/>
      <c r="DH1803" s="149"/>
      <c r="DI1803" s="1020"/>
      <c r="DJ1803" s="2045"/>
    </row>
    <row r="1804" spans="1:115" ht="15" customHeight="1" outlineLevel="1" x14ac:dyDescent="0.25">
      <c r="A1804" s="2145"/>
      <c r="C1804" s="49"/>
      <c r="D1804" s="2394"/>
      <c r="E1804" s="2394"/>
      <c r="F1804" s="2404" t="str">
        <f t="shared" si="227"/>
        <v>ASHP-SEER15-Replace_CAC_ElectricHeat_ER2_SF</v>
      </c>
      <c r="G1804" s="2404"/>
      <c r="H1804" s="2404"/>
      <c r="I1804" s="2404"/>
      <c r="J1804" s="1506" t="str">
        <f t="shared" si="228"/>
        <v>352300_2024_12_</v>
      </c>
      <c r="K1804" s="1537">
        <v>12</v>
      </c>
      <c r="L1804" s="12"/>
      <c r="M1804" s="1251" t="s">
        <v>1303</v>
      </c>
      <c r="P1804" s="243"/>
      <c r="Q1804" s="243"/>
      <c r="R1804" s="243"/>
      <c r="T1804" s="166"/>
      <c r="U1804" s="50"/>
      <c r="V1804" s="2394"/>
      <c r="W1804" s="245">
        <v>12</v>
      </c>
      <c r="X1804" s="245">
        <v>12</v>
      </c>
      <c r="Y1804" s="245">
        <v>12</v>
      </c>
      <c r="Z1804" s="245">
        <v>12</v>
      </c>
      <c r="AA1804" s="245">
        <v>12</v>
      </c>
      <c r="AB1804" s="245">
        <v>12</v>
      </c>
      <c r="AC1804" s="245">
        <v>12</v>
      </c>
      <c r="AD1804" s="245">
        <v>12</v>
      </c>
      <c r="AE1804" s="245">
        <v>12</v>
      </c>
      <c r="AF1804" s="253">
        <v>12</v>
      </c>
      <c r="AG1804" s="253">
        <f t="shared" si="226"/>
        <v>12</v>
      </c>
      <c r="DG1804" s="543"/>
      <c r="DH1804" s="149"/>
      <c r="DI1804" s="1020"/>
      <c r="DJ1804" s="2045"/>
    </row>
    <row r="1805" spans="1:115" ht="15" customHeight="1" outlineLevel="1" x14ac:dyDescent="0.25">
      <c r="A1805" s="2145"/>
      <c r="C1805" s="49"/>
      <c r="D1805" s="2394"/>
      <c r="E1805" s="2394"/>
      <c r="F1805" s="2404" t="str">
        <f t="shared" si="227"/>
        <v>ASHP-SEER15-Replace_CAC_NonElectricHeat_ER1_SF</v>
      </c>
      <c r="G1805" s="2404"/>
      <c r="H1805" s="2404"/>
      <c r="I1805" s="2404"/>
      <c r="J1805" s="1506" t="str">
        <f t="shared" si="228"/>
        <v>352310_2024_12_</v>
      </c>
      <c r="K1805" s="1537">
        <v>6</v>
      </c>
      <c r="L1805" s="12"/>
      <c r="M1805" s="1251" t="s">
        <v>1303</v>
      </c>
      <c r="P1805" s="243"/>
      <c r="Q1805" s="243"/>
      <c r="R1805" s="243"/>
      <c r="T1805" s="166"/>
      <c r="U1805" s="50"/>
      <c r="V1805" s="2394"/>
      <c r="W1805" s="245"/>
      <c r="X1805" s="245"/>
      <c r="Y1805" s="245"/>
      <c r="Z1805" s="245"/>
      <c r="AA1805" s="245"/>
      <c r="AB1805" s="245"/>
      <c r="AC1805" s="963">
        <v>6</v>
      </c>
      <c r="AD1805" s="245">
        <v>6</v>
      </c>
      <c r="AE1805" s="245">
        <v>6</v>
      </c>
      <c r="AF1805" s="253">
        <v>6</v>
      </c>
      <c r="AG1805" s="253">
        <f t="shared" si="226"/>
        <v>6</v>
      </c>
      <c r="DG1805" s="543"/>
      <c r="DH1805" s="149"/>
      <c r="DI1805" s="1020"/>
      <c r="DJ1805" s="2045"/>
    </row>
    <row r="1806" spans="1:115" ht="15" customHeight="1" outlineLevel="1" x14ac:dyDescent="0.25">
      <c r="A1806" s="2145"/>
      <c r="C1806" s="49"/>
      <c r="D1806" s="2394"/>
      <c r="E1806" s="2394"/>
      <c r="F1806" s="2404" t="str">
        <f t="shared" si="227"/>
        <v>ASHP-SEER15-Replace_CAC_NonElectricHeat_ER1_SF</v>
      </c>
      <c r="G1806" s="2404"/>
      <c r="H1806" s="2404"/>
      <c r="I1806" s="2404"/>
      <c r="J1806" s="1506" t="str">
        <f t="shared" si="228"/>
        <v>352310_2024_12_</v>
      </c>
      <c r="K1806" s="1537">
        <v>6</v>
      </c>
      <c r="L1806" s="12"/>
      <c r="M1806" s="1251" t="s">
        <v>1303</v>
      </c>
      <c r="P1806" s="243"/>
      <c r="Q1806" s="243"/>
      <c r="R1806" s="243"/>
      <c r="T1806" s="166"/>
      <c r="U1806" s="50"/>
      <c r="V1806" s="2394"/>
      <c r="W1806" s="245"/>
      <c r="X1806" s="245"/>
      <c r="Y1806" s="245"/>
      <c r="Z1806" s="245"/>
      <c r="AA1806" s="245"/>
      <c r="AB1806" s="245"/>
      <c r="AC1806" s="963">
        <v>6</v>
      </c>
      <c r="AD1806" s="245">
        <v>6</v>
      </c>
      <c r="AE1806" s="245">
        <v>6</v>
      </c>
      <c r="AF1806" s="253">
        <v>6</v>
      </c>
      <c r="AG1806" s="253">
        <f t="shared" si="226"/>
        <v>6</v>
      </c>
      <c r="DG1806" s="543"/>
      <c r="DH1806" s="149"/>
      <c r="DI1806" s="1020"/>
      <c r="DJ1806" s="2045"/>
    </row>
    <row r="1807" spans="1:115" ht="15" customHeight="1" outlineLevel="1" x14ac:dyDescent="0.25">
      <c r="A1807" s="2145"/>
      <c r="C1807" s="49"/>
      <c r="D1807" s="2394"/>
      <c r="E1807" s="2394"/>
      <c r="F1807" s="2404" t="str">
        <f t="shared" si="227"/>
        <v>ASHP-SEER15-Replace_CAC_NonElectricHeat_ER2_SF</v>
      </c>
      <c r="G1807" s="2404"/>
      <c r="H1807" s="2404"/>
      <c r="I1807" s="2404"/>
      <c r="J1807" s="1506" t="str">
        <f t="shared" si="228"/>
        <v>352310_2024_12_</v>
      </c>
      <c r="K1807" s="1537">
        <v>12</v>
      </c>
      <c r="L1807" s="12"/>
      <c r="M1807" s="1251" t="s">
        <v>1303</v>
      </c>
      <c r="P1807" s="243"/>
      <c r="Q1807" s="243"/>
      <c r="R1807" s="243"/>
      <c r="T1807" s="166"/>
      <c r="U1807" s="50"/>
      <c r="V1807" s="2394"/>
      <c r="W1807" s="245"/>
      <c r="X1807" s="245"/>
      <c r="Y1807" s="245"/>
      <c r="Z1807" s="245"/>
      <c r="AA1807" s="245"/>
      <c r="AB1807" s="245"/>
      <c r="AC1807" s="963">
        <v>12</v>
      </c>
      <c r="AD1807" s="245">
        <v>12</v>
      </c>
      <c r="AE1807" s="245">
        <v>12</v>
      </c>
      <c r="AF1807" s="253">
        <v>12</v>
      </c>
      <c r="AG1807" s="253">
        <f t="shared" si="226"/>
        <v>12</v>
      </c>
      <c r="DG1807" s="543"/>
      <c r="DH1807" s="149"/>
      <c r="DI1807" s="1020"/>
      <c r="DJ1807" s="2045"/>
    </row>
    <row r="1808" spans="1:115" ht="15" customHeight="1" outlineLevel="1" x14ac:dyDescent="0.25">
      <c r="A1808" s="2145"/>
      <c r="C1808" s="49"/>
      <c r="D1808" s="2394"/>
      <c r="E1808" s="2394"/>
      <c r="F1808" s="2404" t="str">
        <f t="shared" si="227"/>
        <v>ASHP-SEER15-Replace_CAC_NonElectricHeat_ER2_SF</v>
      </c>
      <c r="G1808" s="2404"/>
      <c r="H1808" s="2404"/>
      <c r="I1808" s="2404"/>
      <c r="J1808" s="1506" t="str">
        <f t="shared" si="228"/>
        <v>352310_2024_12_</v>
      </c>
      <c r="K1808" s="1537">
        <v>12</v>
      </c>
      <c r="L1808" s="12"/>
      <c r="M1808" s="1251" t="s">
        <v>1303</v>
      </c>
      <c r="P1808" s="243"/>
      <c r="Q1808" s="243"/>
      <c r="R1808" s="243"/>
      <c r="T1808" s="166"/>
      <c r="U1808" s="50"/>
      <c r="V1808" s="2394"/>
      <c r="W1808" s="245"/>
      <c r="X1808" s="245"/>
      <c r="Y1808" s="245"/>
      <c r="Z1808" s="245"/>
      <c r="AA1808" s="245"/>
      <c r="AB1808" s="245"/>
      <c r="AC1808" s="963">
        <v>12</v>
      </c>
      <c r="AD1808" s="245">
        <v>12</v>
      </c>
      <c r="AE1808" s="245">
        <v>12</v>
      </c>
      <c r="AF1808" s="253">
        <v>12</v>
      </c>
      <c r="AG1808" s="253">
        <f t="shared" si="226"/>
        <v>12</v>
      </c>
      <c r="DG1808" s="543"/>
      <c r="DH1808" s="149"/>
      <c r="DI1808" s="1020"/>
      <c r="DJ1808" s="2045"/>
    </row>
    <row r="1809" spans="1:114" ht="15" customHeight="1" outlineLevel="1" x14ac:dyDescent="0.25">
      <c r="A1809" s="2145"/>
      <c r="C1809" s="49"/>
      <c r="D1809" s="2394"/>
      <c r="E1809" s="2394"/>
      <c r="F1809" s="2404" t="str">
        <f t="shared" si="227"/>
        <v>ASHP-SEER15_ER1_SF</v>
      </c>
      <c r="G1809" s="2404"/>
      <c r="H1809" s="2404"/>
      <c r="I1809" s="2404"/>
      <c r="J1809" s="1506" t="str">
        <f t="shared" si="228"/>
        <v>352350_2024_12_</v>
      </c>
      <c r="K1809" s="1537">
        <v>6</v>
      </c>
      <c r="L1809" s="12"/>
      <c r="M1809" s="1251" t="s">
        <v>1303</v>
      </c>
      <c r="P1809" s="243"/>
      <c r="Q1809" s="243"/>
      <c r="R1809" s="243"/>
      <c r="T1809" s="166"/>
      <c r="U1809" s="50"/>
      <c r="V1809" s="2394"/>
      <c r="W1809" s="245">
        <v>6</v>
      </c>
      <c r="X1809" s="245">
        <v>6</v>
      </c>
      <c r="Y1809" s="245">
        <v>6</v>
      </c>
      <c r="Z1809" s="245">
        <v>6</v>
      </c>
      <c r="AA1809" s="245">
        <v>6</v>
      </c>
      <c r="AB1809" s="245">
        <v>6</v>
      </c>
      <c r="AC1809" s="245">
        <v>6</v>
      </c>
      <c r="AD1809" s="245">
        <v>6</v>
      </c>
      <c r="AE1809" s="245">
        <v>6</v>
      </c>
      <c r="AF1809" s="253">
        <v>6</v>
      </c>
      <c r="AG1809" s="253">
        <f t="shared" si="226"/>
        <v>6</v>
      </c>
      <c r="DG1809" s="543"/>
      <c r="DH1809" s="149"/>
      <c r="DI1809" s="1020"/>
      <c r="DJ1809" s="2045"/>
    </row>
    <row r="1810" spans="1:114" ht="15" customHeight="1" outlineLevel="1" x14ac:dyDescent="0.25">
      <c r="A1810" s="2145"/>
      <c r="C1810" s="49"/>
      <c r="D1810" s="2394"/>
      <c r="E1810" s="2394"/>
      <c r="F1810" s="2404" t="str">
        <f t="shared" si="227"/>
        <v>ASHP-SEER15_ER1_SF</v>
      </c>
      <c r="G1810" s="2404"/>
      <c r="H1810" s="2404"/>
      <c r="I1810" s="2404"/>
      <c r="J1810" s="1506" t="str">
        <f t="shared" si="228"/>
        <v>352350_2024_12_</v>
      </c>
      <c r="K1810" s="1537">
        <v>6</v>
      </c>
      <c r="L1810" s="12"/>
      <c r="M1810" s="1251" t="s">
        <v>1303</v>
      </c>
      <c r="P1810" s="243"/>
      <c r="Q1810" s="243"/>
      <c r="R1810" s="243"/>
      <c r="T1810" s="166"/>
      <c r="U1810" s="50"/>
      <c r="V1810" s="2394"/>
      <c r="W1810" s="245">
        <v>6</v>
      </c>
      <c r="X1810" s="245">
        <v>6</v>
      </c>
      <c r="Y1810" s="245">
        <v>6</v>
      </c>
      <c r="Z1810" s="245">
        <v>6</v>
      </c>
      <c r="AA1810" s="245">
        <v>6</v>
      </c>
      <c r="AB1810" s="245">
        <v>6</v>
      </c>
      <c r="AC1810" s="245">
        <v>6</v>
      </c>
      <c r="AD1810" s="245">
        <v>6</v>
      </c>
      <c r="AE1810" s="245">
        <v>6</v>
      </c>
      <c r="AF1810" s="253">
        <v>6</v>
      </c>
      <c r="AG1810" s="253">
        <f t="shared" si="226"/>
        <v>6</v>
      </c>
      <c r="DG1810" s="543"/>
      <c r="DH1810" s="149"/>
      <c r="DI1810" s="1020"/>
      <c r="DJ1810" s="2045"/>
    </row>
    <row r="1811" spans="1:114" ht="15" customHeight="1" outlineLevel="1" x14ac:dyDescent="0.25">
      <c r="A1811" s="2145"/>
      <c r="C1811" s="49"/>
      <c r="D1811" s="2394"/>
      <c r="E1811" s="2394"/>
      <c r="F1811" s="2404" t="str">
        <f t="shared" si="227"/>
        <v>ASHP-SEER15_ER2_SF</v>
      </c>
      <c r="G1811" s="2404"/>
      <c r="H1811" s="2404"/>
      <c r="I1811" s="2404"/>
      <c r="J1811" s="1506" t="str">
        <f t="shared" si="228"/>
        <v>352350_2024_12_</v>
      </c>
      <c r="K1811" s="1537">
        <v>12</v>
      </c>
      <c r="L1811" s="12"/>
      <c r="M1811" s="1251" t="s">
        <v>1303</v>
      </c>
      <c r="P1811" s="243"/>
      <c r="Q1811" s="243"/>
      <c r="R1811" s="243"/>
      <c r="T1811" s="166"/>
      <c r="U1811" s="50"/>
      <c r="V1811" s="2394"/>
      <c r="W1811" s="245">
        <v>12</v>
      </c>
      <c r="X1811" s="245">
        <v>12</v>
      </c>
      <c r="Y1811" s="245">
        <v>12</v>
      </c>
      <c r="Z1811" s="245">
        <v>12</v>
      </c>
      <c r="AA1811" s="245">
        <v>12</v>
      </c>
      <c r="AB1811" s="245">
        <v>12</v>
      </c>
      <c r="AC1811" s="245">
        <v>12</v>
      </c>
      <c r="AD1811" s="245">
        <v>12</v>
      </c>
      <c r="AE1811" s="245">
        <v>12</v>
      </c>
      <c r="AF1811" s="253">
        <v>12</v>
      </c>
      <c r="AG1811" s="253">
        <f t="shared" si="226"/>
        <v>12</v>
      </c>
      <c r="DG1811" s="543"/>
      <c r="DH1811" s="149"/>
      <c r="DI1811" s="1020"/>
      <c r="DJ1811" s="2045"/>
    </row>
    <row r="1812" spans="1:114" ht="15" customHeight="1" outlineLevel="1" x14ac:dyDescent="0.25">
      <c r="A1812" s="2145"/>
      <c r="C1812" s="49"/>
      <c r="D1812" s="2394"/>
      <c r="E1812" s="2394"/>
      <c r="F1812" s="2404" t="str">
        <f t="shared" si="227"/>
        <v>ASHP-SEER15_ER2_SF</v>
      </c>
      <c r="G1812" s="2404"/>
      <c r="H1812" s="2404"/>
      <c r="I1812" s="2404"/>
      <c r="J1812" s="1506" t="str">
        <f t="shared" si="228"/>
        <v>352350_2024_12_</v>
      </c>
      <c r="K1812" s="1537">
        <v>12</v>
      </c>
      <c r="L1812" s="12"/>
      <c r="M1812" s="1251" t="s">
        <v>1303</v>
      </c>
      <c r="P1812" s="243"/>
      <c r="Q1812" s="243"/>
      <c r="R1812" s="243"/>
      <c r="T1812" s="166"/>
      <c r="U1812" s="50"/>
      <c r="V1812" s="2394"/>
      <c r="W1812" s="245">
        <v>12</v>
      </c>
      <c r="X1812" s="245">
        <v>12</v>
      </c>
      <c r="Y1812" s="245">
        <v>12</v>
      </c>
      <c r="Z1812" s="245">
        <v>12</v>
      </c>
      <c r="AA1812" s="245">
        <v>12</v>
      </c>
      <c r="AB1812" s="245">
        <v>12</v>
      </c>
      <c r="AC1812" s="245">
        <v>12</v>
      </c>
      <c r="AD1812" s="245">
        <v>12</v>
      </c>
      <c r="AE1812" s="245">
        <v>12</v>
      </c>
      <c r="AF1812" s="253">
        <v>12</v>
      </c>
      <c r="AG1812" s="253">
        <f t="shared" si="226"/>
        <v>12</v>
      </c>
      <c r="DG1812" s="543"/>
      <c r="DH1812" s="149"/>
      <c r="DI1812" s="1020"/>
      <c r="DJ1812" s="2045"/>
    </row>
    <row r="1813" spans="1:114" ht="15" customHeight="1" outlineLevel="1" x14ac:dyDescent="0.25">
      <c r="A1813" s="2145"/>
      <c r="C1813" s="49"/>
      <c r="D1813" s="2394"/>
      <c r="E1813" s="2394"/>
      <c r="F1813" s="2404" t="str">
        <f t="shared" si="227"/>
        <v>ASHP-SEER15-Replace_CAC_ElectricHeat_ROF_SF</v>
      </c>
      <c r="G1813" s="2404"/>
      <c r="H1813" s="2404"/>
      <c r="I1813" s="2404"/>
      <c r="J1813" s="1506" t="str">
        <f t="shared" si="228"/>
        <v>352400_2024_12_</v>
      </c>
      <c r="K1813" s="1537">
        <v>18</v>
      </c>
      <c r="L1813" s="12"/>
      <c r="M1813" s="1251" t="s">
        <v>1303</v>
      </c>
      <c r="P1813" s="243"/>
      <c r="Q1813" s="243"/>
      <c r="R1813" s="243"/>
      <c r="T1813" s="166"/>
      <c r="U1813" s="50"/>
      <c r="V1813" s="2394"/>
      <c r="W1813" s="245">
        <v>18</v>
      </c>
      <c r="X1813" s="245">
        <v>18</v>
      </c>
      <c r="Y1813" s="245">
        <v>18</v>
      </c>
      <c r="Z1813" s="245">
        <v>18</v>
      </c>
      <c r="AA1813" s="245">
        <v>18</v>
      </c>
      <c r="AB1813" s="245">
        <v>18</v>
      </c>
      <c r="AC1813" s="245">
        <v>18</v>
      </c>
      <c r="AD1813" s="245">
        <v>18</v>
      </c>
      <c r="AE1813" s="245">
        <v>18</v>
      </c>
      <c r="AF1813" s="253">
        <v>18</v>
      </c>
      <c r="AG1813" s="253">
        <f t="shared" si="226"/>
        <v>18</v>
      </c>
      <c r="DG1813" s="543"/>
      <c r="DH1813" s="149"/>
      <c r="DI1813" s="1020"/>
      <c r="DJ1813" s="2045"/>
    </row>
    <row r="1814" spans="1:114" ht="15" customHeight="1" outlineLevel="1" x14ac:dyDescent="0.25">
      <c r="A1814" s="2145"/>
      <c r="C1814" s="49"/>
      <c r="D1814" s="2394"/>
      <c r="E1814" s="2394"/>
      <c r="F1814" s="2404" t="str">
        <f t="shared" si="227"/>
        <v>ASHP-SEER15-Replace_CAC_ElectricHeat_ROF_SF</v>
      </c>
      <c r="G1814" s="2404"/>
      <c r="H1814" s="2404"/>
      <c r="I1814" s="2404"/>
      <c r="J1814" s="1506" t="str">
        <f t="shared" si="228"/>
        <v>352400_2024_12_</v>
      </c>
      <c r="K1814" s="1537">
        <v>18</v>
      </c>
      <c r="L1814" s="244"/>
      <c r="M1814" s="1251" t="s">
        <v>1303</v>
      </c>
      <c r="P1814" s="243"/>
      <c r="Q1814" s="243"/>
      <c r="R1814" s="243"/>
      <c r="T1814" s="166"/>
      <c r="U1814" s="50"/>
      <c r="V1814" s="2394"/>
      <c r="W1814" s="245">
        <v>18</v>
      </c>
      <c r="X1814" s="245">
        <v>18</v>
      </c>
      <c r="Y1814" s="245">
        <v>18</v>
      </c>
      <c r="Z1814" s="245">
        <v>18</v>
      </c>
      <c r="AA1814" s="245">
        <v>18</v>
      </c>
      <c r="AB1814" s="245">
        <v>18</v>
      </c>
      <c r="AC1814" s="245">
        <v>18</v>
      </c>
      <c r="AD1814" s="245">
        <v>18</v>
      </c>
      <c r="AE1814" s="245">
        <v>18</v>
      </c>
      <c r="AF1814" s="253">
        <v>18</v>
      </c>
      <c r="AG1814" s="253">
        <f t="shared" si="226"/>
        <v>18</v>
      </c>
      <c r="DG1814" s="543"/>
      <c r="DH1814" s="149"/>
      <c r="DI1814" s="1020"/>
      <c r="DJ1814" s="2045"/>
    </row>
    <row r="1815" spans="1:114" ht="15" customHeight="1" outlineLevel="1" x14ac:dyDescent="0.25">
      <c r="A1815" s="2145"/>
      <c r="C1815" s="49"/>
      <c r="D1815" s="2394"/>
      <c r="E1815" s="2394"/>
      <c r="F1815" s="2404" t="str">
        <f t="shared" si="227"/>
        <v>ASHP-SEER15-Replace_CAC_NonElectricHeat_ROF_SF</v>
      </c>
      <c r="G1815" s="2404"/>
      <c r="H1815" s="2404"/>
      <c r="I1815" s="2404"/>
      <c r="J1815" s="1506" t="str">
        <f t="shared" si="228"/>
        <v>352410_2024_12_</v>
      </c>
      <c r="K1815" s="1537">
        <v>18</v>
      </c>
      <c r="L1815" s="244"/>
      <c r="M1815" s="1251" t="s">
        <v>1303</v>
      </c>
      <c r="P1815" s="243"/>
      <c r="Q1815" s="243"/>
      <c r="R1815" s="243"/>
      <c r="T1815" s="166"/>
      <c r="U1815" s="50"/>
      <c r="V1815" s="2394"/>
      <c r="W1815" s="245"/>
      <c r="X1815" s="245"/>
      <c r="Y1815" s="245"/>
      <c r="Z1815" s="245"/>
      <c r="AA1815" s="245"/>
      <c r="AB1815" s="245"/>
      <c r="AC1815" s="963">
        <v>18</v>
      </c>
      <c r="AD1815" s="245">
        <v>18</v>
      </c>
      <c r="AE1815" s="245">
        <v>18</v>
      </c>
      <c r="AF1815" s="253">
        <v>18</v>
      </c>
      <c r="AG1815" s="253">
        <f t="shared" si="226"/>
        <v>18</v>
      </c>
      <c r="DG1815" s="543"/>
      <c r="DH1815" s="149"/>
      <c r="DI1815" s="1020"/>
      <c r="DJ1815" s="2045"/>
    </row>
    <row r="1816" spans="1:114" ht="15" customHeight="1" outlineLevel="1" x14ac:dyDescent="0.25">
      <c r="A1816" s="2145"/>
      <c r="C1816" s="49"/>
      <c r="D1816" s="2394"/>
      <c r="E1816" s="2394"/>
      <c r="F1816" s="2404" t="str">
        <f t="shared" si="227"/>
        <v>ASHP-SEER15-Replace_CAC_NonElectricHeat_ROF_SF</v>
      </c>
      <c r="G1816" s="2404"/>
      <c r="H1816" s="2404"/>
      <c r="I1816" s="2404"/>
      <c r="J1816" s="1506" t="str">
        <f t="shared" si="228"/>
        <v>352410_2024_12_</v>
      </c>
      <c r="K1816" s="1537">
        <v>18</v>
      </c>
      <c r="L1816" s="244"/>
      <c r="M1816" s="1251" t="s">
        <v>1303</v>
      </c>
      <c r="P1816" s="243"/>
      <c r="Q1816" s="243"/>
      <c r="R1816" s="243"/>
      <c r="T1816" s="166"/>
      <c r="U1816" s="50"/>
      <c r="V1816" s="2394"/>
      <c r="W1816" s="245"/>
      <c r="X1816" s="245"/>
      <c r="Y1816" s="245"/>
      <c r="Z1816" s="245"/>
      <c r="AA1816" s="245"/>
      <c r="AB1816" s="245"/>
      <c r="AC1816" s="963">
        <v>18</v>
      </c>
      <c r="AD1816" s="245">
        <v>18</v>
      </c>
      <c r="AE1816" s="245">
        <v>18</v>
      </c>
      <c r="AF1816" s="253">
        <v>18</v>
      </c>
      <c r="AG1816" s="253">
        <f t="shared" si="226"/>
        <v>18</v>
      </c>
      <c r="DG1816" s="543"/>
      <c r="DH1816" s="149"/>
      <c r="DI1816" s="1020"/>
      <c r="DJ1816" s="2045"/>
    </row>
    <row r="1817" spans="1:114" ht="15.75" customHeight="1" outlineLevel="1" x14ac:dyDescent="0.25">
      <c r="A1817" s="2145"/>
      <c r="C1817" s="49"/>
      <c r="D1817" s="2394"/>
      <c r="E1817" s="2394"/>
      <c r="F1817" s="1968" t="s">
        <v>1130</v>
      </c>
      <c r="G1817" s="1969"/>
      <c r="H1817" s="1969"/>
      <c r="I1817" s="1970"/>
      <c r="J1817" s="2095" t="str">
        <f>$C$663</f>
        <v>352420_2025_12_</v>
      </c>
      <c r="K1817" s="1979">
        <v>6</v>
      </c>
      <c r="L1817" s="913"/>
      <c r="M1817" s="1251" t="s">
        <v>1303</v>
      </c>
      <c r="T1817" s="50"/>
      <c r="U1817" s="50"/>
      <c r="V1817" s="2394"/>
      <c r="W1817" s="1268"/>
      <c r="X1817" s="1268"/>
      <c r="Y1817" s="1268"/>
      <c r="Z1817" s="1268"/>
      <c r="AA1817" s="1268"/>
      <c r="AB1817" s="1268"/>
      <c r="AC1817" s="752"/>
      <c r="AD1817" s="966"/>
      <c r="AE1817" s="909"/>
      <c r="AF1817" s="253"/>
      <c r="AG1817" s="253">
        <f t="shared" ref="AG1817:AG1822" si="229">IF(K1817&lt;&gt;"",K1817,"")</f>
        <v>6</v>
      </c>
      <c r="DG1817" s="543"/>
      <c r="DH1817" s="149"/>
      <c r="DI1817" s="1020"/>
      <c r="DJ1817" s="2045"/>
    </row>
    <row r="1818" spans="1:114" ht="15.75" customHeight="1" outlineLevel="1" x14ac:dyDescent="0.25">
      <c r="A1818" s="2145"/>
      <c r="C1818" s="49"/>
      <c r="D1818" s="2394"/>
      <c r="E1818" s="2394"/>
      <c r="F1818" s="1968" t="s">
        <v>1130</v>
      </c>
      <c r="G1818" s="1969"/>
      <c r="H1818" s="1969"/>
      <c r="I1818" s="1970"/>
      <c r="J1818" s="2095" t="str">
        <f>$C$664</f>
        <v>352420_2025_12_</v>
      </c>
      <c r="K1818" s="1979">
        <v>6</v>
      </c>
      <c r="L1818" s="913"/>
      <c r="M1818" s="1251" t="s">
        <v>1303</v>
      </c>
      <c r="T1818" s="50"/>
      <c r="U1818" s="50"/>
      <c r="V1818" s="2394"/>
      <c r="W1818" s="1268"/>
      <c r="X1818" s="1268"/>
      <c r="Y1818" s="1268"/>
      <c r="Z1818" s="1268"/>
      <c r="AA1818" s="1268"/>
      <c r="AB1818" s="1268"/>
      <c r="AC1818" s="752"/>
      <c r="AD1818" s="966"/>
      <c r="AE1818" s="909"/>
      <c r="AF1818" s="253"/>
      <c r="AG1818" s="253">
        <f t="shared" si="229"/>
        <v>6</v>
      </c>
      <c r="DG1818" s="543"/>
      <c r="DH1818" s="149"/>
      <c r="DI1818" s="1020"/>
      <c r="DJ1818" s="2045"/>
    </row>
    <row r="1819" spans="1:114" ht="15.75" customHeight="1" outlineLevel="1" x14ac:dyDescent="0.25">
      <c r="A1819" s="2145"/>
      <c r="C1819" s="49"/>
      <c r="D1819" s="2394"/>
      <c r="E1819" s="2394"/>
      <c r="F1819" s="1968" t="s">
        <v>1131</v>
      </c>
      <c r="G1819" s="1969"/>
      <c r="H1819" s="1969"/>
      <c r="I1819" s="1970"/>
      <c r="J1819" s="2095" t="str">
        <f t="shared" ref="J1819:J1820" si="230">$C$664</f>
        <v>352420_2025_12_</v>
      </c>
      <c r="K1819" s="1979">
        <v>12</v>
      </c>
      <c r="L1819" s="913"/>
      <c r="M1819" s="1251" t="s">
        <v>1303</v>
      </c>
      <c r="T1819" s="50"/>
      <c r="U1819" s="50"/>
      <c r="V1819" s="2394"/>
      <c r="W1819" s="1268"/>
      <c r="X1819" s="1268"/>
      <c r="Y1819" s="1268"/>
      <c r="Z1819" s="1268"/>
      <c r="AA1819" s="1268"/>
      <c r="AB1819" s="1268"/>
      <c r="AC1819" s="752"/>
      <c r="AD1819" s="966"/>
      <c r="AE1819" s="909"/>
      <c r="AF1819" s="253"/>
      <c r="AG1819" s="253">
        <f t="shared" si="229"/>
        <v>12</v>
      </c>
      <c r="DG1819" s="543"/>
      <c r="DH1819" s="149"/>
      <c r="DI1819" s="1020"/>
      <c r="DJ1819" s="2045"/>
    </row>
    <row r="1820" spans="1:114" ht="15.75" customHeight="1" outlineLevel="1" x14ac:dyDescent="0.25">
      <c r="A1820" s="2145"/>
      <c r="C1820" s="49"/>
      <c r="D1820" s="2394"/>
      <c r="E1820" s="2394"/>
      <c r="F1820" s="1968" t="s">
        <v>1131</v>
      </c>
      <c r="G1820" s="1969"/>
      <c r="H1820" s="1969"/>
      <c r="I1820" s="1970"/>
      <c r="J1820" s="2095" t="str">
        <f t="shared" si="230"/>
        <v>352420_2025_12_</v>
      </c>
      <c r="K1820" s="1979">
        <v>12</v>
      </c>
      <c r="L1820" s="913"/>
      <c r="M1820" s="1251" t="s">
        <v>1303</v>
      </c>
      <c r="T1820" s="50"/>
      <c r="U1820" s="50"/>
      <c r="V1820" s="2394"/>
      <c r="W1820" s="1268"/>
      <c r="X1820" s="1268"/>
      <c r="Y1820" s="1268"/>
      <c r="Z1820" s="1268"/>
      <c r="AA1820" s="1268"/>
      <c r="AB1820" s="1268"/>
      <c r="AC1820" s="752"/>
      <c r="AD1820" s="966"/>
      <c r="AE1820" s="909"/>
      <c r="AF1820" s="253"/>
      <c r="AG1820" s="253">
        <f t="shared" si="229"/>
        <v>12</v>
      </c>
      <c r="DG1820" s="543"/>
      <c r="DH1820" s="149"/>
      <c r="DI1820" s="1020"/>
      <c r="DJ1820" s="2045"/>
    </row>
    <row r="1821" spans="1:114" ht="15.75" customHeight="1" outlineLevel="1" x14ac:dyDescent="0.25">
      <c r="A1821" s="2145"/>
      <c r="C1821" s="49"/>
      <c r="D1821" s="2394"/>
      <c r="E1821" s="2394"/>
      <c r="F1821" s="1968" t="s">
        <v>1133</v>
      </c>
      <c r="G1821" s="1969"/>
      <c r="H1821" s="1969"/>
      <c r="I1821" s="1970"/>
      <c r="J1821" s="2095" t="str">
        <f t="shared" ref="J1821:J1822" si="231">$C$667</f>
        <v>352425_2025_12_</v>
      </c>
      <c r="K1821" s="1979">
        <v>18</v>
      </c>
      <c r="L1821" s="913"/>
      <c r="M1821" s="1251" t="s">
        <v>1303</v>
      </c>
      <c r="T1821" s="50"/>
      <c r="U1821" s="50"/>
      <c r="V1821" s="2394"/>
      <c r="W1821" s="1268"/>
      <c r="X1821" s="1268"/>
      <c r="Y1821" s="1268"/>
      <c r="Z1821" s="1268"/>
      <c r="AA1821" s="1268"/>
      <c r="AB1821" s="1268"/>
      <c r="AC1821" s="752"/>
      <c r="AD1821" s="966"/>
      <c r="AE1821" s="909"/>
      <c r="AF1821" s="253"/>
      <c r="AG1821" s="253">
        <f t="shared" si="229"/>
        <v>18</v>
      </c>
      <c r="DG1821" s="543"/>
      <c r="DH1821" s="149"/>
      <c r="DI1821" s="1020"/>
      <c r="DJ1821" s="2045"/>
    </row>
    <row r="1822" spans="1:114" ht="15.75" customHeight="1" outlineLevel="1" x14ac:dyDescent="0.25">
      <c r="A1822" s="2145"/>
      <c r="C1822" s="49"/>
      <c r="D1822" s="2394"/>
      <c r="E1822" s="2394"/>
      <c r="F1822" s="1968" t="s">
        <v>1133</v>
      </c>
      <c r="G1822" s="1969"/>
      <c r="H1822" s="1969"/>
      <c r="I1822" s="1970"/>
      <c r="J1822" s="2095" t="str">
        <f t="shared" si="231"/>
        <v>352425_2025_12_</v>
      </c>
      <c r="K1822" s="1979">
        <v>18</v>
      </c>
      <c r="L1822" s="913"/>
      <c r="M1822" s="1251" t="s">
        <v>1303</v>
      </c>
      <c r="T1822" s="50"/>
      <c r="U1822" s="50"/>
      <c r="V1822" s="2394"/>
      <c r="W1822" s="1268"/>
      <c r="X1822" s="1268"/>
      <c r="Y1822" s="1268"/>
      <c r="Z1822" s="1268"/>
      <c r="AA1822" s="1268"/>
      <c r="AB1822" s="1268"/>
      <c r="AC1822" s="752"/>
      <c r="AD1822" s="966"/>
      <c r="AE1822" s="909"/>
      <c r="AF1822" s="253"/>
      <c r="AG1822" s="253">
        <f t="shared" si="229"/>
        <v>18</v>
      </c>
      <c r="DG1822" s="543"/>
      <c r="DH1822" s="149"/>
      <c r="DI1822" s="1020"/>
      <c r="DJ1822" s="2045"/>
    </row>
    <row r="1823" spans="1:114" ht="15" customHeight="1" outlineLevel="1" x14ac:dyDescent="0.25">
      <c r="A1823" s="2145"/>
      <c r="C1823" s="49"/>
      <c r="D1823" s="2394"/>
      <c r="E1823" s="2394"/>
      <c r="F1823" s="2404" t="str">
        <f t="shared" ref="F1823:F1830" si="232">E669</f>
        <v>ASHP-SEER16-Replace_CAC_ElectricHeat_ER1_SF</v>
      </c>
      <c r="G1823" s="2404"/>
      <c r="H1823" s="2404"/>
      <c r="I1823" s="2404"/>
      <c r="J1823" s="1506" t="str">
        <f t="shared" ref="J1823:J1830" si="233">C669</f>
        <v>352500_2024_12_</v>
      </c>
      <c r="K1823" s="1537">
        <v>6</v>
      </c>
      <c r="L1823" s="244"/>
      <c r="M1823" s="1251" t="s">
        <v>1303</v>
      </c>
      <c r="P1823" s="243"/>
      <c r="Q1823" s="243"/>
      <c r="R1823" s="243"/>
      <c r="T1823" s="166"/>
      <c r="U1823" s="50"/>
      <c r="V1823" s="2394"/>
      <c r="W1823" s="245">
        <v>6</v>
      </c>
      <c r="X1823" s="245">
        <v>6</v>
      </c>
      <c r="Y1823" s="245">
        <v>6</v>
      </c>
      <c r="Z1823" s="245">
        <v>6</v>
      </c>
      <c r="AA1823" s="245">
        <v>6</v>
      </c>
      <c r="AB1823" s="245">
        <v>6</v>
      </c>
      <c r="AC1823" s="245">
        <v>6</v>
      </c>
      <c r="AD1823" s="245">
        <v>6</v>
      </c>
      <c r="AE1823" s="245">
        <v>6</v>
      </c>
      <c r="AF1823" s="253">
        <v>6</v>
      </c>
      <c r="AG1823" s="253">
        <f t="shared" si="226"/>
        <v>6</v>
      </c>
      <c r="DG1823" s="543"/>
      <c r="DH1823" s="149"/>
      <c r="DI1823" s="1020"/>
      <c r="DJ1823" s="2045"/>
    </row>
    <row r="1824" spans="1:114" ht="15" customHeight="1" outlineLevel="1" x14ac:dyDescent="0.25">
      <c r="A1824" s="2145"/>
      <c r="C1824" s="49"/>
      <c r="D1824" s="2394"/>
      <c r="E1824" s="2394"/>
      <c r="F1824" s="2404" t="str">
        <f t="shared" si="232"/>
        <v>ASHP-SEER16-Replace_CAC_ElectricHeat_ER1_SF</v>
      </c>
      <c r="G1824" s="2404"/>
      <c r="H1824" s="2404"/>
      <c r="I1824" s="2404"/>
      <c r="J1824" s="1506" t="str">
        <f t="shared" si="233"/>
        <v>352500_2024_12_</v>
      </c>
      <c r="K1824" s="1537">
        <v>6</v>
      </c>
      <c r="L1824" s="244"/>
      <c r="M1824" s="1251" t="s">
        <v>1303</v>
      </c>
      <c r="P1824" s="243"/>
      <c r="Q1824" s="243"/>
      <c r="R1824" s="243"/>
      <c r="T1824" s="166"/>
      <c r="U1824" s="50"/>
      <c r="V1824" s="2394"/>
      <c r="W1824" s="245">
        <v>6</v>
      </c>
      <c r="X1824" s="245">
        <v>6</v>
      </c>
      <c r="Y1824" s="245">
        <v>6</v>
      </c>
      <c r="Z1824" s="245">
        <v>6</v>
      </c>
      <c r="AA1824" s="245">
        <v>6</v>
      </c>
      <c r="AB1824" s="245">
        <v>6</v>
      </c>
      <c r="AC1824" s="245">
        <v>6</v>
      </c>
      <c r="AD1824" s="245">
        <v>6</v>
      </c>
      <c r="AE1824" s="245">
        <v>6</v>
      </c>
      <c r="AF1824" s="253">
        <v>6</v>
      </c>
      <c r="AG1824" s="253">
        <f t="shared" si="226"/>
        <v>6</v>
      </c>
      <c r="DG1824" s="543"/>
      <c r="DH1824" s="149"/>
      <c r="DI1824" s="1020"/>
      <c r="DJ1824" s="2045"/>
    </row>
    <row r="1825" spans="1:114" ht="15" customHeight="1" outlineLevel="1" x14ac:dyDescent="0.25">
      <c r="A1825" s="2145"/>
      <c r="C1825" s="49"/>
      <c r="D1825" s="2394"/>
      <c r="E1825" s="2394"/>
      <c r="F1825" s="2404" t="str">
        <f t="shared" si="232"/>
        <v>ASHP-SEER16-Replace_CAC_ElectricHeat_ER2_SF</v>
      </c>
      <c r="G1825" s="2404"/>
      <c r="H1825" s="2404"/>
      <c r="I1825" s="2404"/>
      <c r="J1825" s="1506" t="str">
        <f t="shared" si="233"/>
        <v>352500_2024_12_</v>
      </c>
      <c r="K1825" s="1537">
        <v>12</v>
      </c>
      <c r="L1825" s="244"/>
      <c r="M1825" s="1251" t="s">
        <v>1303</v>
      </c>
      <c r="P1825" s="243"/>
      <c r="Q1825" s="243"/>
      <c r="R1825" s="243"/>
      <c r="T1825" s="166"/>
      <c r="U1825" s="50"/>
      <c r="V1825" s="2394"/>
      <c r="W1825" s="245">
        <v>12</v>
      </c>
      <c r="X1825" s="245">
        <v>12</v>
      </c>
      <c r="Y1825" s="245">
        <v>12</v>
      </c>
      <c r="Z1825" s="245">
        <v>12</v>
      </c>
      <c r="AA1825" s="245">
        <v>12</v>
      </c>
      <c r="AB1825" s="245">
        <v>12</v>
      </c>
      <c r="AC1825" s="245">
        <v>12</v>
      </c>
      <c r="AD1825" s="245">
        <v>12</v>
      </c>
      <c r="AE1825" s="245">
        <v>12</v>
      </c>
      <c r="AF1825" s="253">
        <v>12</v>
      </c>
      <c r="AG1825" s="253">
        <f t="shared" si="226"/>
        <v>12</v>
      </c>
      <c r="DG1825" s="543"/>
      <c r="DH1825" s="149"/>
      <c r="DI1825" s="1020"/>
      <c r="DJ1825" s="2045"/>
    </row>
    <row r="1826" spans="1:114" ht="15" customHeight="1" outlineLevel="1" x14ac:dyDescent="0.25">
      <c r="A1826" s="2145"/>
      <c r="C1826" s="49"/>
      <c r="D1826" s="2394"/>
      <c r="E1826" s="2394"/>
      <c r="F1826" s="2404" t="str">
        <f t="shared" si="232"/>
        <v>ASHP-SEER16-Replace_CAC_ElectricHeat_ER2_SF</v>
      </c>
      <c r="G1826" s="2404"/>
      <c r="H1826" s="2404"/>
      <c r="I1826" s="2404"/>
      <c r="J1826" s="1506" t="str">
        <f t="shared" si="233"/>
        <v>352500_2024_12_</v>
      </c>
      <c r="K1826" s="1537">
        <v>12</v>
      </c>
      <c r="L1826" s="244"/>
      <c r="M1826" s="1251" t="s">
        <v>1303</v>
      </c>
      <c r="P1826" s="243"/>
      <c r="Q1826" s="243"/>
      <c r="R1826" s="243"/>
      <c r="T1826" s="166"/>
      <c r="U1826" s="50"/>
      <c r="V1826" s="2394"/>
      <c r="W1826" s="245">
        <v>12</v>
      </c>
      <c r="X1826" s="245">
        <v>12</v>
      </c>
      <c r="Y1826" s="245">
        <v>12</v>
      </c>
      <c r="Z1826" s="245">
        <v>12</v>
      </c>
      <c r="AA1826" s="245">
        <v>12</v>
      </c>
      <c r="AB1826" s="245">
        <v>12</v>
      </c>
      <c r="AC1826" s="245">
        <v>12</v>
      </c>
      <c r="AD1826" s="245">
        <v>12</v>
      </c>
      <c r="AE1826" s="245">
        <v>12</v>
      </c>
      <c r="AF1826" s="253">
        <v>12</v>
      </c>
      <c r="AG1826" s="253">
        <f t="shared" si="226"/>
        <v>12</v>
      </c>
      <c r="DG1826" s="543"/>
      <c r="DH1826" s="149"/>
      <c r="DI1826" s="1020"/>
      <c r="DJ1826" s="2045"/>
    </row>
    <row r="1827" spans="1:114" ht="15" customHeight="1" outlineLevel="1" x14ac:dyDescent="0.25">
      <c r="A1827" s="2145"/>
      <c r="C1827" s="49"/>
      <c r="D1827" s="2394"/>
      <c r="E1827" s="2394"/>
      <c r="F1827" s="2404" t="str">
        <f t="shared" si="232"/>
        <v>ASHP-SEER16-Replace_CAC_NonElectricHeat_ER1_SF</v>
      </c>
      <c r="G1827" s="2404"/>
      <c r="H1827" s="2404"/>
      <c r="I1827" s="2404"/>
      <c r="J1827" s="1506" t="str">
        <f t="shared" si="233"/>
        <v>352510_2024_12_</v>
      </c>
      <c r="K1827" s="1537">
        <v>6</v>
      </c>
      <c r="L1827" s="244"/>
      <c r="M1827" s="1251" t="s">
        <v>1303</v>
      </c>
      <c r="P1827" s="243"/>
      <c r="Q1827" s="243"/>
      <c r="R1827" s="243"/>
      <c r="T1827" s="166"/>
      <c r="U1827" s="50"/>
      <c r="V1827" s="2394"/>
      <c r="W1827" s="245"/>
      <c r="X1827" s="245"/>
      <c r="Y1827" s="245"/>
      <c r="Z1827" s="245"/>
      <c r="AA1827" s="245"/>
      <c r="AB1827" s="245"/>
      <c r="AC1827" s="963">
        <v>6</v>
      </c>
      <c r="AD1827" s="245">
        <v>6</v>
      </c>
      <c r="AE1827" s="245">
        <v>6</v>
      </c>
      <c r="AF1827" s="253">
        <v>6</v>
      </c>
      <c r="AG1827" s="253">
        <f t="shared" si="226"/>
        <v>6</v>
      </c>
      <c r="DG1827" s="543"/>
      <c r="DH1827" s="149"/>
      <c r="DI1827" s="1020"/>
      <c r="DJ1827" s="2045"/>
    </row>
    <row r="1828" spans="1:114" ht="15" customHeight="1" outlineLevel="1" x14ac:dyDescent="0.25">
      <c r="A1828" s="2145"/>
      <c r="C1828" s="49"/>
      <c r="D1828" s="2394"/>
      <c r="E1828" s="2394"/>
      <c r="F1828" s="2404" t="str">
        <f t="shared" si="232"/>
        <v>ASHP-SEER16-Replace_CAC_NonElectricHeat_ER1_SF</v>
      </c>
      <c r="G1828" s="2404"/>
      <c r="H1828" s="2404"/>
      <c r="I1828" s="2404"/>
      <c r="J1828" s="1506" t="str">
        <f t="shared" si="233"/>
        <v>352510_2024_12_</v>
      </c>
      <c r="K1828" s="1537">
        <v>6</v>
      </c>
      <c r="L1828" s="244"/>
      <c r="M1828" s="1251" t="s">
        <v>1303</v>
      </c>
      <c r="P1828" s="243"/>
      <c r="Q1828" s="243"/>
      <c r="R1828" s="243"/>
      <c r="T1828" s="166"/>
      <c r="U1828" s="50"/>
      <c r="V1828" s="2394"/>
      <c r="W1828" s="245"/>
      <c r="X1828" s="245"/>
      <c r="Y1828" s="245"/>
      <c r="Z1828" s="245"/>
      <c r="AA1828" s="245"/>
      <c r="AB1828" s="245"/>
      <c r="AC1828" s="963">
        <v>6</v>
      </c>
      <c r="AD1828" s="245">
        <v>6</v>
      </c>
      <c r="AE1828" s="245">
        <v>6</v>
      </c>
      <c r="AF1828" s="253">
        <v>6</v>
      </c>
      <c r="AG1828" s="253">
        <f t="shared" si="226"/>
        <v>6</v>
      </c>
      <c r="DG1828" s="543"/>
      <c r="DH1828" s="149"/>
      <c r="DI1828" s="1020"/>
      <c r="DJ1828" s="2045"/>
    </row>
    <row r="1829" spans="1:114" ht="15" customHeight="1" outlineLevel="1" x14ac:dyDescent="0.25">
      <c r="A1829" s="2145"/>
      <c r="C1829" s="49"/>
      <c r="D1829" s="2394"/>
      <c r="E1829" s="2394"/>
      <c r="F1829" s="2404" t="str">
        <f t="shared" si="232"/>
        <v>ASHP-SEER16-Replace_CAC_NonElectricHeat_ER2_SF</v>
      </c>
      <c r="G1829" s="2404"/>
      <c r="H1829" s="2404"/>
      <c r="I1829" s="2404"/>
      <c r="J1829" s="1506" t="str">
        <f t="shared" si="233"/>
        <v>352510_2024_12_</v>
      </c>
      <c r="K1829" s="1537">
        <v>12</v>
      </c>
      <c r="L1829" s="244"/>
      <c r="M1829" s="1251" t="s">
        <v>1303</v>
      </c>
      <c r="P1829" s="243"/>
      <c r="Q1829" s="243"/>
      <c r="R1829" s="243"/>
      <c r="T1829" s="166"/>
      <c r="U1829" s="50"/>
      <c r="V1829" s="2394"/>
      <c r="W1829" s="245"/>
      <c r="X1829" s="245"/>
      <c r="Y1829" s="245"/>
      <c r="Z1829" s="245"/>
      <c r="AA1829" s="245"/>
      <c r="AB1829" s="245"/>
      <c r="AC1829" s="963">
        <v>12</v>
      </c>
      <c r="AD1829" s="245">
        <v>12</v>
      </c>
      <c r="AE1829" s="245">
        <v>12</v>
      </c>
      <c r="AF1829" s="253">
        <v>12</v>
      </c>
      <c r="AG1829" s="253">
        <f t="shared" si="226"/>
        <v>12</v>
      </c>
      <c r="DG1829" s="543"/>
      <c r="DH1829" s="149"/>
      <c r="DI1829" s="1020"/>
      <c r="DJ1829" s="2045"/>
    </row>
    <row r="1830" spans="1:114" ht="15" customHeight="1" outlineLevel="1" x14ac:dyDescent="0.25">
      <c r="A1830" s="2145"/>
      <c r="C1830" s="49"/>
      <c r="D1830" s="2394"/>
      <c r="E1830" s="2394"/>
      <c r="F1830" s="2404" t="str">
        <f t="shared" si="232"/>
        <v>ASHP-SEER16-Replace_CAC_NonElectricHeat_ER2_SF</v>
      </c>
      <c r="G1830" s="2404"/>
      <c r="H1830" s="2404"/>
      <c r="I1830" s="2404"/>
      <c r="J1830" s="1506" t="str">
        <f t="shared" si="233"/>
        <v>352510_2024_12_</v>
      </c>
      <c r="K1830" s="1537">
        <v>12</v>
      </c>
      <c r="L1830" s="244"/>
      <c r="M1830" s="1251" t="s">
        <v>1303</v>
      </c>
      <c r="P1830" s="243"/>
      <c r="Q1830" s="243"/>
      <c r="R1830" s="243"/>
      <c r="T1830" s="166"/>
      <c r="U1830" s="50"/>
      <c r="V1830" s="2394"/>
      <c r="W1830" s="245"/>
      <c r="X1830" s="245"/>
      <c r="Y1830" s="245"/>
      <c r="Z1830" s="245"/>
      <c r="AA1830" s="245"/>
      <c r="AB1830" s="245"/>
      <c r="AC1830" s="963">
        <v>12</v>
      </c>
      <c r="AD1830" s="245">
        <v>12</v>
      </c>
      <c r="AE1830" s="245">
        <v>12</v>
      </c>
      <c r="AF1830" s="253">
        <v>12</v>
      </c>
      <c r="AG1830" s="253">
        <f t="shared" si="226"/>
        <v>12</v>
      </c>
      <c r="DG1830" s="543"/>
      <c r="DH1830" s="149"/>
      <c r="DI1830" s="1020"/>
      <c r="DJ1830" s="2045"/>
    </row>
    <row r="1831" spans="1:114" ht="15.75" customHeight="1" outlineLevel="1" x14ac:dyDescent="0.25">
      <c r="A1831" s="2145"/>
      <c r="C1831" s="49"/>
      <c r="D1831" s="2394"/>
      <c r="E1831" s="2394"/>
      <c r="F1831" s="1968" t="s">
        <v>1141</v>
      </c>
      <c r="G1831" s="1969"/>
      <c r="H1831" s="1969"/>
      <c r="I1831" s="1970"/>
      <c r="J1831" s="2095" t="s">
        <v>1140</v>
      </c>
      <c r="K1831" s="1979">
        <v>6</v>
      </c>
      <c r="L1831" s="913"/>
      <c r="M1831" s="1251" t="s">
        <v>1303</v>
      </c>
      <c r="T1831" s="50"/>
      <c r="U1831" s="50"/>
      <c r="V1831" s="2394"/>
      <c r="W1831" s="1268"/>
      <c r="X1831" s="1268"/>
      <c r="Y1831" s="1268"/>
      <c r="Z1831" s="1268"/>
      <c r="AA1831" s="1268"/>
      <c r="AB1831" s="1268"/>
      <c r="AC1831" s="752"/>
      <c r="AD1831" s="966"/>
      <c r="AE1831" s="909"/>
      <c r="AF1831" s="253"/>
      <c r="AG1831" s="253">
        <f>IF(K1831&lt;&gt;"",K1831,"")</f>
        <v>6</v>
      </c>
      <c r="DG1831" s="543"/>
      <c r="DH1831" s="149"/>
      <c r="DI1831" s="1020"/>
      <c r="DJ1831" s="2045"/>
    </row>
    <row r="1832" spans="1:114" ht="15.75" customHeight="1" outlineLevel="1" x14ac:dyDescent="0.25">
      <c r="A1832" s="2145"/>
      <c r="C1832" s="49"/>
      <c r="D1832" s="2394"/>
      <c r="E1832" s="2394"/>
      <c r="F1832" s="1968" t="s">
        <v>1141</v>
      </c>
      <c r="G1832" s="1969"/>
      <c r="H1832" s="1969"/>
      <c r="I1832" s="1970"/>
      <c r="J1832" s="2095" t="s">
        <v>1140</v>
      </c>
      <c r="K1832" s="1979">
        <v>6</v>
      </c>
      <c r="L1832" s="913"/>
      <c r="M1832" s="1251" t="s">
        <v>1303</v>
      </c>
      <c r="T1832" s="50"/>
      <c r="U1832" s="50"/>
      <c r="V1832" s="2394"/>
      <c r="W1832" s="1268"/>
      <c r="X1832" s="1268"/>
      <c r="Y1832" s="1268"/>
      <c r="Z1832" s="1268"/>
      <c r="AA1832" s="1268"/>
      <c r="AB1832" s="1268"/>
      <c r="AC1832" s="752"/>
      <c r="AD1832" s="966"/>
      <c r="AE1832" s="909"/>
      <c r="AF1832" s="253"/>
      <c r="AG1832" s="253">
        <f>IF(K1832&lt;&gt;"",K1832,"")</f>
        <v>6</v>
      </c>
      <c r="DG1832" s="543"/>
      <c r="DH1832" s="149"/>
      <c r="DI1832" s="1020"/>
      <c r="DJ1832" s="2045"/>
    </row>
    <row r="1833" spans="1:114" ht="15.75" customHeight="1" outlineLevel="1" x14ac:dyDescent="0.25">
      <c r="A1833" s="2145"/>
      <c r="C1833" s="49"/>
      <c r="D1833" s="2394"/>
      <c r="E1833" s="2394"/>
      <c r="F1833" s="1968" t="s">
        <v>1142</v>
      </c>
      <c r="G1833" s="1969"/>
      <c r="H1833" s="1969"/>
      <c r="I1833" s="1970"/>
      <c r="J1833" s="2095" t="s">
        <v>1140</v>
      </c>
      <c r="K1833" s="1979">
        <v>12</v>
      </c>
      <c r="L1833" s="913"/>
      <c r="M1833" s="1251" t="s">
        <v>1303</v>
      </c>
      <c r="T1833" s="50"/>
      <c r="U1833" s="50"/>
      <c r="V1833" s="2394"/>
      <c r="W1833" s="1268"/>
      <c r="X1833" s="1268"/>
      <c r="Y1833" s="1268"/>
      <c r="Z1833" s="1268"/>
      <c r="AA1833" s="1268"/>
      <c r="AB1833" s="1268"/>
      <c r="AC1833" s="752"/>
      <c r="AD1833" s="966"/>
      <c r="AE1833" s="909"/>
      <c r="AF1833" s="253"/>
      <c r="AG1833" s="253">
        <f>IF(K1833&lt;&gt;"",K1833,"")</f>
        <v>12</v>
      </c>
      <c r="DG1833" s="543"/>
      <c r="DH1833" s="149"/>
      <c r="DI1833" s="1020"/>
      <c r="DJ1833" s="2045"/>
    </row>
    <row r="1834" spans="1:114" ht="15.75" customHeight="1" outlineLevel="1" x14ac:dyDescent="0.25">
      <c r="A1834" s="2145"/>
      <c r="C1834" s="49"/>
      <c r="D1834" s="2394"/>
      <c r="E1834" s="2394"/>
      <c r="F1834" s="1968" t="s">
        <v>1142</v>
      </c>
      <c r="G1834" s="1969"/>
      <c r="H1834" s="1969"/>
      <c r="I1834" s="1970"/>
      <c r="J1834" s="2095" t="s">
        <v>1140</v>
      </c>
      <c r="K1834" s="1979">
        <v>12</v>
      </c>
      <c r="L1834" s="913"/>
      <c r="M1834" s="1251" t="s">
        <v>1303</v>
      </c>
      <c r="T1834" s="50"/>
      <c r="U1834" s="50"/>
      <c r="V1834" s="2394"/>
      <c r="W1834" s="1268"/>
      <c r="X1834" s="1268"/>
      <c r="Y1834" s="1268"/>
      <c r="Z1834" s="1268"/>
      <c r="AA1834" s="1268"/>
      <c r="AB1834" s="1268"/>
      <c r="AC1834" s="752"/>
      <c r="AD1834" s="966"/>
      <c r="AE1834" s="909"/>
      <c r="AF1834" s="253"/>
      <c r="AG1834" s="253">
        <f>IF(K1834&lt;&gt;"",K1834,"")</f>
        <v>12</v>
      </c>
      <c r="DG1834" s="543"/>
      <c r="DH1834" s="149"/>
      <c r="DI1834" s="1020"/>
      <c r="DJ1834" s="2045"/>
    </row>
    <row r="1835" spans="1:114" ht="15" customHeight="1" outlineLevel="1" x14ac:dyDescent="0.25">
      <c r="A1835" s="2145"/>
      <c r="C1835" s="49"/>
      <c r="D1835" s="2394"/>
      <c r="E1835" s="2394"/>
      <c r="F1835" s="2404" t="str">
        <f t="shared" ref="F1835:F1840" si="234">E681</f>
        <v>ASHP-SEER16_ER1_SF</v>
      </c>
      <c r="G1835" s="2404"/>
      <c r="H1835" s="2404"/>
      <c r="I1835" s="2404"/>
      <c r="J1835" s="1506" t="str">
        <f t="shared" ref="J1835:J1840" si="235">C681</f>
        <v>352550_2024_12_</v>
      </c>
      <c r="K1835" s="1537">
        <v>6</v>
      </c>
      <c r="L1835" s="244"/>
      <c r="M1835" s="1251" t="s">
        <v>1303</v>
      </c>
      <c r="P1835" s="243"/>
      <c r="Q1835" s="243"/>
      <c r="R1835" s="243"/>
      <c r="T1835" s="166"/>
      <c r="U1835" s="50"/>
      <c r="V1835" s="2394"/>
      <c r="W1835" s="245">
        <v>6</v>
      </c>
      <c r="X1835" s="245">
        <v>6</v>
      </c>
      <c r="Y1835" s="245">
        <v>6</v>
      </c>
      <c r="Z1835" s="245">
        <v>6</v>
      </c>
      <c r="AA1835" s="245">
        <v>6</v>
      </c>
      <c r="AB1835" s="245">
        <v>6</v>
      </c>
      <c r="AC1835" s="245">
        <v>6</v>
      </c>
      <c r="AD1835" s="245">
        <v>6</v>
      </c>
      <c r="AE1835" s="245">
        <v>6</v>
      </c>
      <c r="AF1835" s="253">
        <v>6</v>
      </c>
      <c r="AG1835" s="253">
        <f t="shared" si="226"/>
        <v>6</v>
      </c>
      <c r="DG1835" s="543"/>
      <c r="DH1835" s="149"/>
      <c r="DI1835" s="1020"/>
      <c r="DJ1835" s="2045"/>
    </row>
    <row r="1836" spans="1:114" ht="15" customHeight="1" outlineLevel="1" x14ac:dyDescent="0.25">
      <c r="A1836" s="2145"/>
      <c r="C1836" s="49"/>
      <c r="D1836" s="2394"/>
      <c r="E1836" s="2394"/>
      <c r="F1836" s="2404" t="str">
        <f t="shared" si="234"/>
        <v>ASHP-SEER16_ER1_SF</v>
      </c>
      <c r="G1836" s="2404"/>
      <c r="H1836" s="2404"/>
      <c r="I1836" s="2404"/>
      <c r="J1836" s="1506" t="str">
        <f t="shared" si="235"/>
        <v>352550_2024_12_</v>
      </c>
      <c r="K1836" s="1537">
        <v>6</v>
      </c>
      <c r="L1836" s="244"/>
      <c r="M1836" s="1251" t="s">
        <v>1303</v>
      </c>
      <c r="P1836" s="243"/>
      <c r="Q1836" s="243"/>
      <c r="R1836" s="243"/>
      <c r="T1836" s="166"/>
      <c r="U1836" s="50"/>
      <c r="V1836" s="2394"/>
      <c r="W1836" s="245">
        <v>6</v>
      </c>
      <c r="X1836" s="245">
        <v>6</v>
      </c>
      <c r="Y1836" s="245">
        <v>6</v>
      </c>
      <c r="Z1836" s="245">
        <v>6</v>
      </c>
      <c r="AA1836" s="245">
        <v>6</v>
      </c>
      <c r="AB1836" s="245">
        <v>6</v>
      </c>
      <c r="AC1836" s="245">
        <v>6</v>
      </c>
      <c r="AD1836" s="245">
        <v>6</v>
      </c>
      <c r="AE1836" s="245">
        <v>6</v>
      </c>
      <c r="AF1836" s="253">
        <v>6</v>
      </c>
      <c r="AG1836" s="253">
        <f t="shared" si="226"/>
        <v>6</v>
      </c>
      <c r="DG1836" s="543"/>
      <c r="DH1836" s="149"/>
      <c r="DI1836" s="1020"/>
      <c r="DJ1836" s="2045"/>
    </row>
    <row r="1837" spans="1:114" ht="15" customHeight="1" outlineLevel="1" x14ac:dyDescent="0.25">
      <c r="A1837" s="2145"/>
      <c r="C1837" s="49"/>
      <c r="D1837" s="2394"/>
      <c r="E1837" s="2394"/>
      <c r="F1837" s="2404" t="str">
        <f t="shared" si="234"/>
        <v>ASHP-SEER16_ER2_SF</v>
      </c>
      <c r="G1837" s="2404"/>
      <c r="H1837" s="2404"/>
      <c r="I1837" s="2404"/>
      <c r="J1837" s="1506" t="str">
        <f t="shared" si="235"/>
        <v>352550_2024_12_</v>
      </c>
      <c r="K1837" s="1537">
        <v>12</v>
      </c>
      <c r="L1837" s="244"/>
      <c r="M1837" s="1251" t="s">
        <v>1303</v>
      </c>
      <c r="P1837" s="243"/>
      <c r="Q1837" s="243"/>
      <c r="R1837" s="243"/>
      <c r="T1837" s="166"/>
      <c r="U1837" s="50"/>
      <c r="V1837" s="2394"/>
      <c r="W1837" s="245">
        <v>12</v>
      </c>
      <c r="X1837" s="245">
        <v>12</v>
      </c>
      <c r="Y1837" s="245">
        <v>12</v>
      </c>
      <c r="Z1837" s="245">
        <v>12</v>
      </c>
      <c r="AA1837" s="245">
        <v>12</v>
      </c>
      <c r="AB1837" s="245">
        <v>12</v>
      </c>
      <c r="AC1837" s="245">
        <v>12</v>
      </c>
      <c r="AD1837" s="245">
        <v>12</v>
      </c>
      <c r="AE1837" s="245">
        <v>12</v>
      </c>
      <c r="AF1837" s="253">
        <v>12</v>
      </c>
      <c r="AG1837" s="253">
        <f t="shared" si="226"/>
        <v>12</v>
      </c>
      <c r="DG1837" s="543"/>
      <c r="DH1837" s="149"/>
      <c r="DI1837" s="1020"/>
      <c r="DJ1837" s="2045"/>
    </row>
    <row r="1838" spans="1:114" ht="15" customHeight="1" outlineLevel="1" x14ac:dyDescent="0.25">
      <c r="A1838" s="2145"/>
      <c r="C1838" s="49"/>
      <c r="D1838" s="2394"/>
      <c r="E1838" s="2394"/>
      <c r="F1838" s="2404" t="str">
        <f t="shared" si="234"/>
        <v>ASHP-SEER16_ER2_SF</v>
      </c>
      <c r="G1838" s="2404"/>
      <c r="H1838" s="2404"/>
      <c r="I1838" s="2404"/>
      <c r="J1838" s="1506" t="str">
        <f t="shared" si="235"/>
        <v>352550_2024_12_</v>
      </c>
      <c r="K1838" s="1537">
        <v>12</v>
      </c>
      <c r="L1838" s="244"/>
      <c r="M1838" s="1251" t="s">
        <v>1303</v>
      </c>
      <c r="P1838" s="243"/>
      <c r="Q1838" s="243"/>
      <c r="R1838" s="243"/>
      <c r="T1838" s="166"/>
      <c r="U1838" s="50"/>
      <c r="V1838" s="2394"/>
      <c r="W1838" s="245">
        <v>12</v>
      </c>
      <c r="X1838" s="245">
        <v>12</v>
      </c>
      <c r="Y1838" s="245">
        <v>12</v>
      </c>
      <c r="Z1838" s="245">
        <v>12</v>
      </c>
      <c r="AA1838" s="245">
        <v>12</v>
      </c>
      <c r="AB1838" s="245">
        <v>12</v>
      </c>
      <c r="AC1838" s="245">
        <v>12</v>
      </c>
      <c r="AD1838" s="245">
        <v>12</v>
      </c>
      <c r="AE1838" s="245">
        <v>12</v>
      </c>
      <c r="AF1838" s="253">
        <v>12</v>
      </c>
      <c r="AG1838" s="253">
        <f t="shared" si="226"/>
        <v>12</v>
      </c>
      <c r="DG1838" s="543"/>
      <c r="DH1838" s="149"/>
      <c r="DI1838" s="1020"/>
      <c r="DJ1838" s="2045"/>
    </row>
    <row r="1839" spans="1:114" ht="15" customHeight="1" outlineLevel="1" x14ac:dyDescent="0.25">
      <c r="A1839" s="2145"/>
      <c r="C1839" s="49"/>
      <c r="D1839" s="2394"/>
      <c r="E1839" s="2394"/>
      <c r="F1839" s="2404" t="str">
        <f t="shared" si="234"/>
        <v>ASHP-SEER16-Replace_CAC_ElectricHeat_ROF_SF</v>
      </c>
      <c r="G1839" s="2404"/>
      <c r="H1839" s="2404"/>
      <c r="I1839" s="2404"/>
      <c r="J1839" s="1506" t="str">
        <f t="shared" si="235"/>
        <v>352600_2024_12_</v>
      </c>
      <c r="K1839" s="1537">
        <v>18</v>
      </c>
      <c r="L1839" s="244"/>
      <c r="M1839" s="1251" t="s">
        <v>1303</v>
      </c>
      <c r="P1839" s="243"/>
      <c r="Q1839" s="243"/>
      <c r="R1839" s="243"/>
      <c r="T1839" s="166"/>
      <c r="U1839" s="50"/>
      <c r="V1839" s="2394"/>
      <c r="W1839" s="245">
        <v>18</v>
      </c>
      <c r="X1839" s="245">
        <v>18</v>
      </c>
      <c r="Y1839" s="245">
        <v>18</v>
      </c>
      <c r="Z1839" s="245">
        <v>18</v>
      </c>
      <c r="AA1839" s="245">
        <v>18</v>
      </c>
      <c r="AB1839" s="245">
        <v>18</v>
      </c>
      <c r="AC1839" s="245">
        <v>18</v>
      </c>
      <c r="AD1839" s="245">
        <v>18</v>
      </c>
      <c r="AE1839" s="245">
        <v>18</v>
      </c>
      <c r="AF1839" s="253">
        <v>18</v>
      </c>
      <c r="AG1839" s="253">
        <f t="shared" si="226"/>
        <v>18</v>
      </c>
      <c r="DG1839" s="543"/>
      <c r="DH1839" s="149"/>
      <c r="DI1839" s="1020"/>
      <c r="DJ1839" s="2045"/>
    </row>
    <row r="1840" spans="1:114" ht="15" customHeight="1" outlineLevel="1" x14ac:dyDescent="0.25">
      <c r="A1840" s="2145"/>
      <c r="C1840" s="49"/>
      <c r="D1840" s="2394"/>
      <c r="E1840" s="2394"/>
      <c r="F1840" s="2404" t="str">
        <f t="shared" si="234"/>
        <v>ASHP-SEER16-Replace_CAC_ElectricHeat_ROF_SF</v>
      </c>
      <c r="G1840" s="2404"/>
      <c r="H1840" s="2404"/>
      <c r="I1840" s="2404"/>
      <c r="J1840" s="1506" t="str">
        <f t="shared" si="235"/>
        <v>352600_2024_12_</v>
      </c>
      <c r="K1840" s="1537">
        <v>18</v>
      </c>
      <c r="L1840" s="244"/>
      <c r="M1840" s="1251" t="s">
        <v>1303</v>
      </c>
      <c r="P1840" s="243"/>
      <c r="Q1840" s="243"/>
      <c r="R1840" s="243"/>
      <c r="T1840" s="166"/>
      <c r="U1840" s="50"/>
      <c r="V1840" s="2394"/>
      <c r="W1840" s="245">
        <v>18</v>
      </c>
      <c r="X1840" s="245">
        <v>18</v>
      </c>
      <c r="Y1840" s="245">
        <v>18</v>
      </c>
      <c r="Z1840" s="245">
        <v>18</v>
      </c>
      <c r="AA1840" s="245">
        <v>18</v>
      </c>
      <c r="AB1840" s="245">
        <v>18</v>
      </c>
      <c r="AC1840" s="245">
        <v>18</v>
      </c>
      <c r="AD1840" s="245">
        <v>18</v>
      </c>
      <c r="AE1840" s="245">
        <v>18</v>
      </c>
      <c r="AF1840" s="253">
        <v>18</v>
      </c>
      <c r="AG1840" s="253">
        <f t="shared" si="226"/>
        <v>18</v>
      </c>
      <c r="DG1840" s="543"/>
      <c r="DH1840" s="149"/>
      <c r="DI1840" s="1020"/>
      <c r="DJ1840" s="2045"/>
    </row>
    <row r="1841" spans="1:114" ht="15.75" customHeight="1" outlineLevel="1" x14ac:dyDescent="0.25">
      <c r="A1841" s="2145"/>
      <c r="C1841" s="49"/>
      <c r="D1841" s="2394"/>
      <c r="E1841" s="2394"/>
      <c r="F1841" s="1968" t="s">
        <v>1149</v>
      </c>
      <c r="G1841" s="1969"/>
      <c r="H1841" s="1969"/>
      <c r="I1841" s="1970"/>
      <c r="J1841" s="2095" t="s">
        <v>1148</v>
      </c>
      <c r="K1841" s="1979">
        <v>18</v>
      </c>
      <c r="L1841" s="913"/>
      <c r="M1841" s="1251" t="s">
        <v>1303</v>
      </c>
      <c r="T1841" s="50"/>
      <c r="U1841" s="50"/>
      <c r="V1841" s="2394"/>
      <c r="W1841" s="1268"/>
      <c r="X1841" s="1268"/>
      <c r="Y1841" s="1268"/>
      <c r="Z1841" s="1268"/>
      <c r="AA1841" s="1268"/>
      <c r="AB1841" s="1268"/>
      <c r="AC1841" s="752"/>
      <c r="AD1841" s="966"/>
      <c r="AE1841" s="909"/>
      <c r="AF1841" s="253"/>
      <c r="AG1841" s="253">
        <f>IF(K1841&lt;&gt;"",K1841,"")</f>
        <v>18</v>
      </c>
      <c r="DG1841" s="543"/>
      <c r="DH1841" s="149"/>
      <c r="DI1841" s="1020"/>
      <c r="DJ1841" s="2045"/>
    </row>
    <row r="1842" spans="1:114" ht="15.75" customHeight="1" outlineLevel="1" x14ac:dyDescent="0.25">
      <c r="A1842" s="2145"/>
      <c r="C1842" s="49"/>
      <c r="D1842" s="2394"/>
      <c r="E1842" s="2394"/>
      <c r="F1842" s="1968" t="s">
        <v>1149</v>
      </c>
      <c r="G1842" s="1969"/>
      <c r="H1842" s="1969"/>
      <c r="I1842" s="1970"/>
      <c r="J1842" s="2095" t="s">
        <v>1148</v>
      </c>
      <c r="K1842" s="1979">
        <v>18</v>
      </c>
      <c r="L1842" s="913"/>
      <c r="M1842" s="1251" t="s">
        <v>1303</v>
      </c>
      <c r="T1842" s="50"/>
      <c r="U1842" s="50"/>
      <c r="V1842" s="2394"/>
      <c r="W1842" s="1268"/>
      <c r="X1842" s="1268"/>
      <c r="Y1842" s="1268"/>
      <c r="Z1842" s="1268"/>
      <c r="AA1842" s="1268"/>
      <c r="AB1842" s="1268"/>
      <c r="AC1842" s="752"/>
      <c r="AD1842" s="966"/>
      <c r="AE1842" s="909"/>
      <c r="AF1842" s="253"/>
      <c r="AG1842" s="253">
        <f>IF(K1842&lt;&gt;"",K1842,"")</f>
        <v>18</v>
      </c>
      <c r="DG1842" s="543"/>
      <c r="DH1842" s="149"/>
      <c r="DI1842" s="1020"/>
      <c r="DJ1842" s="2045"/>
    </row>
    <row r="1843" spans="1:114" ht="15" customHeight="1" outlineLevel="1" x14ac:dyDescent="0.25">
      <c r="A1843" s="2145"/>
      <c r="C1843" s="49"/>
      <c r="D1843" s="2394"/>
      <c r="E1843" s="2394"/>
      <c r="F1843" s="2404" t="str">
        <f>E689</f>
        <v>ASHP-SEER16-Replace_CAC_NonElectricHeat_ROF_SF</v>
      </c>
      <c r="G1843" s="2404"/>
      <c r="H1843" s="2404"/>
      <c r="I1843" s="2404"/>
      <c r="J1843" s="1506" t="str">
        <f>C689</f>
        <v>352610_2024_12_</v>
      </c>
      <c r="K1843" s="1537">
        <v>18</v>
      </c>
      <c r="L1843" s="244"/>
      <c r="M1843" s="1251" t="s">
        <v>1303</v>
      </c>
      <c r="P1843" s="243"/>
      <c r="Q1843" s="243"/>
      <c r="R1843" s="243"/>
      <c r="T1843" s="166"/>
      <c r="U1843" s="50"/>
      <c r="V1843" s="2394"/>
      <c r="W1843" s="245"/>
      <c r="X1843" s="245"/>
      <c r="Y1843" s="245"/>
      <c r="Z1843" s="245"/>
      <c r="AA1843" s="245"/>
      <c r="AB1843" s="245"/>
      <c r="AC1843" s="245"/>
      <c r="AD1843" s="963">
        <v>18</v>
      </c>
      <c r="AE1843" s="245">
        <v>18</v>
      </c>
      <c r="AF1843" s="253">
        <v>18</v>
      </c>
      <c r="AG1843" s="253">
        <f t="shared" si="226"/>
        <v>18</v>
      </c>
      <c r="DG1843" s="543"/>
      <c r="DH1843" s="149"/>
      <c r="DI1843" s="1020"/>
      <c r="DJ1843" s="2045"/>
    </row>
    <row r="1844" spans="1:114" ht="15" customHeight="1" outlineLevel="1" x14ac:dyDescent="0.25">
      <c r="A1844" s="2145"/>
      <c r="C1844" s="49"/>
      <c r="D1844" s="2394"/>
      <c r="E1844" s="2394"/>
      <c r="F1844" s="2404" t="str">
        <f>E690</f>
        <v>ASHP-SEER16-Replace_CAC_NonElectricHeat_ROF_SF</v>
      </c>
      <c r="G1844" s="2404"/>
      <c r="H1844" s="2404"/>
      <c r="I1844" s="2404"/>
      <c r="J1844" s="1506" t="str">
        <f>C690</f>
        <v>352610_2024_12_</v>
      </c>
      <c r="K1844" s="1537">
        <v>18</v>
      </c>
      <c r="L1844" s="244"/>
      <c r="M1844" s="1251" t="s">
        <v>1303</v>
      </c>
      <c r="P1844" s="243"/>
      <c r="Q1844" s="243"/>
      <c r="R1844" s="243"/>
      <c r="T1844" s="166"/>
      <c r="U1844" s="50"/>
      <c r="V1844" s="2394"/>
      <c r="W1844" s="245"/>
      <c r="X1844" s="245"/>
      <c r="Y1844" s="245"/>
      <c r="Z1844" s="245"/>
      <c r="AA1844" s="245"/>
      <c r="AB1844" s="245"/>
      <c r="AC1844" s="245"/>
      <c r="AD1844" s="963">
        <v>18</v>
      </c>
      <c r="AE1844" s="245">
        <v>18</v>
      </c>
      <c r="AF1844" s="253">
        <v>18</v>
      </c>
      <c r="AG1844" s="253">
        <f t="shared" si="226"/>
        <v>18</v>
      </c>
      <c r="DG1844" s="543"/>
      <c r="DH1844" s="149"/>
      <c r="DI1844" s="1020"/>
      <c r="DJ1844" s="2045"/>
    </row>
    <row r="1845" spans="1:114" ht="15" customHeight="1" outlineLevel="1" x14ac:dyDescent="0.25">
      <c r="A1845" s="2145"/>
      <c r="C1845" s="49"/>
      <c r="D1845" s="2394"/>
      <c r="E1845" s="2394"/>
      <c r="F1845" s="2404" t="str">
        <f>E691</f>
        <v>ASHP-SEER16_ROF_SF</v>
      </c>
      <c r="G1845" s="2404"/>
      <c r="H1845" s="2404"/>
      <c r="I1845" s="2404"/>
      <c r="J1845" s="1506" t="str">
        <f>C691</f>
        <v>352650_2024_12_</v>
      </c>
      <c r="K1845" s="1537">
        <v>18</v>
      </c>
      <c r="L1845" s="244"/>
      <c r="M1845" s="1251" t="s">
        <v>1303</v>
      </c>
      <c r="P1845" s="243"/>
      <c r="Q1845" s="243"/>
      <c r="R1845" s="243"/>
      <c r="T1845" s="166"/>
      <c r="U1845" s="50"/>
      <c r="V1845" s="2394"/>
      <c r="W1845" s="245">
        <v>18</v>
      </c>
      <c r="X1845" s="245">
        <v>18</v>
      </c>
      <c r="Y1845" s="245">
        <v>18</v>
      </c>
      <c r="Z1845" s="245">
        <v>18</v>
      </c>
      <c r="AA1845" s="245">
        <v>18</v>
      </c>
      <c r="AB1845" s="245">
        <v>18</v>
      </c>
      <c r="AC1845" s="245">
        <v>18</v>
      </c>
      <c r="AD1845" s="245">
        <v>18</v>
      </c>
      <c r="AE1845" s="245">
        <v>18</v>
      </c>
      <c r="AF1845" s="253">
        <v>18</v>
      </c>
      <c r="AG1845" s="253">
        <f t="shared" si="226"/>
        <v>18</v>
      </c>
      <c r="DG1845" s="543"/>
      <c r="DH1845" s="149"/>
      <c r="DI1845" s="1020"/>
      <c r="DJ1845" s="2045"/>
    </row>
    <row r="1846" spans="1:114" ht="15" customHeight="1" outlineLevel="1" x14ac:dyDescent="0.25">
      <c r="A1846" s="2145"/>
      <c r="C1846" s="49"/>
      <c r="D1846" s="2394"/>
      <c r="E1846" s="2394"/>
      <c r="F1846" s="2404" t="str">
        <f>E692</f>
        <v>ASHP-SEER16_ROF_SF</v>
      </c>
      <c r="G1846" s="2404"/>
      <c r="H1846" s="2404"/>
      <c r="I1846" s="2404"/>
      <c r="J1846" s="1506" t="str">
        <f>C692</f>
        <v>352650_2024_12_</v>
      </c>
      <c r="K1846" s="1537">
        <v>18</v>
      </c>
      <c r="L1846" s="244"/>
      <c r="M1846" s="1251" t="s">
        <v>1303</v>
      </c>
      <c r="P1846" s="243"/>
      <c r="Q1846" s="243"/>
      <c r="R1846" s="243"/>
      <c r="T1846" s="166"/>
      <c r="U1846" s="50"/>
      <c r="V1846" s="2394"/>
      <c r="W1846" s="245">
        <v>18</v>
      </c>
      <c r="X1846" s="245">
        <v>18</v>
      </c>
      <c r="Y1846" s="245">
        <v>18</v>
      </c>
      <c r="Z1846" s="245">
        <v>18</v>
      </c>
      <c r="AA1846" s="245">
        <v>18</v>
      </c>
      <c r="AB1846" s="245">
        <v>18</v>
      </c>
      <c r="AC1846" s="245">
        <v>18</v>
      </c>
      <c r="AD1846" s="245">
        <v>18</v>
      </c>
      <c r="AE1846" s="245">
        <v>18</v>
      </c>
      <c r="AF1846" s="253">
        <v>18</v>
      </c>
      <c r="AG1846" s="253">
        <f t="shared" ref="AG1846:AG1919" si="236">IF(K1846&lt;&gt;"",K1846,"")</f>
        <v>18</v>
      </c>
      <c r="DG1846" s="543"/>
      <c r="DH1846" s="149"/>
      <c r="DI1846" s="1020"/>
      <c r="DJ1846" s="2045"/>
    </row>
    <row r="1847" spans="1:114" ht="15.75" customHeight="1" outlineLevel="1" x14ac:dyDescent="0.25">
      <c r="A1847" s="2145"/>
      <c r="C1847" s="49"/>
      <c r="D1847" s="2394"/>
      <c r="E1847" s="2394"/>
      <c r="F1847" s="1968" t="s">
        <v>1155</v>
      </c>
      <c r="G1847" s="1969"/>
      <c r="H1847" s="1969"/>
      <c r="I1847" s="1970"/>
      <c r="J1847" s="2095" t="s">
        <v>1154</v>
      </c>
      <c r="K1847" s="1979">
        <v>18</v>
      </c>
      <c r="L1847" s="913"/>
      <c r="M1847" s="1251" t="s">
        <v>1303</v>
      </c>
      <c r="T1847" s="50"/>
      <c r="U1847" s="50"/>
      <c r="V1847" s="2394"/>
      <c r="W1847" s="1268"/>
      <c r="X1847" s="1268"/>
      <c r="Y1847" s="1268"/>
      <c r="Z1847" s="1268"/>
      <c r="AA1847" s="1268"/>
      <c r="AB1847" s="1268"/>
      <c r="AC1847" s="752"/>
      <c r="AD1847" s="966"/>
      <c r="AE1847" s="909"/>
      <c r="AF1847" s="253"/>
      <c r="AG1847" s="253">
        <f>IF(K1847&lt;&gt;"",K1847,"")</f>
        <v>18</v>
      </c>
      <c r="DG1847" s="543"/>
      <c r="DH1847" s="149"/>
      <c r="DI1847" s="1020"/>
      <c r="DJ1847" s="2045"/>
    </row>
    <row r="1848" spans="1:114" ht="15.75" customHeight="1" outlineLevel="1" x14ac:dyDescent="0.25">
      <c r="A1848" s="2145"/>
      <c r="C1848" s="49"/>
      <c r="D1848" s="2394"/>
      <c r="E1848" s="2394"/>
      <c r="F1848" s="1968" t="s">
        <v>1155</v>
      </c>
      <c r="G1848" s="1969"/>
      <c r="H1848" s="1969"/>
      <c r="I1848" s="1970"/>
      <c r="J1848" s="2095" t="s">
        <v>1154</v>
      </c>
      <c r="K1848" s="1979">
        <v>18</v>
      </c>
      <c r="L1848" s="913"/>
      <c r="M1848" s="1251" t="s">
        <v>1303</v>
      </c>
      <c r="T1848" s="50"/>
      <c r="U1848" s="50"/>
      <c r="V1848" s="2394"/>
      <c r="W1848" s="1268"/>
      <c r="X1848" s="1268"/>
      <c r="Y1848" s="1268"/>
      <c r="Z1848" s="1268"/>
      <c r="AA1848" s="1268"/>
      <c r="AB1848" s="1268"/>
      <c r="AC1848" s="752"/>
      <c r="AD1848" s="966"/>
      <c r="AE1848" s="909"/>
      <c r="AF1848" s="253"/>
      <c r="AG1848" s="253">
        <f>IF(K1848&lt;&gt;"",K1848,"")</f>
        <v>18</v>
      </c>
      <c r="DG1848" s="543"/>
      <c r="DH1848" s="149"/>
      <c r="DI1848" s="1020"/>
      <c r="DJ1848" s="2045"/>
    </row>
    <row r="1849" spans="1:114" ht="15" customHeight="1" outlineLevel="1" x14ac:dyDescent="0.25">
      <c r="A1849" s="2145"/>
      <c r="C1849" s="49"/>
      <c r="D1849" s="2394"/>
      <c r="E1849" s="2394"/>
      <c r="F1849" s="2404" t="str">
        <f t="shared" ref="F1849:F1854" si="237">E695</f>
        <v>ASHP-SEER16-Replace_CAC_ElectricHeat_ER1_MF</v>
      </c>
      <c r="G1849" s="2404"/>
      <c r="H1849" s="2404"/>
      <c r="I1849" s="2404"/>
      <c r="J1849" s="1506" t="str">
        <f t="shared" ref="J1849:J1854" si="238">C695</f>
        <v>353000_2024_12_</v>
      </c>
      <c r="K1849" s="1537">
        <v>6</v>
      </c>
      <c r="L1849" s="244"/>
      <c r="M1849" s="1251" t="s">
        <v>1303</v>
      </c>
      <c r="P1849" s="243"/>
      <c r="Q1849" s="192"/>
      <c r="R1849" s="243"/>
      <c r="T1849" s="166"/>
      <c r="U1849" s="50"/>
      <c r="V1849" s="2394"/>
      <c r="W1849" s="245">
        <v>6</v>
      </c>
      <c r="X1849" s="245">
        <v>6</v>
      </c>
      <c r="Y1849" s="245">
        <v>6</v>
      </c>
      <c r="Z1849" s="245">
        <v>6</v>
      </c>
      <c r="AA1849" s="245">
        <v>6</v>
      </c>
      <c r="AB1849" s="245">
        <v>6</v>
      </c>
      <c r="AC1849" s="245">
        <v>6</v>
      </c>
      <c r="AD1849" s="245">
        <v>6</v>
      </c>
      <c r="AE1849" s="245">
        <v>6</v>
      </c>
      <c r="AF1849" s="253">
        <v>6</v>
      </c>
      <c r="AG1849" s="253">
        <f t="shared" si="236"/>
        <v>6</v>
      </c>
      <c r="DG1849" s="543"/>
      <c r="DH1849" s="149"/>
      <c r="DI1849" s="1020"/>
      <c r="DJ1849" s="2045"/>
    </row>
    <row r="1850" spans="1:114" ht="15" customHeight="1" outlineLevel="1" x14ac:dyDescent="0.25">
      <c r="A1850" s="2145"/>
      <c r="C1850" s="49"/>
      <c r="D1850" s="2394"/>
      <c r="E1850" s="2394"/>
      <c r="F1850" s="2404" t="str">
        <f t="shared" si="237"/>
        <v>ASHP-SEER16-Replace_CAC_ElectricHeat_ER1_MF</v>
      </c>
      <c r="G1850" s="2404"/>
      <c r="H1850" s="2404"/>
      <c r="I1850" s="2404"/>
      <c r="J1850" s="1506" t="str">
        <f t="shared" si="238"/>
        <v>353000_2024_12_</v>
      </c>
      <c r="K1850" s="1537">
        <v>6</v>
      </c>
      <c r="L1850" s="244"/>
      <c r="M1850" s="1251" t="s">
        <v>1303</v>
      </c>
      <c r="T1850" s="50"/>
      <c r="U1850" s="50"/>
      <c r="V1850" s="2394"/>
      <c r="W1850" s="245">
        <v>6</v>
      </c>
      <c r="X1850" s="245">
        <v>6</v>
      </c>
      <c r="Y1850" s="245">
        <v>6</v>
      </c>
      <c r="Z1850" s="245">
        <v>6</v>
      </c>
      <c r="AA1850" s="245">
        <v>6</v>
      </c>
      <c r="AB1850" s="245">
        <v>6</v>
      </c>
      <c r="AC1850" s="245">
        <v>6</v>
      </c>
      <c r="AD1850" s="245">
        <v>6</v>
      </c>
      <c r="AE1850" s="245">
        <v>6</v>
      </c>
      <c r="AF1850" s="253">
        <v>6</v>
      </c>
      <c r="AG1850" s="253">
        <f t="shared" si="236"/>
        <v>6</v>
      </c>
      <c r="DG1850" s="543"/>
      <c r="DH1850" s="149"/>
      <c r="DI1850" s="1020"/>
      <c r="DJ1850" s="2045"/>
    </row>
    <row r="1851" spans="1:114" ht="15" customHeight="1" outlineLevel="1" x14ac:dyDescent="0.25">
      <c r="A1851" s="2145"/>
      <c r="C1851" s="49"/>
      <c r="D1851" s="2394"/>
      <c r="E1851" s="2394"/>
      <c r="F1851" s="2404" t="str">
        <f t="shared" si="237"/>
        <v>ASHP-SEER16-Replace_CAC_ElectricHeat_ER2_MF</v>
      </c>
      <c r="G1851" s="2404"/>
      <c r="H1851" s="2404"/>
      <c r="I1851" s="2404"/>
      <c r="J1851" s="1506" t="str">
        <f t="shared" si="238"/>
        <v>353000_2024_12_</v>
      </c>
      <c r="K1851" s="1537">
        <v>12</v>
      </c>
      <c r="L1851" s="244"/>
      <c r="M1851" s="1251" t="s">
        <v>1303</v>
      </c>
      <c r="T1851" s="50"/>
      <c r="U1851" s="50"/>
      <c r="V1851" s="2394"/>
      <c r="W1851" s="245">
        <v>12</v>
      </c>
      <c r="X1851" s="245">
        <v>12</v>
      </c>
      <c r="Y1851" s="245">
        <v>12</v>
      </c>
      <c r="Z1851" s="245">
        <v>12</v>
      </c>
      <c r="AA1851" s="245">
        <v>12</v>
      </c>
      <c r="AB1851" s="245">
        <v>12</v>
      </c>
      <c r="AC1851" s="245">
        <v>12</v>
      </c>
      <c r="AD1851" s="245">
        <v>12</v>
      </c>
      <c r="AE1851" s="245">
        <v>12</v>
      </c>
      <c r="AF1851" s="253">
        <v>12</v>
      </c>
      <c r="AG1851" s="253">
        <f t="shared" si="236"/>
        <v>12</v>
      </c>
      <c r="DG1851" s="543"/>
      <c r="DH1851" s="149"/>
      <c r="DI1851" s="1020"/>
      <c r="DJ1851" s="2045"/>
    </row>
    <row r="1852" spans="1:114" ht="15" customHeight="1" outlineLevel="1" x14ac:dyDescent="0.25">
      <c r="A1852" s="2145"/>
      <c r="C1852" s="49"/>
      <c r="D1852" s="2394"/>
      <c r="E1852" s="2394"/>
      <c r="F1852" s="2404" t="str">
        <f t="shared" si="237"/>
        <v>ASHP-SEER16-Replace_CAC_ElectricHeat_ER2_MF</v>
      </c>
      <c r="G1852" s="2404"/>
      <c r="H1852" s="2404"/>
      <c r="I1852" s="2404"/>
      <c r="J1852" s="1506" t="str">
        <f t="shared" si="238"/>
        <v>353000_2024_12_</v>
      </c>
      <c r="K1852" s="1537">
        <v>12</v>
      </c>
      <c r="L1852" s="244"/>
      <c r="M1852" s="1251" t="s">
        <v>1303</v>
      </c>
      <c r="P1852" s="243"/>
      <c r="Q1852" s="192"/>
      <c r="R1852" s="243"/>
      <c r="T1852" s="166"/>
      <c r="U1852" s="50"/>
      <c r="V1852" s="2394"/>
      <c r="W1852" s="245">
        <v>12</v>
      </c>
      <c r="X1852" s="245">
        <v>12</v>
      </c>
      <c r="Y1852" s="245">
        <v>12</v>
      </c>
      <c r="Z1852" s="245">
        <v>12</v>
      </c>
      <c r="AA1852" s="245">
        <v>12</v>
      </c>
      <c r="AB1852" s="245">
        <v>12</v>
      </c>
      <c r="AC1852" s="245">
        <v>12</v>
      </c>
      <c r="AD1852" s="245">
        <v>12</v>
      </c>
      <c r="AE1852" s="245">
        <v>12</v>
      </c>
      <c r="AF1852" s="253">
        <v>12</v>
      </c>
      <c r="AG1852" s="253">
        <f t="shared" si="236"/>
        <v>12</v>
      </c>
      <c r="DG1852" s="543"/>
      <c r="DH1852" s="149"/>
      <c r="DI1852" s="1020"/>
      <c r="DJ1852" s="2045"/>
    </row>
    <row r="1853" spans="1:114" ht="15" customHeight="1" outlineLevel="1" x14ac:dyDescent="0.25">
      <c r="A1853" s="2145"/>
      <c r="C1853" s="49"/>
      <c r="D1853" s="2394"/>
      <c r="E1853" s="2394"/>
      <c r="F1853" s="2404" t="str">
        <f t="shared" si="237"/>
        <v>ASHP-SEER17-Replace_CAC_ElectricHeat_ROF_SF</v>
      </c>
      <c r="G1853" s="2404"/>
      <c r="H1853" s="2404"/>
      <c r="I1853" s="2404"/>
      <c r="J1853" s="1506" t="str">
        <f t="shared" si="238"/>
        <v>353100_2024_12_</v>
      </c>
      <c r="K1853" s="1537">
        <v>18</v>
      </c>
      <c r="L1853" s="244"/>
      <c r="M1853" s="1251" t="s">
        <v>1303</v>
      </c>
      <c r="T1853" s="50"/>
      <c r="U1853" s="50"/>
      <c r="V1853" s="2394"/>
      <c r="W1853" s="245">
        <v>18</v>
      </c>
      <c r="X1853" s="245">
        <v>18</v>
      </c>
      <c r="Y1853" s="245">
        <v>18</v>
      </c>
      <c r="Z1853" s="245">
        <v>18</v>
      </c>
      <c r="AA1853" s="245">
        <v>18</v>
      </c>
      <c r="AB1853" s="245">
        <v>18</v>
      </c>
      <c r="AC1853" s="245">
        <v>18</v>
      </c>
      <c r="AD1853" s="245">
        <v>18</v>
      </c>
      <c r="AE1853" s="245">
        <v>18</v>
      </c>
      <c r="AF1853" s="253">
        <v>18</v>
      </c>
      <c r="AG1853" s="253">
        <f t="shared" si="236"/>
        <v>18</v>
      </c>
      <c r="DG1853" s="543"/>
      <c r="DH1853" s="149"/>
      <c r="DI1853" s="1020"/>
      <c r="DJ1853" s="2045"/>
    </row>
    <row r="1854" spans="1:114" ht="15" customHeight="1" outlineLevel="1" x14ac:dyDescent="0.25">
      <c r="A1854" s="2145"/>
      <c r="C1854" s="49"/>
      <c r="D1854" s="2394"/>
      <c r="E1854" s="2394"/>
      <c r="F1854" s="2404" t="str">
        <f t="shared" si="237"/>
        <v>ASHP-SEER17-Replace_CAC_ElectricHeat_ROF_SF</v>
      </c>
      <c r="G1854" s="2404"/>
      <c r="H1854" s="2404"/>
      <c r="I1854" s="2404"/>
      <c r="J1854" s="1506" t="str">
        <f t="shared" si="238"/>
        <v>353100_2024_12_</v>
      </c>
      <c r="K1854" s="1537">
        <v>18</v>
      </c>
      <c r="L1854" s="244"/>
      <c r="M1854" s="1251" t="s">
        <v>1303</v>
      </c>
      <c r="P1854" s="243"/>
      <c r="Q1854" s="192"/>
      <c r="R1854" s="243"/>
      <c r="T1854" s="166"/>
      <c r="U1854" s="50"/>
      <c r="V1854" s="2394"/>
      <c r="W1854" s="245">
        <v>18</v>
      </c>
      <c r="X1854" s="245">
        <v>18</v>
      </c>
      <c r="Y1854" s="245">
        <v>18</v>
      </c>
      <c r="Z1854" s="245">
        <v>18</v>
      </c>
      <c r="AA1854" s="245">
        <v>18</v>
      </c>
      <c r="AB1854" s="245">
        <v>18</v>
      </c>
      <c r="AC1854" s="245">
        <v>18</v>
      </c>
      <c r="AD1854" s="245">
        <v>18</v>
      </c>
      <c r="AE1854" s="245">
        <v>18</v>
      </c>
      <c r="AF1854" s="253">
        <v>18</v>
      </c>
      <c r="AG1854" s="253">
        <f t="shared" si="236"/>
        <v>18</v>
      </c>
      <c r="DG1854" s="543"/>
      <c r="DH1854" s="149"/>
      <c r="DI1854" s="1020"/>
      <c r="DJ1854" s="2045"/>
    </row>
    <row r="1855" spans="1:114" ht="15.75" customHeight="1" outlineLevel="1" x14ac:dyDescent="0.25">
      <c r="A1855" s="2145"/>
      <c r="C1855" s="49"/>
      <c r="D1855" s="2394"/>
      <c r="E1855" s="2394"/>
      <c r="F1855" s="1968" t="s">
        <v>1162</v>
      </c>
      <c r="G1855" s="1969"/>
      <c r="H1855" s="1969"/>
      <c r="I1855" s="1970"/>
      <c r="J1855" s="2095" t="s">
        <v>1161</v>
      </c>
      <c r="K1855" s="1979">
        <v>18</v>
      </c>
      <c r="L1855" s="913"/>
      <c r="M1855" s="1251" t="s">
        <v>1303</v>
      </c>
      <c r="T1855" s="50"/>
      <c r="U1855" s="50"/>
      <c r="V1855" s="2394"/>
      <c r="W1855" s="1268"/>
      <c r="X1855" s="1268"/>
      <c r="Y1855" s="1268"/>
      <c r="Z1855" s="1268"/>
      <c r="AA1855" s="1268"/>
      <c r="AB1855" s="1268"/>
      <c r="AC1855" s="752"/>
      <c r="AD1855" s="966"/>
      <c r="AE1855" s="909"/>
      <c r="AF1855" s="253"/>
      <c r="AG1855" s="253">
        <f>IF(K1855&lt;&gt;"",K1855,"")</f>
        <v>18</v>
      </c>
      <c r="DG1855" s="543"/>
      <c r="DH1855" s="149"/>
      <c r="DI1855" s="1020"/>
      <c r="DJ1855" s="2045"/>
    </row>
    <row r="1856" spans="1:114" ht="15.75" customHeight="1" outlineLevel="1" x14ac:dyDescent="0.25">
      <c r="A1856" s="2145"/>
      <c r="C1856" s="49"/>
      <c r="D1856" s="2394"/>
      <c r="E1856" s="2394"/>
      <c r="F1856" s="1968" t="s">
        <v>1162</v>
      </c>
      <c r="G1856" s="1969"/>
      <c r="H1856" s="1969"/>
      <c r="I1856" s="1970"/>
      <c r="J1856" s="2095" t="s">
        <v>1161</v>
      </c>
      <c r="K1856" s="1979">
        <v>18</v>
      </c>
      <c r="L1856" s="913"/>
      <c r="M1856" s="1251" t="s">
        <v>1303</v>
      </c>
      <c r="T1856" s="50"/>
      <c r="U1856" s="50"/>
      <c r="V1856" s="2394"/>
      <c r="W1856" s="1268"/>
      <c r="X1856" s="1268"/>
      <c r="Y1856" s="1268"/>
      <c r="Z1856" s="1268"/>
      <c r="AA1856" s="1268"/>
      <c r="AB1856" s="1268"/>
      <c r="AC1856" s="752"/>
      <c r="AD1856" s="966"/>
      <c r="AE1856" s="909"/>
      <c r="AF1856" s="253"/>
      <c r="AG1856" s="253">
        <f>IF(K1856&lt;&gt;"",K1856,"")</f>
        <v>18</v>
      </c>
      <c r="DG1856" s="543"/>
      <c r="DH1856" s="149"/>
      <c r="DI1856" s="1020"/>
      <c r="DJ1856" s="2045"/>
    </row>
    <row r="1857" spans="1:114" ht="15" customHeight="1" outlineLevel="1" x14ac:dyDescent="0.25">
      <c r="A1857" s="2145"/>
      <c r="C1857" s="49"/>
      <c r="D1857" s="2394"/>
      <c r="E1857" s="2394"/>
      <c r="F1857" s="2404" t="str">
        <f t="shared" ref="F1857:F1873" si="239">E703</f>
        <v>ASHP-SEER17-Replace_CAC_NonElectricHeat_ROF_SF</v>
      </c>
      <c r="G1857" s="2404"/>
      <c r="H1857" s="2404"/>
      <c r="I1857" s="2404"/>
      <c r="J1857" s="1506" t="str">
        <f t="shared" ref="J1857:J1873" si="240">C703</f>
        <v>353110_2024_12_</v>
      </c>
      <c r="K1857" s="1537">
        <v>18</v>
      </c>
      <c r="L1857" s="244"/>
      <c r="M1857" s="1251" t="s">
        <v>1303</v>
      </c>
      <c r="P1857" s="243"/>
      <c r="Q1857" s="192"/>
      <c r="R1857" s="243"/>
      <c r="T1857" s="166"/>
      <c r="U1857" s="50"/>
      <c r="V1857" s="2394"/>
      <c r="W1857" s="245"/>
      <c r="X1857" s="245"/>
      <c r="Y1857" s="245"/>
      <c r="Z1857" s="245"/>
      <c r="AA1857" s="245"/>
      <c r="AB1857" s="245"/>
      <c r="AC1857" s="245"/>
      <c r="AD1857" s="963">
        <v>18</v>
      </c>
      <c r="AE1857" s="245">
        <v>18</v>
      </c>
      <c r="AF1857" s="253">
        <v>18</v>
      </c>
      <c r="AG1857" s="253">
        <f t="shared" si="236"/>
        <v>18</v>
      </c>
      <c r="DG1857" s="543"/>
      <c r="DH1857" s="149"/>
      <c r="DI1857" s="1020"/>
      <c r="DJ1857" s="2045"/>
    </row>
    <row r="1858" spans="1:114" ht="15" customHeight="1" outlineLevel="1" x14ac:dyDescent="0.25">
      <c r="A1858" s="2145"/>
      <c r="C1858" s="49"/>
      <c r="D1858" s="2394"/>
      <c r="E1858" s="2394"/>
      <c r="F1858" s="2404" t="str">
        <f t="shared" si="239"/>
        <v>ASHP-SEER17-Replace_CAC_NonElectricHeat_ROF_SF</v>
      </c>
      <c r="G1858" s="2404"/>
      <c r="H1858" s="2404"/>
      <c r="I1858" s="2404"/>
      <c r="J1858" s="1506" t="str">
        <f t="shared" si="240"/>
        <v>353110_2024_12_</v>
      </c>
      <c r="K1858" s="1537">
        <v>18</v>
      </c>
      <c r="L1858" s="244"/>
      <c r="M1858" s="1251" t="s">
        <v>1303</v>
      </c>
      <c r="P1858" s="243"/>
      <c r="Q1858" s="192"/>
      <c r="R1858" s="243"/>
      <c r="T1858" s="166"/>
      <c r="U1858" s="50"/>
      <c r="V1858" s="2394"/>
      <c r="W1858" s="245"/>
      <c r="X1858" s="245"/>
      <c r="Y1858" s="245"/>
      <c r="Z1858" s="245"/>
      <c r="AA1858" s="245"/>
      <c r="AB1858" s="245"/>
      <c r="AC1858" s="245"/>
      <c r="AD1858" s="963">
        <v>18</v>
      </c>
      <c r="AE1858" s="245">
        <v>18</v>
      </c>
      <c r="AF1858" s="253">
        <v>18</v>
      </c>
      <c r="AG1858" s="253">
        <f t="shared" si="236"/>
        <v>18</v>
      </c>
      <c r="DG1858" s="543"/>
      <c r="DH1858" s="149"/>
      <c r="DI1858" s="1020"/>
      <c r="DJ1858" s="2045"/>
    </row>
    <row r="1859" spans="1:114" ht="15" customHeight="1" outlineLevel="1" x14ac:dyDescent="0.25">
      <c r="A1859" s="2145"/>
      <c r="C1859" s="49"/>
      <c r="D1859" s="2394"/>
      <c r="E1859" s="2394"/>
      <c r="F1859" s="2404" t="str">
        <f t="shared" si="239"/>
        <v>ASHP-SEER18-Replace_CAC_ElectricHeat_ROF_SF</v>
      </c>
      <c r="G1859" s="2404"/>
      <c r="H1859" s="2404"/>
      <c r="I1859" s="2404"/>
      <c r="J1859" s="1506" t="str">
        <f t="shared" si="240"/>
        <v>353200_2024_12_</v>
      </c>
      <c r="K1859" s="1537">
        <v>18</v>
      </c>
      <c r="L1859" s="244"/>
      <c r="M1859" s="1251" t="s">
        <v>1303</v>
      </c>
      <c r="P1859" s="243"/>
      <c r="Q1859" s="192"/>
      <c r="R1859" s="243"/>
      <c r="T1859" s="166"/>
      <c r="U1859" s="50"/>
      <c r="V1859" s="2394"/>
      <c r="W1859" s="245">
        <v>18</v>
      </c>
      <c r="X1859" s="245">
        <v>18</v>
      </c>
      <c r="Y1859" s="245">
        <v>18</v>
      </c>
      <c r="Z1859" s="245">
        <v>18</v>
      </c>
      <c r="AA1859" s="245">
        <v>18</v>
      </c>
      <c r="AB1859" s="245">
        <v>18</v>
      </c>
      <c r="AC1859" s="245">
        <v>18</v>
      </c>
      <c r="AD1859" s="245">
        <v>18</v>
      </c>
      <c r="AE1859" s="245">
        <v>18</v>
      </c>
      <c r="AF1859" s="253">
        <v>18</v>
      </c>
      <c r="AG1859" s="253">
        <f t="shared" si="236"/>
        <v>18</v>
      </c>
      <c r="DG1859" s="543"/>
      <c r="DH1859" s="149"/>
      <c r="DI1859" s="1020"/>
      <c r="DJ1859" s="2045"/>
    </row>
    <row r="1860" spans="1:114" ht="15" customHeight="1" outlineLevel="1" x14ac:dyDescent="0.25">
      <c r="A1860" s="2145"/>
      <c r="C1860" s="49"/>
      <c r="D1860" s="2394"/>
      <c r="E1860" s="2394"/>
      <c r="F1860" s="2404" t="str">
        <f t="shared" si="239"/>
        <v>ASHP-SEER18-Replace_CAC_ElectricHeat_ROF_SF</v>
      </c>
      <c r="G1860" s="2404"/>
      <c r="H1860" s="2404"/>
      <c r="I1860" s="2404"/>
      <c r="J1860" s="1506" t="str">
        <f t="shared" si="240"/>
        <v>353200_2024_12_</v>
      </c>
      <c r="K1860" s="1537">
        <v>18</v>
      </c>
      <c r="L1860" s="244"/>
      <c r="M1860" s="1251" t="s">
        <v>1303</v>
      </c>
      <c r="P1860" s="243"/>
      <c r="Q1860" s="192"/>
      <c r="R1860" s="243"/>
      <c r="T1860" s="166"/>
      <c r="U1860" s="50"/>
      <c r="V1860" s="2394"/>
      <c r="W1860" s="245">
        <v>18</v>
      </c>
      <c r="X1860" s="245">
        <v>18</v>
      </c>
      <c r="Y1860" s="245">
        <v>18</v>
      </c>
      <c r="Z1860" s="245">
        <v>18</v>
      </c>
      <c r="AA1860" s="245">
        <v>18</v>
      </c>
      <c r="AB1860" s="245">
        <v>18</v>
      </c>
      <c r="AC1860" s="245">
        <v>18</v>
      </c>
      <c r="AD1860" s="245">
        <v>18</v>
      </c>
      <c r="AE1860" s="245">
        <v>18</v>
      </c>
      <c r="AF1860" s="253">
        <v>18</v>
      </c>
      <c r="AG1860" s="253">
        <f t="shared" si="236"/>
        <v>18</v>
      </c>
      <c r="DG1860" s="543"/>
      <c r="DH1860" s="149"/>
      <c r="DI1860" s="1020"/>
      <c r="DJ1860" s="2045"/>
    </row>
    <row r="1861" spans="1:114" ht="15" customHeight="1" outlineLevel="1" x14ac:dyDescent="0.25">
      <c r="A1861" s="2145"/>
      <c r="C1861" s="49"/>
      <c r="D1861" s="2394"/>
      <c r="E1861" s="2394"/>
      <c r="F1861" s="2404" t="str">
        <f t="shared" si="239"/>
        <v>ASHP-SEER18-Replace_CAC_NonElectricHeat_ROF_SF</v>
      </c>
      <c r="G1861" s="2404"/>
      <c r="H1861" s="2404"/>
      <c r="I1861" s="2404"/>
      <c r="J1861" s="1506" t="str">
        <f t="shared" si="240"/>
        <v>353210_2024_12_</v>
      </c>
      <c r="K1861" s="1537">
        <v>18</v>
      </c>
      <c r="L1861" s="244"/>
      <c r="M1861" s="1251" t="s">
        <v>1303</v>
      </c>
      <c r="P1861" s="243"/>
      <c r="Q1861" s="192"/>
      <c r="R1861" s="243"/>
      <c r="T1861" s="166"/>
      <c r="U1861" s="50"/>
      <c r="V1861" s="2394"/>
      <c r="W1861" s="245"/>
      <c r="X1861" s="245"/>
      <c r="Y1861" s="245"/>
      <c r="Z1861" s="245"/>
      <c r="AA1861" s="245"/>
      <c r="AB1861" s="245"/>
      <c r="AC1861" s="245"/>
      <c r="AD1861" s="963">
        <v>18</v>
      </c>
      <c r="AE1861" s="245">
        <v>18</v>
      </c>
      <c r="AF1861" s="253">
        <v>18</v>
      </c>
      <c r="AG1861" s="253">
        <f t="shared" si="236"/>
        <v>18</v>
      </c>
      <c r="DG1861" s="543"/>
      <c r="DH1861" s="149"/>
      <c r="DI1861" s="1020"/>
      <c r="DJ1861" s="2045"/>
    </row>
    <row r="1862" spans="1:114" ht="15" customHeight="1" outlineLevel="1" x14ac:dyDescent="0.25">
      <c r="A1862" s="2145"/>
      <c r="C1862" s="49"/>
      <c r="D1862" s="2394"/>
      <c r="E1862" s="2394"/>
      <c r="F1862" s="2404" t="str">
        <f t="shared" si="239"/>
        <v>ASHP-SEER18-Replace_CAC_NonElectricHeat_ROF_SF</v>
      </c>
      <c r="G1862" s="2404"/>
      <c r="H1862" s="2404"/>
      <c r="I1862" s="2404"/>
      <c r="J1862" s="1506" t="str">
        <f t="shared" si="240"/>
        <v>353210_2024_12_</v>
      </c>
      <c r="K1862" s="1537">
        <v>18</v>
      </c>
      <c r="L1862" s="244"/>
      <c r="M1862" s="1251" t="s">
        <v>1303</v>
      </c>
      <c r="P1862" s="243"/>
      <c r="Q1862" s="192"/>
      <c r="R1862" s="243"/>
      <c r="T1862" s="166"/>
      <c r="U1862" s="50"/>
      <c r="V1862" s="2394"/>
      <c r="W1862" s="245"/>
      <c r="X1862" s="245"/>
      <c r="Y1862" s="245"/>
      <c r="Z1862" s="245"/>
      <c r="AA1862" s="245"/>
      <c r="AB1862" s="245"/>
      <c r="AC1862" s="245"/>
      <c r="AD1862" s="963">
        <v>18</v>
      </c>
      <c r="AE1862" s="245">
        <v>18</v>
      </c>
      <c r="AF1862" s="253">
        <v>18</v>
      </c>
      <c r="AG1862" s="253">
        <f t="shared" si="236"/>
        <v>18</v>
      </c>
      <c r="DG1862" s="543"/>
      <c r="DH1862" s="149"/>
      <c r="DI1862" s="1020"/>
      <c r="DJ1862" s="2045"/>
    </row>
    <row r="1863" spans="1:114" ht="14.65" customHeight="1" outlineLevel="1" x14ac:dyDescent="0.25">
      <c r="A1863" s="2145"/>
      <c r="C1863" s="49"/>
      <c r="D1863" s="2394"/>
      <c r="E1863" s="2394"/>
      <c r="F1863" s="2404" t="str">
        <f t="shared" si="239"/>
        <v>ASHP-SEER19-Replace_CAC_ElectricHeat_ROF_SF</v>
      </c>
      <c r="G1863" s="2404"/>
      <c r="H1863" s="2404"/>
      <c r="I1863" s="2404"/>
      <c r="J1863" s="1506" t="str">
        <f t="shared" si="240"/>
        <v>353300_2024_12_</v>
      </c>
      <c r="K1863" s="1537">
        <v>18</v>
      </c>
      <c r="L1863" s="244"/>
      <c r="M1863" s="1251" t="s">
        <v>1303</v>
      </c>
      <c r="P1863" s="243"/>
      <c r="Q1863" s="192"/>
      <c r="R1863" s="243"/>
      <c r="T1863" s="166"/>
      <c r="U1863" s="50"/>
      <c r="V1863" s="2394"/>
      <c r="W1863" s="245">
        <v>18</v>
      </c>
      <c r="X1863" s="245">
        <v>18</v>
      </c>
      <c r="Y1863" s="245">
        <v>18</v>
      </c>
      <c r="Z1863" s="245">
        <v>18</v>
      </c>
      <c r="AA1863" s="245">
        <v>18</v>
      </c>
      <c r="AB1863" s="245">
        <v>18</v>
      </c>
      <c r="AC1863" s="245">
        <v>18</v>
      </c>
      <c r="AD1863" s="245">
        <v>18</v>
      </c>
      <c r="AE1863" s="245">
        <v>18</v>
      </c>
      <c r="AF1863" s="253">
        <v>18</v>
      </c>
      <c r="AG1863" s="253">
        <f t="shared" si="236"/>
        <v>18</v>
      </c>
      <c r="DG1863" s="543"/>
      <c r="DH1863" s="149"/>
      <c r="DI1863" s="1020"/>
      <c r="DJ1863" s="2045"/>
    </row>
    <row r="1864" spans="1:114" ht="14.65" customHeight="1" outlineLevel="1" x14ac:dyDescent="0.25">
      <c r="A1864" s="2145"/>
      <c r="C1864" s="49"/>
      <c r="D1864" s="2394"/>
      <c r="E1864" s="2394"/>
      <c r="F1864" s="2404" t="str">
        <f t="shared" si="239"/>
        <v>ASHP-SEER19-Replace_CAC_ElectricHeat_ROF_SF</v>
      </c>
      <c r="G1864" s="2404"/>
      <c r="H1864" s="2404"/>
      <c r="I1864" s="2404"/>
      <c r="J1864" s="1506" t="str">
        <f t="shared" si="240"/>
        <v>353300_2024_12_</v>
      </c>
      <c r="K1864" s="1537">
        <v>18</v>
      </c>
      <c r="L1864" s="244"/>
      <c r="M1864" s="1251" t="s">
        <v>1303</v>
      </c>
      <c r="P1864" s="243"/>
      <c r="Q1864" s="192"/>
      <c r="R1864" s="243"/>
      <c r="T1864" s="166"/>
      <c r="U1864" s="50"/>
      <c r="V1864" s="2394"/>
      <c r="W1864" s="245">
        <v>18</v>
      </c>
      <c r="X1864" s="245">
        <v>18</v>
      </c>
      <c r="Y1864" s="245">
        <v>18</v>
      </c>
      <c r="Z1864" s="245">
        <v>18</v>
      </c>
      <c r="AA1864" s="245">
        <v>18</v>
      </c>
      <c r="AB1864" s="245">
        <v>18</v>
      </c>
      <c r="AC1864" s="245">
        <v>18</v>
      </c>
      <c r="AD1864" s="245">
        <v>18</v>
      </c>
      <c r="AE1864" s="245">
        <v>18</v>
      </c>
      <c r="AF1864" s="253">
        <v>18</v>
      </c>
      <c r="AG1864" s="253">
        <f t="shared" si="236"/>
        <v>18</v>
      </c>
      <c r="DG1864" s="543"/>
      <c r="DH1864" s="149"/>
      <c r="DI1864" s="1020"/>
      <c r="DJ1864" s="2045"/>
    </row>
    <row r="1865" spans="1:114" ht="14.65" customHeight="1" outlineLevel="1" x14ac:dyDescent="0.25">
      <c r="A1865" s="2145"/>
      <c r="C1865" s="49"/>
      <c r="D1865" s="2394"/>
      <c r="E1865" s="2394"/>
      <c r="F1865" s="2404" t="str">
        <f t="shared" si="239"/>
        <v>ASHP-SEER19-Replace_CAC_NonElectricHeat_ROF_SF</v>
      </c>
      <c r="G1865" s="2404"/>
      <c r="H1865" s="2404"/>
      <c r="I1865" s="2404"/>
      <c r="J1865" s="1506" t="str">
        <f t="shared" si="240"/>
        <v>353310_2024_12_</v>
      </c>
      <c r="K1865" s="1537">
        <v>18</v>
      </c>
      <c r="L1865" s="244"/>
      <c r="M1865" s="1251" t="s">
        <v>1303</v>
      </c>
      <c r="P1865" s="243"/>
      <c r="Q1865" s="192"/>
      <c r="R1865" s="243"/>
      <c r="T1865" s="166"/>
      <c r="U1865" s="50"/>
      <c r="V1865" s="2394"/>
      <c r="W1865" s="245"/>
      <c r="X1865" s="245"/>
      <c r="Y1865" s="245"/>
      <c r="Z1865" s="245"/>
      <c r="AA1865" s="245"/>
      <c r="AB1865" s="245"/>
      <c r="AC1865" s="245"/>
      <c r="AD1865" s="963">
        <v>18</v>
      </c>
      <c r="AE1865" s="245">
        <v>18</v>
      </c>
      <c r="AF1865" s="253">
        <v>18</v>
      </c>
      <c r="AG1865" s="253">
        <f t="shared" si="236"/>
        <v>18</v>
      </c>
      <c r="DG1865" s="543"/>
      <c r="DH1865" s="149"/>
      <c r="DI1865" s="1020"/>
      <c r="DJ1865" s="2045"/>
    </row>
    <row r="1866" spans="1:114" ht="14.65" customHeight="1" outlineLevel="1" x14ac:dyDescent="0.25">
      <c r="A1866" s="2145"/>
      <c r="C1866" s="49"/>
      <c r="D1866" s="2394"/>
      <c r="E1866" s="2394"/>
      <c r="F1866" s="2404" t="str">
        <f t="shared" si="239"/>
        <v>ASHP-SEER19-Replace_CAC_NonElectricHeat_ROF_SF</v>
      </c>
      <c r="G1866" s="2404"/>
      <c r="H1866" s="2404"/>
      <c r="I1866" s="2404"/>
      <c r="J1866" s="1506" t="str">
        <f t="shared" si="240"/>
        <v>353310_2024_12_</v>
      </c>
      <c r="K1866" s="1537">
        <v>18</v>
      </c>
      <c r="L1866" s="244"/>
      <c r="M1866" s="1251" t="s">
        <v>1303</v>
      </c>
      <c r="P1866" s="243"/>
      <c r="Q1866" s="192"/>
      <c r="R1866" s="243"/>
      <c r="T1866" s="166"/>
      <c r="U1866" s="50"/>
      <c r="V1866" s="2394"/>
      <c r="W1866" s="245"/>
      <c r="X1866" s="245"/>
      <c r="Y1866" s="245"/>
      <c r="Z1866" s="245"/>
      <c r="AA1866" s="245"/>
      <c r="AB1866" s="245"/>
      <c r="AC1866" s="245"/>
      <c r="AD1866" s="963">
        <v>18</v>
      </c>
      <c r="AE1866" s="245">
        <v>18</v>
      </c>
      <c r="AF1866" s="253">
        <v>18</v>
      </c>
      <c r="AG1866" s="253">
        <f t="shared" si="236"/>
        <v>18</v>
      </c>
      <c r="DG1866" s="543"/>
      <c r="DH1866" s="149"/>
      <c r="DI1866" s="1020"/>
      <c r="DJ1866" s="2045"/>
    </row>
    <row r="1867" spans="1:114" ht="14.65" customHeight="1" outlineLevel="1" x14ac:dyDescent="0.25">
      <c r="A1867" s="2145"/>
      <c r="C1867" s="49"/>
      <c r="D1867" s="2394"/>
      <c r="E1867" s="2394"/>
      <c r="F1867" s="2404" t="str">
        <f t="shared" si="239"/>
        <v>ASHP-SEER20-Replace_CAC_ElectricHeat_ER1_SF</v>
      </c>
      <c r="G1867" s="2404"/>
      <c r="H1867" s="2404"/>
      <c r="I1867" s="2404"/>
      <c r="J1867" s="1506" t="str">
        <f t="shared" si="240"/>
        <v>353400_2024_12_</v>
      </c>
      <c r="K1867" s="1537">
        <v>6</v>
      </c>
      <c r="L1867" s="244"/>
      <c r="M1867" s="1251" t="s">
        <v>1303</v>
      </c>
      <c r="P1867" s="243"/>
      <c r="Q1867" s="192"/>
      <c r="R1867" s="243"/>
      <c r="T1867" s="166"/>
      <c r="U1867" s="50"/>
      <c r="V1867" s="2394"/>
      <c r="W1867" s="245">
        <v>6</v>
      </c>
      <c r="X1867" s="245">
        <v>6</v>
      </c>
      <c r="Y1867" s="245">
        <v>6</v>
      </c>
      <c r="Z1867" s="245">
        <v>6</v>
      </c>
      <c r="AA1867" s="245">
        <v>6</v>
      </c>
      <c r="AB1867" s="245">
        <v>6</v>
      </c>
      <c r="AC1867" s="245">
        <v>6</v>
      </c>
      <c r="AD1867" s="245">
        <v>6</v>
      </c>
      <c r="AE1867" s="245">
        <v>6</v>
      </c>
      <c r="AF1867" s="253">
        <v>6</v>
      </c>
      <c r="AG1867" s="253">
        <f t="shared" si="236"/>
        <v>6</v>
      </c>
      <c r="DG1867" s="543"/>
      <c r="DH1867" s="149"/>
      <c r="DI1867" s="1020"/>
      <c r="DJ1867" s="2045"/>
    </row>
    <row r="1868" spans="1:114" ht="14.65" customHeight="1" outlineLevel="1" x14ac:dyDescent="0.25">
      <c r="A1868" s="2145"/>
      <c r="C1868" s="49"/>
      <c r="D1868" s="2394"/>
      <c r="E1868" s="2394"/>
      <c r="F1868" s="2404" t="str">
        <f t="shared" si="239"/>
        <v>ASHP-SEER20-Replace_CAC_ElectricHeat_ER1_SF</v>
      </c>
      <c r="G1868" s="2404"/>
      <c r="H1868" s="2404"/>
      <c r="I1868" s="2404"/>
      <c r="J1868" s="1506" t="str">
        <f t="shared" si="240"/>
        <v>353400_2024_12_</v>
      </c>
      <c r="K1868" s="1537">
        <v>6</v>
      </c>
      <c r="L1868" s="244"/>
      <c r="M1868" s="1251" t="s">
        <v>1303</v>
      </c>
      <c r="P1868" s="243"/>
      <c r="Q1868" s="192"/>
      <c r="R1868" s="243"/>
      <c r="T1868" s="166"/>
      <c r="U1868" s="50"/>
      <c r="V1868" s="2394"/>
      <c r="W1868" s="245">
        <v>6</v>
      </c>
      <c r="X1868" s="245">
        <v>6</v>
      </c>
      <c r="Y1868" s="245">
        <v>6</v>
      </c>
      <c r="Z1868" s="245">
        <v>6</v>
      </c>
      <c r="AA1868" s="245">
        <v>6</v>
      </c>
      <c r="AB1868" s="245">
        <v>6</v>
      </c>
      <c r="AC1868" s="245">
        <v>6</v>
      </c>
      <c r="AD1868" s="245">
        <v>6</v>
      </c>
      <c r="AE1868" s="245">
        <v>6</v>
      </c>
      <c r="AF1868" s="253">
        <v>6</v>
      </c>
      <c r="AG1868" s="253">
        <f t="shared" si="236"/>
        <v>6</v>
      </c>
      <c r="DG1868" s="543"/>
      <c r="DH1868" s="149"/>
      <c r="DI1868" s="1020"/>
      <c r="DJ1868" s="2045"/>
    </row>
    <row r="1869" spans="1:114" ht="14.65" customHeight="1" outlineLevel="1" x14ac:dyDescent="0.25">
      <c r="A1869" s="2145"/>
      <c r="C1869" s="49"/>
      <c r="D1869" s="2394"/>
      <c r="E1869" s="2394"/>
      <c r="F1869" s="2404" t="str">
        <f t="shared" si="239"/>
        <v>ASHP-SEER20-Replace_CAC_ElectricHeat_ER2_SF</v>
      </c>
      <c r="G1869" s="2404"/>
      <c r="H1869" s="2404"/>
      <c r="I1869" s="2404"/>
      <c r="J1869" s="1506" t="str">
        <f t="shared" si="240"/>
        <v>353400_2024_12_</v>
      </c>
      <c r="K1869" s="1537">
        <v>12</v>
      </c>
      <c r="L1869" s="244"/>
      <c r="M1869" s="1251" t="s">
        <v>1303</v>
      </c>
      <c r="P1869" s="243"/>
      <c r="Q1869" s="192"/>
      <c r="R1869" s="243"/>
      <c r="T1869" s="166"/>
      <c r="U1869" s="50"/>
      <c r="V1869" s="2394"/>
      <c r="W1869" s="245">
        <v>12</v>
      </c>
      <c r="X1869" s="245">
        <v>12</v>
      </c>
      <c r="Y1869" s="245">
        <v>12</v>
      </c>
      <c r="Z1869" s="245">
        <v>12</v>
      </c>
      <c r="AA1869" s="245">
        <v>12</v>
      </c>
      <c r="AB1869" s="245">
        <v>12</v>
      </c>
      <c r="AC1869" s="245">
        <v>12</v>
      </c>
      <c r="AD1869" s="245">
        <v>12</v>
      </c>
      <c r="AE1869" s="245">
        <v>12</v>
      </c>
      <c r="AF1869" s="253">
        <v>12</v>
      </c>
      <c r="AG1869" s="253">
        <f t="shared" si="236"/>
        <v>12</v>
      </c>
      <c r="DG1869" s="543"/>
      <c r="DH1869" s="149"/>
      <c r="DI1869" s="1020"/>
      <c r="DJ1869" s="2045"/>
    </row>
    <row r="1870" spans="1:114" ht="14.65" customHeight="1" outlineLevel="1" x14ac:dyDescent="0.25">
      <c r="A1870" s="2145"/>
      <c r="C1870" s="49"/>
      <c r="D1870" s="2394"/>
      <c r="E1870" s="2394"/>
      <c r="F1870" s="2404" t="str">
        <f t="shared" si="239"/>
        <v>ASHP-SEER20-Replace_CAC_ElectricHeat_ER2_SF</v>
      </c>
      <c r="G1870" s="2404"/>
      <c r="H1870" s="2404"/>
      <c r="I1870" s="2404"/>
      <c r="J1870" s="1506" t="str">
        <f t="shared" si="240"/>
        <v>353400_2024_12_</v>
      </c>
      <c r="K1870" s="1537">
        <v>12</v>
      </c>
      <c r="L1870" s="244"/>
      <c r="M1870" s="1251" t="s">
        <v>1303</v>
      </c>
      <c r="P1870" s="243"/>
      <c r="Q1870" s="192"/>
      <c r="R1870" s="243"/>
      <c r="T1870" s="166"/>
      <c r="U1870" s="50"/>
      <c r="V1870" s="2394"/>
      <c r="W1870" s="245">
        <v>12</v>
      </c>
      <c r="X1870" s="245">
        <v>12</v>
      </c>
      <c r="Y1870" s="245">
        <v>12</v>
      </c>
      <c r="Z1870" s="245">
        <v>12</v>
      </c>
      <c r="AA1870" s="245">
        <v>12</v>
      </c>
      <c r="AB1870" s="245">
        <v>12</v>
      </c>
      <c r="AC1870" s="245">
        <v>12</v>
      </c>
      <c r="AD1870" s="245">
        <v>12</v>
      </c>
      <c r="AE1870" s="245">
        <v>12</v>
      </c>
      <c r="AF1870" s="253">
        <v>12</v>
      </c>
      <c r="AG1870" s="253">
        <f t="shared" si="236"/>
        <v>12</v>
      </c>
      <c r="DG1870" s="543"/>
      <c r="DH1870" s="149"/>
      <c r="DI1870" s="1020"/>
      <c r="DJ1870" s="2045"/>
    </row>
    <row r="1871" spans="1:114" ht="14.65" customHeight="1" outlineLevel="1" x14ac:dyDescent="0.25">
      <c r="A1871" s="2145"/>
      <c r="C1871" s="49"/>
      <c r="D1871" s="2394"/>
      <c r="E1871" s="2394"/>
      <c r="F1871" s="2404" t="str">
        <f t="shared" si="239"/>
        <v>ASHP-SEER20-Replace_CAC_NonElectricHeat_ER1_SF</v>
      </c>
      <c r="G1871" s="2404"/>
      <c r="H1871" s="2404"/>
      <c r="I1871" s="2404"/>
      <c r="J1871" s="1506" t="str">
        <f t="shared" si="240"/>
        <v>353410_2024_12_</v>
      </c>
      <c r="K1871" s="1537">
        <v>6</v>
      </c>
      <c r="L1871" s="244"/>
      <c r="M1871" s="1251" t="s">
        <v>1303</v>
      </c>
      <c r="P1871" s="243"/>
      <c r="Q1871" s="192"/>
      <c r="R1871" s="243"/>
      <c r="T1871" s="166"/>
      <c r="U1871" s="50"/>
      <c r="V1871" s="2394"/>
      <c r="W1871" s="245"/>
      <c r="X1871" s="245"/>
      <c r="Y1871" s="245"/>
      <c r="Z1871" s="245"/>
      <c r="AA1871" s="245"/>
      <c r="AB1871" s="245"/>
      <c r="AC1871" s="963">
        <v>6</v>
      </c>
      <c r="AD1871" s="245">
        <v>6</v>
      </c>
      <c r="AE1871" s="245">
        <v>6</v>
      </c>
      <c r="AF1871" s="253">
        <v>6</v>
      </c>
      <c r="AG1871" s="253">
        <f t="shared" si="236"/>
        <v>6</v>
      </c>
      <c r="DG1871" s="543"/>
      <c r="DH1871" s="149"/>
      <c r="DI1871" s="1020"/>
      <c r="DJ1871" s="2045"/>
    </row>
    <row r="1872" spans="1:114" ht="14.65" customHeight="1" outlineLevel="1" x14ac:dyDescent="0.25">
      <c r="A1872" s="2145"/>
      <c r="C1872" s="49"/>
      <c r="D1872" s="2394"/>
      <c r="E1872" s="2394"/>
      <c r="F1872" s="2404" t="str">
        <f t="shared" si="239"/>
        <v>ASHP-SEER20-Replace_CAC_NonElectricHeat_ER1_SF</v>
      </c>
      <c r="G1872" s="2404"/>
      <c r="H1872" s="2404"/>
      <c r="I1872" s="2404"/>
      <c r="J1872" s="1506" t="str">
        <f t="shared" si="240"/>
        <v>353410_2024_12_</v>
      </c>
      <c r="K1872" s="1537">
        <v>6</v>
      </c>
      <c r="L1872" s="244"/>
      <c r="M1872" s="1251" t="s">
        <v>1303</v>
      </c>
      <c r="P1872" s="243"/>
      <c r="Q1872" s="192"/>
      <c r="R1872" s="243"/>
      <c r="T1872" s="166"/>
      <c r="U1872" s="50"/>
      <c r="V1872" s="2394"/>
      <c r="W1872" s="245"/>
      <c r="X1872" s="245"/>
      <c r="Y1872" s="245"/>
      <c r="Z1872" s="245"/>
      <c r="AA1872" s="245"/>
      <c r="AB1872" s="245"/>
      <c r="AC1872" s="963">
        <v>6</v>
      </c>
      <c r="AD1872" s="245">
        <v>6</v>
      </c>
      <c r="AE1872" s="245">
        <v>6</v>
      </c>
      <c r="AF1872" s="253">
        <v>6</v>
      </c>
      <c r="AG1872" s="253">
        <f t="shared" si="236"/>
        <v>6</v>
      </c>
      <c r="DG1872" s="543"/>
      <c r="DH1872" s="149"/>
      <c r="DI1872" s="1020"/>
      <c r="DJ1872" s="2045"/>
    </row>
    <row r="1873" spans="1:114" ht="14.65" customHeight="1" outlineLevel="1" x14ac:dyDescent="0.25">
      <c r="A1873" s="2145"/>
      <c r="C1873" s="49"/>
      <c r="D1873" s="2394"/>
      <c r="E1873" s="2394"/>
      <c r="F1873" s="2404" t="str">
        <f t="shared" si="239"/>
        <v>ASHP-SEER20-Replace_CAC_NonElectricHeat_ER2_SF</v>
      </c>
      <c r="G1873" s="2404"/>
      <c r="H1873" s="2404"/>
      <c r="I1873" s="2404"/>
      <c r="J1873" s="1506" t="str">
        <f t="shared" si="240"/>
        <v>353410_2024_12_</v>
      </c>
      <c r="K1873" s="1537">
        <v>12</v>
      </c>
      <c r="L1873" s="244"/>
      <c r="M1873" s="1251" t="s">
        <v>1303</v>
      </c>
      <c r="P1873" s="243"/>
      <c r="Q1873" s="192"/>
      <c r="R1873" s="243"/>
      <c r="T1873" s="166"/>
      <c r="U1873" s="50"/>
      <c r="V1873" s="2394"/>
      <c r="W1873" s="245"/>
      <c r="X1873" s="245"/>
      <c r="Y1873" s="245"/>
      <c r="Z1873" s="245"/>
      <c r="AA1873" s="245"/>
      <c r="AB1873" s="245"/>
      <c r="AC1873" s="963">
        <v>12</v>
      </c>
      <c r="AD1873" s="245">
        <v>12</v>
      </c>
      <c r="AE1873" s="245">
        <v>12</v>
      </c>
      <c r="AF1873" s="253">
        <v>12</v>
      </c>
      <c r="AG1873" s="253">
        <f t="shared" si="236"/>
        <v>12</v>
      </c>
      <c r="DG1873" s="543"/>
      <c r="DH1873" s="149"/>
      <c r="DI1873" s="1020"/>
      <c r="DJ1873" s="2045"/>
    </row>
    <row r="1874" spans="1:114" ht="15.75" customHeight="1" outlineLevel="1" x14ac:dyDescent="0.25">
      <c r="A1874" s="2145"/>
      <c r="C1874" s="49"/>
      <c r="D1874" s="2394"/>
      <c r="E1874" s="2394"/>
      <c r="F1874" s="1968" t="s">
        <v>1180</v>
      </c>
      <c r="G1874" s="1969"/>
      <c r="H1874" s="1969"/>
      <c r="I1874" s="1970"/>
      <c r="J1874" s="2095" t="s">
        <v>1179</v>
      </c>
      <c r="K1874" s="1979">
        <v>6</v>
      </c>
      <c r="L1874" s="913"/>
      <c r="M1874" s="1251" t="s">
        <v>1303</v>
      </c>
      <c r="T1874" s="50"/>
      <c r="U1874" s="50"/>
      <c r="V1874" s="2394"/>
      <c r="W1874" s="1268"/>
      <c r="X1874" s="1268"/>
      <c r="Y1874" s="1268"/>
      <c r="Z1874" s="1268"/>
      <c r="AA1874" s="1268"/>
      <c r="AB1874" s="1268"/>
      <c r="AC1874" s="752"/>
      <c r="AD1874" s="966"/>
      <c r="AE1874" s="909"/>
      <c r="AF1874" s="253"/>
      <c r="AG1874" s="253">
        <f>IF(K1874&lt;&gt;"",K1874,"")</f>
        <v>6</v>
      </c>
      <c r="DG1874" s="543"/>
      <c r="DH1874" s="149"/>
      <c r="DI1874" s="1020"/>
      <c r="DJ1874" s="2045"/>
    </row>
    <row r="1875" spans="1:114" ht="15.75" customHeight="1" outlineLevel="1" x14ac:dyDescent="0.25">
      <c r="A1875" s="2145"/>
      <c r="C1875" s="49"/>
      <c r="D1875" s="2394"/>
      <c r="E1875" s="2394"/>
      <c r="F1875" s="1968" t="s">
        <v>1180</v>
      </c>
      <c r="G1875" s="1969"/>
      <c r="H1875" s="1969"/>
      <c r="I1875" s="1970"/>
      <c r="J1875" s="2095" t="s">
        <v>1179</v>
      </c>
      <c r="K1875" s="1979">
        <v>6</v>
      </c>
      <c r="L1875" s="913"/>
      <c r="M1875" s="1251" t="s">
        <v>1303</v>
      </c>
      <c r="T1875" s="50"/>
      <c r="U1875" s="50"/>
      <c r="V1875" s="2394"/>
      <c r="W1875" s="1268"/>
      <c r="X1875" s="1268"/>
      <c r="Y1875" s="1268"/>
      <c r="Z1875" s="1268"/>
      <c r="AA1875" s="1268"/>
      <c r="AB1875" s="1268"/>
      <c r="AC1875" s="752"/>
      <c r="AD1875" s="966"/>
      <c r="AE1875" s="909"/>
      <c r="AF1875" s="253"/>
      <c r="AG1875" s="253">
        <f>IF(K1875&lt;&gt;"",K1875,"")</f>
        <v>6</v>
      </c>
      <c r="DG1875" s="543"/>
      <c r="DH1875" s="149"/>
      <c r="DI1875" s="1020"/>
      <c r="DJ1875" s="2045"/>
    </row>
    <row r="1876" spans="1:114" ht="15.75" customHeight="1" outlineLevel="1" x14ac:dyDescent="0.25">
      <c r="A1876" s="2145"/>
      <c r="C1876" s="49"/>
      <c r="D1876" s="2394"/>
      <c r="E1876" s="2394"/>
      <c r="F1876" s="1968" t="s">
        <v>1181</v>
      </c>
      <c r="G1876" s="1969"/>
      <c r="H1876" s="1969"/>
      <c r="I1876" s="1970"/>
      <c r="J1876" s="2095" t="s">
        <v>1179</v>
      </c>
      <c r="K1876" s="1979">
        <v>12</v>
      </c>
      <c r="L1876" s="913"/>
      <c r="M1876" s="1251" t="s">
        <v>1303</v>
      </c>
      <c r="T1876" s="50"/>
      <c r="U1876" s="50"/>
      <c r="V1876" s="2394"/>
      <c r="W1876" s="1268"/>
      <c r="X1876" s="1268"/>
      <c r="Y1876" s="1268"/>
      <c r="Z1876" s="1268"/>
      <c r="AA1876" s="1268"/>
      <c r="AB1876" s="1268"/>
      <c r="AC1876" s="752"/>
      <c r="AD1876" s="966"/>
      <c r="AE1876" s="909"/>
      <c r="AF1876" s="253"/>
      <c r="AG1876" s="253">
        <f>IF(K1876&lt;&gt;"",K1876,"")</f>
        <v>12</v>
      </c>
      <c r="DG1876" s="543"/>
      <c r="DH1876" s="149"/>
      <c r="DI1876" s="1020"/>
      <c r="DJ1876" s="2045"/>
    </row>
    <row r="1877" spans="1:114" ht="15.75" customHeight="1" outlineLevel="1" x14ac:dyDescent="0.25">
      <c r="A1877" s="2145"/>
      <c r="C1877" s="49"/>
      <c r="D1877" s="2394"/>
      <c r="E1877" s="2394"/>
      <c r="F1877" s="1968" t="s">
        <v>1181</v>
      </c>
      <c r="G1877" s="1969"/>
      <c r="H1877" s="1969"/>
      <c r="I1877" s="1970"/>
      <c r="J1877" s="2095" t="s">
        <v>1179</v>
      </c>
      <c r="K1877" s="1979">
        <v>12</v>
      </c>
      <c r="L1877" s="913"/>
      <c r="M1877" s="1251" t="s">
        <v>1303</v>
      </c>
      <c r="T1877" s="50"/>
      <c r="U1877" s="50"/>
      <c r="V1877" s="2394"/>
      <c r="W1877" s="1268"/>
      <c r="X1877" s="1268"/>
      <c r="Y1877" s="1268"/>
      <c r="Z1877" s="1268"/>
      <c r="AA1877" s="1268"/>
      <c r="AB1877" s="1268"/>
      <c r="AC1877" s="752"/>
      <c r="AD1877" s="966"/>
      <c r="AE1877" s="909"/>
      <c r="AF1877" s="253"/>
      <c r="AG1877" s="253">
        <f>IF(K1877&lt;&gt;"",K1877,"")</f>
        <v>12</v>
      </c>
      <c r="DG1877" s="543"/>
      <c r="DH1877" s="149"/>
      <c r="DI1877" s="1020"/>
      <c r="DJ1877" s="2045"/>
    </row>
    <row r="1878" spans="1:114" ht="14.65" customHeight="1" outlineLevel="1" x14ac:dyDescent="0.25">
      <c r="A1878" s="2145"/>
      <c r="C1878" s="49"/>
      <c r="D1878" s="2394"/>
      <c r="E1878" s="2394"/>
      <c r="F1878" s="2404" t="str">
        <f>E720</f>
        <v>ASHP-SEER20-Replace_CAC_NonElectricHeat_ER2_SF</v>
      </c>
      <c r="G1878" s="2404"/>
      <c r="H1878" s="2404"/>
      <c r="I1878" s="2404"/>
      <c r="J1878" s="1506" t="str">
        <f>C720</f>
        <v>353410_2024_12_</v>
      </c>
      <c r="K1878" s="1537">
        <v>12</v>
      </c>
      <c r="L1878" s="244"/>
      <c r="M1878" s="1251" t="s">
        <v>1303</v>
      </c>
      <c r="P1878" s="243"/>
      <c r="Q1878" s="192"/>
      <c r="R1878" s="243"/>
      <c r="T1878" s="166"/>
      <c r="U1878" s="50"/>
      <c r="V1878" s="2394"/>
      <c r="W1878" s="245"/>
      <c r="X1878" s="245"/>
      <c r="Y1878" s="245"/>
      <c r="Z1878" s="245"/>
      <c r="AA1878" s="245"/>
      <c r="AB1878" s="245"/>
      <c r="AC1878" s="963">
        <v>12</v>
      </c>
      <c r="AD1878" s="245">
        <v>12</v>
      </c>
      <c r="AE1878" s="245">
        <v>12</v>
      </c>
      <c r="AF1878" s="253">
        <v>12</v>
      </c>
      <c r="AG1878" s="253">
        <f t="shared" si="236"/>
        <v>12</v>
      </c>
      <c r="DG1878" s="543"/>
      <c r="DH1878" s="149"/>
      <c r="DI1878" s="1020"/>
      <c r="DJ1878" s="2045"/>
    </row>
    <row r="1879" spans="1:114" ht="14.65" customHeight="1" outlineLevel="1" x14ac:dyDescent="0.25">
      <c r="A1879" s="2145"/>
      <c r="C1879" s="49"/>
      <c r="D1879" s="2394"/>
      <c r="E1879" s="2394"/>
      <c r="F1879" s="2404" t="str">
        <f>E725</f>
        <v>ASHP-SEER20-Replace_CAC_ElectricHeat_ROF_SF</v>
      </c>
      <c r="G1879" s="2404"/>
      <c r="H1879" s="2404"/>
      <c r="I1879" s="2404"/>
      <c r="J1879" s="1506" t="str">
        <f>C725</f>
        <v>353450_2024_12_</v>
      </c>
      <c r="K1879" s="1537">
        <v>18</v>
      </c>
      <c r="L1879" s="244"/>
      <c r="M1879" s="1251" t="s">
        <v>1303</v>
      </c>
      <c r="P1879" s="243"/>
      <c r="Q1879" s="192"/>
      <c r="R1879" s="243"/>
      <c r="T1879" s="166"/>
      <c r="U1879" s="50"/>
      <c r="V1879" s="2394"/>
      <c r="W1879" s="245">
        <v>18</v>
      </c>
      <c r="X1879" s="245">
        <v>18</v>
      </c>
      <c r="Y1879" s="245">
        <v>18</v>
      </c>
      <c r="Z1879" s="245">
        <v>18</v>
      </c>
      <c r="AA1879" s="245">
        <v>18</v>
      </c>
      <c r="AB1879" s="245">
        <v>18</v>
      </c>
      <c r="AC1879" s="245">
        <v>18</v>
      </c>
      <c r="AD1879" s="245">
        <v>18</v>
      </c>
      <c r="AE1879" s="245">
        <v>18</v>
      </c>
      <c r="AF1879" s="253">
        <v>18</v>
      </c>
      <c r="AG1879" s="253">
        <f t="shared" si="236"/>
        <v>18</v>
      </c>
      <c r="DG1879" s="543"/>
      <c r="DH1879" s="149"/>
      <c r="DI1879" s="1020"/>
      <c r="DJ1879" s="2045"/>
    </row>
    <row r="1880" spans="1:114" ht="14.65" customHeight="1" outlineLevel="1" x14ac:dyDescent="0.25">
      <c r="A1880" s="2145"/>
      <c r="C1880" s="49"/>
      <c r="D1880" s="2394"/>
      <c r="E1880" s="2394"/>
      <c r="F1880" s="2404" t="str">
        <f>E726</f>
        <v>ASHP-SEER20-Replace_CAC_ElectricHeat_ROF_SF</v>
      </c>
      <c r="G1880" s="2404"/>
      <c r="H1880" s="2404"/>
      <c r="I1880" s="2404"/>
      <c r="J1880" s="1506" t="str">
        <f>C726</f>
        <v>353450_2024_12_</v>
      </c>
      <c r="K1880" s="1537">
        <v>18</v>
      </c>
      <c r="L1880" s="244"/>
      <c r="M1880" s="1251" t="s">
        <v>1303</v>
      </c>
      <c r="P1880" s="243"/>
      <c r="Q1880" s="192"/>
      <c r="R1880" s="243"/>
      <c r="T1880" s="166"/>
      <c r="U1880" s="50"/>
      <c r="V1880" s="2394"/>
      <c r="W1880" s="245">
        <v>18</v>
      </c>
      <c r="X1880" s="245">
        <v>18</v>
      </c>
      <c r="Y1880" s="245">
        <v>18</v>
      </c>
      <c r="Z1880" s="245">
        <v>18</v>
      </c>
      <c r="AA1880" s="245">
        <v>18</v>
      </c>
      <c r="AB1880" s="245">
        <v>18</v>
      </c>
      <c r="AC1880" s="245">
        <v>18</v>
      </c>
      <c r="AD1880" s="245">
        <v>18</v>
      </c>
      <c r="AE1880" s="245">
        <v>18</v>
      </c>
      <c r="AF1880" s="253">
        <v>18</v>
      </c>
      <c r="AG1880" s="253">
        <f t="shared" si="236"/>
        <v>18</v>
      </c>
      <c r="DG1880" s="543"/>
      <c r="DH1880" s="149"/>
      <c r="DI1880" s="1020"/>
      <c r="DJ1880" s="2045"/>
    </row>
    <row r="1881" spans="1:114" ht="15.75" customHeight="1" outlineLevel="1" x14ac:dyDescent="0.25">
      <c r="A1881" s="2145"/>
      <c r="C1881" s="49"/>
      <c r="D1881" s="2394"/>
      <c r="E1881" s="2394"/>
      <c r="F1881" s="1968" t="s">
        <v>1185</v>
      </c>
      <c r="G1881" s="1969"/>
      <c r="H1881" s="1969"/>
      <c r="I1881" s="1970"/>
      <c r="J1881" s="2095" t="s">
        <v>1184</v>
      </c>
      <c r="K1881" s="1979">
        <v>18</v>
      </c>
      <c r="L1881" s="913"/>
      <c r="M1881" s="1251" t="s">
        <v>1303</v>
      </c>
      <c r="T1881" s="50"/>
      <c r="U1881" s="50"/>
      <c r="V1881" s="2394"/>
      <c r="W1881" s="1268"/>
      <c r="X1881" s="1268"/>
      <c r="Y1881" s="1268"/>
      <c r="Z1881" s="1268"/>
      <c r="AA1881" s="1268"/>
      <c r="AB1881" s="1268"/>
      <c r="AC1881" s="752"/>
      <c r="AD1881" s="966"/>
      <c r="AE1881" s="909"/>
      <c r="AF1881" s="253"/>
      <c r="AG1881" s="253">
        <f>IF(K1881&lt;&gt;"",K1881,"")</f>
        <v>18</v>
      </c>
      <c r="DG1881" s="543"/>
      <c r="DH1881" s="149"/>
      <c r="DI1881" s="1020"/>
      <c r="DJ1881" s="2045"/>
    </row>
    <row r="1882" spans="1:114" ht="15.75" customHeight="1" outlineLevel="1" x14ac:dyDescent="0.25">
      <c r="A1882" s="2145"/>
      <c r="C1882" s="49"/>
      <c r="D1882" s="2394"/>
      <c r="E1882" s="2394"/>
      <c r="F1882" s="1968" t="s">
        <v>1185</v>
      </c>
      <c r="G1882" s="1969"/>
      <c r="H1882" s="1969"/>
      <c r="I1882" s="1970"/>
      <c r="J1882" s="2095" t="s">
        <v>1184</v>
      </c>
      <c r="K1882" s="1979">
        <v>18</v>
      </c>
      <c r="L1882" s="913"/>
      <c r="M1882" s="1251" t="s">
        <v>1303</v>
      </c>
      <c r="T1882" s="50"/>
      <c r="U1882" s="50"/>
      <c r="V1882" s="2394"/>
      <c r="W1882" s="1268"/>
      <c r="X1882" s="1268"/>
      <c r="Y1882" s="1268"/>
      <c r="Z1882" s="1268"/>
      <c r="AA1882" s="1268"/>
      <c r="AB1882" s="1268"/>
      <c r="AC1882" s="752"/>
      <c r="AD1882" s="966"/>
      <c r="AE1882" s="909"/>
      <c r="AF1882" s="253"/>
      <c r="AG1882" s="253">
        <f>IF(K1882&lt;&gt;"",K1882,"")</f>
        <v>18</v>
      </c>
      <c r="DG1882" s="543"/>
      <c r="DH1882" s="149"/>
      <c r="DI1882" s="1020"/>
      <c r="DJ1882" s="2045"/>
    </row>
    <row r="1883" spans="1:114" ht="14.65" customHeight="1" outlineLevel="1" x14ac:dyDescent="0.25">
      <c r="A1883" s="2145"/>
      <c r="C1883" s="49"/>
      <c r="D1883" s="2394"/>
      <c r="E1883" s="2394"/>
      <c r="F1883" s="2404" t="str">
        <f t="shared" ref="F1883:F1925" si="241">E729</f>
        <v>ASHP-SEER20-Replace_CAC_NonElectricHeat_ROF_SF</v>
      </c>
      <c r="G1883" s="2404"/>
      <c r="H1883" s="2404"/>
      <c r="I1883" s="2404"/>
      <c r="J1883" s="1506" t="str">
        <f t="shared" ref="J1883:J1925" si="242">C729</f>
        <v>353460_2024_12_</v>
      </c>
      <c r="K1883" s="1537">
        <v>18</v>
      </c>
      <c r="L1883" s="244"/>
      <c r="M1883" s="1251" t="s">
        <v>1303</v>
      </c>
      <c r="P1883" s="243"/>
      <c r="Q1883" s="192"/>
      <c r="R1883" s="243"/>
      <c r="T1883" s="166"/>
      <c r="U1883" s="50"/>
      <c r="V1883" s="2394"/>
      <c r="W1883" s="245"/>
      <c r="X1883" s="245"/>
      <c r="Y1883" s="245"/>
      <c r="Z1883" s="245"/>
      <c r="AA1883" s="245"/>
      <c r="AB1883" s="245"/>
      <c r="AC1883" s="245"/>
      <c r="AD1883" s="963">
        <v>18</v>
      </c>
      <c r="AE1883" s="245">
        <v>18</v>
      </c>
      <c r="AF1883" s="253">
        <v>18</v>
      </c>
      <c r="AG1883" s="253">
        <f t="shared" si="236"/>
        <v>18</v>
      </c>
      <c r="DG1883" s="543"/>
      <c r="DH1883" s="149"/>
      <c r="DI1883" s="1020"/>
      <c r="DJ1883" s="2045"/>
    </row>
    <row r="1884" spans="1:114" ht="14.65" customHeight="1" outlineLevel="1" x14ac:dyDescent="0.25">
      <c r="A1884" s="2145"/>
      <c r="C1884" s="49"/>
      <c r="D1884" s="2394"/>
      <c r="E1884" s="2394"/>
      <c r="F1884" s="2404" t="str">
        <f t="shared" si="241"/>
        <v>ASHP-SEER20-Replace_CAC_NonElectricHeat_ROF_SF</v>
      </c>
      <c r="G1884" s="2404"/>
      <c r="H1884" s="2404"/>
      <c r="I1884" s="2404"/>
      <c r="J1884" s="1506" t="str">
        <f t="shared" si="242"/>
        <v>353460_2024_12_</v>
      </c>
      <c r="K1884" s="1537">
        <v>18</v>
      </c>
      <c r="L1884" s="244"/>
      <c r="M1884" s="1251" t="s">
        <v>1303</v>
      </c>
      <c r="P1884" s="243"/>
      <c r="Q1884" s="192"/>
      <c r="R1884" s="243"/>
      <c r="T1884" s="166"/>
      <c r="U1884" s="50"/>
      <c r="V1884" s="2394"/>
      <c r="W1884" s="245"/>
      <c r="X1884" s="245"/>
      <c r="Y1884" s="245"/>
      <c r="Z1884" s="245"/>
      <c r="AA1884" s="245"/>
      <c r="AB1884" s="245"/>
      <c r="AC1884" s="245"/>
      <c r="AD1884" s="963">
        <v>18</v>
      </c>
      <c r="AE1884" s="245">
        <v>18</v>
      </c>
      <c r="AF1884" s="253">
        <v>18</v>
      </c>
      <c r="AG1884" s="253">
        <f t="shared" si="236"/>
        <v>18</v>
      </c>
      <c r="DG1884" s="543"/>
      <c r="DH1884" s="149"/>
      <c r="DI1884" s="1020"/>
      <c r="DJ1884" s="2045"/>
    </row>
    <row r="1885" spans="1:114" ht="14.65" customHeight="1" outlineLevel="1" x14ac:dyDescent="0.25">
      <c r="A1885" s="2145"/>
      <c r="C1885" s="49"/>
      <c r="D1885" s="2394"/>
      <c r="E1885" s="2394"/>
      <c r="F1885" s="2404" t="str">
        <f t="shared" si="241"/>
        <v>ASHP-SEER21-Replace_CAC_ElectricHeat_ER1_SF</v>
      </c>
      <c r="G1885" s="2404"/>
      <c r="H1885" s="2404"/>
      <c r="I1885" s="2404"/>
      <c r="J1885" s="1506" t="str">
        <f t="shared" si="242"/>
        <v>353550_2024_12_</v>
      </c>
      <c r="K1885" s="1537">
        <v>6</v>
      </c>
      <c r="L1885" s="244"/>
      <c r="M1885" s="1251" t="s">
        <v>1303</v>
      </c>
      <c r="P1885" s="243"/>
      <c r="Q1885" s="192"/>
      <c r="R1885" s="243"/>
      <c r="T1885" s="166"/>
      <c r="U1885" s="50"/>
      <c r="V1885" s="2394"/>
      <c r="W1885" s="245">
        <v>6</v>
      </c>
      <c r="X1885" s="245">
        <v>6</v>
      </c>
      <c r="Y1885" s="245">
        <v>6</v>
      </c>
      <c r="Z1885" s="245">
        <v>6</v>
      </c>
      <c r="AA1885" s="245">
        <v>6</v>
      </c>
      <c r="AB1885" s="245">
        <v>6</v>
      </c>
      <c r="AC1885" s="245">
        <v>6</v>
      </c>
      <c r="AD1885" s="245">
        <v>6</v>
      </c>
      <c r="AE1885" s="245">
        <v>6</v>
      </c>
      <c r="AF1885" s="253">
        <v>6</v>
      </c>
      <c r="AG1885" s="253">
        <f t="shared" si="236"/>
        <v>6</v>
      </c>
      <c r="DG1885" s="543"/>
      <c r="DH1885" s="149"/>
      <c r="DI1885" s="1020"/>
      <c r="DJ1885" s="2045"/>
    </row>
    <row r="1886" spans="1:114" ht="14.65" customHeight="1" outlineLevel="1" x14ac:dyDescent="0.25">
      <c r="A1886" s="2145"/>
      <c r="C1886" s="49"/>
      <c r="D1886" s="2394"/>
      <c r="E1886" s="2394"/>
      <c r="F1886" s="2404" t="str">
        <f t="shared" si="241"/>
        <v>ASHP-SEER21-Replace_CAC_ElectricHeat_ER1_SF</v>
      </c>
      <c r="G1886" s="2404"/>
      <c r="H1886" s="2404"/>
      <c r="I1886" s="2404"/>
      <c r="J1886" s="1506" t="str">
        <f t="shared" si="242"/>
        <v>353550_2024_12_</v>
      </c>
      <c r="K1886" s="1537">
        <v>6</v>
      </c>
      <c r="L1886" s="244"/>
      <c r="M1886" s="1251" t="s">
        <v>1303</v>
      </c>
      <c r="P1886" s="243"/>
      <c r="Q1886" s="192"/>
      <c r="R1886" s="243"/>
      <c r="T1886" s="166"/>
      <c r="U1886" s="50"/>
      <c r="V1886" s="2394"/>
      <c r="W1886" s="245">
        <v>6</v>
      </c>
      <c r="X1886" s="245">
        <v>6</v>
      </c>
      <c r="Y1886" s="245">
        <v>6</v>
      </c>
      <c r="Z1886" s="245">
        <v>6</v>
      </c>
      <c r="AA1886" s="245">
        <v>6</v>
      </c>
      <c r="AB1886" s="245">
        <v>6</v>
      </c>
      <c r="AC1886" s="245">
        <v>6</v>
      </c>
      <c r="AD1886" s="245">
        <v>6</v>
      </c>
      <c r="AE1886" s="245">
        <v>6</v>
      </c>
      <c r="AF1886" s="253">
        <v>6</v>
      </c>
      <c r="AG1886" s="253">
        <f t="shared" si="236"/>
        <v>6</v>
      </c>
      <c r="DG1886" s="543"/>
      <c r="DH1886" s="149"/>
      <c r="DI1886" s="1020"/>
      <c r="DJ1886" s="2045"/>
    </row>
    <row r="1887" spans="1:114" ht="14.65" customHeight="1" outlineLevel="1" x14ac:dyDescent="0.25">
      <c r="A1887" s="2145"/>
      <c r="C1887" s="49"/>
      <c r="D1887" s="2394"/>
      <c r="E1887" s="2394"/>
      <c r="F1887" s="2404" t="str">
        <f t="shared" si="241"/>
        <v>ASHP-SEER21-Replace_CAC_ElectricHeat_ER2_SF</v>
      </c>
      <c r="G1887" s="2404"/>
      <c r="H1887" s="2404"/>
      <c r="I1887" s="2404"/>
      <c r="J1887" s="1506" t="str">
        <f t="shared" si="242"/>
        <v>353550_2024_12_</v>
      </c>
      <c r="K1887" s="1537">
        <v>12</v>
      </c>
      <c r="L1887" s="244"/>
      <c r="M1887" s="1251" t="s">
        <v>1303</v>
      </c>
      <c r="P1887" s="243"/>
      <c r="Q1887" s="192"/>
      <c r="R1887" s="243"/>
      <c r="T1887" s="166"/>
      <c r="U1887" s="50"/>
      <c r="V1887" s="2394"/>
      <c r="W1887" s="245">
        <v>12</v>
      </c>
      <c r="X1887" s="245">
        <v>12</v>
      </c>
      <c r="Y1887" s="245">
        <v>12</v>
      </c>
      <c r="Z1887" s="245">
        <v>12</v>
      </c>
      <c r="AA1887" s="245">
        <v>12</v>
      </c>
      <c r="AB1887" s="245">
        <v>12</v>
      </c>
      <c r="AC1887" s="245">
        <v>12</v>
      </c>
      <c r="AD1887" s="245">
        <v>12</v>
      </c>
      <c r="AE1887" s="245">
        <v>12</v>
      </c>
      <c r="AF1887" s="253">
        <v>12</v>
      </c>
      <c r="AG1887" s="253">
        <f t="shared" si="236"/>
        <v>12</v>
      </c>
      <c r="DG1887" s="543"/>
      <c r="DH1887" s="149"/>
      <c r="DI1887" s="1020"/>
      <c r="DJ1887" s="2045"/>
    </row>
    <row r="1888" spans="1:114" ht="14.65" customHeight="1" outlineLevel="1" x14ac:dyDescent="0.25">
      <c r="A1888" s="2145"/>
      <c r="C1888" s="49"/>
      <c r="D1888" s="2394"/>
      <c r="E1888" s="2394"/>
      <c r="F1888" s="2404" t="str">
        <f t="shared" si="241"/>
        <v>ASHP-SEER21-Replace_CAC_ElectricHeat_ER2_SF</v>
      </c>
      <c r="G1888" s="2404"/>
      <c r="H1888" s="2404"/>
      <c r="I1888" s="2404"/>
      <c r="J1888" s="1506" t="str">
        <f t="shared" si="242"/>
        <v>353550_2024_12_</v>
      </c>
      <c r="K1888" s="1537">
        <v>12</v>
      </c>
      <c r="L1888" s="244"/>
      <c r="M1888" s="1251" t="s">
        <v>1303</v>
      </c>
      <c r="P1888" s="243"/>
      <c r="Q1888" s="192"/>
      <c r="R1888" s="243"/>
      <c r="T1888" s="166"/>
      <c r="U1888" s="50"/>
      <c r="V1888" s="2394"/>
      <c r="W1888" s="245">
        <v>12</v>
      </c>
      <c r="X1888" s="245">
        <v>12</v>
      </c>
      <c r="Y1888" s="245">
        <v>12</v>
      </c>
      <c r="Z1888" s="245">
        <v>12</v>
      </c>
      <c r="AA1888" s="245">
        <v>12</v>
      </c>
      <c r="AB1888" s="245">
        <v>12</v>
      </c>
      <c r="AC1888" s="245">
        <v>12</v>
      </c>
      <c r="AD1888" s="245">
        <v>12</v>
      </c>
      <c r="AE1888" s="245">
        <v>12</v>
      </c>
      <c r="AF1888" s="253">
        <v>12</v>
      </c>
      <c r="AG1888" s="253">
        <f t="shared" si="236"/>
        <v>12</v>
      </c>
      <c r="DG1888" s="543"/>
      <c r="DH1888" s="149"/>
      <c r="DI1888" s="1020"/>
      <c r="DJ1888" s="2045"/>
    </row>
    <row r="1889" spans="1:114" ht="14.65" customHeight="1" outlineLevel="1" x14ac:dyDescent="0.25">
      <c r="A1889" s="2145"/>
      <c r="C1889" s="49"/>
      <c r="D1889" s="2394"/>
      <c r="E1889" s="2394"/>
      <c r="F1889" s="2404" t="str">
        <f t="shared" si="241"/>
        <v>ASHP-SEER21-Replace_CAC_NonElectricHeat_ER1_SF</v>
      </c>
      <c r="G1889" s="2404"/>
      <c r="H1889" s="2404"/>
      <c r="I1889" s="2404"/>
      <c r="J1889" s="1506" t="str">
        <f t="shared" si="242"/>
        <v>353560_2024_12_</v>
      </c>
      <c r="K1889" s="1537">
        <v>6</v>
      </c>
      <c r="L1889" s="244"/>
      <c r="M1889" s="1251" t="s">
        <v>1303</v>
      </c>
      <c r="P1889" s="243"/>
      <c r="Q1889" s="192"/>
      <c r="R1889" s="243"/>
      <c r="T1889" s="166"/>
      <c r="U1889" s="50"/>
      <c r="V1889" s="2394"/>
      <c r="W1889" s="245"/>
      <c r="X1889" s="245"/>
      <c r="Y1889" s="245"/>
      <c r="Z1889" s="245"/>
      <c r="AA1889" s="245"/>
      <c r="AB1889" s="245"/>
      <c r="AC1889" s="963">
        <v>6</v>
      </c>
      <c r="AD1889" s="245">
        <v>6</v>
      </c>
      <c r="AE1889" s="245">
        <v>6</v>
      </c>
      <c r="AF1889" s="253">
        <v>6</v>
      </c>
      <c r="AG1889" s="253">
        <f t="shared" si="236"/>
        <v>6</v>
      </c>
      <c r="DG1889" s="543"/>
      <c r="DH1889" s="149"/>
      <c r="DI1889" s="1020"/>
      <c r="DJ1889" s="2045"/>
    </row>
    <row r="1890" spans="1:114" ht="14.65" customHeight="1" outlineLevel="1" x14ac:dyDescent="0.25">
      <c r="A1890" s="2145"/>
      <c r="C1890" s="49"/>
      <c r="D1890" s="2394"/>
      <c r="E1890" s="2394"/>
      <c r="F1890" s="2404" t="str">
        <f t="shared" si="241"/>
        <v>ASHP-SEER21-Replace_CAC_NonElectricHeat_ER1_SF</v>
      </c>
      <c r="G1890" s="2404"/>
      <c r="H1890" s="2404"/>
      <c r="I1890" s="2404"/>
      <c r="J1890" s="1506" t="str">
        <f t="shared" si="242"/>
        <v>353560_2024_12_</v>
      </c>
      <c r="K1890" s="1537">
        <v>6</v>
      </c>
      <c r="L1890" s="244"/>
      <c r="M1890" s="1251" t="s">
        <v>1303</v>
      </c>
      <c r="P1890" s="243"/>
      <c r="Q1890" s="192"/>
      <c r="R1890" s="243"/>
      <c r="T1890" s="166"/>
      <c r="U1890" s="50"/>
      <c r="V1890" s="2394"/>
      <c r="W1890" s="245"/>
      <c r="X1890" s="245"/>
      <c r="Y1890" s="245"/>
      <c r="Z1890" s="245"/>
      <c r="AA1890" s="245"/>
      <c r="AB1890" s="245"/>
      <c r="AC1890" s="963">
        <v>6</v>
      </c>
      <c r="AD1890" s="245">
        <v>6</v>
      </c>
      <c r="AE1890" s="245">
        <v>6</v>
      </c>
      <c r="AF1890" s="253">
        <v>6</v>
      </c>
      <c r="AG1890" s="253">
        <f t="shared" si="236"/>
        <v>6</v>
      </c>
      <c r="DG1890" s="543"/>
      <c r="DH1890" s="149"/>
      <c r="DI1890" s="1020"/>
      <c r="DJ1890" s="2045"/>
    </row>
    <row r="1891" spans="1:114" ht="14.65" customHeight="1" outlineLevel="1" x14ac:dyDescent="0.25">
      <c r="A1891" s="2145"/>
      <c r="C1891" s="49"/>
      <c r="D1891" s="2394"/>
      <c r="E1891" s="2394"/>
      <c r="F1891" s="2404" t="str">
        <f t="shared" si="241"/>
        <v>ASHP-SEER21-Replace_CAC_NonElectricHeat_ER2_SF</v>
      </c>
      <c r="G1891" s="2404"/>
      <c r="H1891" s="2404"/>
      <c r="I1891" s="2404"/>
      <c r="J1891" s="1506" t="str">
        <f t="shared" si="242"/>
        <v>353560_2024_12_</v>
      </c>
      <c r="K1891" s="1537">
        <v>12</v>
      </c>
      <c r="L1891" s="244"/>
      <c r="M1891" s="1251" t="s">
        <v>1303</v>
      </c>
      <c r="P1891" s="243"/>
      <c r="Q1891" s="192"/>
      <c r="R1891" s="243"/>
      <c r="T1891" s="166"/>
      <c r="U1891" s="50"/>
      <c r="V1891" s="2394"/>
      <c r="W1891" s="245"/>
      <c r="X1891" s="245"/>
      <c r="Y1891" s="245"/>
      <c r="Z1891" s="245"/>
      <c r="AA1891" s="245"/>
      <c r="AB1891" s="245"/>
      <c r="AC1891" s="963">
        <v>12</v>
      </c>
      <c r="AD1891" s="245">
        <v>12</v>
      </c>
      <c r="AE1891" s="245">
        <v>12</v>
      </c>
      <c r="AF1891" s="253">
        <v>12</v>
      </c>
      <c r="AG1891" s="253">
        <f t="shared" si="236"/>
        <v>12</v>
      </c>
      <c r="DG1891" s="543"/>
      <c r="DH1891" s="149"/>
      <c r="DI1891" s="1020"/>
      <c r="DJ1891" s="2045"/>
    </row>
    <row r="1892" spans="1:114" ht="14.65" customHeight="1" outlineLevel="1" x14ac:dyDescent="0.25">
      <c r="A1892" s="2145"/>
      <c r="C1892" s="49"/>
      <c r="D1892" s="2394"/>
      <c r="E1892" s="2394"/>
      <c r="F1892" s="2404" t="str">
        <f t="shared" si="241"/>
        <v>ASHP-SEER21-Replace_CAC_NonElectricHeat_ER2_SF</v>
      </c>
      <c r="G1892" s="2404"/>
      <c r="H1892" s="2404"/>
      <c r="I1892" s="2404"/>
      <c r="J1892" s="1506" t="str">
        <f t="shared" si="242"/>
        <v>353560_2024_12_</v>
      </c>
      <c r="K1892" s="1537">
        <v>12</v>
      </c>
      <c r="L1892" s="244"/>
      <c r="M1892" s="1251" t="s">
        <v>1303</v>
      </c>
      <c r="P1892" s="243"/>
      <c r="Q1892" s="192"/>
      <c r="R1892" s="243"/>
      <c r="T1892" s="166"/>
      <c r="U1892" s="50"/>
      <c r="V1892" s="2394"/>
      <c r="W1892" s="245"/>
      <c r="X1892" s="245"/>
      <c r="Y1892" s="245"/>
      <c r="Z1892" s="245"/>
      <c r="AA1892" s="245"/>
      <c r="AB1892" s="245"/>
      <c r="AC1892" s="963">
        <v>12</v>
      </c>
      <c r="AD1892" s="245">
        <v>12</v>
      </c>
      <c r="AE1892" s="245">
        <v>12</v>
      </c>
      <c r="AF1892" s="253">
        <v>12</v>
      </c>
      <c r="AG1892" s="253">
        <f t="shared" si="236"/>
        <v>12</v>
      </c>
      <c r="DG1892" s="543"/>
      <c r="DH1892" s="149"/>
      <c r="DI1892" s="1020"/>
      <c r="DJ1892" s="2045"/>
    </row>
    <row r="1893" spans="1:114" ht="14.65" customHeight="1" outlineLevel="1" x14ac:dyDescent="0.25">
      <c r="A1893" s="2145"/>
      <c r="C1893" s="49"/>
      <c r="D1893" s="2394"/>
      <c r="E1893" s="2394"/>
      <c r="F1893" s="2404" t="str">
        <f t="shared" si="241"/>
        <v>ASHP-SEER21-Replace_CAC_ElectricHeat_ER1_MF</v>
      </c>
      <c r="G1893" s="2404"/>
      <c r="H1893" s="2404"/>
      <c r="I1893" s="2404"/>
      <c r="J1893" s="1506" t="str">
        <f t="shared" si="242"/>
        <v>353600_2024_12_</v>
      </c>
      <c r="K1893" s="1537">
        <v>6</v>
      </c>
      <c r="L1893" s="244"/>
      <c r="M1893" s="1251" t="s">
        <v>1303</v>
      </c>
      <c r="P1893" s="243"/>
      <c r="Q1893" s="192"/>
      <c r="R1893" s="243"/>
      <c r="T1893" s="166"/>
      <c r="U1893" s="50"/>
      <c r="V1893" s="2394"/>
      <c r="W1893" s="245">
        <v>6</v>
      </c>
      <c r="X1893" s="245">
        <v>6</v>
      </c>
      <c r="Y1893" s="245">
        <v>6</v>
      </c>
      <c r="Z1893" s="245">
        <v>6</v>
      </c>
      <c r="AA1893" s="245">
        <v>6</v>
      </c>
      <c r="AB1893" s="245">
        <v>6</v>
      </c>
      <c r="AC1893" s="245">
        <v>6</v>
      </c>
      <c r="AD1893" s="245">
        <v>6</v>
      </c>
      <c r="AE1893" s="245">
        <v>6</v>
      </c>
      <c r="AF1893" s="253">
        <v>6</v>
      </c>
      <c r="AG1893" s="253">
        <f t="shared" si="236"/>
        <v>6</v>
      </c>
      <c r="DG1893" s="543"/>
      <c r="DH1893" s="149"/>
      <c r="DI1893" s="1020"/>
      <c r="DJ1893" s="2045"/>
    </row>
    <row r="1894" spans="1:114" ht="14.65" customHeight="1" outlineLevel="1" x14ac:dyDescent="0.25">
      <c r="A1894" s="2145"/>
      <c r="C1894" s="49"/>
      <c r="D1894" s="2394"/>
      <c r="E1894" s="2394"/>
      <c r="F1894" s="2404" t="str">
        <f t="shared" si="241"/>
        <v>ASHP-SEER21-Replace_CAC_ElectricHeat_ER1_MF</v>
      </c>
      <c r="G1894" s="2404"/>
      <c r="H1894" s="2404"/>
      <c r="I1894" s="2404"/>
      <c r="J1894" s="1506" t="str">
        <f t="shared" si="242"/>
        <v>353600_2024_12_</v>
      </c>
      <c r="K1894" s="1537">
        <v>6</v>
      </c>
      <c r="L1894" s="244"/>
      <c r="M1894" s="1251" t="s">
        <v>1303</v>
      </c>
      <c r="P1894" s="243"/>
      <c r="Q1894" s="192"/>
      <c r="R1894" s="243"/>
      <c r="T1894" s="166"/>
      <c r="U1894" s="50"/>
      <c r="V1894" s="2394"/>
      <c r="W1894" s="245">
        <v>6</v>
      </c>
      <c r="X1894" s="245">
        <v>6</v>
      </c>
      <c r="Y1894" s="245">
        <v>6</v>
      </c>
      <c r="Z1894" s="245">
        <v>6</v>
      </c>
      <c r="AA1894" s="245">
        <v>6</v>
      </c>
      <c r="AB1894" s="245">
        <v>6</v>
      </c>
      <c r="AC1894" s="245">
        <v>6</v>
      </c>
      <c r="AD1894" s="245">
        <v>6</v>
      </c>
      <c r="AE1894" s="245">
        <v>6</v>
      </c>
      <c r="AF1894" s="253">
        <v>6</v>
      </c>
      <c r="AG1894" s="253">
        <f t="shared" si="236"/>
        <v>6</v>
      </c>
      <c r="DG1894" s="543"/>
      <c r="DH1894" s="149"/>
      <c r="DI1894" s="1020"/>
      <c r="DJ1894" s="2045"/>
    </row>
    <row r="1895" spans="1:114" ht="14.65" customHeight="1" outlineLevel="1" x14ac:dyDescent="0.25">
      <c r="A1895" s="2145"/>
      <c r="C1895" s="49"/>
      <c r="D1895" s="2394"/>
      <c r="E1895" s="2394"/>
      <c r="F1895" s="2404" t="str">
        <f t="shared" si="241"/>
        <v>ASHP-SEER21-Replace_CAC_ElectricHeat_ER2_MF</v>
      </c>
      <c r="G1895" s="2404"/>
      <c r="H1895" s="2404"/>
      <c r="I1895" s="2404"/>
      <c r="J1895" s="1506" t="str">
        <f t="shared" si="242"/>
        <v>353600_2024_12_</v>
      </c>
      <c r="K1895" s="1537">
        <v>12</v>
      </c>
      <c r="L1895" s="244"/>
      <c r="M1895" s="1251" t="s">
        <v>1303</v>
      </c>
      <c r="P1895" s="243"/>
      <c r="Q1895" s="192"/>
      <c r="R1895" s="243"/>
      <c r="T1895" s="166"/>
      <c r="U1895" s="50"/>
      <c r="V1895" s="2394"/>
      <c r="W1895" s="245">
        <v>12</v>
      </c>
      <c r="X1895" s="245">
        <v>12</v>
      </c>
      <c r="Y1895" s="245">
        <v>12</v>
      </c>
      <c r="Z1895" s="245">
        <v>12</v>
      </c>
      <c r="AA1895" s="245">
        <v>12</v>
      </c>
      <c r="AB1895" s="245">
        <v>12</v>
      </c>
      <c r="AC1895" s="245">
        <v>12</v>
      </c>
      <c r="AD1895" s="245">
        <v>12</v>
      </c>
      <c r="AE1895" s="245">
        <v>12</v>
      </c>
      <c r="AF1895" s="253">
        <v>12</v>
      </c>
      <c r="AG1895" s="253">
        <f t="shared" si="236"/>
        <v>12</v>
      </c>
      <c r="DG1895" s="543"/>
      <c r="DH1895" s="149"/>
      <c r="DI1895" s="1020"/>
      <c r="DJ1895" s="2045"/>
    </row>
    <row r="1896" spans="1:114" ht="14.65" customHeight="1" outlineLevel="1" x14ac:dyDescent="0.25">
      <c r="A1896" s="2145"/>
      <c r="C1896" s="49"/>
      <c r="D1896" s="2394"/>
      <c r="E1896" s="2394"/>
      <c r="F1896" s="2404" t="str">
        <f t="shared" si="241"/>
        <v>ASHP-SEER21-Replace_CAC_ElectricHeat_ER2_MF</v>
      </c>
      <c r="G1896" s="2404"/>
      <c r="H1896" s="2404"/>
      <c r="I1896" s="2404"/>
      <c r="J1896" s="1506" t="str">
        <f t="shared" si="242"/>
        <v>353600_2024_12_</v>
      </c>
      <c r="K1896" s="1537">
        <v>12</v>
      </c>
      <c r="L1896" s="244"/>
      <c r="M1896" s="1251" t="s">
        <v>1303</v>
      </c>
      <c r="P1896" s="243"/>
      <c r="Q1896" s="192"/>
      <c r="R1896" s="243"/>
      <c r="T1896" s="166"/>
      <c r="U1896" s="50"/>
      <c r="V1896" s="2394"/>
      <c r="W1896" s="245">
        <v>12</v>
      </c>
      <c r="X1896" s="245">
        <v>12</v>
      </c>
      <c r="Y1896" s="245">
        <v>12</v>
      </c>
      <c r="Z1896" s="245">
        <v>12</v>
      </c>
      <c r="AA1896" s="245">
        <v>12</v>
      </c>
      <c r="AB1896" s="245">
        <v>12</v>
      </c>
      <c r="AC1896" s="245">
        <v>12</v>
      </c>
      <c r="AD1896" s="245">
        <v>12</v>
      </c>
      <c r="AE1896" s="245">
        <v>12</v>
      </c>
      <c r="AF1896" s="253">
        <v>12</v>
      </c>
      <c r="AG1896" s="253">
        <f t="shared" si="236"/>
        <v>12</v>
      </c>
      <c r="DG1896" s="543"/>
      <c r="DH1896" s="149"/>
      <c r="DI1896" s="1020"/>
      <c r="DJ1896" s="2045"/>
    </row>
    <row r="1897" spans="1:114" ht="14.65" customHeight="1" outlineLevel="1" x14ac:dyDescent="0.25">
      <c r="A1897" s="2145"/>
      <c r="C1897" s="49"/>
      <c r="D1897" s="2394"/>
      <c r="E1897" s="2394"/>
      <c r="F1897" s="2404" t="str">
        <f t="shared" si="241"/>
        <v>ASHP-SEER21-Replace_CAC_ElectricHeat_ROF_SF</v>
      </c>
      <c r="G1897" s="2404"/>
      <c r="H1897" s="2404"/>
      <c r="I1897" s="2404"/>
      <c r="J1897" s="1506" t="str">
        <f t="shared" si="242"/>
        <v>353650_2024_12_</v>
      </c>
      <c r="K1897" s="1537">
        <v>18</v>
      </c>
      <c r="L1897" s="244"/>
      <c r="M1897" s="1251" t="s">
        <v>1303</v>
      </c>
      <c r="P1897" s="243"/>
      <c r="Q1897" s="192"/>
      <c r="R1897" s="243"/>
      <c r="T1897" s="166"/>
      <c r="U1897" s="50"/>
      <c r="V1897" s="2394"/>
      <c r="W1897" s="245">
        <v>18</v>
      </c>
      <c r="X1897" s="245">
        <v>18</v>
      </c>
      <c r="Y1897" s="245">
        <v>18</v>
      </c>
      <c r="Z1897" s="245">
        <v>18</v>
      </c>
      <c r="AA1897" s="245">
        <v>18</v>
      </c>
      <c r="AB1897" s="245">
        <v>18</v>
      </c>
      <c r="AC1897" s="245">
        <v>18</v>
      </c>
      <c r="AD1897" s="245">
        <v>18</v>
      </c>
      <c r="AE1897" s="245">
        <v>18</v>
      </c>
      <c r="AF1897" s="253">
        <v>18</v>
      </c>
      <c r="AG1897" s="253">
        <f t="shared" si="236"/>
        <v>18</v>
      </c>
      <c r="DG1897" s="543"/>
      <c r="DH1897" s="149"/>
      <c r="DI1897" s="1020"/>
      <c r="DJ1897" s="2045"/>
    </row>
    <row r="1898" spans="1:114" ht="14.65" customHeight="1" outlineLevel="1" x14ac:dyDescent="0.25">
      <c r="A1898" s="2145"/>
      <c r="C1898" s="49"/>
      <c r="D1898" s="2394"/>
      <c r="E1898" s="2394"/>
      <c r="F1898" s="2404" t="str">
        <f t="shared" si="241"/>
        <v>ASHP-SEER21-Replace_CAC_ElectricHeat_ROF_SF</v>
      </c>
      <c r="G1898" s="2404"/>
      <c r="H1898" s="2404"/>
      <c r="I1898" s="2404"/>
      <c r="J1898" s="1506" t="str">
        <f t="shared" si="242"/>
        <v>353650_2024_12_</v>
      </c>
      <c r="K1898" s="1537">
        <v>18</v>
      </c>
      <c r="L1898" s="244"/>
      <c r="M1898" s="1251" t="s">
        <v>1303</v>
      </c>
      <c r="P1898" s="243"/>
      <c r="Q1898" s="192"/>
      <c r="R1898" s="243"/>
      <c r="T1898" s="166"/>
      <c r="U1898" s="50"/>
      <c r="V1898" s="2394"/>
      <c r="W1898" s="245">
        <v>18</v>
      </c>
      <c r="X1898" s="245">
        <v>18</v>
      </c>
      <c r="Y1898" s="245">
        <v>18</v>
      </c>
      <c r="Z1898" s="245">
        <v>18</v>
      </c>
      <c r="AA1898" s="245">
        <v>18</v>
      </c>
      <c r="AB1898" s="245">
        <v>18</v>
      </c>
      <c r="AC1898" s="245">
        <v>18</v>
      </c>
      <c r="AD1898" s="245">
        <v>18</v>
      </c>
      <c r="AE1898" s="245">
        <v>18</v>
      </c>
      <c r="AF1898" s="253">
        <v>18</v>
      </c>
      <c r="AG1898" s="253">
        <f t="shared" si="236"/>
        <v>18</v>
      </c>
      <c r="DG1898" s="543"/>
      <c r="DH1898" s="149"/>
      <c r="DI1898" s="1020"/>
      <c r="DJ1898" s="2045"/>
    </row>
    <row r="1899" spans="1:114" ht="14.65" customHeight="1" outlineLevel="1" x14ac:dyDescent="0.25">
      <c r="A1899" s="2145"/>
      <c r="C1899" s="49"/>
      <c r="D1899" s="2394"/>
      <c r="E1899" s="2394"/>
      <c r="F1899" s="2404" t="str">
        <f t="shared" si="241"/>
        <v>ASHP-SEER21-Replace_CAC_NonElectricHeat_ROF_SF</v>
      </c>
      <c r="G1899" s="2404"/>
      <c r="H1899" s="2404"/>
      <c r="I1899" s="2404"/>
      <c r="J1899" s="1506" t="str">
        <f t="shared" si="242"/>
        <v>353660_2024_12_</v>
      </c>
      <c r="K1899" s="1537">
        <v>18</v>
      </c>
      <c r="L1899" s="244"/>
      <c r="M1899" s="1251" t="s">
        <v>1303</v>
      </c>
      <c r="P1899" s="243"/>
      <c r="Q1899" s="192"/>
      <c r="R1899" s="243"/>
      <c r="T1899" s="166"/>
      <c r="U1899" s="50"/>
      <c r="V1899" s="2394"/>
      <c r="W1899" s="245"/>
      <c r="X1899" s="245"/>
      <c r="Y1899" s="245"/>
      <c r="Z1899" s="245"/>
      <c r="AA1899" s="245"/>
      <c r="AB1899" s="245"/>
      <c r="AC1899" s="245"/>
      <c r="AD1899" s="963">
        <v>18</v>
      </c>
      <c r="AE1899" s="245">
        <v>18</v>
      </c>
      <c r="AF1899" s="253">
        <v>18</v>
      </c>
      <c r="AG1899" s="253">
        <f t="shared" si="236"/>
        <v>18</v>
      </c>
      <c r="DG1899" s="543"/>
      <c r="DH1899" s="149"/>
      <c r="DI1899" s="1020"/>
      <c r="DJ1899" s="2045"/>
    </row>
    <row r="1900" spans="1:114" ht="14.65" customHeight="1" outlineLevel="1" x14ac:dyDescent="0.25">
      <c r="A1900" s="2145"/>
      <c r="C1900" s="49"/>
      <c r="D1900" s="2394"/>
      <c r="E1900" s="2394"/>
      <c r="F1900" s="2404" t="str">
        <f t="shared" si="241"/>
        <v>ASHP-SEER21-Replace_CAC_NonElectricHeat_ROF_SF</v>
      </c>
      <c r="G1900" s="2404"/>
      <c r="H1900" s="2404"/>
      <c r="I1900" s="2404"/>
      <c r="J1900" s="1506" t="str">
        <f t="shared" si="242"/>
        <v>353660_2024_12_</v>
      </c>
      <c r="K1900" s="1537">
        <v>18</v>
      </c>
      <c r="L1900" s="244"/>
      <c r="M1900" s="1251" t="s">
        <v>1303</v>
      </c>
      <c r="P1900" s="243"/>
      <c r="Q1900" s="192"/>
      <c r="R1900" s="243"/>
      <c r="T1900" s="166"/>
      <c r="U1900" s="50"/>
      <c r="V1900" s="2394"/>
      <c r="W1900" s="245"/>
      <c r="X1900" s="245"/>
      <c r="Y1900" s="245"/>
      <c r="Z1900" s="245"/>
      <c r="AA1900" s="245"/>
      <c r="AB1900" s="245"/>
      <c r="AC1900" s="245"/>
      <c r="AD1900" s="963">
        <v>18</v>
      </c>
      <c r="AE1900" s="245">
        <v>18</v>
      </c>
      <c r="AF1900" s="253">
        <v>18</v>
      </c>
      <c r="AG1900" s="253">
        <f t="shared" si="236"/>
        <v>18</v>
      </c>
      <c r="DG1900" s="543"/>
      <c r="DH1900" s="149"/>
      <c r="DI1900" s="1020"/>
      <c r="DJ1900" s="2045"/>
    </row>
    <row r="1901" spans="1:114" ht="14.65" customHeight="1" outlineLevel="1" x14ac:dyDescent="0.25">
      <c r="A1901" s="2145"/>
      <c r="C1901" s="49"/>
      <c r="D1901" s="2394"/>
      <c r="E1901" s="2394"/>
      <c r="F1901" s="2404" t="str">
        <f t="shared" si="241"/>
        <v>ASHP-SEER17_ER1_SF</v>
      </c>
      <c r="G1901" s="2404"/>
      <c r="H1901" s="2404"/>
      <c r="I1901" s="2404"/>
      <c r="J1901" s="1506" t="str">
        <f t="shared" si="242"/>
        <v>353750_2024_12_</v>
      </c>
      <c r="K1901" s="1537">
        <v>6</v>
      </c>
      <c r="L1901" s="244"/>
      <c r="M1901" s="1251" t="s">
        <v>1303</v>
      </c>
      <c r="P1901" s="243"/>
      <c r="Q1901" s="192"/>
      <c r="R1901" s="243"/>
      <c r="T1901" s="166"/>
      <c r="U1901" s="50"/>
      <c r="V1901" s="2394"/>
      <c r="W1901" s="245">
        <v>6</v>
      </c>
      <c r="X1901" s="245">
        <v>6</v>
      </c>
      <c r="Y1901" s="245">
        <v>6</v>
      </c>
      <c r="Z1901" s="245">
        <v>6</v>
      </c>
      <c r="AA1901" s="245">
        <v>6</v>
      </c>
      <c r="AB1901" s="245">
        <v>6</v>
      </c>
      <c r="AC1901" s="245">
        <v>6</v>
      </c>
      <c r="AD1901" s="245">
        <v>6</v>
      </c>
      <c r="AE1901" s="245">
        <v>6</v>
      </c>
      <c r="AF1901" s="253">
        <v>6</v>
      </c>
      <c r="AG1901" s="253">
        <f t="shared" si="236"/>
        <v>6</v>
      </c>
      <c r="DG1901" s="543"/>
      <c r="DH1901" s="149"/>
      <c r="DI1901" s="1020"/>
      <c r="DJ1901" s="2045"/>
    </row>
    <row r="1902" spans="1:114" ht="15" customHeight="1" outlineLevel="1" x14ac:dyDescent="0.25">
      <c r="A1902" s="2145"/>
      <c r="C1902" s="49"/>
      <c r="D1902" s="2394"/>
      <c r="E1902" s="2394"/>
      <c r="F1902" s="2404" t="str">
        <f t="shared" si="241"/>
        <v>ASHP-SEER17_ER1_SF</v>
      </c>
      <c r="G1902" s="2404"/>
      <c r="H1902" s="2404"/>
      <c r="I1902" s="2404"/>
      <c r="J1902" s="1506" t="str">
        <f t="shared" si="242"/>
        <v>353750_2024_12_</v>
      </c>
      <c r="K1902" s="1537">
        <v>6</v>
      </c>
      <c r="L1902" s="244"/>
      <c r="M1902" s="1251" t="s">
        <v>1303</v>
      </c>
      <c r="P1902" s="243"/>
      <c r="Q1902" s="192"/>
      <c r="R1902" s="243"/>
      <c r="T1902" s="166"/>
      <c r="U1902" s="50"/>
      <c r="V1902" s="2394"/>
      <c r="W1902" s="245">
        <v>6</v>
      </c>
      <c r="X1902" s="245">
        <v>6</v>
      </c>
      <c r="Y1902" s="245">
        <v>6</v>
      </c>
      <c r="Z1902" s="245">
        <v>6</v>
      </c>
      <c r="AA1902" s="245">
        <v>6</v>
      </c>
      <c r="AB1902" s="245">
        <v>6</v>
      </c>
      <c r="AC1902" s="245">
        <v>6</v>
      </c>
      <c r="AD1902" s="245">
        <v>6</v>
      </c>
      <c r="AE1902" s="245">
        <v>6</v>
      </c>
      <c r="AF1902" s="253">
        <v>6</v>
      </c>
      <c r="AG1902" s="253">
        <f t="shared" si="236"/>
        <v>6</v>
      </c>
      <c r="DG1902" s="543"/>
      <c r="DH1902" s="149"/>
      <c r="DI1902" s="1020"/>
      <c r="DJ1902" s="2045"/>
    </row>
    <row r="1903" spans="1:114" ht="15" customHeight="1" outlineLevel="1" x14ac:dyDescent="0.25">
      <c r="A1903" s="2145"/>
      <c r="C1903" s="49"/>
      <c r="D1903" s="2394"/>
      <c r="E1903" s="2394"/>
      <c r="F1903" s="2404" t="str">
        <f t="shared" si="241"/>
        <v>ASHP-SEER17_ER2_SF</v>
      </c>
      <c r="G1903" s="2404"/>
      <c r="H1903" s="2404"/>
      <c r="I1903" s="2404"/>
      <c r="J1903" s="1506" t="str">
        <f t="shared" si="242"/>
        <v>353750_2024_12_</v>
      </c>
      <c r="K1903" s="1537">
        <v>12</v>
      </c>
      <c r="L1903" s="244"/>
      <c r="M1903" s="1251" t="s">
        <v>1303</v>
      </c>
      <c r="P1903" s="243"/>
      <c r="Q1903" s="192"/>
      <c r="R1903" s="243"/>
      <c r="T1903" s="166"/>
      <c r="U1903" s="50"/>
      <c r="V1903" s="2394"/>
      <c r="W1903" s="245">
        <v>12</v>
      </c>
      <c r="X1903" s="245">
        <v>12</v>
      </c>
      <c r="Y1903" s="245">
        <v>12</v>
      </c>
      <c r="Z1903" s="245">
        <v>12</v>
      </c>
      <c r="AA1903" s="245">
        <v>12</v>
      </c>
      <c r="AB1903" s="245">
        <v>12</v>
      </c>
      <c r="AC1903" s="245">
        <v>12</v>
      </c>
      <c r="AD1903" s="245">
        <v>12</v>
      </c>
      <c r="AE1903" s="245">
        <v>12</v>
      </c>
      <c r="AF1903" s="253">
        <v>12</v>
      </c>
      <c r="AG1903" s="253">
        <f t="shared" si="236"/>
        <v>12</v>
      </c>
      <c r="DG1903" s="543"/>
      <c r="DH1903" s="149"/>
      <c r="DI1903" s="1020"/>
      <c r="DJ1903" s="2045"/>
    </row>
    <row r="1904" spans="1:114" ht="15" customHeight="1" outlineLevel="1" x14ac:dyDescent="0.25">
      <c r="A1904" s="2145"/>
      <c r="C1904" s="49"/>
      <c r="D1904" s="2394"/>
      <c r="E1904" s="2394"/>
      <c r="F1904" s="2404" t="str">
        <f t="shared" si="241"/>
        <v>ASHP-SEER17_ER2_SF</v>
      </c>
      <c r="G1904" s="2404"/>
      <c r="H1904" s="2404"/>
      <c r="I1904" s="2404"/>
      <c r="J1904" s="1506" t="str">
        <f t="shared" si="242"/>
        <v>353750_2024_12_</v>
      </c>
      <c r="K1904" s="1537">
        <v>12</v>
      </c>
      <c r="L1904" s="244"/>
      <c r="M1904" s="1251" t="s">
        <v>1303</v>
      </c>
      <c r="P1904" s="243"/>
      <c r="Q1904" s="192"/>
      <c r="R1904" s="243"/>
      <c r="T1904" s="166"/>
      <c r="U1904" s="50"/>
      <c r="V1904" s="2394"/>
      <c r="W1904" s="245">
        <v>12</v>
      </c>
      <c r="X1904" s="245">
        <v>12</v>
      </c>
      <c r="Y1904" s="245">
        <v>12</v>
      </c>
      <c r="Z1904" s="245">
        <v>12</v>
      </c>
      <c r="AA1904" s="245">
        <v>12</v>
      </c>
      <c r="AB1904" s="245">
        <v>12</v>
      </c>
      <c r="AC1904" s="245">
        <v>12</v>
      </c>
      <c r="AD1904" s="245">
        <v>12</v>
      </c>
      <c r="AE1904" s="245">
        <v>12</v>
      </c>
      <c r="AF1904" s="253">
        <v>12</v>
      </c>
      <c r="AG1904" s="253">
        <f t="shared" si="236"/>
        <v>12</v>
      </c>
      <c r="DG1904" s="543"/>
      <c r="DH1904" s="149"/>
      <c r="DI1904" s="1020"/>
      <c r="DJ1904" s="2045"/>
    </row>
    <row r="1905" spans="1:114" ht="15" customHeight="1" outlineLevel="1" x14ac:dyDescent="0.25">
      <c r="A1905" s="2145"/>
      <c r="C1905" s="49"/>
      <c r="D1905" s="2394"/>
      <c r="E1905" s="2394"/>
      <c r="F1905" s="2404" t="str">
        <f t="shared" si="241"/>
        <v>ASHP-SEER17_ROF_SF</v>
      </c>
      <c r="G1905" s="2404"/>
      <c r="H1905" s="2404"/>
      <c r="I1905" s="2404"/>
      <c r="J1905" s="1506" t="str">
        <f t="shared" si="242"/>
        <v>353800_2024_12_</v>
      </c>
      <c r="K1905" s="1537">
        <v>18</v>
      </c>
      <c r="L1905" s="244"/>
      <c r="M1905" s="1251" t="s">
        <v>1303</v>
      </c>
      <c r="P1905" s="243"/>
      <c r="Q1905" s="192"/>
      <c r="R1905" s="243"/>
      <c r="T1905" s="166"/>
      <c r="U1905" s="50"/>
      <c r="V1905" s="2394"/>
      <c r="W1905" s="245">
        <v>18</v>
      </c>
      <c r="X1905" s="245">
        <v>18</v>
      </c>
      <c r="Y1905" s="245">
        <v>18</v>
      </c>
      <c r="Z1905" s="245">
        <v>18</v>
      </c>
      <c r="AA1905" s="245">
        <v>18</v>
      </c>
      <c r="AB1905" s="245">
        <v>18</v>
      </c>
      <c r="AC1905" s="245">
        <v>18</v>
      </c>
      <c r="AD1905" s="245">
        <v>18</v>
      </c>
      <c r="AE1905" s="245">
        <v>18</v>
      </c>
      <c r="AF1905" s="253">
        <v>18</v>
      </c>
      <c r="AG1905" s="253">
        <f t="shared" si="236"/>
        <v>18</v>
      </c>
      <c r="DG1905" s="543"/>
      <c r="DH1905" s="149"/>
      <c r="DI1905" s="1020"/>
      <c r="DJ1905" s="2045"/>
    </row>
    <row r="1906" spans="1:114" ht="15" customHeight="1" outlineLevel="1" x14ac:dyDescent="0.25">
      <c r="A1906" s="2145"/>
      <c r="C1906" s="49"/>
      <c r="D1906" s="2394"/>
      <c r="E1906" s="2394"/>
      <c r="F1906" s="2404" t="str">
        <f t="shared" si="241"/>
        <v>ASHP-SEER17_ROF_SF</v>
      </c>
      <c r="G1906" s="2404"/>
      <c r="H1906" s="2404"/>
      <c r="I1906" s="2404"/>
      <c r="J1906" s="1506" t="str">
        <f t="shared" si="242"/>
        <v>353800_2024_12_</v>
      </c>
      <c r="K1906" s="1537">
        <v>18</v>
      </c>
      <c r="L1906" s="12"/>
      <c r="M1906" s="1251" t="s">
        <v>1303</v>
      </c>
      <c r="P1906" s="243"/>
      <c r="Q1906" s="243"/>
      <c r="R1906" s="243"/>
      <c r="T1906" s="166"/>
      <c r="U1906" s="50"/>
      <c r="V1906" s="2394"/>
      <c r="W1906" s="245">
        <v>18</v>
      </c>
      <c r="X1906" s="245">
        <v>18</v>
      </c>
      <c r="Y1906" s="245">
        <v>18</v>
      </c>
      <c r="Z1906" s="245">
        <v>18</v>
      </c>
      <c r="AA1906" s="245">
        <v>18</v>
      </c>
      <c r="AB1906" s="245">
        <v>18</v>
      </c>
      <c r="AC1906" s="245">
        <v>18</v>
      </c>
      <c r="AD1906" s="245">
        <v>18</v>
      </c>
      <c r="AE1906" s="245">
        <v>18</v>
      </c>
      <c r="AF1906" s="253">
        <v>18</v>
      </c>
      <c r="AG1906" s="253">
        <f t="shared" si="236"/>
        <v>18</v>
      </c>
      <c r="DG1906" s="543"/>
      <c r="DH1906" s="149"/>
      <c r="DI1906" s="1020"/>
      <c r="DJ1906" s="2045"/>
    </row>
    <row r="1907" spans="1:114" ht="15" customHeight="1" outlineLevel="1" x14ac:dyDescent="0.25">
      <c r="A1907" s="2145"/>
      <c r="C1907" s="49"/>
      <c r="D1907" s="2394"/>
      <c r="E1907" s="2394"/>
      <c r="F1907" s="2404" t="str">
        <f t="shared" si="241"/>
        <v>ASHP-SEER18_ER1_SF</v>
      </c>
      <c r="G1907" s="2404"/>
      <c r="H1907" s="2404"/>
      <c r="I1907" s="2404"/>
      <c r="J1907" s="1506" t="str">
        <f t="shared" si="242"/>
        <v>353850_2024_12_</v>
      </c>
      <c r="K1907" s="1537">
        <v>6</v>
      </c>
      <c r="L1907" s="12"/>
      <c r="M1907" s="1251" t="s">
        <v>1303</v>
      </c>
      <c r="P1907" s="243"/>
      <c r="Q1907" s="243"/>
      <c r="R1907" s="243"/>
      <c r="T1907" s="166"/>
      <c r="U1907" s="50"/>
      <c r="V1907" s="2394"/>
      <c r="W1907" s="245">
        <v>6</v>
      </c>
      <c r="X1907" s="245">
        <v>6</v>
      </c>
      <c r="Y1907" s="245">
        <v>6</v>
      </c>
      <c r="Z1907" s="245">
        <v>6</v>
      </c>
      <c r="AA1907" s="245">
        <v>6</v>
      </c>
      <c r="AB1907" s="245">
        <v>6</v>
      </c>
      <c r="AC1907" s="245">
        <v>6</v>
      </c>
      <c r="AD1907" s="245">
        <v>6</v>
      </c>
      <c r="AE1907" s="245">
        <v>6</v>
      </c>
      <c r="AF1907" s="253">
        <v>6</v>
      </c>
      <c r="AG1907" s="253">
        <f t="shared" si="236"/>
        <v>6</v>
      </c>
      <c r="DG1907" s="543"/>
      <c r="DH1907" s="149"/>
      <c r="DI1907" s="1020"/>
      <c r="DJ1907" s="2045"/>
    </row>
    <row r="1908" spans="1:114" ht="15" customHeight="1" outlineLevel="1" x14ac:dyDescent="0.25">
      <c r="A1908" s="2145"/>
      <c r="C1908" s="49"/>
      <c r="D1908" s="2394"/>
      <c r="E1908" s="2394"/>
      <c r="F1908" s="2404" t="str">
        <f t="shared" si="241"/>
        <v>ASHP-SEER18_ER1_SF</v>
      </c>
      <c r="G1908" s="2404"/>
      <c r="H1908" s="2404"/>
      <c r="I1908" s="2404"/>
      <c r="J1908" s="1506" t="str">
        <f t="shared" si="242"/>
        <v>353850_2024_12_</v>
      </c>
      <c r="K1908" s="1537">
        <v>6</v>
      </c>
      <c r="L1908" s="12"/>
      <c r="M1908" s="1251" t="s">
        <v>1303</v>
      </c>
      <c r="P1908" s="243"/>
      <c r="Q1908" s="243"/>
      <c r="R1908" s="243"/>
      <c r="T1908" s="166"/>
      <c r="U1908" s="50"/>
      <c r="V1908" s="2394"/>
      <c r="W1908" s="245">
        <v>6</v>
      </c>
      <c r="X1908" s="245">
        <v>6</v>
      </c>
      <c r="Y1908" s="245">
        <v>6</v>
      </c>
      <c r="Z1908" s="245">
        <v>6</v>
      </c>
      <c r="AA1908" s="245">
        <v>6</v>
      </c>
      <c r="AB1908" s="245">
        <v>6</v>
      </c>
      <c r="AC1908" s="245">
        <v>6</v>
      </c>
      <c r="AD1908" s="245">
        <v>6</v>
      </c>
      <c r="AE1908" s="245">
        <v>6</v>
      </c>
      <c r="AF1908" s="253">
        <v>6</v>
      </c>
      <c r="AG1908" s="253">
        <f t="shared" si="236"/>
        <v>6</v>
      </c>
      <c r="DG1908" s="543"/>
      <c r="DH1908" s="149"/>
      <c r="DI1908" s="1020"/>
      <c r="DJ1908" s="2045"/>
    </row>
    <row r="1909" spans="1:114" ht="15" customHeight="1" outlineLevel="1" x14ac:dyDescent="0.25">
      <c r="A1909" s="2145"/>
      <c r="C1909" s="49"/>
      <c r="D1909" s="2394"/>
      <c r="E1909" s="2394"/>
      <c r="F1909" s="2404" t="str">
        <f t="shared" si="241"/>
        <v>ASHP-SEER18_ER2_SF</v>
      </c>
      <c r="G1909" s="2404"/>
      <c r="H1909" s="2404"/>
      <c r="I1909" s="2404"/>
      <c r="J1909" s="1506" t="str">
        <f t="shared" si="242"/>
        <v>353850_2024_12_</v>
      </c>
      <c r="K1909" s="1537">
        <v>12</v>
      </c>
      <c r="L1909" s="12"/>
      <c r="M1909" s="1251" t="s">
        <v>1303</v>
      </c>
      <c r="P1909" s="243"/>
      <c r="Q1909" s="243"/>
      <c r="R1909" s="243"/>
      <c r="T1909" s="166"/>
      <c r="U1909" s="50"/>
      <c r="V1909" s="2394"/>
      <c r="W1909" s="245">
        <v>12</v>
      </c>
      <c r="X1909" s="245">
        <v>12</v>
      </c>
      <c r="Y1909" s="245">
        <v>12</v>
      </c>
      <c r="Z1909" s="245">
        <v>12</v>
      </c>
      <c r="AA1909" s="245">
        <v>12</v>
      </c>
      <c r="AB1909" s="245">
        <v>12</v>
      </c>
      <c r="AC1909" s="245">
        <v>12</v>
      </c>
      <c r="AD1909" s="245">
        <v>12</v>
      </c>
      <c r="AE1909" s="245">
        <v>12</v>
      </c>
      <c r="AF1909" s="253">
        <v>12</v>
      </c>
      <c r="AG1909" s="253">
        <f t="shared" si="236"/>
        <v>12</v>
      </c>
      <c r="DG1909" s="543"/>
      <c r="DH1909" s="149"/>
      <c r="DI1909" s="1020"/>
      <c r="DJ1909" s="2045"/>
    </row>
    <row r="1910" spans="1:114" ht="15" customHeight="1" outlineLevel="1" x14ac:dyDescent="0.25">
      <c r="A1910" s="2145"/>
      <c r="C1910" s="49"/>
      <c r="D1910" s="2394"/>
      <c r="E1910" s="2394"/>
      <c r="F1910" s="2404" t="str">
        <f t="shared" si="241"/>
        <v>ASHP-SEER18_ER2_SF</v>
      </c>
      <c r="G1910" s="2404"/>
      <c r="H1910" s="2404"/>
      <c r="I1910" s="2404"/>
      <c r="J1910" s="1506" t="str">
        <f t="shared" si="242"/>
        <v>353850_2024_12_</v>
      </c>
      <c r="K1910" s="1537">
        <v>12</v>
      </c>
      <c r="L1910" s="12"/>
      <c r="M1910" s="1251" t="s">
        <v>1303</v>
      </c>
      <c r="P1910" s="243"/>
      <c r="Q1910" s="243"/>
      <c r="R1910" s="243"/>
      <c r="T1910" s="166"/>
      <c r="U1910" s="50"/>
      <c r="V1910" s="2394"/>
      <c r="W1910" s="245">
        <v>12</v>
      </c>
      <c r="X1910" s="245">
        <v>12</v>
      </c>
      <c r="Y1910" s="245">
        <v>12</v>
      </c>
      <c r="Z1910" s="245">
        <v>12</v>
      </c>
      <c r="AA1910" s="245">
        <v>12</v>
      </c>
      <c r="AB1910" s="245">
        <v>12</v>
      </c>
      <c r="AC1910" s="245">
        <v>12</v>
      </c>
      <c r="AD1910" s="245">
        <v>12</v>
      </c>
      <c r="AE1910" s="245">
        <v>12</v>
      </c>
      <c r="AF1910" s="253">
        <v>12</v>
      </c>
      <c r="AG1910" s="253">
        <f t="shared" si="236"/>
        <v>12</v>
      </c>
      <c r="DG1910" s="543"/>
      <c r="DH1910" s="149"/>
      <c r="DI1910" s="1020"/>
      <c r="DJ1910" s="2045"/>
    </row>
    <row r="1911" spans="1:114" ht="15" customHeight="1" outlineLevel="1" x14ac:dyDescent="0.25">
      <c r="A1911" s="2145"/>
      <c r="C1911" s="49"/>
      <c r="D1911" s="2394"/>
      <c r="E1911" s="2394"/>
      <c r="F1911" s="2404" t="str">
        <f t="shared" si="241"/>
        <v>ASHP-SEER18_ROF_SF</v>
      </c>
      <c r="G1911" s="2404"/>
      <c r="H1911" s="2404"/>
      <c r="I1911" s="2404"/>
      <c r="J1911" s="1506" t="str">
        <f t="shared" si="242"/>
        <v>353950_2024_12_</v>
      </c>
      <c r="K1911" s="1537">
        <v>18</v>
      </c>
      <c r="L1911" s="12"/>
      <c r="M1911" s="1251" t="s">
        <v>1303</v>
      </c>
      <c r="P1911" s="243"/>
      <c r="Q1911" s="243"/>
      <c r="R1911" s="243"/>
      <c r="T1911" s="166"/>
      <c r="U1911" s="50"/>
      <c r="V1911" s="2394"/>
      <c r="W1911" s="245">
        <v>18</v>
      </c>
      <c r="X1911" s="245">
        <v>18</v>
      </c>
      <c r="Y1911" s="245">
        <v>18</v>
      </c>
      <c r="Z1911" s="245">
        <v>18</v>
      </c>
      <c r="AA1911" s="245">
        <v>18</v>
      </c>
      <c r="AB1911" s="245">
        <v>18</v>
      </c>
      <c r="AC1911" s="245">
        <v>18</v>
      </c>
      <c r="AD1911" s="245">
        <v>18</v>
      </c>
      <c r="AE1911" s="245">
        <v>18</v>
      </c>
      <c r="AF1911" s="253">
        <v>18</v>
      </c>
      <c r="AG1911" s="253">
        <f t="shared" si="236"/>
        <v>18</v>
      </c>
      <c r="DG1911" s="543"/>
      <c r="DH1911" s="149"/>
      <c r="DI1911" s="1020"/>
      <c r="DJ1911" s="2045"/>
    </row>
    <row r="1912" spans="1:114" ht="15" customHeight="1" outlineLevel="1" x14ac:dyDescent="0.25">
      <c r="A1912" s="2145"/>
      <c r="C1912" s="49"/>
      <c r="D1912" s="2394"/>
      <c r="E1912" s="2394"/>
      <c r="F1912" s="2404" t="str">
        <f t="shared" si="241"/>
        <v>ASHP-SEER18_ROF_SF</v>
      </c>
      <c r="G1912" s="2404"/>
      <c r="H1912" s="2404"/>
      <c r="I1912" s="2404"/>
      <c r="J1912" s="1506" t="str">
        <f t="shared" si="242"/>
        <v>353950_2024_12_</v>
      </c>
      <c r="K1912" s="1537">
        <v>18</v>
      </c>
      <c r="L1912" s="244"/>
      <c r="M1912" s="1251" t="s">
        <v>1303</v>
      </c>
      <c r="P1912" s="243"/>
      <c r="Q1912" s="243"/>
      <c r="R1912" s="243"/>
      <c r="T1912" s="166"/>
      <c r="U1912" s="50"/>
      <c r="V1912" s="2394"/>
      <c r="W1912" s="245">
        <v>18</v>
      </c>
      <c r="X1912" s="245">
        <v>18</v>
      </c>
      <c r="Y1912" s="245">
        <v>18</v>
      </c>
      <c r="Z1912" s="245">
        <v>18</v>
      </c>
      <c r="AA1912" s="245">
        <v>18</v>
      </c>
      <c r="AB1912" s="245">
        <v>18</v>
      </c>
      <c r="AC1912" s="245">
        <v>18</v>
      </c>
      <c r="AD1912" s="245">
        <v>18</v>
      </c>
      <c r="AE1912" s="245">
        <v>18</v>
      </c>
      <c r="AF1912" s="253">
        <v>18</v>
      </c>
      <c r="AG1912" s="253">
        <f t="shared" si="236"/>
        <v>18</v>
      </c>
      <c r="DG1912" s="543"/>
      <c r="DH1912" s="149"/>
      <c r="DI1912" s="1020"/>
      <c r="DJ1912" s="2045"/>
    </row>
    <row r="1913" spans="1:114" ht="15" customHeight="1" outlineLevel="1" x14ac:dyDescent="0.25">
      <c r="A1913" s="2145"/>
      <c r="C1913" s="49"/>
      <c r="D1913" s="2394"/>
      <c r="E1913" s="2394"/>
      <c r="F1913" s="2404" t="str">
        <f t="shared" si="241"/>
        <v>ASHP-SEER19_ER1_SF</v>
      </c>
      <c r="G1913" s="2404"/>
      <c r="H1913" s="2404"/>
      <c r="I1913" s="2404"/>
      <c r="J1913" s="1506" t="str">
        <f t="shared" si="242"/>
        <v>354000_2024_12_</v>
      </c>
      <c r="K1913" s="1537">
        <v>6</v>
      </c>
      <c r="L1913" s="244"/>
      <c r="M1913" s="1251" t="s">
        <v>1303</v>
      </c>
      <c r="P1913" s="243"/>
      <c r="Q1913" s="243"/>
      <c r="R1913" s="243"/>
      <c r="T1913" s="166"/>
      <c r="U1913" s="50"/>
      <c r="V1913" s="2394"/>
      <c r="W1913" s="245">
        <v>6</v>
      </c>
      <c r="X1913" s="245">
        <v>6</v>
      </c>
      <c r="Y1913" s="245">
        <v>6</v>
      </c>
      <c r="Z1913" s="245">
        <v>6</v>
      </c>
      <c r="AA1913" s="245">
        <v>6</v>
      </c>
      <c r="AB1913" s="245">
        <v>6</v>
      </c>
      <c r="AC1913" s="245">
        <v>6</v>
      </c>
      <c r="AD1913" s="245">
        <v>6</v>
      </c>
      <c r="AE1913" s="245">
        <v>6</v>
      </c>
      <c r="AF1913" s="253">
        <v>6</v>
      </c>
      <c r="AG1913" s="253">
        <f t="shared" si="236"/>
        <v>6</v>
      </c>
      <c r="DG1913" s="543"/>
      <c r="DH1913" s="149"/>
      <c r="DI1913" s="1020"/>
      <c r="DJ1913" s="2045"/>
    </row>
    <row r="1914" spans="1:114" ht="15" customHeight="1" outlineLevel="1" x14ac:dyDescent="0.25">
      <c r="A1914" s="2145"/>
      <c r="C1914" s="49"/>
      <c r="D1914" s="2394"/>
      <c r="E1914" s="2394"/>
      <c r="F1914" s="2404" t="str">
        <f t="shared" si="241"/>
        <v>ASHP-SEER19_ER1_SF</v>
      </c>
      <c r="G1914" s="2404"/>
      <c r="H1914" s="2404"/>
      <c r="I1914" s="2404"/>
      <c r="J1914" s="1506" t="str">
        <f t="shared" si="242"/>
        <v>354000_2024_12_</v>
      </c>
      <c r="K1914" s="1537">
        <v>6</v>
      </c>
      <c r="L1914" s="244"/>
      <c r="M1914" s="1251" t="s">
        <v>1303</v>
      </c>
      <c r="P1914" s="243"/>
      <c r="Q1914" s="243"/>
      <c r="R1914" s="243"/>
      <c r="T1914" s="166"/>
      <c r="U1914" s="50"/>
      <c r="V1914" s="2394"/>
      <c r="W1914" s="245">
        <v>6</v>
      </c>
      <c r="X1914" s="245">
        <v>6</v>
      </c>
      <c r="Y1914" s="245">
        <v>6</v>
      </c>
      <c r="Z1914" s="245">
        <v>6</v>
      </c>
      <c r="AA1914" s="245">
        <v>6</v>
      </c>
      <c r="AB1914" s="245">
        <v>6</v>
      </c>
      <c r="AC1914" s="245">
        <v>6</v>
      </c>
      <c r="AD1914" s="245">
        <v>6</v>
      </c>
      <c r="AE1914" s="245">
        <v>6</v>
      </c>
      <c r="AF1914" s="253">
        <v>6</v>
      </c>
      <c r="AG1914" s="253">
        <f t="shared" si="236"/>
        <v>6</v>
      </c>
      <c r="DG1914" s="543"/>
      <c r="DH1914" s="149"/>
      <c r="DI1914" s="1020"/>
      <c r="DJ1914" s="2045"/>
    </row>
    <row r="1915" spans="1:114" ht="15" customHeight="1" outlineLevel="1" x14ac:dyDescent="0.25">
      <c r="A1915" s="2145"/>
      <c r="C1915" s="49"/>
      <c r="D1915" s="2394"/>
      <c r="E1915" s="2394"/>
      <c r="F1915" s="2404" t="str">
        <f t="shared" si="241"/>
        <v>ASHP-SEER19_ER2_SF</v>
      </c>
      <c r="G1915" s="2404"/>
      <c r="H1915" s="2404"/>
      <c r="I1915" s="2404"/>
      <c r="J1915" s="1506" t="str">
        <f t="shared" si="242"/>
        <v>354000_2024_12_</v>
      </c>
      <c r="K1915" s="1537">
        <v>12</v>
      </c>
      <c r="L1915" s="244"/>
      <c r="M1915" s="1251" t="s">
        <v>1303</v>
      </c>
      <c r="P1915" s="243"/>
      <c r="Q1915" s="243"/>
      <c r="R1915" s="243"/>
      <c r="T1915" s="166"/>
      <c r="U1915" s="50"/>
      <c r="V1915" s="2394"/>
      <c r="W1915" s="245">
        <v>12</v>
      </c>
      <c r="X1915" s="245">
        <v>12</v>
      </c>
      <c r="Y1915" s="245">
        <v>12</v>
      </c>
      <c r="Z1915" s="245">
        <v>12</v>
      </c>
      <c r="AA1915" s="245">
        <v>12</v>
      </c>
      <c r="AB1915" s="245">
        <v>12</v>
      </c>
      <c r="AC1915" s="245">
        <v>12</v>
      </c>
      <c r="AD1915" s="245">
        <v>12</v>
      </c>
      <c r="AE1915" s="245">
        <v>12</v>
      </c>
      <c r="AF1915" s="253">
        <v>12</v>
      </c>
      <c r="AG1915" s="253">
        <f t="shared" si="236"/>
        <v>12</v>
      </c>
      <c r="DG1915" s="543"/>
      <c r="DH1915" s="149"/>
      <c r="DI1915" s="1020"/>
      <c r="DJ1915" s="2045"/>
    </row>
    <row r="1916" spans="1:114" ht="15" customHeight="1" outlineLevel="1" x14ac:dyDescent="0.25">
      <c r="A1916" s="2145"/>
      <c r="C1916" s="49"/>
      <c r="D1916" s="2394"/>
      <c r="E1916" s="2394"/>
      <c r="F1916" s="2404" t="str">
        <f t="shared" si="241"/>
        <v>ASHP-SEER19_ER2_SF</v>
      </c>
      <c r="G1916" s="2404"/>
      <c r="H1916" s="2404"/>
      <c r="I1916" s="2404"/>
      <c r="J1916" s="1506" t="str">
        <f t="shared" si="242"/>
        <v>354000_2024_12_</v>
      </c>
      <c r="K1916" s="1537">
        <v>12</v>
      </c>
      <c r="L1916" s="244"/>
      <c r="M1916" s="1251" t="s">
        <v>1303</v>
      </c>
      <c r="P1916" s="243"/>
      <c r="Q1916" s="243"/>
      <c r="R1916" s="243"/>
      <c r="T1916" s="166"/>
      <c r="U1916" s="50"/>
      <c r="V1916" s="2394"/>
      <c r="W1916" s="245">
        <v>12</v>
      </c>
      <c r="X1916" s="245">
        <v>12</v>
      </c>
      <c r="Y1916" s="245">
        <v>12</v>
      </c>
      <c r="Z1916" s="245">
        <v>12</v>
      </c>
      <c r="AA1916" s="245">
        <v>12</v>
      </c>
      <c r="AB1916" s="245">
        <v>12</v>
      </c>
      <c r="AC1916" s="245">
        <v>12</v>
      </c>
      <c r="AD1916" s="245">
        <v>12</v>
      </c>
      <c r="AE1916" s="245">
        <v>12</v>
      </c>
      <c r="AF1916" s="253">
        <v>12</v>
      </c>
      <c r="AG1916" s="253">
        <f t="shared" si="236"/>
        <v>12</v>
      </c>
      <c r="DG1916" s="543"/>
      <c r="DH1916" s="149"/>
      <c r="DI1916" s="1020"/>
      <c r="DJ1916" s="2045"/>
    </row>
    <row r="1917" spans="1:114" ht="15" customHeight="1" outlineLevel="1" x14ac:dyDescent="0.25">
      <c r="A1917" s="2145"/>
      <c r="C1917" s="49"/>
      <c r="D1917" s="2394"/>
      <c r="E1917" s="2394"/>
      <c r="F1917" s="2404" t="str">
        <f t="shared" si="241"/>
        <v>ASHP-SEER19_ROF_SF</v>
      </c>
      <c r="G1917" s="2404"/>
      <c r="H1917" s="2404"/>
      <c r="I1917" s="2404"/>
      <c r="J1917" s="1506" t="str">
        <f t="shared" si="242"/>
        <v>354050_2024_12_</v>
      </c>
      <c r="K1917" s="1537">
        <v>18</v>
      </c>
      <c r="L1917" s="244"/>
      <c r="M1917" s="1251" t="s">
        <v>1303</v>
      </c>
      <c r="P1917" s="243"/>
      <c r="Q1917" s="243"/>
      <c r="R1917" s="243"/>
      <c r="T1917" s="166"/>
      <c r="U1917" s="50"/>
      <c r="V1917" s="2394"/>
      <c r="W1917" s="245">
        <v>18</v>
      </c>
      <c r="X1917" s="245">
        <v>18</v>
      </c>
      <c r="Y1917" s="245">
        <v>18</v>
      </c>
      <c r="Z1917" s="245">
        <v>18</v>
      </c>
      <c r="AA1917" s="245">
        <v>18</v>
      </c>
      <c r="AB1917" s="245">
        <v>18</v>
      </c>
      <c r="AC1917" s="245">
        <v>18</v>
      </c>
      <c r="AD1917" s="245">
        <v>18</v>
      </c>
      <c r="AE1917" s="245">
        <v>18</v>
      </c>
      <c r="AF1917" s="253">
        <v>18</v>
      </c>
      <c r="AG1917" s="253">
        <f t="shared" si="236"/>
        <v>18</v>
      </c>
      <c r="DG1917" s="543"/>
      <c r="DH1917" s="149"/>
      <c r="DI1917" s="1020"/>
      <c r="DJ1917" s="2045"/>
    </row>
    <row r="1918" spans="1:114" ht="15" customHeight="1" outlineLevel="1" x14ac:dyDescent="0.25">
      <c r="A1918" s="2145"/>
      <c r="C1918" s="49"/>
      <c r="D1918" s="2394"/>
      <c r="E1918" s="2394"/>
      <c r="F1918" s="2404" t="str">
        <f t="shared" si="241"/>
        <v>ASHP-SEER19_ROF_SF</v>
      </c>
      <c r="G1918" s="2404"/>
      <c r="H1918" s="2404"/>
      <c r="I1918" s="2404"/>
      <c r="J1918" s="1506" t="str">
        <f t="shared" si="242"/>
        <v>354050_2024_12_</v>
      </c>
      <c r="K1918" s="1537">
        <v>18</v>
      </c>
      <c r="L1918" s="244"/>
      <c r="M1918" s="1251" t="s">
        <v>1303</v>
      </c>
      <c r="P1918" s="243"/>
      <c r="Q1918" s="243"/>
      <c r="R1918" s="243"/>
      <c r="T1918" s="166"/>
      <c r="U1918" s="50"/>
      <c r="V1918" s="2394"/>
      <c r="W1918" s="245">
        <v>18</v>
      </c>
      <c r="X1918" s="245">
        <v>18</v>
      </c>
      <c r="Y1918" s="245">
        <v>18</v>
      </c>
      <c r="Z1918" s="245">
        <v>18</v>
      </c>
      <c r="AA1918" s="245">
        <v>18</v>
      </c>
      <c r="AB1918" s="245">
        <v>18</v>
      </c>
      <c r="AC1918" s="245">
        <v>18</v>
      </c>
      <c r="AD1918" s="245">
        <v>18</v>
      </c>
      <c r="AE1918" s="245">
        <v>18</v>
      </c>
      <c r="AF1918" s="253">
        <v>18</v>
      </c>
      <c r="AG1918" s="253">
        <f t="shared" si="236"/>
        <v>18</v>
      </c>
      <c r="DG1918" s="543"/>
      <c r="DH1918" s="149"/>
      <c r="DI1918" s="1020"/>
      <c r="DJ1918" s="2045"/>
    </row>
    <row r="1919" spans="1:114" ht="15" customHeight="1" outlineLevel="1" x14ac:dyDescent="0.25">
      <c r="A1919" s="2145"/>
      <c r="C1919" s="49"/>
      <c r="D1919" s="2394"/>
      <c r="E1919" s="2394"/>
      <c r="F1919" s="2404" t="str">
        <f t="shared" si="241"/>
        <v>ASHP-SEER17-Replace_CAC_ElectricHeat_ER1_SF</v>
      </c>
      <c r="G1919" s="2404"/>
      <c r="H1919" s="2404"/>
      <c r="I1919" s="2404"/>
      <c r="J1919" s="1506" t="str">
        <f t="shared" si="242"/>
        <v>354100_2024_12_</v>
      </c>
      <c r="K1919" s="1537">
        <v>6</v>
      </c>
      <c r="L1919" s="244"/>
      <c r="M1919" s="1251" t="s">
        <v>1303</v>
      </c>
      <c r="P1919" s="243"/>
      <c r="Q1919" s="243"/>
      <c r="R1919" s="243"/>
      <c r="T1919" s="166"/>
      <c r="U1919" s="50"/>
      <c r="V1919" s="2394"/>
      <c r="W1919" s="245">
        <v>6</v>
      </c>
      <c r="X1919" s="245">
        <v>6</v>
      </c>
      <c r="Y1919" s="245">
        <v>6</v>
      </c>
      <c r="Z1919" s="245">
        <v>6</v>
      </c>
      <c r="AA1919" s="245">
        <v>6</v>
      </c>
      <c r="AB1919" s="245">
        <v>6</v>
      </c>
      <c r="AC1919" s="245">
        <v>6</v>
      </c>
      <c r="AD1919" s="245">
        <v>6</v>
      </c>
      <c r="AE1919" s="245">
        <v>6</v>
      </c>
      <c r="AF1919" s="253">
        <v>6</v>
      </c>
      <c r="AG1919" s="253">
        <f t="shared" si="236"/>
        <v>6</v>
      </c>
      <c r="DG1919" s="543"/>
      <c r="DH1919" s="149"/>
      <c r="DI1919" s="1020"/>
      <c r="DJ1919" s="2045"/>
    </row>
    <row r="1920" spans="1:114" ht="15" customHeight="1" outlineLevel="1" x14ac:dyDescent="0.25">
      <c r="A1920" s="2145"/>
      <c r="C1920" s="49"/>
      <c r="D1920" s="2394"/>
      <c r="E1920" s="2394"/>
      <c r="F1920" s="2404" t="str">
        <f t="shared" si="241"/>
        <v>ASHP-SEER17-Replace_CAC_ElectricHeat_ER1_SF</v>
      </c>
      <c r="G1920" s="2404"/>
      <c r="H1920" s="2404"/>
      <c r="I1920" s="2404"/>
      <c r="J1920" s="1506" t="str">
        <f t="shared" si="242"/>
        <v>354100_2024_12_</v>
      </c>
      <c r="K1920" s="1537">
        <v>6</v>
      </c>
      <c r="L1920" s="244"/>
      <c r="M1920" s="1251" t="s">
        <v>1303</v>
      </c>
      <c r="P1920" s="243"/>
      <c r="Q1920" s="243"/>
      <c r="R1920" s="243"/>
      <c r="T1920" s="166"/>
      <c r="U1920" s="50"/>
      <c r="V1920" s="2394"/>
      <c r="W1920" s="245">
        <v>6</v>
      </c>
      <c r="X1920" s="245">
        <v>6</v>
      </c>
      <c r="Y1920" s="245">
        <v>6</v>
      </c>
      <c r="Z1920" s="245">
        <v>6</v>
      </c>
      <c r="AA1920" s="245">
        <v>6</v>
      </c>
      <c r="AB1920" s="245">
        <v>6</v>
      </c>
      <c r="AC1920" s="245">
        <v>6</v>
      </c>
      <c r="AD1920" s="245">
        <v>6</v>
      </c>
      <c r="AE1920" s="245">
        <v>6</v>
      </c>
      <c r="AF1920" s="253">
        <v>6</v>
      </c>
      <c r="AG1920" s="253">
        <f t="shared" ref="AG1920:AG1987" si="243">IF(K1920&lt;&gt;"",K1920,"")</f>
        <v>6</v>
      </c>
      <c r="DG1920" s="543"/>
      <c r="DH1920" s="149"/>
      <c r="DI1920" s="1020"/>
      <c r="DJ1920" s="2045"/>
    </row>
    <row r="1921" spans="1:114" ht="15" customHeight="1" outlineLevel="1" x14ac:dyDescent="0.25">
      <c r="A1921" s="2145"/>
      <c r="C1921" s="49"/>
      <c r="D1921" s="2394"/>
      <c r="E1921" s="2394"/>
      <c r="F1921" s="2404" t="str">
        <f t="shared" si="241"/>
        <v>ASHP-SEER17-Replace_CAC_ElectricHeat_ER2_SF</v>
      </c>
      <c r="G1921" s="2404"/>
      <c r="H1921" s="2404"/>
      <c r="I1921" s="2404"/>
      <c r="J1921" s="1506" t="str">
        <f t="shared" si="242"/>
        <v>354100_2024_12_</v>
      </c>
      <c r="K1921" s="1537">
        <v>12</v>
      </c>
      <c r="L1921" s="244"/>
      <c r="M1921" s="1251" t="s">
        <v>1303</v>
      </c>
      <c r="P1921" s="243"/>
      <c r="Q1921" s="243"/>
      <c r="R1921" s="243"/>
      <c r="T1921" s="166"/>
      <c r="U1921" s="50"/>
      <c r="V1921" s="2394"/>
      <c r="W1921" s="245">
        <v>12</v>
      </c>
      <c r="X1921" s="245">
        <v>12</v>
      </c>
      <c r="Y1921" s="245">
        <v>12</v>
      </c>
      <c r="Z1921" s="245">
        <v>12</v>
      </c>
      <c r="AA1921" s="245">
        <v>12</v>
      </c>
      <c r="AB1921" s="245">
        <v>12</v>
      </c>
      <c r="AC1921" s="245">
        <v>12</v>
      </c>
      <c r="AD1921" s="245">
        <v>12</v>
      </c>
      <c r="AE1921" s="245">
        <v>12</v>
      </c>
      <c r="AF1921" s="253">
        <v>12</v>
      </c>
      <c r="AG1921" s="253">
        <f t="shared" si="243"/>
        <v>12</v>
      </c>
      <c r="DG1921" s="543"/>
      <c r="DH1921" s="149"/>
      <c r="DI1921" s="1020"/>
      <c r="DJ1921" s="2045"/>
    </row>
    <row r="1922" spans="1:114" ht="15" customHeight="1" outlineLevel="1" x14ac:dyDescent="0.25">
      <c r="A1922" s="2145"/>
      <c r="C1922" s="49"/>
      <c r="D1922" s="2394"/>
      <c r="E1922" s="2394"/>
      <c r="F1922" s="2404" t="str">
        <f t="shared" si="241"/>
        <v>ASHP-SEER17-Replace_CAC_ElectricHeat_ER2_SF</v>
      </c>
      <c r="G1922" s="2404"/>
      <c r="H1922" s="2404"/>
      <c r="I1922" s="2404"/>
      <c r="J1922" s="1506" t="str">
        <f t="shared" si="242"/>
        <v>354100_2024_12_</v>
      </c>
      <c r="K1922" s="1537">
        <v>12</v>
      </c>
      <c r="L1922" s="244"/>
      <c r="M1922" s="1251" t="s">
        <v>1303</v>
      </c>
      <c r="P1922" s="243"/>
      <c r="Q1922" s="243"/>
      <c r="R1922" s="243"/>
      <c r="T1922" s="166"/>
      <c r="U1922" s="50"/>
      <c r="V1922" s="2394"/>
      <c r="W1922" s="245">
        <v>12</v>
      </c>
      <c r="X1922" s="245">
        <v>12</v>
      </c>
      <c r="Y1922" s="245">
        <v>12</v>
      </c>
      <c r="Z1922" s="245">
        <v>12</v>
      </c>
      <c r="AA1922" s="245">
        <v>12</v>
      </c>
      <c r="AB1922" s="245">
        <v>12</v>
      </c>
      <c r="AC1922" s="245">
        <v>12</v>
      </c>
      <c r="AD1922" s="245">
        <v>12</v>
      </c>
      <c r="AE1922" s="245">
        <v>12</v>
      </c>
      <c r="AF1922" s="253">
        <v>12</v>
      </c>
      <c r="AG1922" s="253">
        <f t="shared" si="243"/>
        <v>12</v>
      </c>
      <c r="DG1922" s="543"/>
      <c r="DH1922" s="149"/>
      <c r="DI1922" s="1020"/>
      <c r="DJ1922" s="2045"/>
    </row>
    <row r="1923" spans="1:114" ht="15" customHeight="1" outlineLevel="1" x14ac:dyDescent="0.25">
      <c r="A1923" s="2145"/>
      <c r="C1923" s="49"/>
      <c r="D1923" s="2394"/>
      <c r="E1923" s="2394"/>
      <c r="F1923" s="2404" t="str">
        <f t="shared" si="241"/>
        <v>ASHP-SEER17-Replace_CAC_NonElectricHeat_ER1_SF</v>
      </c>
      <c r="G1923" s="2404"/>
      <c r="H1923" s="2404"/>
      <c r="I1923" s="2404"/>
      <c r="J1923" s="1506" t="str">
        <f t="shared" si="242"/>
        <v>354110_2024_12_</v>
      </c>
      <c r="K1923" s="1537">
        <v>6</v>
      </c>
      <c r="L1923" s="244"/>
      <c r="M1923" s="1251" t="s">
        <v>1303</v>
      </c>
      <c r="P1923" s="243"/>
      <c r="Q1923" s="243"/>
      <c r="R1923" s="243"/>
      <c r="T1923" s="166"/>
      <c r="U1923" s="50"/>
      <c r="V1923" s="2394"/>
      <c r="W1923" s="245"/>
      <c r="X1923" s="245"/>
      <c r="Y1923" s="245"/>
      <c r="Z1923" s="245"/>
      <c r="AA1923" s="245"/>
      <c r="AB1923" s="245"/>
      <c r="AC1923" s="963">
        <v>6</v>
      </c>
      <c r="AD1923" s="245">
        <v>6</v>
      </c>
      <c r="AE1923" s="245">
        <v>6</v>
      </c>
      <c r="AF1923" s="253">
        <v>6</v>
      </c>
      <c r="AG1923" s="253">
        <f t="shared" si="243"/>
        <v>6</v>
      </c>
      <c r="DG1923" s="543"/>
      <c r="DH1923" s="149"/>
      <c r="DI1923" s="1020"/>
      <c r="DJ1923" s="2045"/>
    </row>
    <row r="1924" spans="1:114" ht="15" customHeight="1" outlineLevel="1" x14ac:dyDescent="0.25">
      <c r="A1924" s="2145"/>
      <c r="C1924" s="49"/>
      <c r="D1924" s="2394"/>
      <c r="E1924" s="2394"/>
      <c r="F1924" s="2404" t="str">
        <f t="shared" si="241"/>
        <v>ASHP-SEER17-Replace_CAC_NonElectricHeat_ER1_SF</v>
      </c>
      <c r="G1924" s="2404"/>
      <c r="H1924" s="2404"/>
      <c r="I1924" s="2404"/>
      <c r="J1924" s="1506" t="str">
        <f t="shared" si="242"/>
        <v>354110_2024_12_</v>
      </c>
      <c r="K1924" s="1537">
        <v>6</v>
      </c>
      <c r="L1924" s="244"/>
      <c r="M1924" s="1251" t="s">
        <v>1303</v>
      </c>
      <c r="P1924" s="243"/>
      <c r="Q1924" s="243"/>
      <c r="R1924" s="243"/>
      <c r="T1924" s="166"/>
      <c r="U1924" s="50"/>
      <c r="V1924" s="2394"/>
      <c r="W1924" s="245"/>
      <c r="X1924" s="245"/>
      <c r="Y1924" s="245"/>
      <c r="Z1924" s="245"/>
      <c r="AA1924" s="245"/>
      <c r="AB1924" s="245"/>
      <c r="AC1924" s="963">
        <v>6</v>
      </c>
      <c r="AD1924" s="245">
        <v>6</v>
      </c>
      <c r="AE1924" s="245">
        <v>6</v>
      </c>
      <c r="AF1924" s="253">
        <v>6</v>
      </c>
      <c r="AG1924" s="253">
        <f t="shared" si="243"/>
        <v>6</v>
      </c>
      <c r="DG1924" s="543"/>
      <c r="DH1924" s="149"/>
      <c r="DI1924" s="1020"/>
      <c r="DJ1924" s="2045"/>
    </row>
    <row r="1925" spans="1:114" ht="15" customHeight="1" outlineLevel="1" x14ac:dyDescent="0.25">
      <c r="A1925" s="2145"/>
      <c r="C1925" s="49"/>
      <c r="D1925" s="2394"/>
      <c r="E1925" s="2394"/>
      <c r="F1925" s="2404" t="str">
        <f t="shared" si="241"/>
        <v>ASHP-SEER17-Replace_CAC_NonElectricHeat_ER2_SF</v>
      </c>
      <c r="G1925" s="2404"/>
      <c r="H1925" s="2404"/>
      <c r="I1925" s="2404"/>
      <c r="J1925" s="1506" t="str">
        <f t="shared" si="242"/>
        <v>354110_2024_12_</v>
      </c>
      <c r="K1925" s="1537">
        <v>12</v>
      </c>
      <c r="L1925" s="244"/>
      <c r="M1925" s="1251" t="s">
        <v>1303</v>
      </c>
      <c r="P1925" s="243"/>
      <c r="Q1925" s="243"/>
      <c r="R1925" s="243"/>
      <c r="T1925" s="166"/>
      <c r="U1925" s="50"/>
      <c r="V1925" s="2394"/>
      <c r="W1925" s="245"/>
      <c r="X1925" s="245"/>
      <c r="Y1925" s="245"/>
      <c r="Z1925" s="245"/>
      <c r="AA1925" s="245"/>
      <c r="AB1925" s="245"/>
      <c r="AC1925" s="963">
        <v>12</v>
      </c>
      <c r="AD1925" s="245">
        <v>12</v>
      </c>
      <c r="AE1925" s="245">
        <v>12</v>
      </c>
      <c r="AF1925" s="253">
        <v>12</v>
      </c>
      <c r="AG1925" s="253">
        <f t="shared" si="243"/>
        <v>12</v>
      </c>
      <c r="DG1925" s="543"/>
      <c r="DH1925" s="149"/>
      <c r="DI1925" s="1020"/>
      <c r="DJ1925" s="2045"/>
    </row>
    <row r="1926" spans="1:114" ht="15" customHeight="1" outlineLevel="1" x14ac:dyDescent="0.25">
      <c r="A1926" s="2145"/>
      <c r="C1926" s="49"/>
      <c r="D1926" s="2394"/>
      <c r="E1926" s="2394"/>
      <c r="F1926" s="2404" t="str">
        <f>E776</f>
        <v>ASHP-SEER17-Replace_CAC_NonElectricHeat_ER2_SF</v>
      </c>
      <c r="G1926" s="2404"/>
      <c r="H1926" s="2404"/>
      <c r="I1926" s="2404"/>
      <c r="J1926" s="1506" t="str">
        <f>C776</f>
        <v>354110_2024_12_</v>
      </c>
      <c r="K1926" s="1537">
        <v>12</v>
      </c>
      <c r="L1926" s="244"/>
      <c r="M1926" s="1251" t="s">
        <v>1303</v>
      </c>
      <c r="P1926" s="243"/>
      <c r="Q1926" s="243"/>
      <c r="R1926" s="243"/>
      <c r="T1926" s="166"/>
      <c r="U1926" s="50"/>
      <c r="V1926" s="2394"/>
      <c r="W1926" s="245"/>
      <c r="X1926" s="245"/>
      <c r="Y1926" s="245"/>
      <c r="Z1926" s="245"/>
      <c r="AA1926" s="245"/>
      <c r="AB1926" s="245"/>
      <c r="AC1926" s="963">
        <v>12</v>
      </c>
      <c r="AD1926" s="245">
        <v>12</v>
      </c>
      <c r="AE1926" s="245">
        <v>12</v>
      </c>
      <c r="AF1926" s="253">
        <v>12</v>
      </c>
      <c r="AG1926" s="253">
        <f t="shared" si="243"/>
        <v>12</v>
      </c>
      <c r="DG1926" s="543"/>
      <c r="DH1926" s="149"/>
      <c r="DI1926" s="1020"/>
      <c r="DJ1926" s="2045"/>
    </row>
    <row r="1927" spans="1:114" ht="15.75" customHeight="1" outlineLevel="1" x14ac:dyDescent="0.25">
      <c r="A1927" s="2145"/>
      <c r="C1927" s="49"/>
      <c r="D1927" s="2394"/>
      <c r="E1927" s="2394"/>
      <c r="F1927" s="1968" t="s">
        <v>1223</v>
      </c>
      <c r="G1927" s="1969"/>
      <c r="H1927" s="1969"/>
      <c r="I1927" s="1970"/>
      <c r="J1927" s="2095" t="s">
        <v>1222</v>
      </c>
      <c r="K1927" s="1979">
        <v>6</v>
      </c>
      <c r="L1927" s="913"/>
      <c r="M1927" s="1251" t="s">
        <v>1303</v>
      </c>
      <c r="T1927" s="50"/>
      <c r="U1927" s="50"/>
      <c r="V1927" s="2394"/>
      <c r="W1927" s="1268"/>
      <c r="X1927" s="1268"/>
      <c r="Y1927" s="1268"/>
      <c r="Z1927" s="1268"/>
      <c r="AA1927" s="1268"/>
      <c r="AB1927" s="1268"/>
      <c r="AC1927" s="752"/>
      <c r="AD1927" s="966"/>
      <c r="AE1927" s="909"/>
      <c r="AF1927" s="253"/>
      <c r="AG1927" s="253">
        <f>IF(K1927&lt;&gt;"",K1927,"")</f>
        <v>6</v>
      </c>
      <c r="DG1927" s="543"/>
      <c r="DH1927" s="149"/>
      <c r="DI1927" s="1020"/>
      <c r="DJ1927" s="2045"/>
    </row>
    <row r="1928" spans="1:114" ht="15.75" customHeight="1" outlineLevel="1" x14ac:dyDescent="0.25">
      <c r="A1928" s="2145"/>
      <c r="C1928" s="49"/>
      <c r="D1928" s="2394"/>
      <c r="E1928" s="2394"/>
      <c r="F1928" s="1968" t="s">
        <v>1223</v>
      </c>
      <c r="G1928" s="1969"/>
      <c r="H1928" s="1969"/>
      <c r="I1928" s="1970"/>
      <c r="J1928" s="2095" t="s">
        <v>1222</v>
      </c>
      <c r="K1928" s="1979">
        <v>6</v>
      </c>
      <c r="L1928" s="913"/>
      <c r="M1928" s="1251" t="s">
        <v>1303</v>
      </c>
      <c r="T1928" s="50"/>
      <c r="U1928" s="50"/>
      <c r="V1928" s="2394"/>
      <c r="W1928" s="1268"/>
      <c r="X1928" s="1268"/>
      <c r="Y1928" s="1268"/>
      <c r="Z1928" s="1268"/>
      <c r="AA1928" s="1268"/>
      <c r="AB1928" s="1268"/>
      <c r="AC1928" s="752"/>
      <c r="AD1928" s="966"/>
      <c r="AE1928" s="909"/>
      <c r="AF1928" s="253"/>
      <c r="AG1928" s="253">
        <f>IF(K1928&lt;&gt;"",K1928,"")</f>
        <v>6</v>
      </c>
      <c r="DG1928" s="543"/>
      <c r="DH1928" s="149"/>
      <c r="DI1928" s="1020"/>
      <c r="DJ1928" s="2045"/>
    </row>
    <row r="1929" spans="1:114" ht="15.75" customHeight="1" outlineLevel="1" x14ac:dyDescent="0.25">
      <c r="A1929" s="2145"/>
      <c r="C1929" s="49"/>
      <c r="D1929" s="2394"/>
      <c r="E1929" s="2394"/>
      <c r="F1929" s="1968" t="s">
        <v>1224</v>
      </c>
      <c r="G1929" s="1969"/>
      <c r="H1929" s="1969"/>
      <c r="I1929" s="1970"/>
      <c r="J1929" s="2095" t="s">
        <v>1222</v>
      </c>
      <c r="K1929" s="1979">
        <v>12</v>
      </c>
      <c r="L1929" s="913"/>
      <c r="M1929" s="1251" t="s">
        <v>1303</v>
      </c>
      <c r="T1929" s="50"/>
      <c r="U1929" s="50"/>
      <c r="V1929" s="2394"/>
      <c r="W1929" s="1268"/>
      <c r="X1929" s="1268"/>
      <c r="Y1929" s="1268"/>
      <c r="Z1929" s="1268"/>
      <c r="AA1929" s="1268"/>
      <c r="AB1929" s="1268"/>
      <c r="AC1929" s="752"/>
      <c r="AD1929" s="966"/>
      <c r="AE1929" s="909"/>
      <c r="AF1929" s="253"/>
      <c r="AG1929" s="253">
        <f>IF(K1929&lt;&gt;"",K1929,"")</f>
        <v>12</v>
      </c>
      <c r="DG1929" s="543"/>
      <c r="DH1929" s="149"/>
      <c r="DI1929" s="1020"/>
      <c r="DJ1929" s="2045"/>
    </row>
    <row r="1930" spans="1:114" ht="15.75" customHeight="1" outlineLevel="1" x14ac:dyDescent="0.25">
      <c r="A1930" s="2145"/>
      <c r="C1930" s="49"/>
      <c r="D1930" s="2394"/>
      <c r="E1930" s="2394"/>
      <c r="F1930" s="1968" t="s">
        <v>1224</v>
      </c>
      <c r="G1930" s="1969"/>
      <c r="H1930" s="1969"/>
      <c r="I1930" s="1970"/>
      <c r="J1930" s="2095" t="s">
        <v>1222</v>
      </c>
      <c r="K1930" s="1979">
        <v>12</v>
      </c>
      <c r="L1930" s="913"/>
      <c r="M1930" s="1251" t="s">
        <v>1303</v>
      </c>
      <c r="T1930" s="50"/>
      <c r="U1930" s="50"/>
      <c r="V1930" s="2394"/>
      <c r="W1930" s="1268"/>
      <c r="X1930" s="1268"/>
      <c r="Y1930" s="1268"/>
      <c r="Z1930" s="1268"/>
      <c r="AA1930" s="1268"/>
      <c r="AB1930" s="1268"/>
      <c r="AC1930" s="752"/>
      <c r="AD1930" s="966"/>
      <c r="AE1930" s="909"/>
      <c r="AF1930" s="253"/>
      <c r="AG1930" s="253">
        <f>IF(K1930&lt;&gt;"",K1930,"")</f>
        <v>12</v>
      </c>
      <c r="DG1930" s="543"/>
      <c r="DH1930" s="149"/>
      <c r="DI1930" s="1020"/>
      <c r="DJ1930" s="2045"/>
    </row>
    <row r="1931" spans="1:114" ht="15" customHeight="1" outlineLevel="1" x14ac:dyDescent="0.25">
      <c r="A1931" s="2145"/>
      <c r="C1931" s="49"/>
      <c r="D1931" s="2394"/>
      <c r="E1931" s="2394"/>
      <c r="F1931" s="2404" t="str">
        <f t="shared" ref="F1931:F1962" si="244">E777</f>
        <v>ASHP-SEER17-Replace_CAC_ElectricHeat_ER1_MF</v>
      </c>
      <c r="G1931" s="2404"/>
      <c r="H1931" s="2404"/>
      <c r="I1931" s="2404"/>
      <c r="J1931" s="1506" t="str">
        <f t="shared" ref="J1931:J1962" si="245">C777</f>
        <v>354150_2024_12_</v>
      </c>
      <c r="K1931" s="1537">
        <v>6</v>
      </c>
      <c r="L1931" s="244"/>
      <c r="M1931" s="1251" t="s">
        <v>1303</v>
      </c>
      <c r="P1931" s="243"/>
      <c r="Q1931" s="243"/>
      <c r="R1931" s="243"/>
      <c r="T1931" s="166"/>
      <c r="U1931" s="50"/>
      <c r="V1931" s="2394"/>
      <c r="W1931" s="245">
        <v>6</v>
      </c>
      <c r="X1931" s="245">
        <v>6</v>
      </c>
      <c r="Y1931" s="245">
        <v>6</v>
      </c>
      <c r="Z1931" s="245">
        <v>6</v>
      </c>
      <c r="AA1931" s="245">
        <v>6</v>
      </c>
      <c r="AB1931" s="245">
        <v>6</v>
      </c>
      <c r="AC1931" s="245">
        <v>6</v>
      </c>
      <c r="AD1931" s="245">
        <v>6</v>
      </c>
      <c r="AE1931" s="245">
        <v>6</v>
      </c>
      <c r="AF1931" s="253">
        <v>6</v>
      </c>
      <c r="AG1931" s="253">
        <f t="shared" si="243"/>
        <v>6</v>
      </c>
      <c r="DG1931" s="543"/>
      <c r="DH1931" s="149"/>
      <c r="DI1931" s="1020"/>
      <c r="DJ1931" s="2045"/>
    </row>
    <row r="1932" spans="1:114" ht="15" customHeight="1" outlineLevel="1" x14ac:dyDescent="0.25">
      <c r="A1932" s="2145"/>
      <c r="C1932" s="49"/>
      <c r="D1932" s="2394"/>
      <c r="E1932" s="2394"/>
      <c r="F1932" s="2404" t="str">
        <f t="shared" si="244"/>
        <v>ASHP-SEER17-Replace_CAC_ElectricHeat_ER1_MF</v>
      </c>
      <c r="G1932" s="2404"/>
      <c r="H1932" s="2404"/>
      <c r="I1932" s="2404"/>
      <c r="J1932" s="1506" t="str">
        <f t="shared" si="245"/>
        <v>354150_2024_12_</v>
      </c>
      <c r="K1932" s="1537">
        <v>6</v>
      </c>
      <c r="L1932" s="244"/>
      <c r="M1932" s="1251" t="s">
        <v>1303</v>
      </c>
      <c r="P1932" s="243"/>
      <c r="Q1932" s="243"/>
      <c r="R1932" s="243"/>
      <c r="T1932" s="166"/>
      <c r="U1932" s="50"/>
      <c r="V1932" s="2394"/>
      <c r="W1932" s="245">
        <v>6</v>
      </c>
      <c r="X1932" s="245">
        <v>6</v>
      </c>
      <c r="Y1932" s="245">
        <v>6</v>
      </c>
      <c r="Z1932" s="245">
        <v>6</v>
      </c>
      <c r="AA1932" s="245">
        <v>6</v>
      </c>
      <c r="AB1932" s="245">
        <v>6</v>
      </c>
      <c r="AC1932" s="245">
        <v>6</v>
      </c>
      <c r="AD1932" s="245">
        <v>6</v>
      </c>
      <c r="AE1932" s="245">
        <v>6</v>
      </c>
      <c r="AF1932" s="253">
        <v>6</v>
      </c>
      <c r="AG1932" s="253">
        <f t="shared" si="243"/>
        <v>6</v>
      </c>
      <c r="DG1932" s="543"/>
      <c r="DH1932" s="149"/>
      <c r="DI1932" s="1020"/>
      <c r="DJ1932" s="2045"/>
    </row>
    <row r="1933" spans="1:114" ht="15" customHeight="1" outlineLevel="1" x14ac:dyDescent="0.25">
      <c r="A1933" s="2145"/>
      <c r="C1933" s="49"/>
      <c r="D1933" s="2394"/>
      <c r="E1933" s="2394"/>
      <c r="F1933" s="2404" t="str">
        <f t="shared" si="244"/>
        <v>ASHP-SEER17-Replace_CAC_ElectricHeat_ER2_MF</v>
      </c>
      <c r="G1933" s="2404"/>
      <c r="H1933" s="2404"/>
      <c r="I1933" s="2404"/>
      <c r="J1933" s="1506" t="str">
        <f t="shared" si="245"/>
        <v>354150_2024_12_</v>
      </c>
      <c r="K1933" s="1537">
        <v>12</v>
      </c>
      <c r="L1933" s="244"/>
      <c r="M1933" s="1251" t="s">
        <v>1303</v>
      </c>
      <c r="P1933" s="243"/>
      <c r="Q1933" s="243"/>
      <c r="R1933" s="243"/>
      <c r="T1933" s="166"/>
      <c r="U1933" s="50"/>
      <c r="V1933" s="2394"/>
      <c r="W1933" s="245">
        <v>12</v>
      </c>
      <c r="X1933" s="245">
        <v>12</v>
      </c>
      <c r="Y1933" s="245">
        <v>12</v>
      </c>
      <c r="Z1933" s="245">
        <v>12</v>
      </c>
      <c r="AA1933" s="245">
        <v>12</v>
      </c>
      <c r="AB1933" s="245">
        <v>12</v>
      </c>
      <c r="AC1933" s="245">
        <v>12</v>
      </c>
      <c r="AD1933" s="245">
        <v>12</v>
      </c>
      <c r="AE1933" s="245">
        <v>12</v>
      </c>
      <c r="AF1933" s="253">
        <v>12</v>
      </c>
      <c r="AG1933" s="253">
        <f t="shared" si="243"/>
        <v>12</v>
      </c>
      <c r="DG1933" s="543"/>
      <c r="DH1933" s="149"/>
      <c r="DI1933" s="1020"/>
      <c r="DJ1933" s="2045"/>
    </row>
    <row r="1934" spans="1:114" ht="15" customHeight="1" outlineLevel="1" x14ac:dyDescent="0.25">
      <c r="A1934" s="2145"/>
      <c r="C1934" s="49"/>
      <c r="D1934" s="2394"/>
      <c r="E1934" s="2394"/>
      <c r="F1934" s="2404" t="str">
        <f t="shared" si="244"/>
        <v>ASHP-SEER17-Replace_CAC_ElectricHeat_ER2_MF</v>
      </c>
      <c r="G1934" s="2404"/>
      <c r="H1934" s="2404"/>
      <c r="I1934" s="2404"/>
      <c r="J1934" s="1506" t="str">
        <f t="shared" si="245"/>
        <v>354150_2024_12_</v>
      </c>
      <c r="K1934" s="1537">
        <v>12</v>
      </c>
      <c r="L1934" s="244"/>
      <c r="M1934" s="1251" t="s">
        <v>1303</v>
      </c>
      <c r="P1934" s="243"/>
      <c r="Q1934" s="243"/>
      <c r="R1934" s="243"/>
      <c r="T1934" s="166"/>
      <c r="U1934" s="50"/>
      <c r="V1934" s="2394"/>
      <c r="W1934" s="245">
        <v>12</v>
      </c>
      <c r="X1934" s="245">
        <v>12</v>
      </c>
      <c r="Y1934" s="245">
        <v>12</v>
      </c>
      <c r="Z1934" s="245">
        <v>12</v>
      </c>
      <c r="AA1934" s="245">
        <v>12</v>
      </c>
      <c r="AB1934" s="245">
        <v>12</v>
      </c>
      <c r="AC1934" s="245">
        <v>12</v>
      </c>
      <c r="AD1934" s="245">
        <v>12</v>
      </c>
      <c r="AE1934" s="245">
        <v>12</v>
      </c>
      <c r="AF1934" s="253">
        <v>12</v>
      </c>
      <c r="AG1934" s="253">
        <f t="shared" si="243"/>
        <v>12</v>
      </c>
      <c r="DG1934" s="543"/>
      <c r="DH1934" s="149"/>
      <c r="DI1934" s="1020"/>
      <c r="DJ1934" s="2045"/>
    </row>
    <row r="1935" spans="1:114" ht="15" customHeight="1" outlineLevel="1" x14ac:dyDescent="0.25">
      <c r="A1935" s="2145"/>
      <c r="C1935" s="49"/>
      <c r="D1935" s="2394"/>
      <c r="E1935" s="2394"/>
      <c r="F1935" s="2404" t="str">
        <f t="shared" si="244"/>
        <v>ASHP-SEER17_ER1_MF</v>
      </c>
      <c r="G1935" s="2404"/>
      <c r="H1935" s="2404"/>
      <c r="I1935" s="2404"/>
      <c r="J1935" s="1506" t="str">
        <f t="shared" si="245"/>
        <v>354200_2024_12_</v>
      </c>
      <c r="K1935" s="1537">
        <v>6</v>
      </c>
      <c r="L1935" s="244"/>
      <c r="M1935" s="1251" t="s">
        <v>1303</v>
      </c>
      <c r="P1935" s="243"/>
      <c r="Q1935" s="243"/>
      <c r="R1935" s="243"/>
      <c r="T1935" s="166"/>
      <c r="U1935" s="50"/>
      <c r="V1935" s="2394"/>
      <c r="W1935" s="245">
        <v>6</v>
      </c>
      <c r="X1935" s="245">
        <v>6</v>
      </c>
      <c r="Y1935" s="245">
        <v>6</v>
      </c>
      <c r="Z1935" s="245">
        <v>6</v>
      </c>
      <c r="AA1935" s="245">
        <v>6</v>
      </c>
      <c r="AB1935" s="245">
        <v>6</v>
      </c>
      <c r="AC1935" s="245">
        <v>6</v>
      </c>
      <c r="AD1935" s="245">
        <v>6</v>
      </c>
      <c r="AE1935" s="245">
        <v>6</v>
      </c>
      <c r="AF1935" s="253">
        <v>6</v>
      </c>
      <c r="AG1935" s="253">
        <f t="shared" si="243"/>
        <v>6</v>
      </c>
      <c r="DG1935" s="543"/>
      <c r="DH1935" s="149"/>
      <c r="DI1935" s="1020"/>
      <c r="DJ1935" s="2045"/>
    </row>
    <row r="1936" spans="1:114" ht="15" customHeight="1" outlineLevel="1" x14ac:dyDescent="0.25">
      <c r="A1936" s="2145"/>
      <c r="C1936" s="49"/>
      <c r="D1936" s="2394"/>
      <c r="E1936" s="2394"/>
      <c r="F1936" s="2404" t="str">
        <f t="shared" si="244"/>
        <v>ASHP-SEER17_ER1_MF</v>
      </c>
      <c r="G1936" s="2404"/>
      <c r="H1936" s="2404"/>
      <c r="I1936" s="2404"/>
      <c r="J1936" s="1506" t="str">
        <f t="shared" si="245"/>
        <v>354200_2024_12_</v>
      </c>
      <c r="K1936" s="1537">
        <v>6</v>
      </c>
      <c r="L1936" s="244"/>
      <c r="M1936" s="1251" t="s">
        <v>1303</v>
      </c>
      <c r="P1936" s="243"/>
      <c r="Q1936" s="243"/>
      <c r="R1936" s="243"/>
      <c r="T1936" s="166"/>
      <c r="U1936" s="50"/>
      <c r="V1936" s="2394"/>
      <c r="W1936" s="245">
        <v>6</v>
      </c>
      <c r="X1936" s="245">
        <v>6</v>
      </c>
      <c r="Y1936" s="245">
        <v>6</v>
      </c>
      <c r="Z1936" s="245">
        <v>6</v>
      </c>
      <c r="AA1936" s="245">
        <v>6</v>
      </c>
      <c r="AB1936" s="245">
        <v>6</v>
      </c>
      <c r="AC1936" s="245">
        <v>6</v>
      </c>
      <c r="AD1936" s="245">
        <v>6</v>
      </c>
      <c r="AE1936" s="245">
        <v>6</v>
      </c>
      <c r="AF1936" s="253">
        <v>6</v>
      </c>
      <c r="AG1936" s="253">
        <f t="shared" si="243"/>
        <v>6</v>
      </c>
      <c r="DG1936" s="543"/>
      <c r="DH1936" s="149"/>
      <c r="DI1936" s="1020"/>
      <c r="DJ1936" s="2045"/>
    </row>
    <row r="1937" spans="1:114" ht="15" customHeight="1" outlineLevel="1" x14ac:dyDescent="0.25">
      <c r="A1937" s="2145"/>
      <c r="C1937" s="49"/>
      <c r="D1937" s="2394"/>
      <c r="E1937" s="2394"/>
      <c r="F1937" s="2404" t="str">
        <f t="shared" si="244"/>
        <v>ASHP-SEER17_ER2_MF</v>
      </c>
      <c r="G1937" s="2404"/>
      <c r="H1937" s="2404"/>
      <c r="I1937" s="2404"/>
      <c r="J1937" s="1506" t="str">
        <f t="shared" si="245"/>
        <v>354200_2024_12_</v>
      </c>
      <c r="K1937" s="1537">
        <v>12</v>
      </c>
      <c r="L1937" s="244"/>
      <c r="M1937" s="1251" t="s">
        <v>1303</v>
      </c>
      <c r="P1937" s="243"/>
      <c r="Q1937" s="243"/>
      <c r="R1937" s="243"/>
      <c r="T1937" s="166"/>
      <c r="U1937" s="50"/>
      <c r="V1937" s="2394"/>
      <c r="W1937" s="245">
        <v>12</v>
      </c>
      <c r="X1937" s="245">
        <v>12</v>
      </c>
      <c r="Y1937" s="245">
        <v>12</v>
      </c>
      <c r="Z1937" s="245">
        <v>12</v>
      </c>
      <c r="AA1937" s="245">
        <v>12</v>
      </c>
      <c r="AB1937" s="245">
        <v>12</v>
      </c>
      <c r="AC1937" s="245">
        <v>12</v>
      </c>
      <c r="AD1937" s="245">
        <v>12</v>
      </c>
      <c r="AE1937" s="245">
        <v>12</v>
      </c>
      <c r="AF1937" s="253">
        <v>12</v>
      </c>
      <c r="AG1937" s="253">
        <f t="shared" si="243"/>
        <v>12</v>
      </c>
      <c r="DG1937" s="543"/>
      <c r="DH1937" s="149"/>
      <c r="DI1937" s="1020"/>
      <c r="DJ1937" s="2045"/>
    </row>
    <row r="1938" spans="1:114" ht="15" customHeight="1" outlineLevel="1" x14ac:dyDescent="0.25">
      <c r="A1938" s="2145"/>
      <c r="C1938" s="49"/>
      <c r="D1938" s="2394"/>
      <c r="E1938" s="2394"/>
      <c r="F1938" s="2404" t="str">
        <f t="shared" si="244"/>
        <v>ASHP-SEER17_ER2_MF</v>
      </c>
      <c r="G1938" s="2404"/>
      <c r="H1938" s="2404"/>
      <c r="I1938" s="2404"/>
      <c r="J1938" s="1506" t="str">
        <f t="shared" si="245"/>
        <v>354200_2024_12_</v>
      </c>
      <c r="K1938" s="1537">
        <v>12</v>
      </c>
      <c r="L1938" s="244"/>
      <c r="M1938" s="1251" t="s">
        <v>1303</v>
      </c>
      <c r="P1938" s="243"/>
      <c r="Q1938" s="243"/>
      <c r="R1938" s="243"/>
      <c r="T1938" s="166"/>
      <c r="U1938" s="50"/>
      <c r="V1938" s="2394"/>
      <c r="W1938" s="245">
        <v>12</v>
      </c>
      <c r="X1938" s="245">
        <v>12</v>
      </c>
      <c r="Y1938" s="245">
        <v>12</v>
      </c>
      <c r="Z1938" s="245">
        <v>12</v>
      </c>
      <c r="AA1938" s="245">
        <v>12</v>
      </c>
      <c r="AB1938" s="245">
        <v>12</v>
      </c>
      <c r="AC1938" s="245">
        <v>12</v>
      </c>
      <c r="AD1938" s="245">
        <v>12</v>
      </c>
      <c r="AE1938" s="245">
        <v>12</v>
      </c>
      <c r="AF1938" s="253">
        <v>12</v>
      </c>
      <c r="AG1938" s="253">
        <f t="shared" si="243"/>
        <v>12</v>
      </c>
      <c r="DG1938" s="543"/>
      <c r="DH1938" s="149"/>
      <c r="DI1938" s="1020"/>
      <c r="DJ1938" s="2045"/>
    </row>
    <row r="1939" spans="1:114" ht="15" customHeight="1" outlineLevel="1" x14ac:dyDescent="0.25">
      <c r="A1939" s="2145"/>
      <c r="C1939" s="49"/>
      <c r="D1939" s="2394"/>
      <c r="E1939" s="2394"/>
      <c r="F1939" s="2404" t="str">
        <f t="shared" si="244"/>
        <v>ASHP-SEER18-Replace_CAC_ElectricHeat_ER1_SF</v>
      </c>
      <c r="G1939" s="2404"/>
      <c r="H1939" s="2404"/>
      <c r="I1939" s="2404"/>
      <c r="J1939" s="1506" t="str">
        <f t="shared" si="245"/>
        <v>354250_2024_12_</v>
      </c>
      <c r="K1939" s="1537">
        <v>6</v>
      </c>
      <c r="L1939" s="244"/>
      <c r="M1939" s="1251" t="s">
        <v>1303</v>
      </c>
      <c r="P1939" s="243"/>
      <c r="Q1939" s="243"/>
      <c r="R1939" s="243"/>
      <c r="T1939" s="166"/>
      <c r="U1939" s="50"/>
      <c r="V1939" s="2394"/>
      <c r="W1939" s="245">
        <v>6</v>
      </c>
      <c r="X1939" s="245">
        <v>6</v>
      </c>
      <c r="Y1939" s="245">
        <v>6</v>
      </c>
      <c r="Z1939" s="245">
        <v>6</v>
      </c>
      <c r="AA1939" s="245">
        <v>6</v>
      </c>
      <c r="AB1939" s="245">
        <v>6</v>
      </c>
      <c r="AC1939" s="245">
        <v>6</v>
      </c>
      <c r="AD1939" s="245">
        <v>6</v>
      </c>
      <c r="AE1939" s="245">
        <v>6</v>
      </c>
      <c r="AF1939" s="253">
        <v>6</v>
      </c>
      <c r="AG1939" s="253">
        <f t="shared" si="243"/>
        <v>6</v>
      </c>
      <c r="DG1939" s="543"/>
      <c r="DH1939" s="149"/>
      <c r="DI1939" s="1020"/>
      <c r="DJ1939" s="2045"/>
    </row>
    <row r="1940" spans="1:114" ht="15" customHeight="1" outlineLevel="1" x14ac:dyDescent="0.25">
      <c r="A1940" s="2145"/>
      <c r="C1940" s="49"/>
      <c r="D1940" s="2394"/>
      <c r="E1940" s="2394"/>
      <c r="F1940" s="2404" t="str">
        <f t="shared" si="244"/>
        <v>ASHP-SEER18-Replace_CAC_ElectricHeat_ER1_SF</v>
      </c>
      <c r="G1940" s="2404"/>
      <c r="H1940" s="2404"/>
      <c r="I1940" s="2404"/>
      <c r="J1940" s="1506" t="str">
        <f t="shared" si="245"/>
        <v>354250_2024_12_</v>
      </c>
      <c r="K1940" s="1537">
        <v>6</v>
      </c>
      <c r="L1940" s="244"/>
      <c r="M1940" s="1251" t="s">
        <v>1303</v>
      </c>
      <c r="P1940" s="243"/>
      <c r="Q1940" s="243"/>
      <c r="R1940" s="243"/>
      <c r="T1940" s="166"/>
      <c r="U1940" s="50"/>
      <c r="V1940" s="2394"/>
      <c r="W1940" s="245">
        <v>6</v>
      </c>
      <c r="X1940" s="245">
        <v>6</v>
      </c>
      <c r="Y1940" s="245">
        <v>6</v>
      </c>
      <c r="Z1940" s="245">
        <v>6</v>
      </c>
      <c r="AA1940" s="245">
        <v>6</v>
      </c>
      <c r="AB1940" s="245">
        <v>6</v>
      </c>
      <c r="AC1940" s="245">
        <v>6</v>
      </c>
      <c r="AD1940" s="245">
        <v>6</v>
      </c>
      <c r="AE1940" s="245">
        <v>6</v>
      </c>
      <c r="AF1940" s="253">
        <v>6</v>
      </c>
      <c r="AG1940" s="253">
        <f t="shared" si="243"/>
        <v>6</v>
      </c>
      <c r="DG1940" s="543"/>
      <c r="DH1940" s="149"/>
      <c r="DI1940" s="1020"/>
      <c r="DJ1940" s="2045"/>
    </row>
    <row r="1941" spans="1:114" ht="15" customHeight="1" outlineLevel="1" x14ac:dyDescent="0.25">
      <c r="A1941" s="2145"/>
      <c r="C1941" s="49"/>
      <c r="D1941" s="2394"/>
      <c r="E1941" s="2394"/>
      <c r="F1941" s="2404" t="str">
        <f t="shared" si="244"/>
        <v>ASHP-SEER18-Replace_CAC_ElectricHeat_ER2_SF</v>
      </c>
      <c r="G1941" s="2404"/>
      <c r="H1941" s="2404"/>
      <c r="I1941" s="2404"/>
      <c r="J1941" s="1506" t="str">
        <f t="shared" si="245"/>
        <v>354250_2024_12_</v>
      </c>
      <c r="K1941" s="1537">
        <v>12</v>
      </c>
      <c r="L1941" s="244"/>
      <c r="M1941" s="1251" t="s">
        <v>1303</v>
      </c>
      <c r="P1941" s="243"/>
      <c r="Q1941" s="243"/>
      <c r="R1941" s="243"/>
      <c r="T1941" s="166"/>
      <c r="U1941" s="50"/>
      <c r="V1941" s="2394"/>
      <c r="W1941" s="245">
        <v>12</v>
      </c>
      <c r="X1941" s="245">
        <v>12</v>
      </c>
      <c r="Y1941" s="245">
        <v>12</v>
      </c>
      <c r="Z1941" s="245">
        <v>12</v>
      </c>
      <c r="AA1941" s="245">
        <v>12</v>
      </c>
      <c r="AB1941" s="245">
        <v>12</v>
      </c>
      <c r="AC1941" s="245">
        <v>12</v>
      </c>
      <c r="AD1941" s="245">
        <v>12</v>
      </c>
      <c r="AE1941" s="245">
        <v>12</v>
      </c>
      <c r="AF1941" s="253">
        <v>12</v>
      </c>
      <c r="AG1941" s="253">
        <f t="shared" si="243"/>
        <v>12</v>
      </c>
      <c r="DG1941" s="543"/>
      <c r="DH1941" s="149"/>
      <c r="DI1941" s="1020"/>
      <c r="DJ1941" s="2045"/>
    </row>
    <row r="1942" spans="1:114" ht="15" customHeight="1" outlineLevel="1" x14ac:dyDescent="0.25">
      <c r="A1942" s="2145"/>
      <c r="C1942" s="49"/>
      <c r="D1942" s="2394"/>
      <c r="E1942" s="2394"/>
      <c r="F1942" s="2404" t="str">
        <f t="shared" si="244"/>
        <v>ASHP-SEER18-Replace_CAC_ElectricHeat_ER2_SF</v>
      </c>
      <c r="G1942" s="2404"/>
      <c r="H1942" s="2404"/>
      <c r="I1942" s="2404"/>
      <c r="J1942" s="1506" t="str">
        <f t="shared" si="245"/>
        <v>354250_2024_12_</v>
      </c>
      <c r="K1942" s="1537">
        <v>12</v>
      </c>
      <c r="L1942" s="244"/>
      <c r="M1942" s="1251" t="s">
        <v>1303</v>
      </c>
      <c r="P1942" s="243"/>
      <c r="Q1942" s="243"/>
      <c r="R1942" s="243"/>
      <c r="T1942" s="166"/>
      <c r="U1942" s="50"/>
      <c r="V1942" s="2394"/>
      <c r="W1942" s="245">
        <v>12</v>
      </c>
      <c r="X1942" s="245">
        <v>12</v>
      </c>
      <c r="Y1942" s="245">
        <v>12</v>
      </c>
      <c r="Z1942" s="245">
        <v>12</v>
      </c>
      <c r="AA1942" s="245">
        <v>12</v>
      </c>
      <c r="AB1942" s="245">
        <v>12</v>
      </c>
      <c r="AC1942" s="245">
        <v>12</v>
      </c>
      <c r="AD1942" s="245">
        <v>12</v>
      </c>
      <c r="AE1942" s="245">
        <v>12</v>
      </c>
      <c r="AF1942" s="253">
        <v>12</v>
      </c>
      <c r="AG1942" s="253">
        <f t="shared" si="243"/>
        <v>12</v>
      </c>
      <c r="DG1942" s="543"/>
      <c r="DH1942" s="149"/>
      <c r="DI1942" s="1020"/>
      <c r="DJ1942" s="2045"/>
    </row>
    <row r="1943" spans="1:114" ht="15" customHeight="1" outlineLevel="1" x14ac:dyDescent="0.25">
      <c r="A1943" s="2145"/>
      <c r="C1943" s="49"/>
      <c r="D1943" s="2394"/>
      <c r="E1943" s="2394"/>
      <c r="F1943" s="2404" t="str">
        <f t="shared" si="244"/>
        <v>ASHP-SEER18-Replace_CAC_NonElectricHeat_ER1_SF</v>
      </c>
      <c r="G1943" s="2404"/>
      <c r="H1943" s="2404"/>
      <c r="I1943" s="2404"/>
      <c r="J1943" s="1506" t="str">
        <f t="shared" si="245"/>
        <v>354260_2024_12_</v>
      </c>
      <c r="K1943" s="1537">
        <v>6</v>
      </c>
      <c r="L1943" s="244"/>
      <c r="M1943" s="1251" t="s">
        <v>1303</v>
      </c>
      <c r="P1943" s="243"/>
      <c r="Q1943" s="243"/>
      <c r="R1943" s="243"/>
      <c r="T1943" s="166"/>
      <c r="U1943" s="50"/>
      <c r="V1943" s="2394"/>
      <c r="W1943" s="245"/>
      <c r="X1943" s="245"/>
      <c r="Y1943" s="245"/>
      <c r="Z1943" s="245"/>
      <c r="AA1943" s="245"/>
      <c r="AB1943" s="245"/>
      <c r="AC1943" s="963">
        <v>6</v>
      </c>
      <c r="AD1943" s="245">
        <v>6</v>
      </c>
      <c r="AE1943" s="245">
        <v>6</v>
      </c>
      <c r="AF1943" s="253">
        <v>6</v>
      </c>
      <c r="AG1943" s="253">
        <f t="shared" si="243"/>
        <v>6</v>
      </c>
      <c r="DG1943" s="543"/>
      <c r="DH1943" s="149"/>
      <c r="DI1943" s="1020"/>
      <c r="DJ1943" s="2045"/>
    </row>
    <row r="1944" spans="1:114" ht="15" customHeight="1" outlineLevel="1" x14ac:dyDescent="0.25">
      <c r="A1944" s="2145"/>
      <c r="C1944" s="49"/>
      <c r="D1944" s="2394"/>
      <c r="E1944" s="2394"/>
      <c r="F1944" s="2404" t="str">
        <f t="shared" si="244"/>
        <v>ASHP-SEER18-Replace_CAC_NonElectricHeat_ER1_SF</v>
      </c>
      <c r="G1944" s="2404"/>
      <c r="H1944" s="2404"/>
      <c r="I1944" s="2404"/>
      <c r="J1944" s="1506" t="str">
        <f t="shared" si="245"/>
        <v>354260_2024_12_</v>
      </c>
      <c r="K1944" s="1537">
        <v>6</v>
      </c>
      <c r="L1944" s="244"/>
      <c r="M1944" s="1251" t="s">
        <v>1303</v>
      </c>
      <c r="P1944" s="243"/>
      <c r="Q1944" s="243"/>
      <c r="R1944" s="243"/>
      <c r="T1944" s="166"/>
      <c r="U1944" s="50"/>
      <c r="V1944" s="2394"/>
      <c r="W1944" s="245"/>
      <c r="X1944" s="245"/>
      <c r="Y1944" s="245"/>
      <c r="Z1944" s="245"/>
      <c r="AA1944" s="245"/>
      <c r="AB1944" s="245"/>
      <c r="AC1944" s="963">
        <v>6</v>
      </c>
      <c r="AD1944" s="245">
        <v>6</v>
      </c>
      <c r="AE1944" s="245">
        <v>6</v>
      </c>
      <c r="AF1944" s="253">
        <v>6</v>
      </c>
      <c r="AG1944" s="253">
        <f t="shared" si="243"/>
        <v>6</v>
      </c>
      <c r="DG1944" s="543"/>
      <c r="DH1944" s="149"/>
      <c r="DI1944" s="1020"/>
      <c r="DJ1944" s="2045"/>
    </row>
    <row r="1945" spans="1:114" ht="15" customHeight="1" outlineLevel="1" x14ac:dyDescent="0.25">
      <c r="A1945" s="2145"/>
      <c r="C1945" s="49"/>
      <c r="D1945" s="2394"/>
      <c r="E1945" s="2394"/>
      <c r="F1945" s="2404" t="str">
        <f t="shared" si="244"/>
        <v>ASHP-SEER18-Replace_CAC_NonElectricHeat_ER2_SF</v>
      </c>
      <c r="G1945" s="2404"/>
      <c r="H1945" s="2404"/>
      <c r="I1945" s="2404"/>
      <c r="J1945" s="1506" t="str">
        <f t="shared" si="245"/>
        <v>354260_2024_12_</v>
      </c>
      <c r="K1945" s="1537">
        <v>12</v>
      </c>
      <c r="L1945" s="244"/>
      <c r="M1945" s="1251" t="s">
        <v>1303</v>
      </c>
      <c r="P1945" s="243"/>
      <c r="Q1945" s="243"/>
      <c r="R1945" s="243"/>
      <c r="T1945" s="166"/>
      <c r="U1945" s="50"/>
      <c r="V1945" s="2394"/>
      <c r="W1945" s="245"/>
      <c r="X1945" s="245"/>
      <c r="Y1945" s="245"/>
      <c r="Z1945" s="245"/>
      <c r="AA1945" s="245"/>
      <c r="AB1945" s="245"/>
      <c r="AC1945" s="963">
        <v>12</v>
      </c>
      <c r="AD1945" s="245">
        <v>12</v>
      </c>
      <c r="AE1945" s="245">
        <v>12</v>
      </c>
      <c r="AF1945" s="253">
        <v>12</v>
      </c>
      <c r="AG1945" s="253">
        <f t="shared" si="243"/>
        <v>12</v>
      </c>
      <c r="DG1945" s="543"/>
      <c r="DH1945" s="149"/>
      <c r="DI1945" s="1020"/>
      <c r="DJ1945" s="2045"/>
    </row>
    <row r="1946" spans="1:114" ht="15" customHeight="1" outlineLevel="1" x14ac:dyDescent="0.25">
      <c r="A1946" s="2145"/>
      <c r="C1946" s="49"/>
      <c r="D1946" s="2394"/>
      <c r="E1946" s="2394"/>
      <c r="F1946" s="2404" t="str">
        <f t="shared" si="244"/>
        <v>ASHP-SEER18-Replace_CAC_NonElectricHeat_ER2_SF</v>
      </c>
      <c r="G1946" s="2404"/>
      <c r="H1946" s="2404"/>
      <c r="I1946" s="2404"/>
      <c r="J1946" s="1506" t="str">
        <f t="shared" si="245"/>
        <v>354260_2024_12_</v>
      </c>
      <c r="K1946" s="1537">
        <v>12</v>
      </c>
      <c r="L1946" s="244"/>
      <c r="M1946" s="1251" t="s">
        <v>1303</v>
      </c>
      <c r="P1946" s="243"/>
      <c r="Q1946" s="243"/>
      <c r="R1946" s="243"/>
      <c r="T1946" s="166"/>
      <c r="U1946" s="50"/>
      <c r="V1946" s="2394"/>
      <c r="W1946" s="245"/>
      <c r="X1946" s="245"/>
      <c r="Y1946" s="245"/>
      <c r="Z1946" s="245"/>
      <c r="AA1946" s="245"/>
      <c r="AB1946" s="245"/>
      <c r="AC1946" s="963">
        <v>12</v>
      </c>
      <c r="AD1946" s="245">
        <v>12</v>
      </c>
      <c r="AE1946" s="245">
        <v>12</v>
      </c>
      <c r="AF1946" s="253">
        <v>12</v>
      </c>
      <c r="AG1946" s="253">
        <f t="shared" si="243"/>
        <v>12</v>
      </c>
      <c r="DG1946" s="543"/>
      <c r="DH1946" s="149"/>
      <c r="DI1946" s="1020"/>
      <c r="DJ1946" s="2045"/>
    </row>
    <row r="1947" spans="1:114" ht="15" customHeight="1" outlineLevel="1" x14ac:dyDescent="0.25">
      <c r="A1947" s="2145"/>
      <c r="C1947" s="49"/>
      <c r="D1947" s="2394"/>
      <c r="E1947" s="2394"/>
      <c r="F1947" s="2404" t="str">
        <f t="shared" si="244"/>
        <v>ASHP-SEER18-Replace_CAC_ElectricHeat_ER1_MF</v>
      </c>
      <c r="G1947" s="2404"/>
      <c r="H1947" s="2404"/>
      <c r="I1947" s="2404"/>
      <c r="J1947" s="1506" t="str">
        <f t="shared" si="245"/>
        <v>354300_2024_12_</v>
      </c>
      <c r="K1947" s="1537">
        <v>6</v>
      </c>
      <c r="L1947" s="244"/>
      <c r="M1947" s="1251" t="s">
        <v>1303</v>
      </c>
      <c r="P1947" s="243"/>
      <c r="Q1947" s="243"/>
      <c r="R1947" s="243"/>
      <c r="T1947" s="166"/>
      <c r="U1947" s="50"/>
      <c r="V1947" s="2394"/>
      <c r="W1947" s="245">
        <v>6</v>
      </c>
      <c r="X1947" s="245">
        <v>6</v>
      </c>
      <c r="Y1947" s="245">
        <v>6</v>
      </c>
      <c r="Z1947" s="245">
        <v>6</v>
      </c>
      <c r="AA1947" s="245">
        <v>6</v>
      </c>
      <c r="AB1947" s="245">
        <v>6</v>
      </c>
      <c r="AC1947" s="245">
        <v>6</v>
      </c>
      <c r="AD1947" s="245">
        <v>6</v>
      </c>
      <c r="AE1947" s="245">
        <v>6</v>
      </c>
      <c r="AF1947" s="253">
        <v>6</v>
      </c>
      <c r="AG1947" s="253">
        <f t="shared" si="243"/>
        <v>6</v>
      </c>
      <c r="DG1947" s="543"/>
      <c r="DH1947" s="149"/>
      <c r="DI1947" s="1020"/>
      <c r="DJ1947" s="2045"/>
    </row>
    <row r="1948" spans="1:114" ht="15" customHeight="1" outlineLevel="1" x14ac:dyDescent="0.25">
      <c r="A1948" s="2145"/>
      <c r="C1948" s="49"/>
      <c r="D1948" s="2394"/>
      <c r="E1948" s="2394"/>
      <c r="F1948" s="2404" t="str">
        <f t="shared" si="244"/>
        <v>ASHP-SEER18-Replace_CAC_ElectricHeat_ER1_MF</v>
      </c>
      <c r="G1948" s="2404"/>
      <c r="H1948" s="2404"/>
      <c r="I1948" s="2404"/>
      <c r="J1948" s="1506" t="str">
        <f t="shared" si="245"/>
        <v>354300_2024_12_</v>
      </c>
      <c r="K1948" s="1537">
        <v>6</v>
      </c>
      <c r="L1948" s="244"/>
      <c r="M1948" s="1251" t="s">
        <v>1303</v>
      </c>
      <c r="P1948" s="243"/>
      <c r="Q1948" s="243"/>
      <c r="R1948" s="243"/>
      <c r="T1948" s="166"/>
      <c r="U1948" s="50"/>
      <c r="V1948" s="2394"/>
      <c r="W1948" s="245">
        <v>6</v>
      </c>
      <c r="X1948" s="245">
        <v>6</v>
      </c>
      <c r="Y1948" s="245">
        <v>6</v>
      </c>
      <c r="Z1948" s="245">
        <v>6</v>
      </c>
      <c r="AA1948" s="245">
        <v>6</v>
      </c>
      <c r="AB1948" s="245">
        <v>6</v>
      </c>
      <c r="AC1948" s="245">
        <v>6</v>
      </c>
      <c r="AD1948" s="245">
        <v>6</v>
      </c>
      <c r="AE1948" s="245">
        <v>6</v>
      </c>
      <c r="AF1948" s="253">
        <v>6</v>
      </c>
      <c r="AG1948" s="253">
        <f t="shared" si="243"/>
        <v>6</v>
      </c>
      <c r="DG1948" s="543"/>
      <c r="DH1948" s="149"/>
      <c r="DI1948" s="1020"/>
      <c r="DJ1948" s="2045"/>
    </row>
    <row r="1949" spans="1:114" ht="15" customHeight="1" outlineLevel="1" x14ac:dyDescent="0.25">
      <c r="A1949" s="2145"/>
      <c r="C1949" s="49"/>
      <c r="D1949" s="2394"/>
      <c r="E1949" s="2394"/>
      <c r="F1949" s="2404" t="str">
        <f t="shared" si="244"/>
        <v>ASHP-SEER18-Replace_CAC_ElectricHeat_ER2_MF</v>
      </c>
      <c r="G1949" s="2404"/>
      <c r="H1949" s="2404"/>
      <c r="I1949" s="2404"/>
      <c r="J1949" s="1506" t="str">
        <f t="shared" si="245"/>
        <v>354300_2024_12_</v>
      </c>
      <c r="K1949" s="1537">
        <v>12</v>
      </c>
      <c r="L1949" s="244"/>
      <c r="M1949" s="1251" t="s">
        <v>1303</v>
      </c>
      <c r="P1949" s="243"/>
      <c r="Q1949" s="243"/>
      <c r="R1949" s="243"/>
      <c r="T1949" s="166"/>
      <c r="U1949" s="50"/>
      <c r="V1949" s="2394"/>
      <c r="W1949" s="245">
        <v>12</v>
      </c>
      <c r="X1949" s="245">
        <v>12</v>
      </c>
      <c r="Y1949" s="245">
        <v>12</v>
      </c>
      <c r="Z1949" s="245">
        <v>12</v>
      </c>
      <c r="AA1949" s="245">
        <v>12</v>
      </c>
      <c r="AB1949" s="245">
        <v>12</v>
      </c>
      <c r="AC1949" s="245">
        <v>12</v>
      </c>
      <c r="AD1949" s="245">
        <v>12</v>
      </c>
      <c r="AE1949" s="245">
        <v>12</v>
      </c>
      <c r="AF1949" s="253">
        <v>12</v>
      </c>
      <c r="AG1949" s="253">
        <f t="shared" si="243"/>
        <v>12</v>
      </c>
      <c r="DG1949" s="543"/>
      <c r="DH1949" s="149"/>
      <c r="DI1949" s="1020"/>
      <c r="DJ1949" s="2045"/>
    </row>
    <row r="1950" spans="1:114" ht="15" customHeight="1" outlineLevel="1" x14ac:dyDescent="0.25">
      <c r="A1950" s="2145"/>
      <c r="C1950" s="49"/>
      <c r="D1950" s="2394"/>
      <c r="E1950" s="2394"/>
      <c r="F1950" s="2404" t="str">
        <f t="shared" si="244"/>
        <v>ASHP-SEER18-Replace_CAC_ElectricHeat_ER2_MF</v>
      </c>
      <c r="G1950" s="2404"/>
      <c r="H1950" s="2404"/>
      <c r="I1950" s="2404"/>
      <c r="J1950" s="1506" t="str">
        <f t="shared" si="245"/>
        <v>354300_2024_12_</v>
      </c>
      <c r="K1950" s="1537">
        <v>12</v>
      </c>
      <c r="L1950" s="244"/>
      <c r="M1950" s="1251" t="s">
        <v>1303</v>
      </c>
      <c r="P1950" s="243"/>
      <c r="Q1950" s="192"/>
      <c r="R1950" s="243"/>
      <c r="T1950" s="166"/>
      <c r="U1950" s="50"/>
      <c r="V1950" s="2394"/>
      <c r="W1950" s="245">
        <v>12</v>
      </c>
      <c r="X1950" s="245">
        <v>12</v>
      </c>
      <c r="Y1950" s="245">
        <v>12</v>
      </c>
      <c r="Z1950" s="245">
        <v>12</v>
      </c>
      <c r="AA1950" s="245">
        <v>12</v>
      </c>
      <c r="AB1950" s="245">
        <v>12</v>
      </c>
      <c r="AC1950" s="245">
        <v>12</v>
      </c>
      <c r="AD1950" s="245">
        <v>12</v>
      </c>
      <c r="AE1950" s="245">
        <v>12</v>
      </c>
      <c r="AF1950" s="253">
        <v>12</v>
      </c>
      <c r="AG1950" s="253">
        <f t="shared" si="243"/>
        <v>12</v>
      </c>
      <c r="DG1950" s="543"/>
      <c r="DH1950" s="149"/>
      <c r="DI1950" s="1020"/>
      <c r="DJ1950" s="2045"/>
    </row>
    <row r="1951" spans="1:114" ht="15" customHeight="1" outlineLevel="1" x14ac:dyDescent="0.25">
      <c r="A1951" s="2145"/>
      <c r="C1951" s="49"/>
      <c r="D1951" s="2394"/>
      <c r="E1951" s="2394"/>
      <c r="F1951" s="2404" t="str">
        <f t="shared" si="244"/>
        <v>ASHP-SEER18_ER1_MF</v>
      </c>
      <c r="G1951" s="2404"/>
      <c r="H1951" s="2404"/>
      <c r="I1951" s="2404"/>
      <c r="J1951" s="1506" t="str">
        <f t="shared" si="245"/>
        <v>354350_2024_12_</v>
      </c>
      <c r="K1951" s="1537">
        <v>6</v>
      </c>
      <c r="L1951" s="244"/>
      <c r="M1951" s="1251" t="s">
        <v>1303</v>
      </c>
      <c r="P1951" s="243"/>
      <c r="Q1951" s="192"/>
      <c r="R1951" s="243"/>
      <c r="T1951" s="166"/>
      <c r="U1951" s="50"/>
      <c r="V1951" s="2394"/>
      <c r="W1951" s="245">
        <v>6</v>
      </c>
      <c r="X1951" s="245">
        <v>6</v>
      </c>
      <c r="Y1951" s="245">
        <v>6</v>
      </c>
      <c r="Z1951" s="245">
        <v>6</v>
      </c>
      <c r="AA1951" s="245">
        <v>6</v>
      </c>
      <c r="AB1951" s="245">
        <v>6</v>
      </c>
      <c r="AC1951" s="245">
        <v>6</v>
      </c>
      <c r="AD1951" s="245">
        <v>6</v>
      </c>
      <c r="AE1951" s="245">
        <v>6</v>
      </c>
      <c r="AF1951" s="253">
        <v>6</v>
      </c>
      <c r="AG1951" s="253">
        <f t="shared" si="243"/>
        <v>6</v>
      </c>
      <c r="DG1951" s="543"/>
      <c r="DH1951" s="149"/>
      <c r="DI1951" s="1020"/>
      <c r="DJ1951" s="2045"/>
    </row>
    <row r="1952" spans="1:114" ht="15" customHeight="1" outlineLevel="1" x14ac:dyDescent="0.25">
      <c r="A1952" s="2145"/>
      <c r="C1952" s="49"/>
      <c r="D1952" s="2394"/>
      <c r="E1952" s="2394"/>
      <c r="F1952" s="2404" t="str">
        <f t="shared" si="244"/>
        <v>ASHP-SEER18_ER1_MF</v>
      </c>
      <c r="G1952" s="2404"/>
      <c r="H1952" s="2404"/>
      <c r="I1952" s="2404"/>
      <c r="J1952" s="1506" t="str">
        <f t="shared" si="245"/>
        <v>354350_2024_12_</v>
      </c>
      <c r="K1952" s="1537">
        <v>6</v>
      </c>
      <c r="L1952" s="244"/>
      <c r="M1952" s="1251" t="s">
        <v>1303</v>
      </c>
      <c r="P1952" s="243"/>
      <c r="Q1952" s="192"/>
      <c r="R1952" s="243"/>
      <c r="T1952" s="166"/>
      <c r="U1952" s="50"/>
      <c r="V1952" s="2394"/>
      <c r="W1952" s="245">
        <v>6</v>
      </c>
      <c r="X1952" s="245">
        <v>6</v>
      </c>
      <c r="Y1952" s="245">
        <v>6</v>
      </c>
      <c r="Z1952" s="245">
        <v>6</v>
      </c>
      <c r="AA1952" s="245">
        <v>6</v>
      </c>
      <c r="AB1952" s="245">
        <v>6</v>
      </c>
      <c r="AC1952" s="245">
        <v>6</v>
      </c>
      <c r="AD1952" s="245">
        <v>6</v>
      </c>
      <c r="AE1952" s="245">
        <v>6</v>
      </c>
      <c r="AF1952" s="253">
        <v>6</v>
      </c>
      <c r="AG1952" s="253">
        <f t="shared" si="243"/>
        <v>6</v>
      </c>
      <c r="DG1952" s="543"/>
      <c r="DH1952" s="149"/>
      <c r="DI1952" s="1020"/>
      <c r="DJ1952" s="2045"/>
    </row>
    <row r="1953" spans="1:114" ht="15" customHeight="1" outlineLevel="1" x14ac:dyDescent="0.25">
      <c r="A1953" s="2145"/>
      <c r="C1953" s="49"/>
      <c r="D1953" s="2394"/>
      <c r="E1953" s="2394"/>
      <c r="F1953" s="2404" t="str">
        <f t="shared" si="244"/>
        <v>ASHP-SEER18_ER2_MF</v>
      </c>
      <c r="G1953" s="2404"/>
      <c r="H1953" s="2404"/>
      <c r="I1953" s="2404"/>
      <c r="J1953" s="1506" t="str">
        <f t="shared" si="245"/>
        <v>354350_2024_12_</v>
      </c>
      <c r="K1953" s="1537">
        <v>12</v>
      </c>
      <c r="L1953" s="244"/>
      <c r="M1953" s="1251" t="s">
        <v>1303</v>
      </c>
      <c r="P1953" s="243"/>
      <c r="Q1953" s="192"/>
      <c r="R1953" s="243"/>
      <c r="T1953" s="166"/>
      <c r="U1953" s="50"/>
      <c r="V1953" s="2394"/>
      <c r="W1953" s="245">
        <v>12</v>
      </c>
      <c r="X1953" s="245">
        <v>12</v>
      </c>
      <c r="Y1953" s="245">
        <v>12</v>
      </c>
      <c r="Z1953" s="245">
        <v>12</v>
      </c>
      <c r="AA1953" s="245">
        <v>12</v>
      </c>
      <c r="AB1953" s="245">
        <v>12</v>
      </c>
      <c r="AC1953" s="245">
        <v>12</v>
      </c>
      <c r="AD1953" s="245">
        <v>12</v>
      </c>
      <c r="AE1953" s="245">
        <v>12</v>
      </c>
      <c r="AF1953" s="253">
        <v>12</v>
      </c>
      <c r="AG1953" s="253">
        <f t="shared" si="243"/>
        <v>12</v>
      </c>
      <c r="DG1953" s="543"/>
      <c r="DH1953" s="149"/>
      <c r="DI1953" s="1020"/>
      <c r="DJ1953" s="2045"/>
    </row>
    <row r="1954" spans="1:114" ht="15" customHeight="1" outlineLevel="1" x14ac:dyDescent="0.25">
      <c r="A1954" s="2145"/>
      <c r="C1954" s="49"/>
      <c r="D1954" s="2394"/>
      <c r="E1954" s="2394"/>
      <c r="F1954" s="2404" t="str">
        <f t="shared" si="244"/>
        <v>ASHP-SEER18_ER2_MF</v>
      </c>
      <c r="G1954" s="2404"/>
      <c r="H1954" s="2404"/>
      <c r="I1954" s="2404"/>
      <c r="J1954" s="1506" t="str">
        <f t="shared" si="245"/>
        <v>354350_2024_12_</v>
      </c>
      <c r="K1954" s="1537">
        <v>12</v>
      </c>
      <c r="L1954" s="244"/>
      <c r="M1954" s="1251" t="s">
        <v>1303</v>
      </c>
      <c r="P1954" s="243"/>
      <c r="Q1954" s="192"/>
      <c r="R1954" s="243"/>
      <c r="T1954" s="166"/>
      <c r="U1954" s="50"/>
      <c r="V1954" s="2394"/>
      <c r="W1954" s="245">
        <v>12</v>
      </c>
      <c r="X1954" s="245">
        <v>12</v>
      </c>
      <c r="Y1954" s="245">
        <v>12</v>
      </c>
      <c r="Z1954" s="245">
        <v>12</v>
      </c>
      <c r="AA1954" s="245">
        <v>12</v>
      </c>
      <c r="AB1954" s="245">
        <v>12</v>
      </c>
      <c r="AC1954" s="245">
        <v>12</v>
      </c>
      <c r="AD1954" s="245">
        <v>12</v>
      </c>
      <c r="AE1954" s="245">
        <v>12</v>
      </c>
      <c r="AF1954" s="253">
        <v>12</v>
      </c>
      <c r="AG1954" s="253">
        <f t="shared" si="243"/>
        <v>12</v>
      </c>
      <c r="DG1954" s="543"/>
      <c r="DH1954" s="149"/>
      <c r="DI1954" s="1020"/>
      <c r="DJ1954" s="2045"/>
    </row>
    <row r="1955" spans="1:114" ht="15" customHeight="1" outlineLevel="1" x14ac:dyDescent="0.25">
      <c r="A1955" s="2145"/>
      <c r="C1955" s="49"/>
      <c r="D1955" s="2394"/>
      <c r="E1955" s="2394"/>
      <c r="F1955" s="2404" t="str">
        <f t="shared" si="244"/>
        <v>ASHP-SEER19-Replace_CAC_ElectricHeat_ER1_SF</v>
      </c>
      <c r="G1955" s="2404"/>
      <c r="H1955" s="2404"/>
      <c r="I1955" s="2404"/>
      <c r="J1955" s="1506" t="str">
        <f t="shared" si="245"/>
        <v>354400_2024_12_</v>
      </c>
      <c r="K1955" s="1537">
        <v>6</v>
      </c>
      <c r="L1955" s="244"/>
      <c r="M1955" s="1251" t="s">
        <v>1303</v>
      </c>
      <c r="P1955" s="243"/>
      <c r="Q1955" s="192"/>
      <c r="R1955" s="243"/>
      <c r="T1955" s="166"/>
      <c r="U1955" s="50"/>
      <c r="V1955" s="2394"/>
      <c r="W1955" s="245">
        <v>6</v>
      </c>
      <c r="X1955" s="245">
        <v>6</v>
      </c>
      <c r="Y1955" s="245">
        <v>6</v>
      </c>
      <c r="Z1955" s="245">
        <v>6</v>
      </c>
      <c r="AA1955" s="245">
        <v>6</v>
      </c>
      <c r="AB1955" s="245">
        <v>6</v>
      </c>
      <c r="AC1955" s="245">
        <v>6</v>
      </c>
      <c r="AD1955" s="245">
        <v>6</v>
      </c>
      <c r="AE1955" s="245">
        <v>6</v>
      </c>
      <c r="AF1955" s="253">
        <v>6</v>
      </c>
      <c r="AG1955" s="253">
        <f t="shared" si="243"/>
        <v>6</v>
      </c>
      <c r="DG1955" s="543"/>
      <c r="DH1955" s="149"/>
      <c r="DI1955" s="1020"/>
      <c r="DJ1955" s="2045"/>
    </row>
    <row r="1956" spans="1:114" ht="15" customHeight="1" outlineLevel="1" x14ac:dyDescent="0.25">
      <c r="A1956" s="2145"/>
      <c r="C1956" s="49"/>
      <c r="D1956" s="2394"/>
      <c r="E1956" s="2394"/>
      <c r="F1956" s="2404" t="str">
        <f t="shared" si="244"/>
        <v>ASHP-SEER19-Replace_CAC_ElectricHeat_ER1_SF</v>
      </c>
      <c r="G1956" s="2404"/>
      <c r="H1956" s="2404"/>
      <c r="I1956" s="2404"/>
      <c r="J1956" s="1506" t="str">
        <f t="shared" si="245"/>
        <v>354400_2024_12_</v>
      </c>
      <c r="K1956" s="1537">
        <v>6</v>
      </c>
      <c r="L1956" s="244"/>
      <c r="M1956" s="1251" t="s">
        <v>1303</v>
      </c>
      <c r="T1956" s="50"/>
      <c r="U1956" s="50"/>
      <c r="V1956" s="2394"/>
      <c r="W1956" s="245">
        <v>6</v>
      </c>
      <c r="X1956" s="245">
        <v>6</v>
      </c>
      <c r="Y1956" s="245">
        <v>6</v>
      </c>
      <c r="Z1956" s="245">
        <v>6</v>
      </c>
      <c r="AA1956" s="245">
        <v>6</v>
      </c>
      <c r="AB1956" s="245">
        <v>6</v>
      </c>
      <c r="AC1956" s="245">
        <v>6</v>
      </c>
      <c r="AD1956" s="245">
        <v>6</v>
      </c>
      <c r="AE1956" s="245">
        <v>6</v>
      </c>
      <c r="AF1956" s="253">
        <v>6</v>
      </c>
      <c r="AG1956" s="253">
        <f t="shared" si="243"/>
        <v>6</v>
      </c>
      <c r="DG1956" s="543"/>
      <c r="DH1956" s="149"/>
      <c r="DI1956" s="1020"/>
      <c r="DJ1956" s="2045"/>
    </row>
    <row r="1957" spans="1:114" ht="15" customHeight="1" outlineLevel="1" x14ac:dyDescent="0.25">
      <c r="A1957" s="2145"/>
      <c r="C1957" s="49"/>
      <c r="D1957" s="2394"/>
      <c r="E1957" s="2394"/>
      <c r="F1957" s="2404" t="str">
        <f t="shared" si="244"/>
        <v>ASHP-SEER19-Replace_CAC_ElectricHeat_ER2_SF</v>
      </c>
      <c r="G1957" s="2404"/>
      <c r="H1957" s="2404"/>
      <c r="I1957" s="2404"/>
      <c r="J1957" s="1506" t="str">
        <f t="shared" si="245"/>
        <v>354400_2024_12_</v>
      </c>
      <c r="K1957" s="1537">
        <v>12</v>
      </c>
      <c r="L1957" s="244"/>
      <c r="M1957" s="1251" t="s">
        <v>1303</v>
      </c>
      <c r="P1957" s="243"/>
      <c r="Q1957" s="192"/>
      <c r="R1957" s="243"/>
      <c r="T1957" s="166"/>
      <c r="U1957" s="50"/>
      <c r="V1957" s="2394"/>
      <c r="W1957" s="245">
        <v>12</v>
      </c>
      <c r="X1957" s="245">
        <v>12</v>
      </c>
      <c r="Y1957" s="245">
        <v>12</v>
      </c>
      <c r="Z1957" s="245">
        <v>12</v>
      </c>
      <c r="AA1957" s="245">
        <v>12</v>
      </c>
      <c r="AB1957" s="245">
        <v>12</v>
      </c>
      <c r="AC1957" s="245">
        <v>12</v>
      </c>
      <c r="AD1957" s="245">
        <v>12</v>
      </c>
      <c r="AE1957" s="245">
        <v>12</v>
      </c>
      <c r="AF1957" s="253">
        <v>12</v>
      </c>
      <c r="AG1957" s="253">
        <f t="shared" si="243"/>
        <v>12</v>
      </c>
      <c r="DG1957" s="543"/>
      <c r="DH1957" s="149"/>
      <c r="DI1957" s="1020"/>
      <c r="DJ1957" s="2045"/>
    </row>
    <row r="1958" spans="1:114" ht="15" customHeight="1" outlineLevel="1" x14ac:dyDescent="0.25">
      <c r="A1958" s="2145"/>
      <c r="C1958" s="49"/>
      <c r="D1958" s="2394"/>
      <c r="E1958" s="2394"/>
      <c r="F1958" s="2404" t="str">
        <f t="shared" si="244"/>
        <v>ASHP-SEER19-Replace_CAC_ElectricHeat_ER2_SF</v>
      </c>
      <c r="G1958" s="2404"/>
      <c r="H1958" s="2404"/>
      <c r="I1958" s="2404"/>
      <c r="J1958" s="1506" t="str">
        <f t="shared" si="245"/>
        <v>354400_2024_12_</v>
      </c>
      <c r="K1958" s="1537">
        <v>12</v>
      </c>
      <c r="L1958" s="244"/>
      <c r="M1958" s="1251" t="s">
        <v>1303</v>
      </c>
      <c r="T1958" s="50"/>
      <c r="U1958" s="50"/>
      <c r="V1958" s="2394"/>
      <c r="W1958" s="245">
        <v>12</v>
      </c>
      <c r="X1958" s="245">
        <v>12</v>
      </c>
      <c r="Y1958" s="245">
        <v>12</v>
      </c>
      <c r="Z1958" s="245">
        <v>12</v>
      </c>
      <c r="AA1958" s="245">
        <v>12</v>
      </c>
      <c r="AB1958" s="245">
        <v>12</v>
      </c>
      <c r="AC1958" s="245">
        <v>12</v>
      </c>
      <c r="AD1958" s="245">
        <v>12</v>
      </c>
      <c r="AE1958" s="245">
        <v>12</v>
      </c>
      <c r="AF1958" s="253">
        <v>12</v>
      </c>
      <c r="AG1958" s="253">
        <f t="shared" si="243"/>
        <v>12</v>
      </c>
      <c r="DG1958" s="543"/>
      <c r="DH1958" s="149"/>
      <c r="DI1958" s="1020"/>
      <c r="DJ1958" s="2045"/>
    </row>
    <row r="1959" spans="1:114" ht="15" customHeight="1" outlineLevel="1" x14ac:dyDescent="0.25">
      <c r="A1959" s="2145"/>
      <c r="C1959" s="49"/>
      <c r="D1959" s="2394"/>
      <c r="E1959" s="2394"/>
      <c r="F1959" s="2404" t="str">
        <f t="shared" si="244"/>
        <v>ASHP-SEER19-Replace_CAC_NonElectricHeat_ER1_SF</v>
      </c>
      <c r="G1959" s="2404"/>
      <c r="H1959" s="2404"/>
      <c r="I1959" s="2404"/>
      <c r="J1959" s="1506" t="str">
        <f t="shared" si="245"/>
        <v>354410_2024_12_</v>
      </c>
      <c r="K1959" s="1537">
        <v>6</v>
      </c>
      <c r="L1959" s="244"/>
      <c r="M1959" s="1251" t="s">
        <v>1303</v>
      </c>
      <c r="T1959" s="50"/>
      <c r="U1959" s="50"/>
      <c r="V1959" s="2394"/>
      <c r="W1959" s="245"/>
      <c r="X1959" s="245"/>
      <c r="Y1959" s="245"/>
      <c r="Z1959" s="245"/>
      <c r="AA1959" s="245"/>
      <c r="AB1959" s="245"/>
      <c r="AC1959" s="963">
        <v>6</v>
      </c>
      <c r="AD1959" s="245">
        <v>6</v>
      </c>
      <c r="AE1959" s="245">
        <v>6</v>
      </c>
      <c r="AF1959" s="253">
        <v>6</v>
      </c>
      <c r="AG1959" s="253">
        <f t="shared" si="243"/>
        <v>6</v>
      </c>
      <c r="DG1959" s="543"/>
      <c r="DH1959" s="149"/>
      <c r="DI1959" s="1020"/>
      <c r="DJ1959" s="2045"/>
    </row>
    <row r="1960" spans="1:114" ht="15" customHeight="1" outlineLevel="1" x14ac:dyDescent="0.25">
      <c r="A1960" s="2145"/>
      <c r="C1960" s="49"/>
      <c r="D1960" s="2394"/>
      <c r="E1960" s="2394"/>
      <c r="F1960" s="2404" t="str">
        <f t="shared" si="244"/>
        <v>ASHP-SEER19-Replace_CAC_NonElectricHeat_ER1_SF</v>
      </c>
      <c r="G1960" s="2404"/>
      <c r="H1960" s="2404"/>
      <c r="I1960" s="2404"/>
      <c r="J1960" s="1506" t="str">
        <f t="shared" si="245"/>
        <v>354410_2024_12_</v>
      </c>
      <c r="K1960" s="1537">
        <v>6</v>
      </c>
      <c r="L1960" s="244"/>
      <c r="M1960" s="1251" t="s">
        <v>1303</v>
      </c>
      <c r="T1960" s="50"/>
      <c r="U1960" s="50"/>
      <c r="V1960" s="2394"/>
      <c r="W1960" s="245"/>
      <c r="X1960" s="245"/>
      <c r="Y1960" s="245"/>
      <c r="Z1960" s="245"/>
      <c r="AA1960" s="245"/>
      <c r="AB1960" s="245"/>
      <c r="AC1960" s="963">
        <v>6</v>
      </c>
      <c r="AD1960" s="245">
        <v>6</v>
      </c>
      <c r="AE1960" s="245">
        <v>6</v>
      </c>
      <c r="AF1960" s="253">
        <v>6</v>
      </c>
      <c r="AG1960" s="253">
        <f t="shared" si="243"/>
        <v>6</v>
      </c>
      <c r="DG1960" s="543"/>
      <c r="DH1960" s="149"/>
      <c r="DI1960" s="1020"/>
      <c r="DJ1960" s="2045"/>
    </row>
    <row r="1961" spans="1:114" ht="15" customHeight="1" outlineLevel="1" x14ac:dyDescent="0.25">
      <c r="A1961" s="2145"/>
      <c r="C1961" s="49"/>
      <c r="D1961" s="2394"/>
      <c r="E1961" s="2394"/>
      <c r="F1961" s="2404" t="str">
        <f t="shared" si="244"/>
        <v>ASHP-SEER19-Replace_CAC_NonElectricHeat_ER2_SF</v>
      </c>
      <c r="G1961" s="2404"/>
      <c r="H1961" s="2404"/>
      <c r="I1961" s="2404"/>
      <c r="J1961" s="1506" t="str">
        <f t="shared" si="245"/>
        <v>354410_2024_12_</v>
      </c>
      <c r="K1961" s="1537">
        <v>12</v>
      </c>
      <c r="L1961" s="244"/>
      <c r="M1961" s="1251" t="s">
        <v>1303</v>
      </c>
      <c r="T1961" s="50"/>
      <c r="U1961" s="50"/>
      <c r="V1961" s="2394"/>
      <c r="W1961" s="245"/>
      <c r="X1961" s="245"/>
      <c r="Y1961" s="245"/>
      <c r="Z1961" s="245"/>
      <c r="AA1961" s="245"/>
      <c r="AB1961" s="245"/>
      <c r="AC1961" s="963">
        <v>12</v>
      </c>
      <c r="AD1961" s="245">
        <v>12</v>
      </c>
      <c r="AE1961" s="245">
        <v>12</v>
      </c>
      <c r="AF1961" s="253">
        <v>12</v>
      </c>
      <c r="AG1961" s="253">
        <f t="shared" si="243"/>
        <v>12</v>
      </c>
      <c r="DG1961" s="543"/>
      <c r="DH1961" s="149"/>
      <c r="DI1961" s="1020"/>
      <c r="DJ1961" s="2045"/>
    </row>
    <row r="1962" spans="1:114" ht="15" customHeight="1" outlineLevel="1" x14ac:dyDescent="0.25">
      <c r="A1962" s="2145"/>
      <c r="C1962" s="49"/>
      <c r="D1962" s="2394"/>
      <c r="E1962" s="2394"/>
      <c r="F1962" s="2404" t="str">
        <f t="shared" si="244"/>
        <v>ASHP-SEER19-Replace_CAC_NonElectricHeat_ER2_SF</v>
      </c>
      <c r="G1962" s="2404"/>
      <c r="H1962" s="2404"/>
      <c r="I1962" s="2404"/>
      <c r="J1962" s="1506" t="str">
        <f t="shared" si="245"/>
        <v>354410_2024_12_</v>
      </c>
      <c r="K1962" s="1537">
        <v>12</v>
      </c>
      <c r="L1962" s="244"/>
      <c r="M1962" s="1251" t="s">
        <v>1303</v>
      </c>
      <c r="T1962" s="50"/>
      <c r="U1962" s="50"/>
      <c r="V1962" s="2394"/>
      <c r="W1962" s="245"/>
      <c r="X1962" s="245"/>
      <c r="Y1962" s="245"/>
      <c r="Z1962" s="245"/>
      <c r="AA1962" s="245"/>
      <c r="AB1962" s="245"/>
      <c r="AC1962" s="963">
        <v>12</v>
      </c>
      <c r="AD1962" s="245">
        <v>12</v>
      </c>
      <c r="AE1962" s="245">
        <v>12</v>
      </c>
      <c r="AF1962" s="253">
        <v>12</v>
      </c>
      <c r="AG1962" s="253">
        <f t="shared" si="243"/>
        <v>12</v>
      </c>
      <c r="DG1962" s="543"/>
      <c r="DH1962" s="149"/>
      <c r="DI1962" s="1020"/>
      <c r="DJ1962" s="2045"/>
    </row>
    <row r="1963" spans="1:114" ht="15" customHeight="1" outlineLevel="1" x14ac:dyDescent="0.25">
      <c r="A1963" s="2145"/>
      <c r="C1963" s="49"/>
      <c r="D1963" s="2394"/>
      <c r="E1963" s="2394"/>
      <c r="F1963" s="2404" t="str">
        <f t="shared" ref="F1963:F1994" si="246">E809</f>
        <v>ASHP-SEER19-Replace_CAC_ElectricHeat_ER1_MF</v>
      </c>
      <c r="G1963" s="2404"/>
      <c r="H1963" s="2404"/>
      <c r="I1963" s="2404"/>
      <c r="J1963" s="1506" t="str">
        <f t="shared" ref="J1963:J1994" si="247">C809</f>
        <v>354450_2024_12_</v>
      </c>
      <c r="K1963" s="1537">
        <v>6</v>
      </c>
      <c r="L1963" s="244"/>
      <c r="M1963" s="1251" t="s">
        <v>1303</v>
      </c>
      <c r="P1963" s="243"/>
      <c r="Q1963" s="192"/>
      <c r="R1963" s="243"/>
      <c r="T1963" s="166"/>
      <c r="U1963" s="50"/>
      <c r="V1963" s="2394"/>
      <c r="W1963" s="245">
        <v>6</v>
      </c>
      <c r="X1963" s="245">
        <v>6</v>
      </c>
      <c r="Y1963" s="245">
        <v>6</v>
      </c>
      <c r="Z1963" s="245">
        <v>6</v>
      </c>
      <c r="AA1963" s="245">
        <v>6</v>
      </c>
      <c r="AB1963" s="245">
        <v>6</v>
      </c>
      <c r="AC1963" s="245">
        <v>6</v>
      </c>
      <c r="AD1963" s="245">
        <v>6</v>
      </c>
      <c r="AE1963" s="245">
        <v>6</v>
      </c>
      <c r="AF1963" s="253">
        <v>6</v>
      </c>
      <c r="AG1963" s="253">
        <f t="shared" si="243"/>
        <v>6</v>
      </c>
      <c r="DG1963" s="543"/>
      <c r="DH1963" s="149"/>
      <c r="DI1963" s="1020"/>
      <c r="DJ1963" s="2045"/>
    </row>
    <row r="1964" spans="1:114" ht="15" customHeight="1" outlineLevel="1" x14ac:dyDescent="0.25">
      <c r="A1964" s="2145"/>
      <c r="C1964" s="49"/>
      <c r="D1964" s="2394"/>
      <c r="E1964" s="2394"/>
      <c r="F1964" s="2404" t="str">
        <f t="shared" si="246"/>
        <v>ASHP-SEER19-Replace_CAC_ElectricHeat_ER1_MF</v>
      </c>
      <c r="G1964" s="2404"/>
      <c r="H1964" s="2404"/>
      <c r="I1964" s="2404"/>
      <c r="J1964" s="1506" t="str">
        <f t="shared" si="247"/>
        <v>354450_2024_12_</v>
      </c>
      <c r="K1964" s="1537">
        <v>6</v>
      </c>
      <c r="L1964" s="244"/>
      <c r="M1964" s="1251" t="s">
        <v>1303</v>
      </c>
      <c r="T1964" s="50"/>
      <c r="U1964" s="50"/>
      <c r="V1964" s="2394"/>
      <c r="W1964" s="245">
        <v>6</v>
      </c>
      <c r="X1964" s="245">
        <v>6</v>
      </c>
      <c r="Y1964" s="245">
        <v>6</v>
      </c>
      <c r="Z1964" s="245">
        <v>6</v>
      </c>
      <c r="AA1964" s="245">
        <v>6</v>
      </c>
      <c r="AB1964" s="245">
        <v>6</v>
      </c>
      <c r="AC1964" s="245">
        <v>6</v>
      </c>
      <c r="AD1964" s="245">
        <v>6</v>
      </c>
      <c r="AE1964" s="245">
        <v>6</v>
      </c>
      <c r="AF1964" s="253">
        <v>6</v>
      </c>
      <c r="AG1964" s="253">
        <f t="shared" si="243"/>
        <v>6</v>
      </c>
      <c r="DG1964" s="543"/>
      <c r="DH1964" s="149"/>
      <c r="DI1964" s="1020"/>
      <c r="DJ1964" s="2045"/>
    </row>
    <row r="1965" spans="1:114" ht="15" customHeight="1" outlineLevel="1" x14ac:dyDescent="0.25">
      <c r="A1965" s="2145"/>
      <c r="C1965" s="49"/>
      <c r="D1965" s="2394"/>
      <c r="E1965" s="2394"/>
      <c r="F1965" s="2404" t="str">
        <f t="shared" si="246"/>
        <v>ASHP-SEER19-Replace_CAC_ElectricHeat_ER2_MF</v>
      </c>
      <c r="G1965" s="2404"/>
      <c r="H1965" s="2404"/>
      <c r="I1965" s="2404"/>
      <c r="J1965" s="1506" t="str">
        <f t="shared" si="247"/>
        <v>354450_2024_12_</v>
      </c>
      <c r="K1965" s="1537">
        <v>12</v>
      </c>
      <c r="L1965" s="244"/>
      <c r="M1965" s="1251" t="s">
        <v>1303</v>
      </c>
      <c r="T1965" s="50"/>
      <c r="U1965" s="50"/>
      <c r="V1965" s="2394"/>
      <c r="W1965" s="245">
        <v>12</v>
      </c>
      <c r="X1965" s="245">
        <v>12</v>
      </c>
      <c r="Y1965" s="245">
        <v>12</v>
      </c>
      <c r="Z1965" s="245">
        <v>12</v>
      </c>
      <c r="AA1965" s="245">
        <v>12</v>
      </c>
      <c r="AB1965" s="245">
        <v>12</v>
      </c>
      <c r="AC1965" s="245">
        <v>12</v>
      </c>
      <c r="AD1965" s="245">
        <v>12</v>
      </c>
      <c r="AE1965" s="245">
        <v>12</v>
      </c>
      <c r="AF1965" s="253">
        <v>12</v>
      </c>
      <c r="AG1965" s="253">
        <f t="shared" si="243"/>
        <v>12</v>
      </c>
      <c r="DG1965" s="543"/>
      <c r="DH1965" s="149"/>
      <c r="DI1965" s="1020"/>
      <c r="DJ1965" s="2045"/>
    </row>
    <row r="1966" spans="1:114" ht="15" customHeight="1" outlineLevel="1" x14ac:dyDescent="0.25">
      <c r="A1966" s="2145"/>
      <c r="C1966" s="49"/>
      <c r="D1966" s="2394"/>
      <c r="E1966" s="2394"/>
      <c r="F1966" s="2404" t="str">
        <f t="shared" si="246"/>
        <v>ASHP-SEER19-Replace_CAC_ElectricHeat_ER2_MF</v>
      </c>
      <c r="G1966" s="2404"/>
      <c r="H1966" s="2404"/>
      <c r="I1966" s="2404"/>
      <c r="J1966" s="1506" t="str">
        <f t="shared" si="247"/>
        <v>354450_2024_12_</v>
      </c>
      <c r="K1966" s="1537">
        <v>12</v>
      </c>
      <c r="L1966" s="244"/>
      <c r="M1966" s="1251" t="s">
        <v>1303</v>
      </c>
      <c r="P1966" s="243"/>
      <c r="Q1966" s="192"/>
      <c r="R1966" s="243"/>
      <c r="T1966" s="166"/>
      <c r="U1966" s="50"/>
      <c r="V1966" s="2394"/>
      <c r="W1966" s="245">
        <v>12</v>
      </c>
      <c r="X1966" s="245">
        <v>12</v>
      </c>
      <c r="Y1966" s="245">
        <v>12</v>
      </c>
      <c r="Z1966" s="245">
        <v>12</v>
      </c>
      <c r="AA1966" s="245">
        <v>12</v>
      </c>
      <c r="AB1966" s="245">
        <v>12</v>
      </c>
      <c r="AC1966" s="245">
        <v>12</v>
      </c>
      <c r="AD1966" s="245">
        <v>12</v>
      </c>
      <c r="AE1966" s="245">
        <v>12</v>
      </c>
      <c r="AF1966" s="253">
        <v>12</v>
      </c>
      <c r="AG1966" s="253">
        <f t="shared" si="243"/>
        <v>12</v>
      </c>
      <c r="DG1966" s="543"/>
      <c r="DH1966" s="149"/>
      <c r="DI1966" s="1020"/>
      <c r="DJ1966" s="2045"/>
    </row>
    <row r="1967" spans="1:114" ht="15" customHeight="1" outlineLevel="1" x14ac:dyDescent="0.25">
      <c r="A1967" s="2145"/>
      <c r="C1967" s="49"/>
      <c r="D1967" s="2394"/>
      <c r="E1967" s="2394"/>
      <c r="F1967" s="2404" t="str">
        <f t="shared" si="246"/>
        <v>ASHP-SEER19_ER1_MF</v>
      </c>
      <c r="G1967" s="2404"/>
      <c r="H1967" s="2404"/>
      <c r="I1967" s="2404"/>
      <c r="J1967" s="1506" t="str">
        <f t="shared" si="247"/>
        <v>354500_2024_12_</v>
      </c>
      <c r="K1967" s="1537">
        <v>6</v>
      </c>
      <c r="L1967" s="244"/>
      <c r="M1967" s="1251" t="s">
        <v>1303</v>
      </c>
      <c r="P1967" s="243"/>
      <c r="Q1967" s="192"/>
      <c r="R1967" s="243"/>
      <c r="T1967" s="166"/>
      <c r="U1967" s="50"/>
      <c r="V1967" s="2394"/>
      <c r="W1967" s="245">
        <v>6</v>
      </c>
      <c r="X1967" s="245">
        <v>6</v>
      </c>
      <c r="Y1967" s="245">
        <v>6</v>
      </c>
      <c r="Z1967" s="245">
        <v>6</v>
      </c>
      <c r="AA1967" s="245">
        <v>6</v>
      </c>
      <c r="AB1967" s="245">
        <v>6</v>
      </c>
      <c r="AC1967" s="245">
        <v>6</v>
      </c>
      <c r="AD1967" s="245">
        <v>6</v>
      </c>
      <c r="AE1967" s="245">
        <v>6</v>
      </c>
      <c r="AF1967" s="253">
        <v>6</v>
      </c>
      <c r="AG1967" s="253">
        <f t="shared" si="243"/>
        <v>6</v>
      </c>
      <c r="DG1967" s="543"/>
      <c r="DH1967" s="149"/>
      <c r="DI1967" s="1020"/>
      <c r="DJ1967" s="2045"/>
    </row>
    <row r="1968" spans="1:114" ht="15" customHeight="1" outlineLevel="1" x14ac:dyDescent="0.25">
      <c r="A1968" s="2145"/>
      <c r="C1968" s="49"/>
      <c r="D1968" s="2394"/>
      <c r="E1968" s="2394"/>
      <c r="F1968" s="2404" t="str">
        <f t="shared" si="246"/>
        <v>ASHP-SEER19_ER1_MF</v>
      </c>
      <c r="G1968" s="2404"/>
      <c r="H1968" s="2404"/>
      <c r="I1968" s="2404"/>
      <c r="J1968" s="1506" t="str">
        <f t="shared" si="247"/>
        <v>354500_2024_12_</v>
      </c>
      <c r="K1968" s="1537">
        <v>6</v>
      </c>
      <c r="L1968" s="244"/>
      <c r="M1968" s="1251" t="s">
        <v>1303</v>
      </c>
      <c r="T1968" s="50"/>
      <c r="U1968" s="50"/>
      <c r="V1968" s="2394"/>
      <c r="W1968" s="245">
        <v>6</v>
      </c>
      <c r="X1968" s="245">
        <v>6</v>
      </c>
      <c r="Y1968" s="245">
        <v>6</v>
      </c>
      <c r="Z1968" s="245">
        <v>6</v>
      </c>
      <c r="AA1968" s="245">
        <v>6</v>
      </c>
      <c r="AB1968" s="245">
        <v>6</v>
      </c>
      <c r="AC1968" s="245">
        <v>6</v>
      </c>
      <c r="AD1968" s="245">
        <v>6</v>
      </c>
      <c r="AE1968" s="245">
        <v>6</v>
      </c>
      <c r="AF1968" s="253">
        <v>6</v>
      </c>
      <c r="AG1968" s="253">
        <f t="shared" si="243"/>
        <v>6</v>
      </c>
      <c r="DG1968" s="543"/>
      <c r="DH1968" s="149"/>
      <c r="DI1968" s="1020"/>
      <c r="DJ1968" s="2045"/>
    </row>
    <row r="1969" spans="1:114" ht="15" customHeight="1" outlineLevel="1" x14ac:dyDescent="0.25">
      <c r="A1969" s="2145"/>
      <c r="C1969" s="49"/>
      <c r="D1969" s="2394"/>
      <c r="E1969" s="2394"/>
      <c r="F1969" s="2404" t="str">
        <f t="shared" si="246"/>
        <v>ASHP-SEER19_ER2_MF</v>
      </c>
      <c r="G1969" s="2404"/>
      <c r="H1969" s="2404"/>
      <c r="I1969" s="2404"/>
      <c r="J1969" s="1506" t="str">
        <f t="shared" si="247"/>
        <v>354500_2024_12_</v>
      </c>
      <c r="K1969" s="1537">
        <v>12</v>
      </c>
      <c r="L1969" s="244"/>
      <c r="M1969" s="1251" t="s">
        <v>1303</v>
      </c>
      <c r="T1969" s="50"/>
      <c r="U1969" s="50"/>
      <c r="V1969" s="2394"/>
      <c r="W1969" s="245">
        <v>12</v>
      </c>
      <c r="X1969" s="245">
        <v>12</v>
      </c>
      <c r="Y1969" s="245">
        <v>12</v>
      </c>
      <c r="Z1969" s="245">
        <v>12</v>
      </c>
      <c r="AA1969" s="245">
        <v>12</v>
      </c>
      <c r="AB1969" s="245">
        <v>12</v>
      </c>
      <c r="AC1969" s="245">
        <v>12</v>
      </c>
      <c r="AD1969" s="245">
        <v>12</v>
      </c>
      <c r="AE1969" s="245">
        <v>12</v>
      </c>
      <c r="AF1969" s="253">
        <v>12</v>
      </c>
      <c r="AG1969" s="253">
        <f t="shared" si="243"/>
        <v>12</v>
      </c>
      <c r="DG1969" s="543"/>
      <c r="DH1969" s="149"/>
      <c r="DI1969" s="1020"/>
      <c r="DJ1969" s="2045"/>
    </row>
    <row r="1970" spans="1:114" ht="15" customHeight="1" outlineLevel="1" x14ac:dyDescent="0.25">
      <c r="A1970" s="2145"/>
      <c r="C1970" s="49"/>
      <c r="D1970" s="2394"/>
      <c r="E1970" s="2394"/>
      <c r="F1970" s="2404" t="str">
        <f t="shared" si="246"/>
        <v>ASHP-SEER19_ER2_MF</v>
      </c>
      <c r="G1970" s="2404"/>
      <c r="H1970" s="2404"/>
      <c r="I1970" s="2404"/>
      <c r="J1970" s="1506" t="str">
        <f t="shared" si="247"/>
        <v>354500_2024_12_</v>
      </c>
      <c r="K1970" s="1537">
        <v>12</v>
      </c>
      <c r="L1970" s="244"/>
      <c r="M1970" s="1251" t="s">
        <v>1303</v>
      </c>
      <c r="P1970" s="243"/>
      <c r="Q1970" s="192"/>
      <c r="R1970" s="243"/>
      <c r="T1970" s="166"/>
      <c r="U1970" s="50"/>
      <c r="V1970" s="2394"/>
      <c r="W1970" s="245">
        <v>12</v>
      </c>
      <c r="X1970" s="245">
        <v>12</v>
      </c>
      <c r="Y1970" s="245">
        <v>12</v>
      </c>
      <c r="Z1970" s="245">
        <v>12</v>
      </c>
      <c r="AA1970" s="245">
        <v>12</v>
      </c>
      <c r="AB1970" s="245">
        <v>12</v>
      </c>
      <c r="AC1970" s="245">
        <v>12</v>
      </c>
      <c r="AD1970" s="245">
        <v>12</v>
      </c>
      <c r="AE1970" s="245">
        <v>12</v>
      </c>
      <c r="AF1970" s="253">
        <v>12</v>
      </c>
      <c r="AG1970" s="253">
        <f t="shared" si="243"/>
        <v>12</v>
      </c>
      <c r="DG1970" s="543"/>
      <c r="DH1970" s="149"/>
      <c r="DI1970" s="1020"/>
      <c r="DJ1970" s="2045"/>
    </row>
    <row r="1971" spans="1:114" ht="15" customHeight="1" outlineLevel="1" x14ac:dyDescent="0.25">
      <c r="A1971" s="2145"/>
      <c r="C1971" s="49"/>
      <c r="D1971" s="2394"/>
      <c r="E1971" s="2394"/>
      <c r="F1971" s="2404" t="str">
        <f t="shared" si="246"/>
        <v>ASHP-SEER20_ER1_SF</v>
      </c>
      <c r="G1971" s="2404"/>
      <c r="H1971" s="2404"/>
      <c r="I1971" s="2404"/>
      <c r="J1971" s="1506" t="str">
        <f t="shared" si="247"/>
        <v>354550_2024_12_</v>
      </c>
      <c r="K1971" s="1537">
        <v>6</v>
      </c>
      <c r="L1971" s="244"/>
      <c r="M1971" s="1251" t="s">
        <v>1303</v>
      </c>
      <c r="P1971" s="243"/>
      <c r="Q1971" s="192"/>
      <c r="R1971" s="243"/>
      <c r="T1971" s="166"/>
      <c r="U1971" s="50"/>
      <c r="V1971" s="2394"/>
      <c r="W1971" s="245">
        <v>6</v>
      </c>
      <c r="X1971" s="245">
        <v>6</v>
      </c>
      <c r="Y1971" s="245">
        <v>6</v>
      </c>
      <c r="Z1971" s="245">
        <v>6</v>
      </c>
      <c r="AA1971" s="245">
        <v>6</v>
      </c>
      <c r="AB1971" s="245">
        <v>6</v>
      </c>
      <c r="AC1971" s="245">
        <v>6</v>
      </c>
      <c r="AD1971" s="245">
        <v>6</v>
      </c>
      <c r="AE1971" s="245">
        <v>6</v>
      </c>
      <c r="AF1971" s="253">
        <v>6</v>
      </c>
      <c r="AG1971" s="253">
        <f t="shared" si="243"/>
        <v>6</v>
      </c>
      <c r="DG1971" s="543"/>
      <c r="DH1971" s="149"/>
      <c r="DI1971" s="1020"/>
      <c r="DJ1971" s="2045"/>
    </row>
    <row r="1972" spans="1:114" ht="15" customHeight="1" outlineLevel="1" x14ac:dyDescent="0.25">
      <c r="A1972" s="2145"/>
      <c r="C1972" s="49"/>
      <c r="D1972" s="2394"/>
      <c r="E1972" s="2394"/>
      <c r="F1972" s="2404" t="str">
        <f t="shared" si="246"/>
        <v>ASHP-SEER20_ER1_SF</v>
      </c>
      <c r="G1972" s="2404"/>
      <c r="H1972" s="2404"/>
      <c r="I1972" s="2404"/>
      <c r="J1972" s="1506" t="str">
        <f t="shared" si="247"/>
        <v>354550_2024_12_</v>
      </c>
      <c r="K1972" s="1537">
        <v>6</v>
      </c>
      <c r="L1972" s="244"/>
      <c r="M1972" s="1251" t="s">
        <v>1303</v>
      </c>
      <c r="P1972" s="243"/>
      <c r="Q1972" s="192"/>
      <c r="R1972" s="243"/>
      <c r="T1972" s="166"/>
      <c r="U1972" s="50"/>
      <c r="V1972" s="2394"/>
      <c r="W1972" s="245">
        <v>6</v>
      </c>
      <c r="X1972" s="245">
        <v>6</v>
      </c>
      <c r="Y1972" s="245">
        <v>6</v>
      </c>
      <c r="Z1972" s="245">
        <v>6</v>
      </c>
      <c r="AA1972" s="245">
        <v>6</v>
      </c>
      <c r="AB1972" s="245">
        <v>6</v>
      </c>
      <c r="AC1972" s="245">
        <v>6</v>
      </c>
      <c r="AD1972" s="245">
        <v>6</v>
      </c>
      <c r="AE1972" s="245">
        <v>6</v>
      </c>
      <c r="AF1972" s="253">
        <v>6</v>
      </c>
      <c r="AG1972" s="253">
        <f t="shared" si="243"/>
        <v>6</v>
      </c>
      <c r="DG1972" s="543"/>
      <c r="DH1972" s="149"/>
      <c r="DI1972" s="1020"/>
      <c r="DJ1972" s="2045"/>
    </row>
    <row r="1973" spans="1:114" ht="15" customHeight="1" outlineLevel="1" x14ac:dyDescent="0.25">
      <c r="A1973" s="2145"/>
      <c r="C1973" s="49"/>
      <c r="D1973" s="2394"/>
      <c r="E1973" s="2394"/>
      <c r="F1973" s="2404" t="str">
        <f t="shared" si="246"/>
        <v>ASHP-SEER20_ER2_SF</v>
      </c>
      <c r="G1973" s="2404"/>
      <c r="H1973" s="2404"/>
      <c r="I1973" s="2404"/>
      <c r="J1973" s="1506" t="str">
        <f t="shared" si="247"/>
        <v>354550_2024_12_</v>
      </c>
      <c r="K1973" s="1537">
        <v>12</v>
      </c>
      <c r="L1973" s="244"/>
      <c r="M1973" s="1251" t="s">
        <v>1303</v>
      </c>
      <c r="P1973" s="243"/>
      <c r="Q1973" s="192"/>
      <c r="R1973" s="243"/>
      <c r="T1973" s="166"/>
      <c r="U1973" s="50"/>
      <c r="V1973" s="2394"/>
      <c r="W1973" s="245">
        <v>12</v>
      </c>
      <c r="X1973" s="245">
        <v>12</v>
      </c>
      <c r="Y1973" s="245">
        <v>12</v>
      </c>
      <c r="Z1973" s="245">
        <v>12</v>
      </c>
      <c r="AA1973" s="245">
        <v>12</v>
      </c>
      <c r="AB1973" s="245">
        <v>12</v>
      </c>
      <c r="AC1973" s="245">
        <v>12</v>
      </c>
      <c r="AD1973" s="245">
        <v>12</v>
      </c>
      <c r="AE1973" s="245">
        <v>12</v>
      </c>
      <c r="AF1973" s="253">
        <v>12</v>
      </c>
      <c r="AG1973" s="253">
        <f t="shared" si="243"/>
        <v>12</v>
      </c>
      <c r="DG1973" s="543"/>
      <c r="DH1973" s="149"/>
      <c r="DI1973" s="1020"/>
      <c r="DJ1973" s="2045"/>
    </row>
    <row r="1974" spans="1:114" ht="15" customHeight="1" outlineLevel="1" x14ac:dyDescent="0.25">
      <c r="A1974" s="2145"/>
      <c r="C1974" s="49"/>
      <c r="D1974" s="2394"/>
      <c r="E1974" s="2394"/>
      <c r="F1974" s="2404" t="str">
        <f t="shared" si="246"/>
        <v>ASHP-SEER20_ER2_SF</v>
      </c>
      <c r="G1974" s="2404"/>
      <c r="H1974" s="2404"/>
      <c r="I1974" s="2404"/>
      <c r="J1974" s="1506" t="str">
        <f t="shared" si="247"/>
        <v>354550_2024_12_</v>
      </c>
      <c r="K1974" s="1537">
        <v>12</v>
      </c>
      <c r="L1974" s="244"/>
      <c r="M1974" s="1251" t="s">
        <v>1303</v>
      </c>
      <c r="P1974" s="243"/>
      <c r="Q1974" s="192"/>
      <c r="R1974" s="243"/>
      <c r="T1974" s="166"/>
      <c r="U1974" s="50"/>
      <c r="V1974" s="2394"/>
      <c r="W1974" s="245">
        <v>12</v>
      </c>
      <c r="X1974" s="245">
        <v>12</v>
      </c>
      <c r="Y1974" s="245">
        <v>12</v>
      </c>
      <c r="Z1974" s="245">
        <v>12</v>
      </c>
      <c r="AA1974" s="245">
        <v>12</v>
      </c>
      <c r="AB1974" s="245">
        <v>12</v>
      </c>
      <c r="AC1974" s="245">
        <v>12</v>
      </c>
      <c r="AD1974" s="245">
        <v>12</v>
      </c>
      <c r="AE1974" s="245">
        <v>12</v>
      </c>
      <c r="AF1974" s="253">
        <v>12</v>
      </c>
      <c r="AG1974" s="253">
        <f t="shared" si="243"/>
        <v>12</v>
      </c>
      <c r="DG1974" s="543"/>
      <c r="DH1974" s="149"/>
      <c r="DI1974" s="1020"/>
      <c r="DJ1974" s="2045"/>
    </row>
    <row r="1975" spans="1:114" ht="15" customHeight="1" outlineLevel="1" x14ac:dyDescent="0.25">
      <c r="A1975" s="2145"/>
      <c r="C1975" s="49"/>
      <c r="D1975" s="2394"/>
      <c r="E1975" s="2394"/>
      <c r="F1975" s="2404" t="str">
        <f t="shared" si="246"/>
        <v>ASHP-SEER20_ROF_SF</v>
      </c>
      <c r="G1975" s="2404"/>
      <c r="H1975" s="2404"/>
      <c r="I1975" s="2404"/>
      <c r="J1975" s="1506" t="str">
        <f t="shared" si="247"/>
        <v>354600_2024_12_</v>
      </c>
      <c r="K1975" s="1537">
        <v>18</v>
      </c>
      <c r="L1975" s="244"/>
      <c r="M1975" s="1251" t="s">
        <v>1303</v>
      </c>
      <c r="P1975" s="243"/>
      <c r="Q1975" s="192"/>
      <c r="R1975" s="243"/>
      <c r="T1975" s="166"/>
      <c r="U1975" s="50"/>
      <c r="V1975" s="2394"/>
      <c r="W1975" s="245">
        <v>18</v>
      </c>
      <c r="X1975" s="245">
        <v>18</v>
      </c>
      <c r="Y1975" s="245">
        <v>18</v>
      </c>
      <c r="Z1975" s="245">
        <v>18</v>
      </c>
      <c r="AA1975" s="245">
        <v>18</v>
      </c>
      <c r="AB1975" s="245">
        <v>18</v>
      </c>
      <c r="AC1975" s="245">
        <v>18</v>
      </c>
      <c r="AD1975" s="245">
        <v>18</v>
      </c>
      <c r="AE1975" s="245">
        <v>18</v>
      </c>
      <c r="AF1975" s="253">
        <v>18</v>
      </c>
      <c r="AG1975" s="253">
        <f t="shared" si="243"/>
        <v>18</v>
      </c>
      <c r="DG1975" s="543"/>
      <c r="DH1975" s="149"/>
      <c r="DI1975" s="1020"/>
      <c r="DJ1975" s="2045"/>
    </row>
    <row r="1976" spans="1:114" ht="15" customHeight="1" outlineLevel="1" x14ac:dyDescent="0.25">
      <c r="A1976" s="2145"/>
      <c r="C1976" s="49"/>
      <c r="D1976" s="2394"/>
      <c r="E1976" s="2394"/>
      <c r="F1976" s="2404" t="str">
        <f t="shared" si="246"/>
        <v>ASHP-SEER20_ROF_SF</v>
      </c>
      <c r="G1976" s="2404"/>
      <c r="H1976" s="2404"/>
      <c r="I1976" s="2404"/>
      <c r="J1976" s="1506" t="str">
        <f t="shared" si="247"/>
        <v>354600_2024_12_</v>
      </c>
      <c r="K1976" s="1537">
        <v>18</v>
      </c>
      <c r="L1976" s="244"/>
      <c r="M1976" s="1251" t="s">
        <v>1303</v>
      </c>
      <c r="P1976" s="243"/>
      <c r="Q1976" s="192"/>
      <c r="R1976" s="243"/>
      <c r="T1976" s="166"/>
      <c r="U1976" s="50"/>
      <c r="V1976" s="2394"/>
      <c r="W1976" s="245">
        <v>18</v>
      </c>
      <c r="X1976" s="245">
        <v>18</v>
      </c>
      <c r="Y1976" s="245">
        <v>18</v>
      </c>
      <c r="Z1976" s="245">
        <v>18</v>
      </c>
      <c r="AA1976" s="245">
        <v>18</v>
      </c>
      <c r="AB1976" s="245">
        <v>18</v>
      </c>
      <c r="AC1976" s="245">
        <v>18</v>
      </c>
      <c r="AD1976" s="245">
        <v>18</v>
      </c>
      <c r="AE1976" s="245">
        <v>18</v>
      </c>
      <c r="AF1976" s="253">
        <v>18</v>
      </c>
      <c r="AG1976" s="253">
        <f t="shared" si="243"/>
        <v>18</v>
      </c>
      <c r="DG1976" s="543"/>
      <c r="DH1976" s="149"/>
      <c r="DI1976" s="1020"/>
      <c r="DJ1976" s="2045"/>
    </row>
    <row r="1977" spans="1:114" ht="14.65" customHeight="1" outlineLevel="1" x14ac:dyDescent="0.25">
      <c r="A1977" s="2145"/>
      <c r="C1977" s="49"/>
      <c r="D1977" s="2394"/>
      <c r="E1977" s="2394"/>
      <c r="F1977" s="2404" t="str">
        <f t="shared" si="246"/>
        <v>ASHP-SEER20-Replace_CAC_ElectricHeat_ER1_MF</v>
      </c>
      <c r="G1977" s="2404"/>
      <c r="H1977" s="2404"/>
      <c r="I1977" s="2404"/>
      <c r="J1977" s="1506" t="str">
        <f t="shared" si="247"/>
        <v>354650_2024_12_</v>
      </c>
      <c r="K1977" s="1537">
        <v>6</v>
      </c>
      <c r="L1977" s="244"/>
      <c r="M1977" s="1251" t="s">
        <v>1303</v>
      </c>
      <c r="P1977" s="243"/>
      <c r="Q1977" s="192"/>
      <c r="R1977" s="243"/>
      <c r="T1977" s="166"/>
      <c r="U1977" s="50"/>
      <c r="V1977" s="2394"/>
      <c r="W1977" s="245">
        <v>6</v>
      </c>
      <c r="X1977" s="245">
        <v>6</v>
      </c>
      <c r="Y1977" s="245">
        <v>6</v>
      </c>
      <c r="Z1977" s="245">
        <v>6</v>
      </c>
      <c r="AA1977" s="245">
        <v>6</v>
      </c>
      <c r="AB1977" s="245">
        <v>6</v>
      </c>
      <c r="AC1977" s="245">
        <v>6</v>
      </c>
      <c r="AD1977" s="245">
        <v>6</v>
      </c>
      <c r="AE1977" s="245">
        <v>6</v>
      </c>
      <c r="AF1977" s="253">
        <v>6</v>
      </c>
      <c r="AG1977" s="253">
        <f t="shared" si="243"/>
        <v>6</v>
      </c>
      <c r="DG1977" s="543"/>
      <c r="DH1977" s="149"/>
      <c r="DI1977" s="1020"/>
      <c r="DJ1977" s="2045"/>
    </row>
    <row r="1978" spans="1:114" ht="14.65" customHeight="1" outlineLevel="1" x14ac:dyDescent="0.25">
      <c r="A1978" s="2145"/>
      <c r="C1978" s="49"/>
      <c r="D1978" s="2394"/>
      <c r="E1978" s="2394"/>
      <c r="F1978" s="2404" t="str">
        <f t="shared" si="246"/>
        <v>ASHP-SEER20-Replace_CAC_ElectricHeat_ER1_MF</v>
      </c>
      <c r="G1978" s="2404"/>
      <c r="H1978" s="2404"/>
      <c r="I1978" s="2404"/>
      <c r="J1978" s="1506" t="str">
        <f t="shared" si="247"/>
        <v>354650_2024_12_</v>
      </c>
      <c r="K1978" s="1537">
        <v>6</v>
      </c>
      <c r="L1978" s="244"/>
      <c r="M1978" s="1251" t="s">
        <v>1303</v>
      </c>
      <c r="P1978" s="243"/>
      <c r="Q1978" s="192"/>
      <c r="R1978" s="243"/>
      <c r="T1978" s="166"/>
      <c r="U1978" s="50"/>
      <c r="V1978" s="2394"/>
      <c r="W1978" s="245">
        <v>6</v>
      </c>
      <c r="X1978" s="245">
        <v>6</v>
      </c>
      <c r="Y1978" s="245">
        <v>6</v>
      </c>
      <c r="Z1978" s="245">
        <v>6</v>
      </c>
      <c r="AA1978" s="245">
        <v>6</v>
      </c>
      <c r="AB1978" s="245">
        <v>6</v>
      </c>
      <c r="AC1978" s="245">
        <v>6</v>
      </c>
      <c r="AD1978" s="245">
        <v>6</v>
      </c>
      <c r="AE1978" s="245">
        <v>6</v>
      </c>
      <c r="AF1978" s="253">
        <v>6</v>
      </c>
      <c r="AG1978" s="253">
        <f t="shared" si="243"/>
        <v>6</v>
      </c>
      <c r="DG1978" s="543"/>
      <c r="DH1978" s="149"/>
      <c r="DI1978" s="1020"/>
      <c r="DJ1978" s="2045"/>
    </row>
    <row r="1979" spans="1:114" ht="14.65" customHeight="1" outlineLevel="1" x14ac:dyDescent="0.25">
      <c r="A1979" s="2145"/>
      <c r="C1979" s="49"/>
      <c r="D1979" s="2394"/>
      <c r="E1979" s="2394"/>
      <c r="F1979" s="2404" t="str">
        <f t="shared" si="246"/>
        <v>ASHP-SEER20-Replace_CAC_ElectricHeat_ER2_MF</v>
      </c>
      <c r="G1979" s="2404"/>
      <c r="H1979" s="2404"/>
      <c r="I1979" s="2404"/>
      <c r="J1979" s="1506" t="str">
        <f t="shared" si="247"/>
        <v>354650_2024_12_</v>
      </c>
      <c r="K1979" s="1537">
        <v>12</v>
      </c>
      <c r="L1979" s="244"/>
      <c r="M1979" s="1251" t="s">
        <v>1303</v>
      </c>
      <c r="P1979" s="243"/>
      <c r="Q1979" s="192"/>
      <c r="R1979" s="243"/>
      <c r="T1979" s="166"/>
      <c r="U1979" s="50"/>
      <c r="V1979" s="2394"/>
      <c r="W1979" s="245">
        <v>12</v>
      </c>
      <c r="X1979" s="245">
        <v>12</v>
      </c>
      <c r="Y1979" s="245">
        <v>12</v>
      </c>
      <c r="Z1979" s="245">
        <v>12</v>
      </c>
      <c r="AA1979" s="245">
        <v>12</v>
      </c>
      <c r="AB1979" s="245">
        <v>12</v>
      </c>
      <c r="AC1979" s="245">
        <v>12</v>
      </c>
      <c r="AD1979" s="245">
        <v>12</v>
      </c>
      <c r="AE1979" s="245">
        <v>12</v>
      </c>
      <c r="AF1979" s="253">
        <v>12</v>
      </c>
      <c r="AG1979" s="253">
        <f t="shared" si="243"/>
        <v>12</v>
      </c>
      <c r="DG1979" s="543"/>
      <c r="DH1979" s="149"/>
      <c r="DI1979" s="1020"/>
      <c r="DJ1979" s="2045"/>
    </row>
    <row r="1980" spans="1:114" ht="14.65" customHeight="1" outlineLevel="1" x14ac:dyDescent="0.25">
      <c r="A1980" s="2145"/>
      <c r="C1980" s="49"/>
      <c r="D1980" s="2394"/>
      <c r="E1980" s="2394"/>
      <c r="F1980" s="2404" t="str">
        <f t="shared" si="246"/>
        <v>ASHP-SEER20-Replace_CAC_ElectricHeat_ER2_MF</v>
      </c>
      <c r="G1980" s="2404"/>
      <c r="H1980" s="2404"/>
      <c r="I1980" s="2404"/>
      <c r="J1980" s="1506" t="str">
        <f t="shared" si="247"/>
        <v>354650_2024_12_</v>
      </c>
      <c r="K1980" s="1537">
        <v>12</v>
      </c>
      <c r="L1980" s="244"/>
      <c r="M1980" s="1251" t="s">
        <v>1303</v>
      </c>
      <c r="P1980" s="243"/>
      <c r="Q1980" s="192"/>
      <c r="R1980" s="243"/>
      <c r="T1980" s="166"/>
      <c r="U1980" s="50"/>
      <c r="V1980" s="2394"/>
      <c r="W1980" s="245">
        <v>12</v>
      </c>
      <c r="X1980" s="245">
        <v>12</v>
      </c>
      <c r="Y1980" s="245">
        <v>12</v>
      </c>
      <c r="Z1980" s="245">
        <v>12</v>
      </c>
      <c r="AA1980" s="245">
        <v>12</v>
      </c>
      <c r="AB1980" s="245">
        <v>12</v>
      </c>
      <c r="AC1980" s="245">
        <v>12</v>
      </c>
      <c r="AD1980" s="245">
        <v>12</v>
      </c>
      <c r="AE1980" s="245">
        <v>12</v>
      </c>
      <c r="AF1980" s="253">
        <v>12</v>
      </c>
      <c r="AG1980" s="253">
        <f t="shared" si="243"/>
        <v>12</v>
      </c>
      <c r="DG1980" s="543"/>
      <c r="DH1980" s="149"/>
      <c r="DI1980" s="1020"/>
      <c r="DJ1980" s="2045"/>
    </row>
    <row r="1981" spans="1:114" ht="14.65" customHeight="1" outlineLevel="1" x14ac:dyDescent="0.25">
      <c r="A1981" s="2145"/>
      <c r="C1981" s="49"/>
      <c r="D1981" s="2394"/>
      <c r="E1981" s="2394"/>
      <c r="F1981" s="2404" t="str">
        <f t="shared" si="246"/>
        <v>ASHP-SEER20_ER1_MF</v>
      </c>
      <c r="G1981" s="2404"/>
      <c r="H1981" s="2404"/>
      <c r="I1981" s="2404"/>
      <c r="J1981" s="1506" t="str">
        <f t="shared" si="247"/>
        <v>354700_2024_12_</v>
      </c>
      <c r="K1981" s="1537">
        <v>6</v>
      </c>
      <c r="L1981" s="244"/>
      <c r="M1981" s="1251" t="s">
        <v>1303</v>
      </c>
      <c r="P1981" s="243"/>
      <c r="Q1981" s="192"/>
      <c r="R1981" s="243"/>
      <c r="T1981" s="166"/>
      <c r="U1981" s="50"/>
      <c r="V1981" s="2394"/>
      <c r="W1981" s="245">
        <v>6</v>
      </c>
      <c r="X1981" s="245">
        <v>6</v>
      </c>
      <c r="Y1981" s="245">
        <v>6</v>
      </c>
      <c r="Z1981" s="245">
        <v>6</v>
      </c>
      <c r="AA1981" s="245">
        <v>6</v>
      </c>
      <c r="AB1981" s="245">
        <v>6</v>
      </c>
      <c r="AC1981" s="245">
        <v>6</v>
      </c>
      <c r="AD1981" s="245">
        <v>6</v>
      </c>
      <c r="AE1981" s="245">
        <v>6</v>
      </c>
      <c r="AF1981" s="253">
        <v>6</v>
      </c>
      <c r="AG1981" s="253">
        <f t="shared" si="243"/>
        <v>6</v>
      </c>
      <c r="DG1981" s="543"/>
      <c r="DH1981" s="149"/>
      <c r="DI1981" s="1020"/>
      <c r="DJ1981" s="2045"/>
    </row>
    <row r="1982" spans="1:114" ht="14.65" customHeight="1" outlineLevel="1" x14ac:dyDescent="0.25">
      <c r="A1982" s="2145"/>
      <c r="C1982" s="49"/>
      <c r="D1982" s="2394"/>
      <c r="E1982" s="2394"/>
      <c r="F1982" s="2404" t="str">
        <f t="shared" si="246"/>
        <v>ASHP-SEER20_ER1_MF</v>
      </c>
      <c r="G1982" s="2404"/>
      <c r="H1982" s="2404"/>
      <c r="I1982" s="2404"/>
      <c r="J1982" s="1506" t="str">
        <f t="shared" si="247"/>
        <v>354700_2024_12_</v>
      </c>
      <c r="K1982" s="1537">
        <v>6</v>
      </c>
      <c r="L1982" s="244"/>
      <c r="M1982" s="1251" t="s">
        <v>1303</v>
      </c>
      <c r="P1982" s="243"/>
      <c r="Q1982" s="192"/>
      <c r="R1982" s="243"/>
      <c r="T1982" s="166"/>
      <c r="U1982" s="50"/>
      <c r="V1982" s="2394"/>
      <c r="W1982" s="245">
        <v>6</v>
      </c>
      <c r="X1982" s="245">
        <v>6</v>
      </c>
      <c r="Y1982" s="245">
        <v>6</v>
      </c>
      <c r="Z1982" s="245">
        <v>6</v>
      </c>
      <c r="AA1982" s="245">
        <v>6</v>
      </c>
      <c r="AB1982" s="245">
        <v>6</v>
      </c>
      <c r="AC1982" s="245">
        <v>6</v>
      </c>
      <c r="AD1982" s="245">
        <v>6</v>
      </c>
      <c r="AE1982" s="245">
        <v>6</v>
      </c>
      <c r="AF1982" s="253">
        <v>6</v>
      </c>
      <c r="AG1982" s="253">
        <f t="shared" si="243"/>
        <v>6</v>
      </c>
      <c r="DG1982" s="543"/>
      <c r="DH1982" s="149"/>
      <c r="DI1982" s="1020"/>
      <c r="DJ1982" s="2045"/>
    </row>
    <row r="1983" spans="1:114" ht="14.65" customHeight="1" outlineLevel="1" x14ac:dyDescent="0.25">
      <c r="A1983" s="2145"/>
      <c r="C1983" s="49"/>
      <c r="D1983" s="2394"/>
      <c r="E1983" s="2394"/>
      <c r="F1983" s="2404" t="str">
        <f t="shared" si="246"/>
        <v>ASHP-SEER20_ER2_MF</v>
      </c>
      <c r="G1983" s="2404"/>
      <c r="H1983" s="2404"/>
      <c r="I1983" s="2404"/>
      <c r="J1983" s="1506" t="str">
        <f t="shared" si="247"/>
        <v>354700_2024_12_</v>
      </c>
      <c r="K1983" s="1537">
        <v>12</v>
      </c>
      <c r="L1983" s="244"/>
      <c r="M1983" s="1251" t="s">
        <v>1303</v>
      </c>
      <c r="P1983" s="243"/>
      <c r="Q1983" s="192"/>
      <c r="R1983" s="243"/>
      <c r="T1983" s="166"/>
      <c r="U1983" s="50"/>
      <c r="V1983" s="2394"/>
      <c r="W1983" s="245">
        <v>12</v>
      </c>
      <c r="X1983" s="245">
        <v>12</v>
      </c>
      <c r="Y1983" s="245">
        <v>12</v>
      </c>
      <c r="Z1983" s="245">
        <v>12</v>
      </c>
      <c r="AA1983" s="245">
        <v>12</v>
      </c>
      <c r="AB1983" s="245">
        <v>12</v>
      </c>
      <c r="AC1983" s="245">
        <v>12</v>
      </c>
      <c r="AD1983" s="245">
        <v>12</v>
      </c>
      <c r="AE1983" s="245">
        <v>12</v>
      </c>
      <c r="AF1983" s="253">
        <v>12</v>
      </c>
      <c r="AG1983" s="253">
        <f t="shared" si="243"/>
        <v>12</v>
      </c>
      <c r="DG1983" s="543"/>
      <c r="DH1983" s="149"/>
      <c r="DI1983" s="1020"/>
      <c r="DJ1983" s="2045"/>
    </row>
    <row r="1984" spans="1:114" ht="14.65" customHeight="1" outlineLevel="1" x14ac:dyDescent="0.25">
      <c r="A1984" s="2145"/>
      <c r="C1984" s="49"/>
      <c r="D1984" s="2394"/>
      <c r="E1984" s="2394"/>
      <c r="F1984" s="2404" t="str">
        <f t="shared" si="246"/>
        <v>ASHP-SEER20_ER2_MF</v>
      </c>
      <c r="G1984" s="2404"/>
      <c r="H1984" s="2404"/>
      <c r="I1984" s="2404"/>
      <c r="J1984" s="1506" t="str">
        <f t="shared" si="247"/>
        <v>354700_2024_12_</v>
      </c>
      <c r="K1984" s="1537">
        <v>12</v>
      </c>
      <c r="L1984" s="244"/>
      <c r="M1984" s="1251" t="s">
        <v>1303</v>
      </c>
      <c r="P1984" s="243"/>
      <c r="Q1984" s="192"/>
      <c r="R1984" s="243"/>
      <c r="T1984" s="166"/>
      <c r="U1984" s="50"/>
      <c r="V1984" s="2394"/>
      <c r="W1984" s="245">
        <v>12</v>
      </c>
      <c r="X1984" s="245">
        <v>12</v>
      </c>
      <c r="Y1984" s="245">
        <v>12</v>
      </c>
      <c r="Z1984" s="245">
        <v>12</v>
      </c>
      <c r="AA1984" s="245">
        <v>12</v>
      </c>
      <c r="AB1984" s="245">
        <v>12</v>
      </c>
      <c r="AC1984" s="245">
        <v>12</v>
      </c>
      <c r="AD1984" s="245">
        <v>12</v>
      </c>
      <c r="AE1984" s="245">
        <v>12</v>
      </c>
      <c r="AF1984" s="253">
        <v>12</v>
      </c>
      <c r="AG1984" s="253">
        <f t="shared" si="243"/>
        <v>12</v>
      </c>
      <c r="DG1984" s="543"/>
      <c r="DH1984" s="149"/>
      <c r="DI1984" s="1020"/>
      <c r="DJ1984" s="2045"/>
    </row>
    <row r="1985" spans="1:114" ht="14.65" customHeight="1" outlineLevel="1" x14ac:dyDescent="0.25">
      <c r="A1985" s="2145"/>
      <c r="C1985" s="49"/>
      <c r="D1985" s="2394"/>
      <c r="E1985" s="2394"/>
      <c r="F1985" s="2404" t="str">
        <f t="shared" si="246"/>
        <v>ASHP-SEER21_ER1_SF</v>
      </c>
      <c r="G1985" s="2404"/>
      <c r="H1985" s="2404"/>
      <c r="I1985" s="2404"/>
      <c r="J1985" s="1506" t="str">
        <f t="shared" si="247"/>
        <v>354750_2024_12_</v>
      </c>
      <c r="K1985" s="1537">
        <v>6</v>
      </c>
      <c r="L1985" s="244"/>
      <c r="M1985" s="1251" t="s">
        <v>1303</v>
      </c>
      <c r="P1985" s="243"/>
      <c r="Q1985" s="192"/>
      <c r="R1985" s="243"/>
      <c r="T1985" s="166"/>
      <c r="U1985" s="50"/>
      <c r="V1985" s="2394"/>
      <c r="W1985" s="245">
        <v>6</v>
      </c>
      <c r="X1985" s="245">
        <v>6</v>
      </c>
      <c r="Y1985" s="245">
        <v>6</v>
      </c>
      <c r="Z1985" s="245">
        <v>6</v>
      </c>
      <c r="AA1985" s="245">
        <v>6</v>
      </c>
      <c r="AB1985" s="245">
        <v>6</v>
      </c>
      <c r="AC1985" s="245">
        <v>6</v>
      </c>
      <c r="AD1985" s="245">
        <v>6</v>
      </c>
      <c r="AE1985" s="245">
        <v>6</v>
      </c>
      <c r="AF1985" s="253">
        <v>6</v>
      </c>
      <c r="AG1985" s="253">
        <f t="shared" si="243"/>
        <v>6</v>
      </c>
      <c r="DG1985" s="543"/>
      <c r="DH1985" s="149"/>
      <c r="DI1985" s="1020"/>
      <c r="DJ1985" s="2045"/>
    </row>
    <row r="1986" spans="1:114" ht="14.65" customHeight="1" outlineLevel="1" x14ac:dyDescent="0.25">
      <c r="A1986" s="2145"/>
      <c r="C1986" s="49"/>
      <c r="D1986" s="2394"/>
      <c r="E1986" s="2394"/>
      <c r="F1986" s="2404" t="str">
        <f t="shared" si="246"/>
        <v>ASHP-SEER21_ER1_SF</v>
      </c>
      <c r="G1986" s="2404"/>
      <c r="H1986" s="2404"/>
      <c r="I1986" s="2404"/>
      <c r="J1986" s="1506" t="str">
        <f t="shared" si="247"/>
        <v>354750_2024_12_</v>
      </c>
      <c r="K1986" s="1537">
        <v>6</v>
      </c>
      <c r="L1986" s="244"/>
      <c r="M1986" s="1251" t="s">
        <v>1303</v>
      </c>
      <c r="P1986" s="243"/>
      <c r="Q1986" s="192"/>
      <c r="R1986" s="243"/>
      <c r="T1986" s="166"/>
      <c r="U1986" s="50"/>
      <c r="V1986" s="2394"/>
      <c r="W1986" s="245">
        <v>6</v>
      </c>
      <c r="X1986" s="245">
        <v>6</v>
      </c>
      <c r="Y1986" s="245">
        <v>6</v>
      </c>
      <c r="Z1986" s="245">
        <v>6</v>
      </c>
      <c r="AA1986" s="245">
        <v>6</v>
      </c>
      <c r="AB1986" s="245">
        <v>6</v>
      </c>
      <c r="AC1986" s="245">
        <v>6</v>
      </c>
      <c r="AD1986" s="245">
        <v>6</v>
      </c>
      <c r="AE1986" s="245">
        <v>6</v>
      </c>
      <c r="AF1986" s="253">
        <v>6</v>
      </c>
      <c r="AG1986" s="253">
        <f t="shared" si="243"/>
        <v>6</v>
      </c>
      <c r="DG1986" s="543"/>
      <c r="DH1986" s="149"/>
      <c r="DI1986" s="1020"/>
      <c r="DJ1986" s="2045"/>
    </row>
    <row r="1987" spans="1:114" ht="14.65" customHeight="1" outlineLevel="1" x14ac:dyDescent="0.25">
      <c r="A1987" s="2145"/>
      <c r="C1987" s="49"/>
      <c r="D1987" s="2394"/>
      <c r="E1987" s="2394"/>
      <c r="F1987" s="2404" t="str">
        <f t="shared" si="246"/>
        <v>ASHP-SEER21_ER2_SF</v>
      </c>
      <c r="G1987" s="2404"/>
      <c r="H1987" s="2404"/>
      <c r="I1987" s="2404"/>
      <c r="J1987" s="1506" t="str">
        <f t="shared" si="247"/>
        <v>354750_2024_12_</v>
      </c>
      <c r="K1987" s="1537">
        <v>12</v>
      </c>
      <c r="L1987" s="244"/>
      <c r="M1987" s="1251" t="s">
        <v>1303</v>
      </c>
      <c r="P1987" s="243"/>
      <c r="Q1987" s="192"/>
      <c r="R1987" s="243"/>
      <c r="T1987" s="166"/>
      <c r="U1987" s="50"/>
      <c r="V1987" s="2394"/>
      <c r="W1987" s="245">
        <v>12</v>
      </c>
      <c r="X1987" s="245">
        <v>12</v>
      </c>
      <c r="Y1987" s="245">
        <v>12</v>
      </c>
      <c r="Z1987" s="245">
        <v>12</v>
      </c>
      <c r="AA1987" s="245">
        <v>12</v>
      </c>
      <c r="AB1987" s="245">
        <v>12</v>
      </c>
      <c r="AC1987" s="245">
        <v>12</v>
      </c>
      <c r="AD1987" s="245">
        <v>12</v>
      </c>
      <c r="AE1987" s="245">
        <v>12</v>
      </c>
      <c r="AF1987" s="253">
        <v>12</v>
      </c>
      <c r="AG1987" s="253">
        <f t="shared" si="243"/>
        <v>12</v>
      </c>
      <c r="DG1987" s="543"/>
      <c r="DH1987" s="149"/>
      <c r="DI1987" s="1020"/>
      <c r="DJ1987" s="2045"/>
    </row>
    <row r="1988" spans="1:114" ht="14.65" customHeight="1" outlineLevel="1" x14ac:dyDescent="0.25">
      <c r="A1988" s="2145"/>
      <c r="C1988" s="49"/>
      <c r="D1988" s="2394"/>
      <c r="E1988" s="2394"/>
      <c r="F1988" s="2404" t="str">
        <f t="shared" si="246"/>
        <v>ASHP-SEER21_ER2_SF</v>
      </c>
      <c r="G1988" s="2404"/>
      <c r="H1988" s="2404"/>
      <c r="I1988" s="2404"/>
      <c r="J1988" s="1506" t="str">
        <f t="shared" si="247"/>
        <v>354750_2024_12_</v>
      </c>
      <c r="K1988" s="1537">
        <v>12</v>
      </c>
      <c r="L1988" s="244"/>
      <c r="M1988" s="1251" t="s">
        <v>1303</v>
      </c>
      <c r="P1988" s="243"/>
      <c r="Q1988" s="192"/>
      <c r="R1988" s="243"/>
      <c r="T1988" s="166"/>
      <c r="U1988" s="50"/>
      <c r="V1988" s="2394"/>
      <c r="W1988" s="245">
        <v>12</v>
      </c>
      <c r="X1988" s="245">
        <v>12</v>
      </c>
      <c r="Y1988" s="245">
        <v>12</v>
      </c>
      <c r="Z1988" s="245">
        <v>12</v>
      </c>
      <c r="AA1988" s="245">
        <v>12</v>
      </c>
      <c r="AB1988" s="245">
        <v>12</v>
      </c>
      <c r="AC1988" s="245">
        <v>12</v>
      </c>
      <c r="AD1988" s="245">
        <v>12</v>
      </c>
      <c r="AE1988" s="245">
        <v>12</v>
      </c>
      <c r="AF1988" s="253">
        <v>12</v>
      </c>
      <c r="AG1988" s="253">
        <f t="shared" ref="AG1988:AG2028" si="248">IF(K1988&lt;&gt;"",K1988,"")</f>
        <v>12</v>
      </c>
      <c r="DG1988" s="543"/>
      <c r="DH1988" s="149"/>
      <c r="DI1988" s="1020"/>
      <c r="DJ1988" s="2045"/>
    </row>
    <row r="1989" spans="1:114" ht="14.65" customHeight="1" outlineLevel="1" x14ac:dyDescent="0.25">
      <c r="A1989" s="2145"/>
      <c r="C1989" s="49"/>
      <c r="D1989" s="2394"/>
      <c r="E1989" s="2394"/>
      <c r="F1989" s="2404" t="str">
        <f t="shared" si="246"/>
        <v>ASHP-SEER21_ROF_SF</v>
      </c>
      <c r="G1989" s="2404"/>
      <c r="H1989" s="2404"/>
      <c r="I1989" s="2404"/>
      <c r="J1989" s="1506" t="str">
        <f t="shared" si="247"/>
        <v>354800_2024_12_</v>
      </c>
      <c r="K1989" s="1537">
        <v>18</v>
      </c>
      <c r="L1989" s="244"/>
      <c r="M1989" s="1251" t="s">
        <v>1303</v>
      </c>
      <c r="P1989" s="243"/>
      <c r="Q1989" s="192"/>
      <c r="R1989" s="243"/>
      <c r="T1989" s="166"/>
      <c r="U1989" s="50"/>
      <c r="V1989" s="2394"/>
      <c r="W1989" s="245">
        <v>18</v>
      </c>
      <c r="X1989" s="245">
        <v>18</v>
      </c>
      <c r="Y1989" s="245">
        <v>18</v>
      </c>
      <c r="Z1989" s="245">
        <v>18</v>
      </c>
      <c r="AA1989" s="245">
        <v>18</v>
      </c>
      <c r="AB1989" s="245">
        <v>18</v>
      </c>
      <c r="AC1989" s="245">
        <v>18</v>
      </c>
      <c r="AD1989" s="245">
        <v>18</v>
      </c>
      <c r="AE1989" s="245">
        <v>18</v>
      </c>
      <c r="AF1989" s="253">
        <v>18</v>
      </c>
      <c r="AG1989" s="253">
        <f t="shared" si="248"/>
        <v>18</v>
      </c>
      <c r="DG1989" s="543"/>
      <c r="DH1989" s="149"/>
      <c r="DI1989" s="1020"/>
      <c r="DJ1989" s="2045"/>
    </row>
    <row r="1990" spans="1:114" ht="14.65" customHeight="1" outlineLevel="1" x14ac:dyDescent="0.25">
      <c r="A1990" s="2145"/>
      <c r="C1990" s="49"/>
      <c r="D1990" s="2394"/>
      <c r="E1990" s="2394"/>
      <c r="F1990" s="2404" t="str">
        <f t="shared" si="246"/>
        <v>ASHP-SEER21_ROF_SF</v>
      </c>
      <c r="G1990" s="2404"/>
      <c r="H1990" s="2404"/>
      <c r="I1990" s="2404"/>
      <c r="J1990" s="1506" t="str">
        <f t="shared" si="247"/>
        <v>354800_2024_12_</v>
      </c>
      <c r="K1990" s="1537">
        <v>18</v>
      </c>
      <c r="L1990" s="244"/>
      <c r="M1990" s="1251" t="s">
        <v>1303</v>
      </c>
      <c r="P1990" s="243"/>
      <c r="Q1990" s="192"/>
      <c r="R1990" s="243"/>
      <c r="T1990" s="166"/>
      <c r="U1990" s="50"/>
      <c r="V1990" s="2394"/>
      <c r="W1990" s="245">
        <v>18</v>
      </c>
      <c r="X1990" s="245">
        <v>18</v>
      </c>
      <c r="Y1990" s="245">
        <v>18</v>
      </c>
      <c r="Z1990" s="245">
        <v>18</v>
      </c>
      <c r="AA1990" s="245">
        <v>18</v>
      </c>
      <c r="AB1990" s="245">
        <v>18</v>
      </c>
      <c r="AC1990" s="245">
        <v>18</v>
      </c>
      <c r="AD1990" s="245">
        <v>18</v>
      </c>
      <c r="AE1990" s="245">
        <v>18</v>
      </c>
      <c r="AF1990" s="253">
        <v>18</v>
      </c>
      <c r="AG1990" s="253">
        <f t="shared" si="248"/>
        <v>18</v>
      </c>
      <c r="DG1990" s="543"/>
      <c r="DH1990" s="149"/>
      <c r="DI1990" s="1020"/>
      <c r="DJ1990" s="2045"/>
    </row>
    <row r="1991" spans="1:114" ht="14.65" customHeight="1" outlineLevel="1" x14ac:dyDescent="0.25">
      <c r="A1991" s="2145"/>
      <c r="C1991" s="49"/>
      <c r="D1991" s="2394"/>
      <c r="E1991" s="2394"/>
      <c r="F1991" s="2404" t="str">
        <f t="shared" si="246"/>
        <v>ASHP-SEER21-Replace_CAC_ElectricHeat_ROF_MF</v>
      </c>
      <c r="G1991" s="2404"/>
      <c r="H1991" s="2404"/>
      <c r="I1991" s="2404"/>
      <c r="J1991" s="1506" t="str">
        <f t="shared" si="247"/>
        <v>354850_2024_12_</v>
      </c>
      <c r="K1991" s="1537">
        <v>18</v>
      </c>
      <c r="L1991" s="244"/>
      <c r="M1991" s="1251" t="s">
        <v>1303</v>
      </c>
      <c r="P1991" s="243"/>
      <c r="Q1991" s="192"/>
      <c r="R1991" s="243"/>
      <c r="T1991" s="166"/>
      <c r="U1991" s="50"/>
      <c r="V1991" s="2394"/>
      <c r="W1991" s="245">
        <v>18</v>
      </c>
      <c r="X1991" s="245">
        <v>18</v>
      </c>
      <c r="Y1991" s="245">
        <v>18</v>
      </c>
      <c r="Z1991" s="245">
        <v>18</v>
      </c>
      <c r="AA1991" s="245">
        <v>18</v>
      </c>
      <c r="AB1991" s="245">
        <v>18</v>
      </c>
      <c r="AC1991" s="245">
        <v>18</v>
      </c>
      <c r="AD1991" s="245">
        <v>18</v>
      </c>
      <c r="AE1991" s="245">
        <v>18</v>
      </c>
      <c r="AF1991" s="253">
        <v>18</v>
      </c>
      <c r="AG1991" s="253">
        <f t="shared" si="248"/>
        <v>18</v>
      </c>
      <c r="DG1991" s="543"/>
      <c r="DH1991" s="149"/>
      <c r="DI1991" s="1020"/>
      <c r="DJ1991" s="2045"/>
    </row>
    <row r="1992" spans="1:114" ht="14.65" customHeight="1" outlineLevel="1" x14ac:dyDescent="0.25">
      <c r="A1992" s="2145"/>
      <c r="C1992" s="49"/>
      <c r="D1992" s="2394"/>
      <c r="E1992" s="2394"/>
      <c r="F1992" s="2404" t="str">
        <f t="shared" si="246"/>
        <v>ASHP-SEER21-Replace_CAC_ElectricHeat_ROF_MF</v>
      </c>
      <c r="G1992" s="2404"/>
      <c r="H1992" s="2404"/>
      <c r="I1992" s="2404"/>
      <c r="J1992" s="1506" t="str">
        <f t="shared" si="247"/>
        <v>354850_2024_12_</v>
      </c>
      <c r="K1992" s="1537">
        <v>18</v>
      </c>
      <c r="L1992" s="244"/>
      <c r="M1992" s="1251" t="s">
        <v>1303</v>
      </c>
      <c r="P1992" s="243"/>
      <c r="Q1992" s="192"/>
      <c r="R1992" s="243"/>
      <c r="T1992" s="166"/>
      <c r="U1992" s="50"/>
      <c r="V1992" s="2394"/>
      <c r="W1992" s="245">
        <v>18</v>
      </c>
      <c r="X1992" s="245">
        <v>18</v>
      </c>
      <c r="Y1992" s="245">
        <v>18</v>
      </c>
      <c r="Z1992" s="245">
        <v>18</v>
      </c>
      <c r="AA1992" s="245">
        <v>18</v>
      </c>
      <c r="AB1992" s="245">
        <v>18</v>
      </c>
      <c r="AC1992" s="245">
        <v>18</v>
      </c>
      <c r="AD1992" s="245">
        <v>18</v>
      </c>
      <c r="AE1992" s="245">
        <v>18</v>
      </c>
      <c r="AF1992" s="253">
        <v>18</v>
      </c>
      <c r="AG1992" s="253">
        <f t="shared" si="248"/>
        <v>18</v>
      </c>
      <c r="DG1992" s="543"/>
      <c r="DH1992" s="149"/>
      <c r="DI1992" s="1020"/>
      <c r="DJ1992" s="2045"/>
    </row>
    <row r="1993" spans="1:114" ht="14.65" customHeight="1" outlineLevel="1" x14ac:dyDescent="0.25">
      <c r="A1993" s="2145"/>
      <c r="C1993" s="49"/>
      <c r="D1993" s="2394"/>
      <c r="E1993" s="2394"/>
      <c r="F1993" s="2404" t="str">
        <f t="shared" si="246"/>
        <v>ASHP-SEER21_ER1_MF</v>
      </c>
      <c r="G1993" s="2404"/>
      <c r="H1993" s="2404"/>
      <c r="I1993" s="2404"/>
      <c r="J1993" s="1506" t="str">
        <f t="shared" si="247"/>
        <v>354900_2024_12_</v>
      </c>
      <c r="K1993" s="1537">
        <v>6</v>
      </c>
      <c r="L1993" s="244"/>
      <c r="M1993" s="1251" t="s">
        <v>1303</v>
      </c>
      <c r="P1993" s="243"/>
      <c r="Q1993" s="192"/>
      <c r="R1993" s="243"/>
      <c r="T1993" s="166"/>
      <c r="U1993" s="50"/>
      <c r="V1993" s="2394"/>
      <c r="W1993" s="245">
        <v>6</v>
      </c>
      <c r="X1993" s="245">
        <v>6</v>
      </c>
      <c r="Y1993" s="245">
        <v>6</v>
      </c>
      <c r="Z1993" s="245">
        <v>6</v>
      </c>
      <c r="AA1993" s="245">
        <v>6</v>
      </c>
      <c r="AB1993" s="245">
        <v>6</v>
      </c>
      <c r="AC1993" s="245">
        <v>6</v>
      </c>
      <c r="AD1993" s="245">
        <v>6</v>
      </c>
      <c r="AE1993" s="245">
        <v>6</v>
      </c>
      <c r="AF1993" s="253">
        <v>6</v>
      </c>
      <c r="AG1993" s="253">
        <f t="shared" si="248"/>
        <v>6</v>
      </c>
      <c r="DG1993" s="543"/>
      <c r="DH1993" s="149"/>
      <c r="DI1993" s="1020"/>
      <c r="DJ1993" s="2045"/>
    </row>
    <row r="1994" spans="1:114" ht="14.65" customHeight="1" outlineLevel="1" x14ac:dyDescent="0.25">
      <c r="A1994" s="2145"/>
      <c r="C1994" s="49"/>
      <c r="D1994" s="2394"/>
      <c r="E1994" s="2394"/>
      <c r="F1994" s="2404" t="str">
        <f t="shared" si="246"/>
        <v>ASHP-SEER21_ER1_MF</v>
      </c>
      <c r="G1994" s="2404"/>
      <c r="H1994" s="2404"/>
      <c r="I1994" s="2404"/>
      <c r="J1994" s="1506" t="str">
        <f t="shared" si="247"/>
        <v>354900_2024_12_</v>
      </c>
      <c r="K1994" s="1537">
        <v>6</v>
      </c>
      <c r="L1994" s="244"/>
      <c r="M1994" s="1251" t="s">
        <v>1303</v>
      </c>
      <c r="P1994" s="243"/>
      <c r="Q1994" s="192"/>
      <c r="R1994" s="243"/>
      <c r="T1994" s="166"/>
      <c r="U1994" s="50"/>
      <c r="V1994" s="2394"/>
      <c r="W1994" s="245">
        <v>6</v>
      </c>
      <c r="X1994" s="245">
        <v>6</v>
      </c>
      <c r="Y1994" s="245">
        <v>6</v>
      </c>
      <c r="Z1994" s="245">
        <v>6</v>
      </c>
      <c r="AA1994" s="245">
        <v>6</v>
      </c>
      <c r="AB1994" s="245">
        <v>6</v>
      </c>
      <c r="AC1994" s="245">
        <v>6</v>
      </c>
      <c r="AD1994" s="245">
        <v>6</v>
      </c>
      <c r="AE1994" s="245">
        <v>6</v>
      </c>
      <c r="AF1994" s="253">
        <v>6</v>
      </c>
      <c r="AG1994" s="253">
        <f t="shared" si="248"/>
        <v>6</v>
      </c>
      <c r="DG1994" s="543"/>
      <c r="DH1994" s="149"/>
      <c r="DI1994" s="1020"/>
      <c r="DJ1994" s="2045"/>
    </row>
    <row r="1995" spans="1:114" ht="14.65" customHeight="1" outlineLevel="1" x14ac:dyDescent="0.25">
      <c r="A1995" s="2145"/>
      <c r="C1995" s="49"/>
      <c r="D1995" s="2394"/>
      <c r="E1995" s="2394"/>
      <c r="F1995" s="2404" t="str">
        <f t="shared" ref="F1995:F2006" si="249">E841</f>
        <v>ASHP-SEER21_ER2_MF</v>
      </c>
      <c r="G1995" s="2404"/>
      <c r="H1995" s="2404"/>
      <c r="I1995" s="2404"/>
      <c r="J1995" s="1506" t="str">
        <f t="shared" ref="J1995:J2006" si="250">C841</f>
        <v>354900_2024_12_</v>
      </c>
      <c r="K1995" s="1537">
        <v>12</v>
      </c>
      <c r="L1995" s="244"/>
      <c r="M1995" s="1251" t="s">
        <v>1303</v>
      </c>
      <c r="P1995" s="243"/>
      <c r="Q1995" s="192"/>
      <c r="R1995" s="243"/>
      <c r="T1995" s="166"/>
      <c r="U1995" s="50"/>
      <c r="V1995" s="2394"/>
      <c r="W1995" s="245">
        <v>12</v>
      </c>
      <c r="X1995" s="245">
        <v>12</v>
      </c>
      <c r="Y1995" s="245">
        <v>12</v>
      </c>
      <c r="Z1995" s="245">
        <v>12</v>
      </c>
      <c r="AA1995" s="245">
        <v>12</v>
      </c>
      <c r="AB1995" s="245">
        <v>12</v>
      </c>
      <c r="AC1995" s="245">
        <v>12</v>
      </c>
      <c r="AD1995" s="245">
        <v>12</v>
      </c>
      <c r="AE1995" s="245">
        <v>12</v>
      </c>
      <c r="AF1995" s="253">
        <v>12</v>
      </c>
      <c r="AG1995" s="253">
        <f t="shared" si="248"/>
        <v>12</v>
      </c>
      <c r="DG1995" s="543"/>
      <c r="DH1995" s="149"/>
      <c r="DI1995" s="1020"/>
      <c r="DJ1995" s="2045"/>
    </row>
    <row r="1996" spans="1:114" ht="14.65" customHeight="1" outlineLevel="1" x14ac:dyDescent="0.25">
      <c r="A1996" s="2145"/>
      <c r="C1996" s="49"/>
      <c r="D1996" s="2394"/>
      <c r="E1996" s="2394"/>
      <c r="F1996" s="2404" t="str">
        <f t="shared" si="249"/>
        <v>ASHP-SEER21_ER2_MF</v>
      </c>
      <c r="G1996" s="2404"/>
      <c r="H1996" s="2404"/>
      <c r="I1996" s="2404"/>
      <c r="J1996" s="1506" t="str">
        <f t="shared" si="250"/>
        <v>354900_2024_12_</v>
      </c>
      <c r="K1996" s="1537">
        <v>12</v>
      </c>
      <c r="L1996" s="244"/>
      <c r="M1996" s="1251" t="s">
        <v>1303</v>
      </c>
      <c r="P1996" s="243"/>
      <c r="Q1996" s="192"/>
      <c r="R1996" s="243"/>
      <c r="T1996" s="166"/>
      <c r="U1996" s="50"/>
      <c r="V1996" s="2394"/>
      <c r="W1996" s="245">
        <v>12</v>
      </c>
      <c r="X1996" s="245">
        <v>12</v>
      </c>
      <c r="Y1996" s="245">
        <v>12</v>
      </c>
      <c r="Z1996" s="245">
        <v>12</v>
      </c>
      <c r="AA1996" s="245">
        <v>12</v>
      </c>
      <c r="AB1996" s="245">
        <v>12</v>
      </c>
      <c r="AC1996" s="245">
        <v>12</v>
      </c>
      <c r="AD1996" s="245">
        <v>12</v>
      </c>
      <c r="AE1996" s="245">
        <v>12</v>
      </c>
      <c r="AF1996" s="253">
        <v>12</v>
      </c>
      <c r="AG1996" s="253">
        <f t="shared" si="248"/>
        <v>12</v>
      </c>
      <c r="DG1996" s="543"/>
      <c r="DH1996" s="149"/>
      <c r="DI1996" s="1020"/>
      <c r="DJ1996" s="2045"/>
    </row>
    <row r="1997" spans="1:114" ht="14.65" customHeight="1" outlineLevel="1" x14ac:dyDescent="0.25">
      <c r="A1997" s="2145"/>
      <c r="C1997" s="49"/>
      <c r="D1997" s="2394"/>
      <c r="E1997" s="2394"/>
      <c r="F1997" s="2404" t="str">
        <f t="shared" si="249"/>
        <v>ASHP-SEER17_ROF_MF</v>
      </c>
      <c r="G1997" s="2404"/>
      <c r="H1997" s="2404"/>
      <c r="I1997" s="2404"/>
      <c r="J1997" s="1506" t="str">
        <f t="shared" si="250"/>
        <v>354950_2024_12_</v>
      </c>
      <c r="K1997" s="1537">
        <v>18</v>
      </c>
      <c r="L1997" s="244"/>
      <c r="M1997" s="1251" t="s">
        <v>1303</v>
      </c>
      <c r="P1997" s="243"/>
      <c r="Q1997" s="192"/>
      <c r="R1997" s="243"/>
      <c r="T1997" s="166"/>
      <c r="U1997" s="50"/>
      <c r="V1997" s="2394"/>
      <c r="W1997" s="245">
        <v>18</v>
      </c>
      <c r="X1997" s="245">
        <v>18</v>
      </c>
      <c r="Y1997" s="245">
        <v>18</v>
      </c>
      <c r="Z1997" s="245">
        <v>18</v>
      </c>
      <c r="AA1997" s="245">
        <v>18</v>
      </c>
      <c r="AB1997" s="245">
        <v>18</v>
      </c>
      <c r="AC1997" s="245">
        <v>18</v>
      </c>
      <c r="AD1997" s="245">
        <v>18</v>
      </c>
      <c r="AE1997" s="245">
        <v>18</v>
      </c>
      <c r="AF1997" s="253">
        <v>18</v>
      </c>
      <c r="AG1997" s="253">
        <f t="shared" si="248"/>
        <v>18</v>
      </c>
      <c r="DG1997" s="543"/>
      <c r="DH1997" s="149"/>
      <c r="DI1997" s="1020"/>
      <c r="DJ1997" s="2045"/>
    </row>
    <row r="1998" spans="1:114" ht="14.65" customHeight="1" outlineLevel="1" x14ac:dyDescent="0.25">
      <c r="A1998" s="2145"/>
      <c r="C1998" s="49"/>
      <c r="D1998" s="2394"/>
      <c r="E1998" s="2394"/>
      <c r="F1998" s="2404" t="str">
        <f t="shared" si="249"/>
        <v>ASHP-SEER17_ROF_MF</v>
      </c>
      <c r="G1998" s="2404"/>
      <c r="H1998" s="2404"/>
      <c r="I1998" s="2404"/>
      <c r="J1998" s="1506" t="str">
        <f t="shared" si="250"/>
        <v>354950_2024_12_</v>
      </c>
      <c r="K1998" s="1537">
        <v>18</v>
      </c>
      <c r="L1998" s="244"/>
      <c r="M1998" s="1251" t="s">
        <v>1303</v>
      </c>
      <c r="P1998" s="243"/>
      <c r="Q1998" s="192"/>
      <c r="R1998" s="243"/>
      <c r="T1998" s="166"/>
      <c r="U1998" s="50"/>
      <c r="V1998" s="2394"/>
      <c r="W1998" s="245">
        <v>18</v>
      </c>
      <c r="X1998" s="245">
        <v>18</v>
      </c>
      <c r="Y1998" s="245">
        <v>18</v>
      </c>
      <c r="Z1998" s="245">
        <v>18</v>
      </c>
      <c r="AA1998" s="245">
        <v>18</v>
      </c>
      <c r="AB1998" s="245">
        <v>18</v>
      </c>
      <c r="AC1998" s="245">
        <v>18</v>
      </c>
      <c r="AD1998" s="245">
        <v>18</v>
      </c>
      <c r="AE1998" s="245">
        <v>18</v>
      </c>
      <c r="AF1998" s="253">
        <v>18</v>
      </c>
      <c r="AG1998" s="253">
        <f t="shared" si="248"/>
        <v>18</v>
      </c>
      <c r="DG1998" s="543"/>
      <c r="DH1998" s="149"/>
      <c r="DI1998" s="1020"/>
      <c r="DJ1998" s="2045"/>
    </row>
    <row r="1999" spans="1:114" ht="14.65" customHeight="1" outlineLevel="1" x14ac:dyDescent="0.25">
      <c r="A1999" s="2145"/>
      <c r="C1999" s="49"/>
      <c r="D1999" s="2394"/>
      <c r="E1999" s="2394"/>
      <c r="F1999" s="2404" t="str">
        <f t="shared" si="249"/>
        <v>ASHP-SEER18_ROF_MF</v>
      </c>
      <c r="G1999" s="2404"/>
      <c r="H1999" s="2404"/>
      <c r="I1999" s="2404"/>
      <c r="J1999" s="1506" t="str">
        <f t="shared" si="250"/>
        <v>355000_2024_12_</v>
      </c>
      <c r="K1999" s="1537">
        <v>18</v>
      </c>
      <c r="L1999" s="244"/>
      <c r="M1999" s="1251" t="s">
        <v>1303</v>
      </c>
      <c r="P1999" s="243"/>
      <c r="Q1999" s="192"/>
      <c r="R1999" s="243"/>
      <c r="T1999" s="166"/>
      <c r="U1999" s="50"/>
      <c r="V1999" s="2394"/>
      <c r="W1999" s="245">
        <v>18</v>
      </c>
      <c r="X1999" s="245">
        <v>18</v>
      </c>
      <c r="Y1999" s="245">
        <v>18</v>
      </c>
      <c r="Z1999" s="245">
        <v>18</v>
      </c>
      <c r="AA1999" s="245">
        <v>18</v>
      </c>
      <c r="AB1999" s="245">
        <v>18</v>
      </c>
      <c r="AC1999" s="245">
        <v>18</v>
      </c>
      <c r="AD1999" s="245">
        <v>18</v>
      </c>
      <c r="AE1999" s="245">
        <v>18</v>
      </c>
      <c r="AF1999" s="253">
        <v>18</v>
      </c>
      <c r="AG1999" s="253">
        <f t="shared" si="248"/>
        <v>18</v>
      </c>
      <c r="DG1999" s="543"/>
      <c r="DH1999" s="149"/>
      <c r="DI1999" s="1020"/>
      <c r="DJ1999" s="2045"/>
    </row>
    <row r="2000" spans="1:114" ht="14.65" customHeight="1" outlineLevel="1" x14ac:dyDescent="0.25">
      <c r="A2000" s="2145"/>
      <c r="C2000" s="49"/>
      <c r="D2000" s="2394"/>
      <c r="E2000" s="2394"/>
      <c r="F2000" s="2404" t="str">
        <f t="shared" si="249"/>
        <v>ASHP-SEER18_ROF_MF</v>
      </c>
      <c r="G2000" s="2404"/>
      <c r="H2000" s="2404"/>
      <c r="I2000" s="2404"/>
      <c r="J2000" s="1506" t="str">
        <f t="shared" si="250"/>
        <v>355000_2024_12_</v>
      </c>
      <c r="K2000" s="1537">
        <v>18</v>
      </c>
      <c r="L2000" s="244"/>
      <c r="M2000" s="1251" t="s">
        <v>1303</v>
      </c>
      <c r="P2000" s="243"/>
      <c r="Q2000" s="192"/>
      <c r="R2000" s="243"/>
      <c r="T2000" s="166"/>
      <c r="U2000" s="50"/>
      <c r="V2000" s="2394"/>
      <c r="W2000" s="245">
        <v>18</v>
      </c>
      <c r="X2000" s="245">
        <v>18</v>
      </c>
      <c r="Y2000" s="245">
        <v>18</v>
      </c>
      <c r="Z2000" s="245">
        <v>18</v>
      </c>
      <c r="AA2000" s="245">
        <v>18</v>
      </c>
      <c r="AB2000" s="245">
        <v>18</v>
      </c>
      <c r="AC2000" s="245">
        <v>18</v>
      </c>
      <c r="AD2000" s="245">
        <v>18</v>
      </c>
      <c r="AE2000" s="245">
        <v>18</v>
      </c>
      <c r="AF2000" s="253">
        <v>18</v>
      </c>
      <c r="AG2000" s="253">
        <f t="shared" si="248"/>
        <v>18</v>
      </c>
      <c r="DG2000" s="543"/>
      <c r="DH2000" s="149"/>
      <c r="DI2000" s="1020"/>
      <c r="DJ2000" s="2045"/>
    </row>
    <row r="2001" spans="1:114" ht="14.65" customHeight="1" outlineLevel="1" x14ac:dyDescent="0.25">
      <c r="A2001" s="2145"/>
      <c r="C2001" s="49"/>
      <c r="D2001" s="2394"/>
      <c r="E2001" s="2394"/>
      <c r="F2001" s="2404" t="str">
        <f t="shared" si="249"/>
        <v>ASHP-SEER19_ROF_MF</v>
      </c>
      <c r="G2001" s="2404"/>
      <c r="H2001" s="2404"/>
      <c r="I2001" s="2404"/>
      <c r="J2001" s="1506" t="str">
        <f t="shared" si="250"/>
        <v>355050_2024_12_</v>
      </c>
      <c r="K2001" s="1537">
        <v>18</v>
      </c>
      <c r="L2001" s="244"/>
      <c r="M2001" s="1251" t="s">
        <v>1303</v>
      </c>
      <c r="P2001" s="243"/>
      <c r="Q2001" s="192"/>
      <c r="R2001" s="243"/>
      <c r="T2001" s="166"/>
      <c r="U2001" s="50"/>
      <c r="V2001" s="2394"/>
      <c r="W2001" s="245">
        <v>18</v>
      </c>
      <c r="X2001" s="245">
        <v>18</v>
      </c>
      <c r="Y2001" s="245">
        <v>18</v>
      </c>
      <c r="Z2001" s="245">
        <v>18</v>
      </c>
      <c r="AA2001" s="245">
        <v>18</v>
      </c>
      <c r="AB2001" s="245">
        <v>18</v>
      </c>
      <c r="AC2001" s="245">
        <v>18</v>
      </c>
      <c r="AD2001" s="245">
        <v>18</v>
      </c>
      <c r="AE2001" s="245">
        <v>18</v>
      </c>
      <c r="AF2001" s="253">
        <v>18</v>
      </c>
      <c r="AG2001" s="253">
        <f t="shared" si="248"/>
        <v>18</v>
      </c>
      <c r="DG2001" s="543"/>
      <c r="DH2001" s="149"/>
      <c r="DI2001" s="1020"/>
      <c r="DJ2001" s="2045"/>
    </row>
    <row r="2002" spans="1:114" ht="15" customHeight="1" outlineLevel="1" x14ac:dyDescent="0.25">
      <c r="A2002" s="2145"/>
      <c r="C2002" s="49"/>
      <c r="D2002" s="2394"/>
      <c r="E2002" s="2394"/>
      <c r="F2002" s="2404" t="str">
        <f t="shared" si="249"/>
        <v>ASHP-SEER19_ROF_MF</v>
      </c>
      <c r="G2002" s="2404"/>
      <c r="H2002" s="2404"/>
      <c r="I2002" s="2404"/>
      <c r="J2002" s="1506" t="str">
        <f t="shared" si="250"/>
        <v>355050_2024_12_</v>
      </c>
      <c r="K2002" s="1537">
        <v>18</v>
      </c>
      <c r="L2002" s="244"/>
      <c r="M2002" s="1251" t="s">
        <v>1303</v>
      </c>
      <c r="P2002" s="243"/>
      <c r="Q2002" s="192"/>
      <c r="R2002" s="243"/>
      <c r="T2002" s="166"/>
      <c r="U2002" s="50"/>
      <c r="V2002" s="2394"/>
      <c r="W2002" s="245">
        <v>18</v>
      </c>
      <c r="X2002" s="245">
        <v>18</v>
      </c>
      <c r="Y2002" s="245">
        <v>18</v>
      </c>
      <c r="Z2002" s="245">
        <v>18</v>
      </c>
      <c r="AA2002" s="245">
        <v>18</v>
      </c>
      <c r="AB2002" s="245">
        <v>18</v>
      </c>
      <c r="AC2002" s="245">
        <v>18</v>
      </c>
      <c r="AD2002" s="245">
        <v>18</v>
      </c>
      <c r="AE2002" s="245">
        <v>18</v>
      </c>
      <c r="AF2002" s="253">
        <v>18</v>
      </c>
      <c r="AG2002" s="253">
        <f t="shared" si="248"/>
        <v>18</v>
      </c>
      <c r="DG2002" s="543"/>
      <c r="DH2002" s="149"/>
      <c r="DI2002" s="1020"/>
      <c r="DJ2002" s="2045"/>
    </row>
    <row r="2003" spans="1:114" ht="15" customHeight="1" outlineLevel="1" x14ac:dyDescent="0.25">
      <c r="A2003" s="2145"/>
      <c r="C2003" s="49"/>
      <c r="D2003" s="2394"/>
      <c r="E2003" s="2394"/>
      <c r="F2003" s="2404" t="str">
        <f t="shared" si="249"/>
        <v>ASHP-SEER20_ROF_MF</v>
      </c>
      <c r="G2003" s="2404"/>
      <c r="H2003" s="2404"/>
      <c r="I2003" s="2404"/>
      <c r="J2003" s="1506" t="str">
        <f t="shared" si="250"/>
        <v>355100_2024_12_</v>
      </c>
      <c r="K2003" s="1537">
        <v>18</v>
      </c>
      <c r="L2003" s="244"/>
      <c r="M2003" s="1251" t="s">
        <v>1303</v>
      </c>
      <c r="P2003" s="243"/>
      <c r="Q2003" s="192"/>
      <c r="R2003" s="243"/>
      <c r="T2003" s="166"/>
      <c r="U2003" s="50"/>
      <c r="V2003" s="2394"/>
      <c r="W2003" s="245">
        <v>18</v>
      </c>
      <c r="X2003" s="245">
        <v>18</v>
      </c>
      <c r="Y2003" s="245">
        <v>18</v>
      </c>
      <c r="Z2003" s="245">
        <v>18</v>
      </c>
      <c r="AA2003" s="245">
        <v>18</v>
      </c>
      <c r="AB2003" s="245">
        <v>18</v>
      </c>
      <c r="AC2003" s="245">
        <v>18</v>
      </c>
      <c r="AD2003" s="245">
        <v>18</v>
      </c>
      <c r="AE2003" s="245">
        <v>18</v>
      </c>
      <c r="AF2003" s="253">
        <v>18</v>
      </c>
      <c r="AG2003" s="253">
        <f t="shared" si="248"/>
        <v>18</v>
      </c>
      <c r="DG2003" s="543"/>
      <c r="DH2003" s="149"/>
      <c r="DI2003" s="1020"/>
      <c r="DJ2003" s="2045"/>
    </row>
    <row r="2004" spans="1:114" ht="15" customHeight="1" outlineLevel="1" x14ac:dyDescent="0.25">
      <c r="A2004" s="2145"/>
      <c r="C2004" s="49"/>
      <c r="D2004" s="2394"/>
      <c r="E2004" s="2394"/>
      <c r="F2004" s="2404" t="str">
        <f t="shared" si="249"/>
        <v>ASHP-SEER20_ROF_MF</v>
      </c>
      <c r="G2004" s="2404"/>
      <c r="H2004" s="2404"/>
      <c r="I2004" s="2404"/>
      <c r="J2004" s="1506" t="str">
        <f t="shared" si="250"/>
        <v>355100_2024_12_</v>
      </c>
      <c r="K2004" s="1537">
        <v>18</v>
      </c>
      <c r="L2004" s="244"/>
      <c r="M2004" s="1251" t="s">
        <v>1303</v>
      </c>
      <c r="P2004" s="243"/>
      <c r="Q2004" s="192"/>
      <c r="R2004" s="243"/>
      <c r="T2004" s="166"/>
      <c r="U2004" s="50"/>
      <c r="V2004" s="2394"/>
      <c r="W2004" s="245">
        <v>18</v>
      </c>
      <c r="X2004" s="245">
        <v>18</v>
      </c>
      <c r="Y2004" s="245">
        <v>18</v>
      </c>
      <c r="Z2004" s="245">
        <v>18</v>
      </c>
      <c r="AA2004" s="245">
        <v>18</v>
      </c>
      <c r="AB2004" s="245">
        <v>18</v>
      </c>
      <c r="AC2004" s="245">
        <v>18</v>
      </c>
      <c r="AD2004" s="245">
        <v>18</v>
      </c>
      <c r="AE2004" s="245">
        <v>18</v>
      </c>
      <c r="AF2004" s="253">
        <v>18</v>
      </c>
      <c r="AG2004" s="253">
        <f t="shared" si="248"/>
        <v>18</v>
      </c>
      <c r="DG2004" s="543"/>
      <c r="DH2004" s="149"/>
      <c r="DI2004" s="1020"/>
      <c r="DJ2004" s="2045"/>
    </row>
    <row r="2005" spans="1:114" ht="15" customHeight="1" outlineLevel="1" x14ac:dyDescent="0.25">
      <c r="A2005" s="2145"/>
      <c r="C2005" s="49"/>
      <c r="D2005" s="2394"/>
      <c r="E2005" s="2394"/>
      <c r="F2005" s="2404" t="str">
        <f t="shared" si="249"/>
        <v>ASHP-SEER21_ROF_MF</v>
      </c>
      <c r="G2005" s="2404"/>
      <c r="H2005" s="2404"/>
      <c r="I2005" s="2404"/>
      <c r="J2005" s="1506" t="str">
        <f t="shared" si="250"/>
        <v>355150_2024_12_</v>
      </c>
      <c r="K2005" s="1537">
        <v>18</v>
      </c>
      <c r="L2005" s="244"/>
      <c r="M2005" s="1251" t="s">
        <v>1303</v>
      </c>
      <c r="P2005" s="243"/>
      <c r="Q2005" s="192"/>
      <c r="R2005" s="243"/>
      <c r="T2005" s="166"/>
      <c r="U2005" s="50"/>
      <c r="V2005" s="2394"/>
      <c r="W2005" s="245">
        <v>18</v>
      </c>
      <c r="X2005" s="245">
        <v>18</v>
      </c>
      <c r="Y2005" s="245">
        <v>18</v>
      </c>
      <c r="Z2005" s="245">
        <v>18</v>
      </c>
      <c r="AA2005" s="245">
        <v>18</v>
      </c>
      <c r="AB2005" s="245">
        <v>18</v>
      </c>
      <c r="AC2005" s="245">
        <v>18</v>
      </c>
      <c r="AD2005" s="245">
        <v>18</v>
      </c>
      <c r="AE2005" s="245">
        <v>18</v>
      </c>
      <c r="AF2005" s="253">
        <v>18</v>
      </c>
      <c r="AG2005" s="253">
        <f t="shared" si="248"/>
        <v>18</v>
      </c>
      <c r="DG2005" s="543"/>
      <c r="DH2005" s="149"/>
      <c r="DI2005" s="1020"/>
      <c r="DJ2005" s="2045"/>
    </row>
    <row r="2006" spans="1:114" ht="15.75" customHeight="1" outlineLevel="1" x14ac:dyDescent="0.25">
      <c r="A2006" s="2145"/>
      <c r="C2006" s="49"/>
      <c r="D2006" s="2395"/>
      <c r="E2006" s="2395"/>
      <c r="F2006" s="2404" t="str">
        <f t="shared" si="249"/>
        <v>ASHP-SEER21_ROF_MF</v>
      </c>
      <c r="G2006" s="2404"/>
      <c r="H2006" s="2404"/>
      <c r="I2006" s="2404"/>
      <c r="J2006" s="1506" t="str">
        <f t="shared" si="250"/>
        <v>355150_2024_12_</v>
      </c>
      <c r="K2006" s="1537">
        <v>18</v>
      </c>
      <c r="L2006" s="244"/>
      <c r="M2006" s="1251" t="s">
        <v>1303</v>
      </c>
      <c r="P2006" s="243"/>
      <c r="Q2006" s="192"/>
      <c r="R2006" s="243"/>
      <c r="T2006" s="166"/>
      <c r="U2006" s="50"/>
      <c r="V2006" s="2395"/>
      <c r="W2006" s="245">
        <v>18</v>
      </c>
      <c r="X2006" s="245">
        <v>18</v>
      </c>
      <c r="Y2006" s="245">
        <v>18</v>
      </c>
      <c r="Z2006" s="245">
        <v>18</v>
      </c>
      <c r="AA2006" s="245">
        <v>18</v>
      </c>
      <c r="AB2006" s="245">
        <v>18</v>
      </c>
      <c r="AC2006" s="245">
        <v>18</v>
      </c>
      <c r="AD2006" s="245">
        <v>18</v>
      </c>
      <c r="AE2006" s="245">
        <v>18</v>
      </c>
      <c r="AF2006" s="253">
        <v>18</v>
      </c>
      <c r="AG2006" s="253">
        <f t="shared" si="248"/>
        <v>18</v>
      </c>
      <c r="DG2006" s="543"/>
      <c r="DH2006" s="149"/>
      <c r="DI2006" s="1020"/>
      <c r="DJ2006" s="2045"/>
    </row>
    <row r="2007" spans="1:114" ht="14.65" customHeight="1" outlineLevel="1" x14ac:dyDescent="0.25">
      <c r="A2007" s="2145"/>
      <c r="C2007" s="49"/>
      <c r="D2007" s="2393" t="s">
        <v>51</v>
      </c>
      <c r="E2007" s="2393" t="s">
        <v>835</v>
      </c>
      <c r="F2007" s="2404" t="str">
        <f t="shared" ref="F2007:F2022" si="251">E647</f>
        <v>ASHP-SEER15-Replace_CAC_ElectricHeat_ER1_SF</v>
      </c>
      <c r="G2007" s="2404"/>
      <c r="H2007" s="2404"/>
      <c r="I2007" s="2404"/>
      <c r="J2007" s="962" t="str">
        <f t="shared" ref="J2007:J2022" si="252">C647</f>
        <v>352300_2024_12_</v>
      </c>
      <c r="K2007" s="1514">
        <f>(S$874+L2007*T$874)-((S$885+L2007*T$885)*S$891)</f>
        <v>3236.3220917485878</v>
      </c>
      <c r="L2007" s="45">
        <f>VLOOKUP(J2007,$J$873:$L$974,3,FALSE)*M2007</f>
        <v>2.5726507669889709</v>
      </c>
      <c r="M2007" s="1508">
        <f>VLOOKUP(J2007,$J$1697:$K$1799,2,FALSE)</f>
        <v>1</v>
      </c>
      <c r="N2007" s="524"/>
      <c r="P2007" s="243"/>
      <c r="Q2007" s="243"/>
      <c r="R2007" s="243"/>
      <c r="T2007" s="166"/>
      <c r="U2007" s="50"/>
      <c r="V2007" s="2393" t="s">
        <v>51</v>
      </c>
      <c r="W2007" s="781">
        <v>2365.1309007383738</v>
      </c>
      <c r="X2007" s="782">
        <f>$T$877*(X$873/12000)*X$1697</f>
        <v>1836</v>
      </c>
      <c r="Y2007" s="782">
        <v>1119.3961863407253</v>
      </c>
      <c r="Z2007" s="781">
        <v>1119.3961863407253</v>
      </c>
      <c r="AA2007" s="781">
        <v>1119.3961863407253</v>
      </c>
      <c r="AB2007" s="782">
        <v>989.09301697589126</v>
      </c>
      <c r="AC2007" s="782">
        <v>991.06005994555017</v>
      </c>
      <c r="AD2007" s="782">
        <v>952.43682540301188</v>
      </c>
      <c r="AE2007" s="782">
        <v>1004.8579885650197</v>
      </c>
      <c r="AF2007" s="743">
        <v>3236.3220917485878</v>
      </c>
      <c r="AG2007" s="743">
        <f t="shared" si="248"/>
        <v>3236.3220917485878</v>
      </c>
      <c r="DG2007" s="543"/>
      <c r="DH2007" s="149"/>
      <c r="DI2007" s="1020"/>
      <c r="DJ2007" s="2045"/>
    </row>
    <row r="2008" spans="1:114" ht="15" customHeight="1" outlineLevel="1" x14ac:dyDescent="0.25">
      <c r="A2008" s="2145"/>
      <c r="C2008" s="49"/>
      <c r="D2008" s="2394"/>
      <c r="E2008" s="2394"/>
      <c r="F2008" s="2404" t="str">
        <f t="shared" si="251"/>
        <v>ASHP-SEER15-Replace_CAC_ElectricHeat_ER1_SF</v>
      </c>
      <c r="G2008" s="2404"/>
      <c r="H2008" s="2404"/>
      <c r="I2008" s="2404"/>
      <c r="J2008" s="962" t="str">
        <f t="shared" si="252"/>
        <v>352300_2024_12_</v>
      </c>
      <c r="K2008" s="152"/>
      <c r="L2008" s="45"/>
      <c r="M2008" s="1508" t="str">
        <f>IF(K2008&gt;0,VLOOKUP(J2008,$J$1697:$K$1799,2,FALSE),"")</f>
        <v/>
      </c>
      <c r="P2008" s="243"/>
      <c r="Q2008" s="243"/>
      <c r="R2008" s="243"/>
      <c r="T2008" s="166"/>
      <c r="U2008" s="50"/>
      <c r="V2008" s="2394"/>
      <c r="W2008" s="152"/>
      <c r="X2008" s="154"/>
      <c r="Y2008" s="152"/>
      <c r="Z2008" s="152"/>
      <c r="AA2008" s="152"/>
      <c r="AB2008" s="154"/>
      <c r="AC2008" s="152"/>
      <c r="AD2008" s="152"/>
      <c r="AE2008" s="152"/>
      <c r="AF2008" s="743"/>
      <c r="AG2008" s="743" t="str">
        <f t="shared" si="248"/>
        <v/>
      </c>
      <c r="DG2008" s="543"/>
      <c r="DH2008" s="149"/>
      <c r="DI2008" s="1020"/>
      <c r="DJ2008" s="2045"/>
    </row>
    <row r="2009" spans="1:114" ht="15" customHeight="1" outlineLevel="1" x14ac:dyDescent="0.25">
      <c r="A2009" s="2145"/>
      <c r="C2009" s="49"/>
      <c r="D2009" s="2394"/>
      <c r="E2009" s="2394"/>
      <c r="F2009" s="2404" t="str">
        <f t="shared" si="251"/>
        <v>ASHP-SEER15-Replace_CAC_ElectricHeat_ER2_SF</v>
      </c>
      <c r="G2009" s="2404"/>
      <c r="H2009" s="2404"/>
      <c r="I2009" s="2404"/>
      <c r="J2009" s="962" t="str">
        <f t="shared" si="252"/>
        <v>352300_2024_12_</v>
      </c>
      <c r="K2009" s="152"/>
      <c r="L2009" s="45"/>
      <c r="M2009" s="1508" t="str">
        <f>IF(K2009&gt;0,VLOOKUP(J2009,$J$1697:$K$1799,2,FALSE),"")</f>
        <v/>
      </c>
      <c r="P2009" s="243"/>
      <c r="Q2009" s="243"/>
      <c r="R2009" s="243"/>
      <c r="T2009" s="166"/>
      <c r="U2009" s="50"/>
      <c r="V2009" s="2394"/>
      <c r="W2009" s="152"/>
      <c r="X2009" s="154"/>
      <c r="Y2009" s="152"/>
      <c r="Z2009" s="152"/>
      <c r="AA2009" s="152"/>
      <c r="AB2009" s="154"/>
      <c r="AC2009" s="152"/>
      <c r="AD2009" s="152"/>
      <c r="AE2009" s="152"/>
      <c r="AF2009" s="743"/>
      <c r="AG2009" s="743" t="str">
        <f t="shared" si="248"/>
        <v/>
      </c>
      <c r="DG2009" s="543"/>
      <c r="DH2009" s="149"/>
      <c r="DI2009" s="1020"/>
      <c r="DJ2009" s="2045"/>
    </row>
    <row r="2010" spans="1:114" ht="15" customHeight="1" outlineLevel="1" x14ac:dyDescent="0.25">
      <c r="A2010" s="2145"/>
      <c r="C2010" s="49"/>
      <c r="D2010" s="2394"/>
      <c r="E2010" s="2394"/>
      <c r="F2010" s="2404" t="str">
        <f t="shared" si="251"/>
        <v>ASHP-SEER15-Replace_CAC_ElectricHeat_ER2_SF</v>
      </c>
      <c r="G2010" s="2404"/>
      <c r="H2010" s="2404"/>
      <c r="I2010" s="2404"/>
      <c r="J2010" s="962" t="str">
        <f t="shared" si="252"/>
        <v>352300_2024_12_</v>
      </c>
      <c r="K2010" s="152"/>
      <c r="L2010" s="45"/>
      <c r="M2010" s="1508" t="str">
        <f>IF(K2010&gt;0,VLOOKUP(J2010,$J$1697:$K$1799,2,FALSE),"")</f>
        <v/>
      </c>
      <c r="P2010" s="243"/>
      <c r="Q2010" s="243"/>
      <c r="R2010" s="243"/>
      <c r="T2010" s="166"/>
      <c r="U2010" s="50"/>
      <c r="V2010" s="2394"/>
      <c r="W2010" s="152"/>
      <c r="X2010" s="154"/>
      <c r="Y2010" s="152"/>
      <c r="Z2010" s="152"/>
      <c r="AA2010" s="152"/>
      <c r="AB2010" s="154"/>
      <c r="AC2010" s="152"/>
      <c r="AD2010" s="152"/>
      <c r="AE2010" s="152"/>
      <c r="AF2010" s="743"/>
      <c r="AG2010" s="743" t="str">
        <f t="shared" si="248"/>
        <v/>
      </c>
      <c r="DG2010" s="543"/>
      <c r="DH2010" s="149"/>
      <c r="DI2010" s="1020"/>
      <c r="DJ2010" s="2045"/>
    </row>
    <row r="2011" spans="1:114" ht="15" customHeight="1" outlineLevel="1" x14ac:dyDescent="0.25">
      <c r="A2011" s="2145"/>
      <c r="C2011" s="49"/>
      <c r="D2011" s="2394"/>
      <c r="E2011" s="2394"/>
      <c r="F2011" s="2404" t="str">
        <f t="shared" si="251"/>
        <v>ASHP-SEER15-Replace_CAC_NonElectricHeat_ER1_SF</v>
      </c>
      <c r="G2011" s="2404"/>
      <c r="H2011" s="2404"/>
      <c r="I2011" s="2404"/>
      <c r="J2011" s="962" t="str">
        <f t="shared" si="252"/>
        <v>352310_2024_12_</v>
      </c>
      <c r="K2011" s="1514">
        <f>((S$874+L2011*T$874)-((S$885+L2011*T$885)*S$891))*VLOOKUP(J2011,$J$2200:$K$2216,2,FALSE)</f>
        <v>412.56106071876053</v>
      </c>
      <c r="L2011" s="45">
        <f>VLOOKUP(J2011,$J$873:$L$974,3,FALSE)*M2011</f>
        <v>2.5726507669889709</v>
      </c>
      <c r="M2011" s="1508">
        <f>VLOOKUP(J2011,$J$1697:$K$1799,2,FALSE)</f>
        <v>1</v>
      </c>
      <c r="N2011" s="524"/>
      <c r="P2011" s="243"/>
      <c r="Q2011" s="243"/>
      <c r="R2011" s="243"/>
      <c r="T2011" s="166"/>
      <c r="U2011" s="50"/>
      <c r="V2011" s="2394"/>
      <c r="W2011" s="152"/>
      <c r="X2011" s="154"/>
      <c r="Y2011" s="152"/>
      <c r="Z2011" s="152"/>
      <c r="AA2011" s="152"/>
      <c r="AB2011" s="154"/>
      <c r="AC2011" s="154">
        <v>991.06005994555017</v>
      </c>
      <c r="AD2011" s="154">
        <v>952.43682540301188</v>
      </c>
      <c r="AE2011" s="154">
        <v>1004.8579885650197</v>
      </c>
      <c r="AF2011" s="743">
        <v>389.45085461679935</v>
      </c>
      <c r="AG2011" s="743">
        <f t="shared" si="248"/>
        <v>412.56106071876053</v>
      </c>
      <c r="DG2011" s="543"/>
      <c r="DH2011" s="149"/>
      <c r="DI2011" s="1020"/>
      <c r="DJ2011" s="2045"/>
    </row>
    <row r="2012" spans="1:114" ht="15" customHeight="1" outlineLevel="1" x14ac:dyDescent="0.25">
      <c r="A2012" s="2145"/>
      <c r="C2012" s="49"/>
      <c r="D2012" s="2394"/>
      <c r="E2012" s="2394"/>
      <c r="F2012" s="2404" t="str">
        <f t="shared" si="251"/>
        <v>ASHP-SEER15-Replace_CAC_NonElectricHeat_ER1_SF</v>
      </c>
      <c r="G2012" s="2404"/>
      <c r="H2012" s="2404"/>
      <c r="I2012" s="2404"/>
      <c r="J2012" s="962" t="str">
        <f t="shared" si="252"/>
        <v>352310_2024_12_</v>
      </c>
      <c r="K2012" s="152"/>
      <c r="L2012" s="45"/>
      <c r="M2012" s="1508"/>
      <c r="P2012" s="243"/>
      <c r="Q2012" s="243"/>
      <c r="R2012" s="243"/>
      <c r="T2012" s="166"/>
      <c r="U2012" s="50"/>
      <c r="V2012" s="2394"/>
      <c r="W2012" s="152"/>
      <c r="X2012" s="154"/>
      <c r="Y2012" s="152"/>
      <c r="Z2012" s="152"/>
      <c r="AA2012" s="152"/>
      <c r="AB2012" s="154"/>
      <c r="AC2012" s="152"/>
      <c r="AD2012" s="152"/>
      <c r="AE2012" s="152"/>
      <c r="AF2012" s="743"/>
      <c r="AG2012" s="743" t="str">
        <f t="shared" si="248"/>
        <v/>
      </c>
      <c r="DG2012" s="543"/>
      <c r="DH2012" s="149"/>
      <c r="DI2012" s="1020"/>
      <c r="DJ2012" s="2045"/>
    </row>
    <row r="2013" spans="1:114" ht="15" customHeight="1" outlineLevel="1" x14ac:dyDescent="0.25">
      <c r="A2013" s="2145"/>
      <c r="C2013" s="49"/>
      <c r="D2013" s="2394"/>
      <c r="E2013" s="2394"/>
      <c r="F2013" s="2404" t="str">
        <f t="shared" si="251"/>
        <v>ASHP-SEER15-Replace_CAC_NonElectricHeat_ER2_SF</v>
      </c>
      <c r="G2013" s="2404"/>
      <c r="H2013" s="2404"/>
      <c r="I2013" s="2404"/>
      <c r="J2013" s="962" t="str">
        <f t="shared" si="252"/>
        <v>352310_2024_12_</v>
      </c>
      <c r="K2013" s="152"/>
      <c r="L2013" s="45"/>
      <c r="M2013" s="1508"/>
      <c r="P2013" s="243"/>
      <c r="Q2013" s="243"/>
      <c r="R2013" s="243"/>
      <c r="T2013" s="166"/>
      <c r="U2013" s="50"/>
      <c r="V2013" s="2394"/>
      <c r="W2013" s="152"/>
      <c r="X2013" s="154"/>
      <c r="Y2013" s="152"/>
      <c r="Z2013" s="152"/>
      <c r="AA2013" s="152"/>
      <c r="AB2013" s="154"/>
      <c r="AC2013" s="152"/>
      <c r="AD2013" s="152"/>
      <c r="AE2013" s="152"/>
      <c r="AF2013" s="743"/>
      <c r="AG2013" s="743" t="str">
        <f t="shared" si="248"/>
        <v/>
      </c>
      <c r="DG2013" s="543"/>
      <c r="DH2013" s="149"/>
      <c r="DI2013" s="1020"/>
      <c r="DJ2013" s="2045"/>
    </row>
    <row r="2014" spans="1:114" ht="15" customHeight="1" outlineLevel="1" x14ac:dyDescent="0.25">
      <c r="A2014" s="2145"/>
      <c r="C2014" s="49"/>
      <c r="D2014" s="2394"/>
      <c r="E2014" s="2394"/>
      <c r="F2014" s="2404" t="str">
        <f t="shared" si="251"/>
        <v>ASHP-SEER15-Replace_CAC_NonElectricHeat_ER2_SF</v>
      </c>
      <c r="G2014" s="2404"/>
      <c r="H2014" s="2404"/>
      <c r="I2014" s="2404"/>
      <c r="J2014" s="962" t="str">
        <f t="shared" si="252"/>
        <v>352310_2024_12_</v>
      </c>
      <c r="K2014" s="152"/>
      <c r="L2014" s="45"/>
      <c r="M2014" s="1508"/>
      <c r="P2014" s="243"/>
      <c r="Q2014" s="243"/>
      <c r="R2014" s="243"/>
      <c r="T2014" s="166"/>
      <c r="U2014" s="50"/>
      <c r="V2014" s="2394"/>
      <c r="W2014" s="152"/>
      <c r="X2014" s="154"/>
      <c r="Y2014" s="152"/>
      <c r="Z2014" s="152"/>
      <c r="AA2014" s="152"/>
      <c r="AB2014" s="154"/>
      <c r="AC2014" s="152"/>
      <c r="AD2014" s="152"/>
      <c r="AE2014" s="152"/>
      <c r="AF2014" s="743"/>
      <c r="AG2014" s="743" t="str">
        <f t="shared" si="248"/>
        <v/>
      </c>
      <c r="DG2014" s="543"/>
      <c r="DH2014" s="149"/>
      <c r="DI2014" s="1020"/>
      <c r="DJ2014" s="2045"/>
    </row>
    <row r="2015" spans="1:114" ht="15" customHeight="1" outlineLevel="1" x14ac:dyDescent="0.25">
      <c r="A2015" s="2145"/>
      <c r="C2015" s="49"/>
      <c r="D2015" s="2394"/>
      <c r="E2015" s="2394"/>
      <c r="F2015" s="2404" t="str">
        <f t="shared" si="251"/>
        <v>ASHP-SEER15_ER1_SF</v>
      </c>
      <c r="G2015" s="2404"/>
      <c r="H2015" s="2404"/>
      <c r="I2015" s="2404"/>
      <c r="J2015" s="962" t="str">
        <f t="shared" si="252"/>
        <v>352350_2024_12_</v>
      </c>
      <c r="K2015" s="1514">
        <f>(S$874+L2015*T$874)-(S$884+L2015*T$884)*S$891</f>
        <v>131.69764772075905</v>
      </c>
      <c r="L2015" s="45">
        <f>VLOOKUP(J2015,$J$873:$L$974,3,FALSE)*M2015</f>
        <v>2.5726507669889709</v>
      </c>
      <c r="M2015" s="1508">
        <f>VLOOKUP(J2015,$J$1697:$K$1799,2,FALSE)</f>
        <v>1</v>
      </c>
      <c r="N2015" s="524"/>
      <c r="P2015" s="243"/>
      <c r="Q2015" s="243"/>
      <c r="R2015" s="243"/>
      <c r="T2015" s="166"/>
      <c r="U2015" s="50"/>
      <c r="V2015" s="2394"/>
      <c r="W2015" s="152">
        <v>2618.5377829603426</v>
      </c>
      <c r="X2015" s="154">
        <f>$T$877*(X$877/12000)*X$1701</f>
        <v>1836</v>
      </c>
      <c r="Y2015" s="154">
        <v>1127.8416641304575</v>
      </c>
      <c r="Z2015" s="152">
        <v>1127.8416641304575</v>
      </c>
      <c r="AA2015" s="152">
        <v>1127.8416641304575</v>
      </c>
      <c r="AB2015" s="154">
        <v>1044.1498640171662</v>
      </c>
      <c r="AC2015" s="154">
        <v>1049.2929470045315</v>
      </c>
      <c r="AD2015" s="154">
        <v>952.43682540301188</v>
      </c>
      <c r="AE2015" s="154">
        <v>1004.8579885650197</v>
      </c>
      <c r="AF2015" s="743">
        <v>131.69764772075905</v>
      </c>
      <c r="AG2015" s="743">
        <f t="shared" si="248"/>
        <v>131.69764772075905</v>
      </c>
      <c r="DG2015" s="543"/>
      <c r="DH2015" s="149"/>
      <c r="DI2015" s="1020"/>
      <c r="DJ2015" s="2045"/>
    </row>
    <row r="2016" spans="1:114" ht="15" customHeight="1" outlineLevel="1" x14ac:dyDescent="0.25">
      <c r="A2016" s="2145"/>
      <c r="C2016" s="49"/>
      <c r="D2016" s="2394"/>
      <c r="E2016" s="2394"/>
      <c r="F2016" s="2404" t="str">
        <f t="shared" si="251"/>
        <v>ASHP-SEER15_ER1_SF</v>
      </c>
      <c r="G2016" s="2404"/>
      <c r="H2016" s="2404"/>
      <c r="I2016" s="2404"/>
      <c r="J2016" s="962" t="str">
        <f t="shared" si="252"/>
        <v>352350_2024_12_</v>
      </c>
      <c r="K2016" s="152"/>
      <c r="L2016" s="45" t="str">
        <f>IF(K2016&gt;0,VLOOKUP(J2016,$J$873:$L$974,3,FALSE),"")</f>
        <v/>
      </c>
      <c r="M2016" s="1508" t="str">
        <f>IF(K2016&gt;0,VLOOKUP(J2016,$J$1697:$K$1799,2,FALSE),"")</f>
        <v/>
      </c>
      <c r="P2016" s="243"/>
      <c r="Q2016" s="243"/>
      <c r="R2016" s="243"/>
      <c r="T2016" s="166"/>
      <c r="U2016" s="50"/>
      <c r="V2016" s="2394"/>
      <c r="W2016" s="152"/>
      <c r="X2016" s="154"/>
      <c r="Y2016" s="154"/>
      <c r="Z2016" s="152"/>
      <c r="AA2016" s="152"/>
      <c r="AB2016" s="152"/>
      <c r="AC2016" s="152"/>
      <c r="AD2016" s="152"/>
      <c r="AE2016" s="152"/>
      <c r="AF2016" s="743"/>
      <c r="AG2016" s="743" t="str">
        <f t="shared" si="248"/>
        <v/>
      </c>
      <c r="DG2016" s="543"/>
      <c r="DH2016" s="149"/>
      <c r="DI2016" s="1020"/>
      <c r="DJ2016" s="2045"/>
    </row>
    <row r="2017" spans="1:114" ht="15" customHeight="1" outlineLevel="1" x14ac:dyDescent="0.25">
      <c r="A2017" s="2145"/>
      <c r="C2017" s="49"/>
      <c r="D2017" s="2394"/>
      <c r="E2017" s="2394"/>
      <c r="F2017" s="2404" t="str">
        <f t="shared" si="251"/>
        <v>ASHP-SEER15_ER2_SF</v>
      </c>
      <c r="G2017" s="2404"/>
      <c r="H2017" s="2404"/>
      <c r="I2017" s="2404"/>
      <c r="J2017" s="962" t="str">
        <f t="shared" si="252"/>
        <v>352350_2024_12_</v>
      </c>
      <c r="K2017" s="152"/>
      <c r="L2017" s="45" t="str">
        <f>IF(K2017&gt;0,VLOOKUP(J2017,$J$873:$L$974,3,FALSE),"")</f>
        <v/>
      </c>
      <c r="M2017" s="1508" t="str">
        <f>IF(K2017&gt;0,VLOOKUP(J2017,$J$1697:$K$1799,2,FALSE),"")</f>
        <v/>
      </c>
      <c r="P2017" s="243"/>
      <c r="Q2017" s="243"/>
      <c r="R2017" s="243"/>
      <c r="T2017" s="166"/>
      <c r="U2017" s="50"/>
      <c r="V2017" s="2394"/>
      <c r="W2017" s="152"/>
      <c r="X2017" s="154"/>
      <c r="Y2017" s="154"/>
      <c r="Z2017" s="152"/>
      <c r="AA2017" s="152"/>
      <c r="AB2017" s="152"/>
      <c r="AC2017" s="152"/>
      <c r="AD2017" s="152"/>
      <c r="AE2017" s="152"/>
      <c r="AF2017" s="743"/>
      <c r="AG2017" s="743" t="str">
        <f t="shared" si="248"/>
        <v/>
      </c>
      <c r="DG2017" s="543"/>
      <c r="DH2017" s="149"/>
      <c r="DI2017" s="1020"/>
      <c r="DJ2017" s="2045"/>
    </row>
    <row r="2018" spans="1:114" ht="15" customHeight="1" outlineLevel="1" x14ac:dyDescent="0.25">
      <c r="A2018" s="2145"/>
      <c r="C2018" s="49"/>
      <c r="D2018" s="2394"/>
      <c r="E2018" s="2394"/>
      <c r="F2018" s="2404" t="str">
        <f t="shared" si="251"/>
        <v>ASHP-SEER15_ER2_SF</v>
      </c>
      <c r="G2018" s="2404"/>
      <c r="H2018" s="2404"/>
      <c r="I2018" s="2404"/>
      <c r="J2018" s="962" t="str">
        <f t="shared" si="252"/>
        <v>352350_2024_12_</v>
      </c>
      <c r="K2018" s="152"/>
      <c r="L2018" s="45" t="str">
        <f>IF(K2018&gt;0,VLOOKUP(J2018,$J$873:$L$974,3,FALSE),"")</f>
        <v/>
      </c>
      <c r="M2018" s="1508" t="str">
        <f>IF(K2018&gt;0,VLOOKUP(J2018,$J$1697:$K$1799,2,FALSE),"")</f>
        <v/>
      </c>
      <c r="P2018" s="243"/>
      <c r="Q2018" s="243"/>
      <c r="R2018" s="243"/>
      <c r="T2018" s="166"/>
      <c r="U2018" s="50"/>
      <c r="V2018" s="2394"/>
      <c r="W2018" s="152"/>
      <c r="X2018" s="154"/>
      <c r="Y2018" s="154"/>
      <c r="Z2018" s="152"/>
      <c r="AA2018" s="152"/>
      <c r="AB2018" s="152"/>
      <c r="AC2018" s="152"/>
      <c r="AD2018" s="152"/>
      <c r="AE2018" s="152"/>
      <c r="AF2018" s="743"/>
      <c r="AG2018" s="743" t="str">
        <f t="shared" si="248"/>
        <v/>
      </c>
      <c r="DG2018" s="543"/>
      <c r="DH2018" s="149"/>
      <c r="DI2018" s="1020"/>
      <c r="DJ2018" s="2045"/>
    </row>
    <row r="2019" spans="1:114" ht="15" customHeight="1" outlineLevel="1" x14ac:dyDescent="0.25">
      <c r="A2019" s="2145"/>
      <c r="C2019" s="49"/>
      <c r="D2019" s="2394"/>
      <c r="E2019" s="2394"/>
      <c r="F2019" s="2404" t="str">
        <f t="shared" si="251"/>
        <v>ASHP-SEER15-Replace_CAC_ElectricHeat_ROF_SF</v>
      </c>
      <c r="G2019" s="2404"/>
      <c r="H2019" s="2404"/>
      <c r="I2019" s="2404"/>
      <c r="J2019" s="962" t="str">
        <f t="shared" si="252"/>
        <v>352400_2024_12_</v>
      </c>
      <c r="K2019" s="1514">
        <f>(S$874+L2019*T$874)-(S$883+L2019*T$883)</f>
        <v>3334.5954220882886</v>
      </c>
      <c r="L2019" s="45">
        <f>VLOOKUP(J2019,$J$873:$L$974,3,FALSE)*M2019</f>
        <v>2.8059923701471465</v>
      </c>
      <c r="M2019" s="1508">
        <f>VLOOKUP(J2019,$J$1697:$K$1799,2,FALSE)</f>
        <v>1</v>
      </c>
      <c r="N2019" s="524"/>
      <c r="P2019" s="243"/>
      <c r="Q2019" s="243"/>
      <c r="R2019" s="243"/>
      <c r="T2019" s="166"/>
      <c r="U2019" s="50"/>
      <c r="V2019" s="2394"/>
      <c r="W2019" s="152">
        <v>787.8</v>
      </c>
      <c r="X2019" s="154">
        <v>927.18000000000006</v>
      </c>
      <c r="Y2019" s="154">
        <v>303</v>
      </c>
      <c r="Z2019" s="152">
        <v>303</v>
      </c>
      <c r="AA2019" s="152">
        <v>303</v>
      </c>
      <c r="AB2019" s="152">
        <v>303</v>
      </c>
      <c r="AC2019" s="152">
        <v>303</v>
      </c>
      <c r="AD2019" s="152">
        <v>303</v>
      </c>
      <c r="AE2019" s="152">
        <v>303</v>
      </c>
      <c r="AF2019" s="743">
        <v>3334.5954220882886</v>
      </c>
      <c r="AG2019" s="743">
        <f t="shared" si="248"/>
        <v>3334.5954220882886</v>
      </c>
      <c r="DG2019" s="543"/>
      <c r="DH2019" s="149"/>
      <c r="DI2019" s="1020"/>
      <c r="DJ2019" s="2045"/>
    </row>
    <row r="2020" spans="1:114" ht="15" customHeight="1" outlineLevel="1" x14ac:dyDescent="0.25">
      <c r="A2020" s="2145"/>
      <c r="C2020" s="49"/>
      <c r="D2020" s="2394"/>
      <c r="E2020" s="2394"/>
      <c r="F2020" s="2404" t="str">
        <f t="shared" si="251"/>
        <v>ASHP-SEER15-Replace_CAC_ElectricHeat_ROF_SF</v>
      </c>
      <c r="G2020" s="2404"/>
      <c r="H2020" s="2404"/>
      <c r="I2020" s="2404"/>
      <c r="J2020" s="962" t="str">
        <f t="shared" si="252"/>
        <v>352400_2024_12_</v>
      </c>
      <c r="K2020" s="152"/>
      <c r="L2020" s="45" t="str">
        <f>IF(K2020&gt;0,VLOOKUP(J2020,$J$873:$L$974,3,FALSE),"")</f>
        <v/>
      </c>
      <c r="M2020" s="1508" t="str">
        <f>IF(K2020&gt;0,VLOOKUP(J2020,$J$1697:$K$1799,2,FALSE),"")</f>
        <v/>
      </c>
      <c r="P2020" s="243"/>
      <c r="Q2020" s="243"/>
      <c r="R2020" s="243"/>
      <c r="T2020" s="166"/>
      <c r="U2020" s="50"/>
      <c r="V2020" s="2394"/>
      <c r="W2020" s="152"/>
      <c r="X2020" s="154"/>
      <c r="Y2020" s="154"/>
      <c r="Z2020" s="152"/>
      <c r="AA2020" s="152"/>
      <c r="AB2020" s="152"/>
      <c r="AC2020" s="152"/>
      <c r="AD2020" s="152"/>
      <c r="AE2020" s="152"/>
      <c r="AF2020" s="743"/>
      <c r="AG2020" s="743" t="str">
        <f t="shared" si="248"/>
        <v/>
      </c>
      <c r="DG2020" s="543"/>
      <c r="DH2020" s="149"/>
      <c r="DI2020" s="1020"/>
      <c r="DJ2020" s="2045"/>
    </row>
    <row r="2021" spans="1:114" ht="15" customHeight="1" outlineLevel="1" x14ac:dyDescent="0.25">
      <c r="A2021" s="2145"/>
      <c r="C2021" s="49"/>
      <c r="D2021" s="2394"/>
      <c r="E2021" s="2394"/>
      <c r="F2021" s="2404" t="str">
        <f t="shared" si="251"/>
        <v>ASHP-SEER15-Replace_CAC_NonElectricHeat_ROF_SF</v>
      </c>
      <c r="G2021" s="2404"/>
      <c r="H2021" s="2404"/>
      <c r="I2021" s="2404"/>
      <c r="J2021" s="962" t="str">
        <f t="shared" si="252"/>
        <v>352410_2024_12_</v>
      </c>
      <c r="K2021" s="1514">
        <f>((S$874+L2021*T$874)-(S$883+L2021*T$883))*VLOOKUP(J2021,$J$2200:$K$2216,2,FALSE)</f>
        <v>104.30400986178219</v>
      </c>
      <c r="L2021" s="45">
        <f>VLOOKUP(J2021,$J$873:$L$974,3,FALSE)*M2021</f>
        <v>2.8059923701471465</v>
      </c>
      <c r="M2021" s="1508">
        <f>VLOOKUP(J2021,$J$1697:$K$1799,2,FALSE)</f>
        <v>1</v>
      </c>
      <c r="N2021" s="524"/>
      <c r="P2021" s="243"/>
      <c r="Q2021" s="243"/>
      <c r="R2021" s="243"/>
      <c r="T2021" s="166"/>
      <c r="U2021" s="50"/>
      <c r="V2021" s="2394"/>
      <c r="W2021" s="152"/>
      <c r="X2021" s="154"/>
      <c r="Y2021" s="154"/>
      <c r="Z2021" s="152"/>
      <c r="AA2021" s="152"/>
      <c r="AB2021" s="152"/>
      <c r="AC2021" s="154">
        <v>303</v>
      </c>
      <c r="AD2021" s="152">
        <v>303</v>
      </c>
      <c r="AE2021" s="152">
        <v>303</v>
      </c>
      <c r="AF2021" s="743">
        <v>98.842449430922628</v>
      </c>
      <c r="AG2021" s="743">
        <f t="shared" si="248"/>
        <v>104.30400986178219</v>
      </c>
      <c r="DG2021" s="543"/>
      <c r="DH2021" s="149"/>
      <c r="DI2021" s="1020"/>
      <c r="DJ2021" s="2045"/>
    </row>
    <row r="2022" spans="1:114" ht="15" customHeight="1" outlineLevel="1" x14ac:dyDescent="0.25">
      <c r="A2022" s="2145"/>
      <c r="C2022" s="49"/>
      <c r="D2022" s="2394"/>
      <c r="E2022" s="2394"/>
      <c r="F2022" s="2404" t="str">
        <f t="shared" si="251"/>
        <v>ASHP-SEER15-Replace_CAC_NonElectricHeat_ROF_SF</v>
      </c>
      <c r="G2022" s="2404"/>
      <c r="H2022" s="2404"/>
      <c r="I2022" s="2404"/>
      <c r="J2022" s="962" t="str">
        <f t="shared" si="252"/>
        <v>352410_2024_12_</v>
      </c>
      <c r="K2022" s="152"/>
      <c r="L2022" s="45"/>
      <c r="M2022" s="1508"/>
      <c r="P2022" s="243"/>
      <c r="Q2022" s="243"/>
      <c r="R2022" s="243"/>
      <c r="T2022" s="166"/>
      <c r="U2022" s="50"/>
      <c r="V2022" s="2394"/>
      <c r="W2022" s="152"/>
      <c r="X2022" s="154"/>
      <c r="Y2022" s="154"/>
      <c r="Z2022" s="152"/>
      <c r="AA2022" s="152"/>
      <c r="AB2022" s="152"/>
      <c r="AC2022" s="152"/>
      <c r="AD2022" s="152"/>
      <c r="AE2022" s="152"/>
      <c r="AF2022" s="743"/>
      <c r="AG2022" s="743" t="str">
        <f t="shared" si="248"/>
        <v/>
      </c>
      <c r="DG2022" s="543"/>
      <c r="DH2022" s="149"/>
      <c r="DI2022" s="1020"/>
      <c r="DJ2022" s="2045"/>
    </row>
    <row r="2023" spans="1:114" ht="15.75" customHeight="1" outlineLevel="1" x14ac:dyDescent="0.25">
      <c r="A2023" s="2145"/>
      <c r="C2023" s="49"/>
      <c r="D2023" s="2394"/>
      <c r="E2023" s="2394"/>
      <c r="F2023" s="1968" t="s">
        <v>1130</v>
      </c>
      <c r="G2023" s="1969"/>
      <c r="H2023" s="1969"/>
      <c r="I2023" s="1970"/>
      <c r="J2023" s="2095" t="str">
        <f>$C$663</f>
        <v>352420_2025_12_</v>
      </c>
      <c r="K2023" s="1982">
        <f>(S$874+L2023*T$874)-(S$885+L2023*T$885)*S$891</f>
        <v>2913.5649648885365</v>
      </c>
      <c r="L2023" s="45">
        <f>VLOOKUP(J2023,$J$873:$L$975,3,FALSE)*M2023</f>
        <v>2.0347222222222219</v>
      </c>
      <c r="M2023" s="1508">
        <f>VLOOKUP(J2023,$J$1697:$K$1799,2,FALSE)</f>
        <v>1</v>
      </c>
      <c r="S2023" s="50">
        <v>1</v>
      </c>
      <c r="T2023" s="50"/>
      <c r="U2023" s="50"/>
      <c r="V2023" s="2394"/>
      <c r="W2023" s="213"/>
      <c r="X2023" s="213"/>
      <c r="Y2023" s="213"/>
      <c r="Z2023" s="213"/>
      <c r="AA2023" s="213"/>
      <c r="AB2023" s="213"/>
      <c r="AC2023" s="2020"/>
      <c r="AD2023" s="2021"/>
      <c r="AE2023" s="2022"/>
      <c r="AF2023" s="2019">
        <v>1081</v>
      </c>
      <c r="AG2023" s="743">
        <f>IF(K2023&lt;&gt;"",K2023,"")</f>
        <v>2913.5649648885365</v>
      </c>
      <c r="DG2023" s="543"/>
      <c r="DH2023" s="149"/>
      <c r="DI2023" s="1020"/>
      <c r="DJ2023" s="2045"/>
    </row>
    <row r="2024" spans="1:114" ht="15.75" customHeight="1" outlineLevel="1" x14ac:dyDescent="0.25">
      <c r="A2024" s="2145"/>
      <c r="C2024" s="49"/>
      <c r="D2024" s="2394"/>
      <c r="E2024" s="2394"/>
      <c r="F2024" s="1968" t="s">
        <v>1131</v>
      </c>
      <c r="G2024" s="1969"/>
      <c r="H2024" s="1969"/>
      <c r="I2024" s="1970"/>
      <c r="J2024" s="2095" t="str">
        <f>$C$664</f>
        <v>352420_2025_12_</v>
      </c>
      <c r="K2024" s="154"/>
      <c r="L2024" s="45">
        <f>VLOOKUP(J2024,$J$873:$L$975,3,FALSE)*M2024</f>
        <v>2.0347222222222219</v>
      </c>
      <c r="M2024" s="1508">
        <f>VLOOKUP(J2024,$J$1697:$K$1799,2,FALSE)</f>
        <v>1</v>
      </c>
      <c r="T2024" s="50"/>
      <c r="U2024" s="50"/>
      <c r="V2024" s="2394"/>
      <c r="W2024" s="213"/>
      <c r="X2024" s="213"/>
      <c r="Y2024" s="213"/>
      <c r="Z2024" s="213"/>
      <c r="AA2024" s="213"/>
      <c r="AB2024" s="213"/>
      <c r="AC2024" s="2020"/>
      <c r="AD2024" s="2021"/>
      <c r="AE2024" s="2022"/>
      <c r="AF2024" s="2019"/>
      <c r="AG2024" s="743" t="str">
        <f>IF(K2024&lt;&gt;"",K2024,"")</f>
        <v/>
      </c>
      <c r="DG2024" s="543"/>
      <c r="DH2024" s="149"/>
      <c r="DI2024" s="1020"/>
      <c r="DJ2024" s="2045"/>
    </row>
    <row r="2025" spans="1:114" ht="15.75" customHeight="1" outlineLevel="1" x14ac:dyDescent="0.25">
      <c r="A2025" s="2145"/>
      <c r="C2025" s="49"/>
      <c r="D2025" s="2394"/>
      <c r="E2025" s="2394"/>
      <c r="F2025" s="1968" t="s">
        <v>1133</v>
      </c>
      <c r="G2025" s="1969"/>
      <c r="H2025" s="1969"/>
      <c r="I2025" s="1970"/>
      <c r="J2025" s="2095" t="str">
        <f>$C$667</f>
        <v>352425_2025_12_</v>
      </c>
      <c r="K2025" s="1982">
        <f>(S$874+L2025*T$874)-(S$883+L2025*T$883)</f>
        <v>3371</v>
      </c>
      <c r="L2025" s="45">
        <f>VLOOKUP(J2025,$J$873:$L$975,3,FALSE)*M2025</f>
        <v>2.8666666666666667</v>
      </c>
      <c r="M2025" s="1508">
        <f>VLOOKUP(J2025,$J$1697:$K$1799,2,FALSE)</f>
        <v>1</v>
      </c>
      <c r="T2025" s="50"/>
      <c r="U2025" s="50"/>
      <c r="V2025" s="2394"/>
      <c r="W2025" s="213"/>
      <c r="X2025" s="213"/>
      <c r="Y2025" s="213"/>
      <c r="Z2025" s="213"/>
      <c r="AA2025" s="213"/>
      <c r="AB2025" s="213"/>
      <c r="AC2025" s="2020"/>
      <c r="AD2025" s="2021"/>
      <c r="AE2025" s="2022"/>
      <c r="AF2025" s="2019"/>
      <c r="AG2025" s="743">
        <f>IF(K2025&lt;&gt;"",K2025,"")</f>
        <v>3371</v>
      </c>
      <c r="DG2025" s="543"/>
      <c r="DH2025" s="149"/>
      <c r="DI2025" s="1020"/>
      <c r="DJ2025" s="2045"/>
    </row>
    <row r="2026" spans="1:114" ht="15" customHeight="1" outlineLevel="1" x14ac:dyDescent="0.25">
      <c r="A2026" s="2145"/>
      <c r="C2026" s="49"/>
      <c r="D2026" s="2394"/>
      <c r="E2026" s="2394"/>
      <c r="F2026" s="2404" t="str">
        <f t="shared" ref="F2026:F2033" si="253">E669</f>
        <v>ASHP-SEER16-Replace_CAC_ElectricHeat_ER1_SF</v>
      </c>
      <c r="G2026" s="2404"/>
      <c r="H2026" s="2404"/>
      <c r="I2026" s="2404"/>
      <c r="J2026" s="962" t="str">
        <f t="shared" ref="J2026:J2033" si="254">C669</f>
        <v>352500_2024_12_</v>
      </c>
      <c r="K2026" s="1514">
        <f>(S$875+L2026*T$875)-((S$885+L2026*T$885)*S$891)</f>
        <v>3497.3493799102171</v>
      </c>
      <c r="L2026" s="45">
        <f>VLOOKUP(J2026,$J$873:$L$974,3,FALSE)*M2026</f>
        <v>2.5310295805916874</v>
      </c>
      <c r="M2026" s="1508">
        <f>VLOOKUP(J2026,$J$1697:$K$1799,2,FALSE)</f>
        <v>1</v>
      </c>
      <c r="N2026" s="524"/>
      <c r="P2026" s="243"/>
      <c r="Q2026" s="243"/>
      <c r="R2026" s="243"/>
      <c r="T2026" s="166"/>
      <c r="U2026" s="50"/>
      <c r="V2026" s="2394"/>
      <c r="W2026" s="152">
        <v>2896.6077829603428</v>
      </c>
      <c r="X2026" s="154">
        <v>3844.7226619038656</v>
      </c>
      <c r="Y2026" s="154">
        <v>1287.9206457115542</v>
      </c>
      <c r="Z2026" s="152">
        <v>1287.9206457115542</v>
      </c>
      <c r="AA2026" s="152">
        <v>1287.9206457115542</v>
      </c>
      <c r="AB2026" s="154">
        <v>1142.384378503531</v>
      </c>
      <c r="AC2026" s="154">
        <v>1136.2940995261133</v>
      </c>
      <c r="AD2026" s="154">
        <v>1096.0970591411706</v>
      </c>
      <c r="AE2026" s="154">
        <v>1128.5031002368705</v>
      </c>
      <c r="AF2026" s="743">
        <v>3497.3493799102171</v>
      </c>
      <c r="AG2026" s="743">
        <f t="shared" si="248"/>
        <v>3497.3493799102171</v>
      </c>
      <c r="DG2026" s="543"/>
      <c r="DH2026" s="149"/>
      <c r="DI2026" s="1020"/>
      <c r="DJ2026" s="2045"/>
    </row>
    <row r="2027" spans="1:114" ht="15" customHeight="1" outlineLevel="1" x14ac:dyDescent="0.25">
      <c r="A2027" s="2145"/>
      <c r="C2027" s="49"/>
      <c r="D2027" s="2394"/>
      <c r="E2027" s="2394"/>
      <c r="F2027" s="2404" t="str">
        <f t="shared" si="253"/>
        <v>ASHP-SEER16-Replace_CAC_ElectricHeat_ER1_SF</v>
      </c>
      <c r="G2027" s="2404"/>
      <c r="H2027" s="2404"/>
      <c r="I2027" s="2404"/>
      <c r="J2027" s="962" t="str">
        <f t="shared" si="254"/>
        <v>352500_2024_12_</v>
      </c>
      <c r="K2027" s="152"/>
      <c r="L2027" s="45" t="str">
        <f>IF(K2027&gt;0,VLOOKUP(J2027,$J$873:$L$974,3,FALSE),"")</f>
        <v/>
      </c>
      <c r="M2027" s="1508" t="str">
        <f>IF(K2027&gt;0,VLOOKUP(J2027,$J$1697:$K$1799,2,FALSE),"")</f>
        <v/>
      </c>
      <c r="P2027" s="243"/>
      <c r="Q2027" s="243"/>
      <c r="R2027" s="243"/>
      <c r="T2027" s="166"/>
      <c r="U2027" s="50"/>
      <c r="V2027" s="2394"/>
      <c r="W2027" s="152"/>
      <c r="X2027" s="154"/>
      <c r="Y2027" s="154"/>
      <c r="Z2027" s="152"/>
      <c r="AA2027" s="152"/>
      <c r="AB2027" s="152"/>
      <c r="AC2027" s="152"/>
      <c r="AD2027" s="152"/>
      <c r="AE2027" s="152"/>
      <c r="AF2027" s="743"/>
      <c r="AG2027" s="743" t="str">
        <f t="shared" si="248"/>
        <v/>
      </c>
      <c r="DG2027" s="543"/>
      <c r="DH2027" s="149"/>
      <c r="DI2027" s="1020"/>
      <c r="DJ2027" s="2045"/>
    </row>
    <row r="2028" spans="1:114" ht="15" customHeight="1" outlineLevel="1" x14ac:dyDescent="0.25">
      <c r="A2028" s="2145"/>
      <c r="C2028" s="49"/>
      <c r="D2028" s="2394"/>
      <c r="E2028" s="2394"/>
      <c r="F2028" s="2404" t="str">
        <f t="shared" si="253"/>
        <v>ASHP-SEER16-Replace_CAC_ElectricHeat_ER2_SF</v>
      </c>
      <c r="G2028" s="2404"/>
      <c r="H2028" s="2404"/>
      <c r="I2028" s="2404"/>
      <c r="J2028" s="962" t="str">
        <f t="shared" si="254"/>
        <v>352500_2024_12_</v>
      </c>
      <c r="K2028" s="152"/>
      <c r="L2028" s="45" t="str">
        <f>IF(K2028&gt;0,VLOOKUP(J2028,$J$873:$L$974,3,FALSE),"")</f>
        <v/>
      </c>
      <c r="M2028" s="1508" t="str">
        <f>IF(K2028&gt;0,VLOOKUP(J2028,$J$1697:$K$1799,2,FALSE),"")</f>
        <v/>
      </c>
      <c r="P2028" s="243"/>
      <c r="Q2028" s="243"/>
      <c r="R2028" s="243"/>
      <c r="T2028" s="166"/>
      <c r="U2028" s="50"/>
      <c r="V2028" s="2394"/>
      <c r="W2028" s="152"/>
      <c r="X2028" s="154"/>
      <c r="Y2028" s="154"/>
      <c r="Z2028" s="152"/>
      <c r="AA2028" s="152"/>
      <c r="AB2028" s="152"/>
      <c r="AC2028" s="152"/>
      <c r="AD2028" s="152"/>
      <c r="AE2028" s="152"/>
      <c r="AF2028" s="743"/>
      <c r="AG2028" s="743" t="str">
        <f t="shared" si="248"/>
        <v/>
      </c>
      <c r="DG2028" s="543"/>
      <c r="DH2028" s="149"/>
      <c r="DI2028" s="1020"/>
      <c r="DJ2028" s="2045"/>
    </row>
    <row r="2029" spans="1:114" ht="15" customHeight="1" outlineLevel="1" x14ac:dyDescent="0.25">
      <c r="A2029" s="2145"/>
      <c r="C2029" s="49"/>
      <c r="D2029" s="2394"/>
      <c r="E2029" s="2394"/>
      <c r="F2029" s="2404" t="str">
        <f t="shared" si="253"/>
        <v>ASHP-SEER16-Replace_CAC_ElectricHeat_ER2_SF</v>
      </c>
      <c r="G2029" s="2404"/>
      <c r="H2029" s="2404"/>
      <c r="I2029" s="2404"/>
      <c r="J2029" s="1506" t="str">
        <f t="shared" si="254"/>
        <v>352500_2024_12_</v>
      </c>
      <c r="K2029" s="152"/>
      <c r="L2029" s="45" t="str">
        <f>IF(K2029&gt;0,VLOOKUP(J2029,$J$873:$L$974,3,FALSE),"")</f>
        <v/>
      </c>
      <c r="M2029" s="1508" t="str">
        <f>IF(K2029&gt;0,VLOOKUP(J2029,$J$1697:$K$1799,2,FALSE),"")</f>
        <v/>
      </c>
      <c r="P2029" s="243"/>
      <c r="Q2029" s="243"/>
      <c r="R2029" s="243"/>
      <c r="T2029" s="166"/>
      <c r="U2029" s="50"/>
      <c r="V2029" s="2394"/>
      <c r="W2029" s="152"/>
      <c r="X2029" s="154"/>
      <c r="Y2029" s="154"/>
      <c r="Z2029" s="152"/>
      <c r="AA2029" s="152"/>
      <c r="AB2029" s="152"/>
      <c r="AC2029" s="152"/>
      <c r="AD2029" s="152"/>
      <c r="AE2029" s="152"/>
      <c r="AF2029" s="743"/>
      <c r="AG2029" s="743" t="str">
        <f t="shared" ref="AG2029:AG2100" si="255">IF(K2029&lt;&gt;"",K2029,"")</f>
        <v/>
      </c>
      <c r="DG2029" s="543"/>
      <c r="DH2029" s="149"/>
      <c r="DI2029" s="1020"/>
      <c r="DJ2029" s="2045"/>
    </row>
    <row r="2030" spans="1:114" ht="15" customHeight="1" outlineLevel="1" x14ac:dyDescent="0.25">
      <c r="A2030" s="2145"/>
      <c r="C2030" s="49"/>
      <c r="D2030" s="2394"/>
      <c r="E2030" s="2394"/>
      <c r="F2030" s="2404" t="str">
        <f t="shared" si="253"/>
        <v>ASHP-SEER16-Replace_CAC_NonElectricHeat_ER1_SF</v>
      </c>
      <c r="G2030" s="2404"/>
      <c r="H2030" s="2404"/>
      <c r="I2030" s="2404"/>
      <c r="J2030" s="1506" t="str">
        <f t="shared" si="254"/>
        <v>352510_2024_12_</v>
      </c>
      <c r="K2030" s="1514">
        <f>((S$875+L2030*T$875)-((S$885+L2030*T$885)*S$891))*VLOOKUP(J2030,$J$2200:$K$2216,2,FALSE)</f>
        <v>497.81203769614604</v>
      </c>
      <c r="L2030" s="45">
        <f>VLOOKUP(J2030,$J$873:$L$974,3,FALSE)*M2030</f>
        <v>2.5310295805916874</v>
      </c>
      <c r="M2030" s="1508">
        <f>VLOOKUP(J2030,$J$1697:$K$1799,2,FALSE)</f>
        <v>1</v>
      </c>
      <c r="N2030" s="524"/>
      <c r="P2030" s="243"/>
      <c r="Q2030" s="243"/>
      <c r="R2030" s="243"/>
      <c r="T2030" s="166"/>
      <c r="U2030" s="50"/>
      <c r="V2030" s="2394"/>
      <c r="W2030" s="152"/>
      <c r="X2030" s="154"/>
      <c r="Y2030" s="154"/>
      <c r="Z2030" s="152"/>
      <c r="AA2030" s="152"/>
      <c r="AB2030" s="152"/>
      <c r="AC2030" s="154">
        <v>1136.2940995261133</v>
      </c>
      <c r="AD2030" s="154">
        <v>1096.0970591411706</v>
      </c>
      <c r="AE2030" s="154">
        <v>1128.5031002368705</v>
      </c>
      <c r="AF2030" s="743">
        <v>461.50538007420482</v>
      </c>
      <c r="AG2030" s="743">
        <f t="shared" si="255"/>
        <v>497.81203769614604</v>
      </c>
      <c r="DG2030" s="543"/>
      <c r="DH2030" s="149"/>
      <c r="DI2030" s="1020"/>
      <c r="DJ2030" s="2045"/>
    </row>
    <row r="2031" spans="1:114" ht="15" customHeight="1" outlineLevel="1" x14ac:dyDescent="0.25">
      <c r="A2031" s="2145"/>
      <c r="C2031" s="49"/>
      <c r="D2031" s="2394"/>
      <c r="E2031" s="2394"/>
      <c r="F2031" s="2404" t="str">
        <f t="shared" si="253"/>
        <v>ASHP-SEER16-Replace_CAC_NonElectricHeat_ER1_SF</v>
      </c>
      <c r="G2031" s="2404"/>
      <c r="H2031" s="2404"/>
      <c r="I2031" s="2404"/>
      <c r="J2031" s="1506" t="str">
        <f t="shared" si="254"/>
        <v>352510_2024_12_</v>
      </c>
      <c r="K2031" s="152"/>
      <c r="L2031" s="45"/>
      <c r="M2031" s="1508"/>
      <c r="P2031" s="243"/>
      <c r="Q2031" s="243"/>
      <c r="R2031" s="243"/>
      <c r="T2031" s="166"/>
      <c r="U2031" s="50"/>
      <c r="V2031" s="2394"/>
      <c r="W2031" s="152"/>
      <c r="X2031" s="154"/>
      <c r="Y2031" s="154"/>
      <c r="Z2031" s="152"/>
      <c r="AA2031" s="152"/>
      <c r="AB2031" s="152"/>
      <c r="AC2031" s="152"/>
      <c r="AD2031" s="152"/>
      <c r="AE2031" s="152"/>
      <c r="AF2031" s="743"/>
      <c r="AG2031" s="743" t="str">
        <f t="shared" si="255"/>
        <v/>
      </c>
      <c r="DG2031" s="543"/>
      <c r="DH2031" s="149"/>
      <c r="DI2031" s="1020"/>
      <c r="DJ2031" s="2045"/>
    </row>
    <row r="2032" spans="1:114" ht="15" customHeight="1" outlineLevel="1" x14ac:dyDescent="0.25">
      <c r="A2032" s="2145"/>
      <c r="C2032" s="49"/>
      <c r="D2032" s="2394"/>
      <c r="E2032" s="2394"/>
      <c r="F2032" s="2404" t="str">
        <f t="shared" si="253"/>
        <v>ASHP-SEER16-Replace_CAC_NonElectricHeat_ER2_SF</v>
      </c>
      <c r="G2032" s="2404"/>
      <c r="H2032" s="2404"/>
      <c r="I2032" s="2404"/>
      <c r="J2032" s="1506" t="str">
        <f t="shared" si="254"/>
        <v>352510_2024_12_</v>
      </c>
      <c r="K2032" s="152"/>
      <c r="L2032" s="45"/>
      <c r="M2032" s="1508"/>
      <c r="P2032" s="243"/>
      <c r="Q2032" s="243"/>
      <c r="R2032" s="243"/>
      <c r="T2032" s="166"/>
      <c r="U2032" s="50"/>
      <c r="V2032" s="2394"/>
      <c r="W2032" s="152"/>
      <c r="X2032" s="154"/>
      <c r="Y2032" s="154"/>
      <c r="Z2032" s="152"/>
      <c r="AA2032" s="152"/>
      <c r="AB2032" s="152"/>
      <c r="AC2032" s="152"/>
      <c r="AD2032" s="152"/>
      <c r="AE2032" s="152"/>
      <c r="AF2032" s="743"/>
      <c r="AG2032" s="743" t="str">
        <f t="shared" si="255"/>
        <v/>
      </c>
      <c r="DG2032" s="543"/>
      <c r="DH2032" s="149"/>
      <c r="DI2032" s="1020"/>
      <c r="DJ2032" s="2045"/>
    </row>
    <row r="2033" spans="1:114" ht="15" customHeight="1" outlineLevel="1" x14ac:dyDescent="0.25">
      <c r="A2033" s="2145"/>
      <c r="C2033" s="49"/>
      <c r="D2033" s="2394"/>
      <c r="E2033" s="2394"/>
      <c r="F2033" s="2404" t="str">
        <f t="shared" si="253"/>
        <v>ASHP-SEER16-Replace_CAC_NonElectricHeat_ER2_SF</v>
      </c>
      <c r="G2033" s="2404"/>
      <c r="H2033" s="2404"/>
      <c r="I2033" s="2404"/>
      <c r="J2033" s="1506" t="str">
        <f t="shared" si="254"/>
        <v>352510_2024_12_</v>
      </c>
      <c r="K2033" s="152"/>
      <c r="L2033" s="45"/>
      <c r="M2033" s="1508"/>
      <c r="P2033" s="243"/>
      <c r="Q2033" s="243"/>
      <c r="R2033" s="243"/>
      <c r="T2033" s="166"/>
      <c r="U2033" s="50"/>
      <c r="V2033" s="2394"/>
      <c r="W2033" s="152"/>
      <c r="X2033" s="154"/>
      <c r="Y2033" s="154"/>
      <c r="Z2033" s="152"/>
      <c r="AA2033" s="152"/>
      <c r="AB2033" s="152"/>
      <c r="AC2033" s="152"/>
      <c r="AD2033" s="152"/>
      <c r="AE2033" s="152"/>
      <c r="AF2033" s="743"/>
      <c r="AG2033" s="743" t="str">
        <f t="shared" si="255"/>
        <v/>
      </c>
      <c r="DG2033" s="543"/>
      <c r="DH2033" s="149"/>
      <c r="DI2033" s="1020"/>
      <c r="DJ2033" s="2045"/>
    </row>
    <row r="2034" spans="1:114" ht="15.75" customHeight="1" outlineLevel="1" x14ac:dyDescent="0.25">
      <c r="A2034" s="2145"/>
      <c r="C2034" s="49"/>
      <c r="D2034" s="2394"/>
      <c r="E2034" s="2394"/>
      <c r="F2034" s="1968" t="s">
        <v>1141</v>
      </c>
      <c r="G2034" s="1969"/>
      <c r="H2034" s="1969"/>
      <c r="I2034" s="1970"/>
      <c r="J2034" s="2095" t="s">
        <v>1140</v>
      </c>
      <c r="K2034" s="1982">
        <f>((S$875+L2034*T$875)-(S$883+L2034*T$883))*VLOOKUP(J2034,$J$2200:$K$2216,2,FALSE)</f>
        <v>317.09399619931401</v>
      </c>
      <c r="L2034" s="45">
        <f>VLOOKUP(J2034,$J$873:$L$975,3,FALSE)*M2034</f>
        <v>2.0666666666666669</v>
      </c>
      <c r="M2034" s="1508">
        <f>VLOOKUP(J2034,$J$1697:$K$1799,2,FALSE)</f>
        <v>1</v>
      </c>
      <c r="T2034" s="50"/>
      <c r="U2034" s="50"/>
      <c r="V2034" s="2394"/>
      <c r="W2034" s="213"/>
      <c r="X2034" s="213"/>
      <c r="Y2034" s="213"/>
      <c r="Z2034" s="213"/>
      <c r="AA2034" s="213"/>
      <c r="AB2034" s="213"/>
      <c r="AC2034" s="2020"/>
      <c r="AD2034" s="2021"/>
      <c r="AE2034" s="2022"/>
      <c r="AF2034" s="2019"/>
      <c r="AG2034" s="743">
        <f>IF(K2034&lt;&gt;"",K2034,"")</f>
        <v>317.09399619931401</v>
      </c>
      <c r="DG2034" s="543"/>
      <c r="DH2034" s="149"/>
      <c r="DI2034" s="1020"/>
      <c r="DJ2034" s="2045"/>
    </row>
    <row r="2035" spans="1:114" ht="15.75" customHeight="1" outlineLevel="1" x14ac:dyDescent="0.25">
      <c r="A2035" s="2145"/>
      <c r="C2035" s="49"/>
      <c r="D2035" s="2394"/>
      <c r="E2035" s="2394"/>
      <c r="F2035" s="1968" t="s">
        <v>1142</v>
      </c>
      <c r="G2035" s="1969"/>
      <c r="H2035" s="1969"/>
      <c r="I2035" s="1970"/>
      <c r="J2035" s="2095" t="s">
        <v>1140</v>
      </c>
      <c r="K2035" s="154"/>
      <c r="L2035" s="45">
        <f>VLOOKUP(J2035,$J$873:$L$975,3,FALSE)*M2035</f>
        <v>2.0666666666666669</v>
      </c>
      <c r="M2035" s="1508">
        <f>VLOOKUP(J2035,$J$1697:$K$1799,2,FALSE)</f>
        <v>1</v>
      </c>
      <c r="T2035" s="50"/>
      <c r="U2035" s="50"/>
      <c r="V2035" s="2394"/>
      <c r="W2035" s="213"/>
      <c r="X2035" s="213"/>
      <c r="Y2035" s="213"/>
      <c r="Z2035" s="213"/>
      <c r="AA2035" s="213"/>
      <c r="AB2035" s="213"/>
      <c r="AC2035" s="2020"/>
      <c r="AD2035" s="2021"/>
      <c r="AE2035" s="2022"/>
      <c r="AF2035" s="2019"/>
      <c r="AG2035" s="743" t="str">
        <f>IF(K2035&lt;&gt;"",K2035,"")</f>
        <v/>
      </c>
      <c r="DG2035" s="543"/>
      <c r="DH2035" s="149"/>
      <c r="DI2035" s="1020"/>
      <c r="DJ2035" s="2045"/>
    </row>
    <row r="2036" spans="1:114" ht="15" customHeight="1" outlineLevel="1" x14ac:dyDescent="0.25">
      <c r="A2036" s="2145"/>
      <c r="C2036" s="49"/>
      <c r="D2036" s="2394"/>
      <c r="E2036" s="2394"/>
      <c r="F2036" s="2404" t="str">
        <f t="shared" ref="F2036:F2041" si="256">E681</f>
        <v>ASHP-SEER16_ER1_SF</v>
      </c>
      <c r="G2036" s="2404"/>
      <c r="H2036" s="2404"/>
      <c r="I2036" s="2404"/>
      <c r="J2036" s="1506" t="str">
        <f t="shared" ref="J2036:J2041" si="257">C681</f>
        <v>352550_2024_12_</v>
      </c>
      <c r="K2036" s="1514">
        <f>(S$875+L2036*T$875)-(S$884+L2036*T$884)*S$891</f>
        <v>417.68019891621225</v>
      </c>
      <c r="L2036" s="45">
        <f>VLOOKUP(J2036,$J$873:$L$974,3,FALSE)*M2036</f>
        <v>2.5310295805916874</v>
      </c>
      <c r="M2036" s="1508">
        <f>VLOOKUP(J2036,$J$1697:$K$1799,2,FALSE)</f>
        <v>1</v>
      </c>
      <c r="N2036" s="524"/>
      <c r="P2036" s="243"/>
      <c r="Q2036" s="243"/>
      <c r="R2036" s="243"/>
      <c r="T2036" s="166"/>
      <c r="U2036" s="50"/>
      <c r="V2036" s="2394"/>
      <c r="W2036" s="152">
        <v>3083.4857044416549</v>
      </c>
      <c r="X2036" s="154">
        <v>3844.7226619038656</v>
      </c>
      <c r="Y2036" s="154">
        <v>1279.4751679218225</v>
      </c>
      <c r="Z2036" s="152">
        <v>1279.4751679218225</v>
      </c>
      <c r="AA2036" s="152">
        <v>1279.4751679218225</v>
      </c>
      <c r="AB2036" s="154">
        <v>1181.0521038690172</v>
      </c>
      <c r="AC2036" s="154">
        <v>1165.4895470570027</v>
      </c>
      <c r="AD2036" s="154">
        <v>1096.0970591411706</v>
      </c>
      <c r="AE2036" s="154">
        <v>1128.5031002368705</v>
      </c>
      <c r="AF2036" s="743">
        <v>417.68019891621225</v>
      </c>
      <c r="AG2036" s="743">
        <f t="shared" si="255"/>
        <v>417.68019891621225</v>
      </c>
      <c r="DG2036" s="543"/>
      <c r="DH2036" s="149"/>
      <c r="DI2036" s="1020"/>
      <c r="DJ2036" s="2045"/>
    </row>
    <row r="2037" spans="1:114" ht="15" customHeight="1" outlineLevel="1" x14ac:dyDescent="0.25">
      <c r="A2037" s="2145"/>
      <c r="C2037" s="49"/>
      <c r="D2037" s="2394"/>
      <c r="E2037" s="2394"/>
      <c r="F2037" s="2404" t="str">
        <f t="shared" si="256"/>
        <v>ASHP-SEER16_ER1_SF</v>
      </c>
      <c r="G2037" s="2404"/>
      <c r="H2037" s="2404"/>
      <c r="I2037" s="2404"/>
      <c r="J2037" s="1506" t="str">
        <f t="shared" si="257"/>
        <v>352550_2024_12_</v>
      </c>
      <c r="K2037" s="152"/>
      <c r="L2037" s="45" t="str">
        <f>IF(K2037&gt;0,VLOOKUP(J2037,$J$873:$L$974,3,FALSE),"")</f>
        <v/>
      </c>
      <c r="M2037" s="1508" t="str">
        <f>IF(K2037&gt;0,VLOOKUP(J2037,$J$1697:$K$1799,2,FALSE),"")</f>
        <v/>
      </c>
      <c r="P2037" s="243"/>
      <c r="Q2037" s="243"/>
      <c r="R2037" s="243"/>
      <c r="T2037" s="166"/>
      <c r="U2037" s="50"/>
      <c r="V2037" s="2394"/>
      <c r="W2037" s="152"/>
      <c r="X2037" s="154"/>
      <c r="Y2037" s="154"/>
      <c r="Z2037" s="152"/>
      <c r="AA2037" s="152"/>
      <c r="AB2037" s="154"/>
      <c r="AC2037" s="152"/>
      <c r="AD2037" s="152"/>
      <c r="AE2037" s="152"/>
      <c r="AF2037" s="743"/>
      <c r="AG2037" s="743" t="str">
        <f t="shared" si="255"/>
        <v/>
      </c>
      <c r="DG2037" s="543"/>
      <c r="DH2037" s="149"/>
      <c r="DI2037" s="1020"/>
      <c r="DJ2037" s="2045"/>
    </row>
    <row r="2038" spans="1:114" ht="15" customHeight="1" outlineLevel="1" x14ac:dyDescent="0.25">
      <c r="A2038" s="2145"/>
      <c r="C2038" s="49"/>
      <c r="D2038" s="2394"/>
      <c r="E2038" s="2394"/>
      <c r="F2038" s="2404" t="str">
        <f t="shared" si="256"/>
        <v>ASHP-SEER16_ER2_SF</v>
      </c>
      <c r="G2038" s="2404"/>
      <c r="H2038" s="2404"/>
      <c r="I2038" s="2404"/>
      <c r="J2038" s="1506" t="str">
        <f t="shared" si="257"/>
        <v>352550_2024_12_</v>
      </c>
      <c r="K2038" s="152"/>
      <c r="L2038" s="45" t="str">
        <f>IF(K2038&gt;0,VLOOKUP(J2038,$J$873:$L$974,3,FALSE),"")</f>
        <v/>
      </c>
      <c r="M2038" s="1508" t="str">
        <f>IF(K2038&gt;0,VLOOKUP(J2038,$J$1697:$K$1799,2,FALSE),"")</f>
        <v/>
      </c>
      <c r="P2038" s="243"/>
      <c r="Q2038" s="243"/>
      <c r="R2038" s="243"/>
      <c r="T2038" s="166"/>
      <c r="U2038" s="50"/>
      <c r="V2038" s="2394"/>
      <c r="W2038" s="152"/>
      <c r="X2038" s="154"/>
      <c r="Y2038" s="154"/>
      <c r="Z2038" s="152"/>
      <c r="AA2038" s="152"/>
      <c r="AB2038" s="154"/>
      <c r="AC2038" s="152"/>
      <c r="AD2038" s="152"/>
      <c r="AE2038" s="152"/>
      <c r="AF2038" s="743"/>
      <c r="AG2038" s="743" t="str">
        <f t="shared" si="255"/>
        <v/>
      </c>
      <c r="DG2038" s="543"/>
      <c r="DH2038" s="149"/>
      <c r="DI2038" s="1020"/>
      <c r="DJ2038" s="2045"/>
    </row>
    <row r="2039" spans="1:114" ht="15" customHeight="1" outlineLevel="1" x14ac:dyDescent="0.25">
      <c r="A2039" s="2145"/>
      <c r="C2039" s="49"/>
      <c r="D2039" s="2394"/>
      <c r="E2039" s="2394"/>
      <c r="F2039" s="2404" t="str">
        <f t="shared" si="256"/>
        <v>ASHP-SEER16_ER2_SF</v>
      </c>
      <c r="G2039" s="2404"/>
      <c r="H2039" s="2404"/>
      <c r="I2039" s="2404"/>
      <c r="J2039" s="1506" t="str">
        <f t="shared" si="257"/>
        <v>352550_2024_12_</v>
      </c>
      <c r="K2039" s="152"/>
      <c r="L2039" s="45" t="str">
        <f>IF(K2039&gt;0,VLOOKUP(J2039,$J$873:$L$974,3,FALSE),"")</f>
        <v/>
      </c>
      <c r="M2039" s="1508" t="str">
        <f>IF(K2039&gt;0,VLOOKUP(J2039,$J$1697:$K$1799,2,FALSE),"")</f>
        <v/>
      </c>
      <c r="P2039" s="243"/>
      <c r="Q2039" s="243"/>
      <c r="R2039" s="243"/>
      <c r="T2039" s="166"/>
      <c r="U2039" s="50"/>
      <c r="V2039" s="2394"/>
      <c r="W2039" s="152"/>
      <c r="X2039" s="154"/>
      <c r="Y2039" s="154"/>
      <c r="Z2039" s="152"/>
      <c r="AA2039" s="152"/>
      <c r="AB2039" s="154"/>
      <c r="AC2039" s="152"/>
      <c r="AD2039" s="152"/>
      <c r="AE2039" s="152"/>
      <c r="AF2039" s="743"/>
      <c r="AG2039" s="743" t="str">
        <f t="shared" si="255"/>
        <v/>
      </c>
      <c r="DG2039" s="543"/>
      <c r="DH2039" s="149"/>
      <c r="DI2039" s="1020"/>
      <c r="DJ2039" s="2045"/>
    </row>
    <row r="2040" spans="1:114" ht="15" customHeight="1" outlineLevel="1" x14ac:dyDescent="0.25">
      <c r="A2040" s="2145"/>
      <c r="C2040" s="49"/>
      <c r="D2040" s="2394"/>
      <c r="E2040" s="2394"/>
      <c r="F2040" s="2404" t="str">
        <f t="shared" si="256"/>
        <v>ASHP-SEER16-Replace_CAC_ElectricHeat_ROF_SF</v>
      </c>
      <c r="G2040" s="2404"/>
      <c r="H2040" s="2404"/>
      <c r="I2040" s="2404"/>
      <c r="J2040" s="1506" t="str">
        <f t="shared" si="257"/>
        <v>352600_2024_12_</v>
      </c>
      <c r="K2040" s="1514">
        <f>(S$875+L2040*T$875)-(S$883+L2040*T$883)</f>
        <v>3623.261297181818</v>
      </c>
      <c r="L2040" s="45">
        <f>VLOOKUP(J2040,$J$873:$L$974,3,FALSE)*M2040</f>
        <v>2.8104354953030306</v>
      </c>
      <c r="M2040" s="1508">
        <f>VLOOKUP(J2040,$J$1697:$K$1799,2,FALSE)</f>
        <v>1</v>
      </c>
      <c r="N2040" s="524"/>
      <c r="P2040" s="243"/>
      <c r="Q2040" s="243"/>
      <c r="R2040" s="243"/>
      <c r="T2040" s="166"/>
      <c r="U2040" s="50"/>
      <c r="V2040" s="2394"/>
      <c r="W2040" s="152">
        <v>1256.6400000000001</v>
      </c>
      <c r="X2040" s="154">
        <v>1340.28</v>
      </c>
      <c r="Y2040" s="154">
        <v>392.7</v>
      </c>
      <c r="Z2040" s="152">
        <v>392.7</v>
      </c>
      <c r="AA2040" s="152">
        <v>392.7</v>
      </c>
      <c r="AB2040" s="154">
        <v>438</v>
      </c>
      <c r="AC2040" s="152">
        <v>438</v>
      </c>
      <c r="AD2040" s="152">
        <v>438</v>
      </c>
      <c r="AE2040" s="152">
        <v>438</v>
      </c>
      <c r="AF2040" s="743">
        <v>3623.261297181818</v>
      </c>
      <c r="AG2040" s="743">
        <f t="shared" si="255"/>
        <v>3623.261297181818</v>
      </c>
      <c r="DG2040" s="543"/>
      <c r="DH2040" s="149"/>
      <c r="DI2040" s="1020"/>
      <c r="DJ2040" s="2045"/>
    </row>
    <row r="2041" spans="1:114" ht="15" customHeight="1" outlineLevel="1" x14ac:dyDescent="0.25">
      <c r="A2041" s="2145"/>
      <c r="C2041" s="49"/>
      <c r="D2041" s="2394"/>
      <c r="E2041" s="2394"/>
      <c r="F2041" s="2404" t="str">
        <f t="shared" si="256"/>
        <v>ASHP-SEER16-Replace_CAC_ElectricHeat_ROF_SF</v>
      </c>
      <c r="G2041" s="2404"/>
      <c r="H2041" s="2404"/>
      <c r="I2041" s="2404"/>
      <c r="J2041" s="1506" t="str">
        <f t="shared" si="257"/>
        <v>352600_2024_12_</v>
      </c>
      <c r="K2041" s="152"/>
      <c r="L2041" s="45" t="str">
        <f>IF(K2041&gt;0,VLOOKUP(J2041,$J$873:$L$974,3,FALSE),"")</f>
        <v/>
      </c>
      <c r="M2041" s="1508" t="str">
        <f>IF(K2041&gt;0,VLOOKUP(J2041,$J$1697:$K$1799,2,FALSE),"")</f>
        <v/>
      </c>
      <c r="P2041" s="243"/>
      <c r="Q2041" s="243"/>
      <c r="R2041" s="243"/>
      <c r="T2041" s="166"/>
      <c r="U2041" s="50"/>
      <c r="V2041" s="2394"/>
      <c r="W2041" s="152"/>
      <c r="X2041" s="154"/>
      <c r="Y2041" s="154"/>
      <c r="Z2041" s="152"/>
      <c r="AA2041" s="152"/>
      <c r="AB2041" s="154"/>
      <c r="AC2041" s="152"/>
      <c r="AD2041" s="152"/>
      <c r="AE2041" s="152"/>
      <c r="AF2041" s="743"/>
      <c r="AG2041" s="743" t="str">
        <f t="shared" si="255"/>
        <v/>
      </c>
      <c r="DG2041" s="543"/>
      <c r="DH2041" s="149"/>
      <c r="DI2041" s="1020"/>
      <c r="DJ2041" s="2045"/>
    </row>
    <row r="2042" spans="1:114" ht="15.75" customHeight="1" outlineLevel="1" x14ac:dyDescent="0.25">
      <c r="A2042" s="2145"/>
      <c r="C2042" s="49"/>
      <c r="D2042" s="2394"/>
      <c r="E2042" s="2394"/>
      <c r="F2042" s="1968" t="s">
        <v>1149</v>
      </c>
      <c r="G2042" s="1969"/>
      <c r="H2042" s="1969"/>
      <c r="I2042" s="1970"/>
      <c r="J2042" s="2095" t="s">
        <v>1148</v>
      </c>
      <c r="K2042" s="1982">
        <f>(S$875+L2042*T$875)-(S$883+L2042*T$883)</f>
        <v>3667</v>
      </c>
      <c r="L2042" s="45">
        <f>VLOOKUP(J2042,$J$873:$L$975,3,FALSE)*M2042</f>
        <v>2.8833333333333333</v>
      </c>
      <c r="M2042" s="1508">
        <f>VLOOKUP(J2042,$J$1697:$K$1799,2,FALSE)</f>
        <v>1</v>
      </c>
      <c r="T2042" s="50"/>
      <c r="U2042" s="50"/>
      <c r="V2042" s="2394"/>
      <c r="W2042" s="213"/>
      <c r="X2042" s="213"/>
      <c r="Y2042" s="213"/>
      <c r="Z2042" s="213"/>
      <c r="AA2042" s="213"/>
      <c r="AB2042" s="213"/>
      <c r="AC2042" s="2020"/>
      <c r="AD2042" s="2021"/>
      <c r="AE2042" s="2022"/>
      <c r="AF2042" s="2019"/>
      <c r="AG2042" s="743">
        <f>IF(K2042&lt;&gt;"",K2042,"")</f>
        <v>3667</v>
      </c>
      <c r="DG2042" s="543"/>
      <c r="DH2042" s="149"/>
      <c r="DI2042" s="1020"/>
      <c r="DJ2042" s="2045"/>
    </row>
    <row r="2043" spans="1:114" ht="15" customHeight="1" outlineLevel="1" x14ac:dyDescent="0.25">
      <c r="A2043" s="2145"/>
      <c r="C2043" s="49"/>
      <c r="D2043" s="2394"/>
      <c r="E2043" s="2394"/>
      <c r="F2043" s="2404" t="str">
        <f>E689</f>
        <v>ASHP-SEER16-Replace_CAC_NonElectricHeat_ROF_SF</v>
      </c>
      <c r="G2043" s="2404"/>
      <c r="H2043" s="2404"/>
      <c r="I2043" s="2404"/>
      <c r="J2043" s="1506" t="str">
        <f>C689</f>
        <v>352610_2024_12_</v>
      </c>
      <c r="K2043" s="1514">
        <f>((S$875+L2043*T$875)-(S$883+L2043*T$883))*VLOOKUP(J2043,$J$2200:$K$2216,2,FALSE)</f>
        <v>160.94972562825265</v>
      </c>
      <c r="L2043" s="45">
        <f>VLOOKUP(J2043,$J$873:$L$974,3,FALSE)*M2043</f>
        <v>2.8104354953030306</v>
      </c>
      <c r="M2043" s="1508">
        <f>VLOOKUP(J2043,$J$1697:$K$1799,2,FALSE)</f>
        <v>1</v>
      </c>
      <c r="N2043" s="524"/>
      <c r="P2043" s="243"/>
      <c r="Q2043" s="243"/>
      <c r="R2043" s="243"/>
      <c r="T2043" s="166"/>
      <c r="U2043" s="50"/>
      <c r="V2043" s="2394"/>
      <c r="W2043" s="152"/>
      <c r="X2043" s="154"/>
      <c r="Y2043" s="154"/>
      <c r="Z2043" s="152"/>
      <c r="AA2043" s="152"/>
      <c r="AB2043" s="154"/>
      <c r="AC2043" s="152"/>
      <c r="AD2043" s="154">
        <v>438</v>
      </c>
      <c r="AE2043" s="152">
        <v>438</v>
      </c>
      <c r="AF2043" s="743">
        <v>149.4416492480305</v>
      </c>
      <c r="AG2043" s="743">
        <f t="shared" si="255"/>
        <v>160.94972562825265</v>
      </c>
      <c r="DG2043" s="543"/>
      <c r="DH2043" s="149"/>
      <c r="DI2043" s="1020"/>
      <c r="DJ2043" s="2045"/>
    </row>
    <row r="2044" spans="1:114" ht="15" customHeight="1" outlineLevel="1" x14ac:dyDescent="0.25">
      <c r="A2044" s="2145"/>
      <c r="C2044" s="49"/>
      <c r="D2044" s="2394"/>
      <c r="E2044" s="2394"/>
      <c r="F2044" s="2404" t="str">
        <f>E690</f>
        <v>ASHP-SEER16-Replace_CAC_NonElectricHeat_ROF_SF</v>
      </c>
      <c r="G2044" s="2404"/>
      <c r="H2044" s="2404"/>
      <c r="I2044" s="2404"/>
      <c r="J2044" s="1506" t="str">
        <f>C690</f>
        <v>352610_2024_12_</v>
      </c>
      <c r="K2044" s="152"/>
      <c r="L2044" s="45" t="str">
        <f>IF(K2044&gt;0,VLOOKUP(J2044,$J$873:$L$974,3,FALSE),"")</f>
        <v/>
      </c>
      <c r="M2044" s="1508" t="str">
        <f>IF(K2044&gt;0,VLOOKUP(J2044,$J$1697:$K$1799,2,FALSE),"")</f>
        <v/>
      </c>
      <c r="P2044" s="243"/>
      <c r="Q2044" s="243"/>
      <c r="R2044" s="243"/>
      <c r="T2044" s="166"/>
      <c r="U2044" s="50"/>
      <c r="V2044" s="2394"/>
      <c r="W2044" s="152"/>
      <c r="X2044" s="154"/>
      <c r="Y2044" s="154"/>
      <c r="Z2044" s="152"/>
      <c r="AA2044" s="152"/>
      <c r="AB2044" s="154"/>
      <c r="AC2044" s="152"/>
      <c r="AD2044" s="152"/>
      <c r="AE2044" s="152"/>
      <c r="AF2044" s="743"/>
      <c r="AG2044" s="743" t="str">
        <f t="shared" si="255"/>
        <v/>
      </c>
      <c r="DG2044" s="543"/>
      <c r="DH2044" s="149"/>
      <c r="DI2044" s="1020"/>
      <c r="DJ2044" s="2045"/>
    </row>
    <row r="2045" spans="1:114" ht="15" customHeight="1" outlineLevel="1" x14ac:dyDescent="0.25">
      <c r="A2045" s="2145"/>
      <c r="C2045" s="49"/>
      <c r="D2045" s="2394"/>
      <c r="E2045" s="2394"/>
      <c r="F2045" s="2404" t="str">
        <f>E691</f>
        <v>ASHP-SEER16_ROF_SF</v>
      </c>
      <c r="G2045" s="2404"/>
      <c r="H2045" s="2404"/>
      <c r="I2045" s="2404"/>
      <c r="J2045" s="1506" t="str">
        <f>C691</f>
        <v>352650_2024_12_</v>
      </c>
      <c r="K2045" s="1514">
        <f>(S$875+L2045*T$875)-(S$882+L2045*T$882)</f>
        <v>421</v>
      </c>
      <c r="L2045" s="45">
        <f>VLOOKUP(J2045,$J$873:$L$974,3,FALSE)*M2045</f>
        <v>2.8104354953030306</v>
      </c>
      <c r="M2045" s="1508">
        <f>VLOOKUP(J2045,$J$1697:$K$1799,2,FALSE)</f>
        <v>1</v>
      </c>
      <c r="N2045" s="524"/>
      <c r="P2045" s="243"/>
      <c r="Q2045" s="243"/>
      <c r="R2045" s="243"/>
      <c r="T2045" s="166"/>
      <c r="U2045" s="50"/>
      <c r="V2045" s="2394"/>
      <c r="W2045" s="152">
        <v>999.9</v>
      </c>
      <c r="X2045" s="154">
        <v>927.18000000000006</v>
      </c>
      <c r="Y2045" s="154">
        <v>392.7</v>
      </c>
      <c r="Z2045" s="152">
        <v>392.7</v>
      </c>
      <c r="AA2045" s="152">
        <v>392.7</v>
      </c>
      <c r="AB2045" s="154">
        <v>438</v>
      </c>
      <c r="AC2045" s="152">
        <v>438</v>
      </c>
      <c r="AD2045" s="152">
        <v>438</v>
      </c>
      <c r="AE2045" s="152">
        <v>438</v>
      </c>
      <c r="AF2045" s="743">
        <v>421</v>
      </c>
      <c r="AG2045" s="743">
        <f t="shared" si="255"/>
        <v>421</v>
      </c>
      <c r="DG2045" s="543"/>
      <c r="DH2045" s="149"/>
      <c r="DI2045" s="1020"/>
      <c r="DJ2045" s="2045"/>
    </row>
    <row r="2046" spans="1:114" ht="15" customHeight="1" outlineLevel="1" x14ac:dyDescent="0.25">
      <c r="A2046" s="2145"/>
      <c r="C2046" s="49"/>
      <c r="D2046" s="2394"/>
      <c r="E2046" s="2394"/>
      <c r="F2046" s="2404" t="str">
        <f>E692</f>
        <v>ASHP-SEER16_ROF_SF</v>
      </c>
      <c r="G2046" s="2404"/>
      <c r="H2046" s="2404"/>
      <c r="I2046" s="2404"/>
      <c r="J2046" s="1506" t="str">
        <f>C692</f>
        <v>352650_2024_12_</v>
      </c>
      <c r="K2046" s="152"/>
      <c r="L2046" s="45" t="str">
        <f>IF(K2046&gt;0,VLOOKUP(J2046,$J$873:$L$974,3,FALSE),"")</f>
        <v/>
      </c>
      <c r="M2046" s="1508" t="str">
        <f>IF(K2046&gt;0,VLOOKUP(J2046,$J$1697:$K$1799,2,FALSE),"")</f>
        <v/>
      </c>
      <c r="P2046" s="243"/>
      <c r="Q2046" s="243"/>
      <c r="R2046" s="243"/>
      <c r="T2046" s="166"/>
      <c r="U2046" s="50"/>
      <c r="V2046" s="2394"/>
      <c r="W2046" s="152"/>
      <c r="X2046" s="154"/>
      <c r="Y2046" s="154"/>
      <c r="Z2046" s="152"/>
      <c r="AA2046" s="152"/>
      <c r="AB2046" s="154"/>
      <c r="AC2046" s="152"/>
      <c r="AD2046" s="152"/>
      <c r="AE2046" s="152"/>
      <c r="AF2046" s="743"/>
      <c r="AG2046" s="743" t="str">
        <f t="shared" si="255"/>
        <v/>
      </c>
      <c r="DG2046" s="543"/>
      <c r="DH2046" s="149"/>
      <c r="DI2046" s="1020"/>
      <c r="DJ2046" s="2045"/>
    </row>
    <row r="2047" spans="1:114" ht="15.75" customHeight="1" outlineLevel="1" x14ac:dyDescent="0.25">
      <c r="A2047" s="2145"/>
      <c r="C2047" s="49"/>
      <c r="D2047" s="2394"/>
      <c r="E2047" s="2394"/>
      <c r="F2047" s="1968" t="s">
        <v>1155</v>
      </c>
      <c r="G2047" s="1969"/>
      <c r="H2047" s="1969"/>
      <c r="I2047" s="1970"/>
      <c r="J2047" s="2095" t="s">
        <v>1154</v>
      </c>
      <c r="K2047" s="1982">
        <f>(S$875+L2047*T$875)-(S$882+L2047*T$882)</f>
        <v>421</v>
      </c>
      <c r="L2047" s="45">
        <f>VLOOKUP(J2047,$J$873:$L$975,3,FALSE)*M2047</f>
        <v>2.7222222222222223</v>
      </c>
      <c r="M2047" s="1508">
        <f>VLOOKUP(J2047,$J$1697:$K$1799,2,FALSE)</f>
        <v>1</v>
      </c>
      <c r="T2047" s="50"/>
      <c r="U2047" s="50"/>
      <c r="V2047" s="2394"/>
      <c r="W2047" s="213"/>
      <c r="X2047" s="213"/>
      <c r="Y2047" s="213"/>
      <c r="Z2047" s="213"/>
      <c r="AA2047" s="213"/>
      <c r="AB2047" s="213"/>
      <c r="AC2047" s="2020"/>
      <c r="AD2047" s="2021"/>
      <c r="AE2047" s="2022"/>
      <c r="AF2047" s="2019"/>
      <c r="AG2047" s="743">
        <f>IF(K2047&lt;&gt;"",K2047,"")</f>
        <v>421</v>
      </c>
      <c r="DG2047" s="543"/>
      <c r="DH2047" s="149"/>
      <c r="DI2047" s="1020"/>
      <c r="DJ2047" s="2045"/>
    </row>
    <row r="2048" spans="1:114" ht="15" customHeight="1" outlineLevel="1" x14ac:dyDescent="0.25">
      <c r="A2048" s="2145"/>
      <c r="C2048" s="49"/>
      <c r="D2048" s="2394"/>
      <c r="E2048" s="2394"/>
      <c r="F2048" s="2404" t="str">
        <f t="shared" ref="F2048:F2053" si="258">E695</f>
        <v>ASHP-SEER16-Replace_CAC_ElectricHeat_ER1_MF</v>
      </c>
      <c r="G2048" s="2404"/>
      <c r="H2048" s="2404"/>
      <c r="I2048" s="2404"/>
      <c r="J2048" s="1506" t="str">
        <f t="shared" ref="J2048:J2053" si="259">C695</f>
        <v>353000_2024_12_</v>
      </c>
      <c r="K2048" s="1514">
        <f>(S$875+L2048*T$875)-((S$885+L2048*T$885)*S$891)</f>
        <v>3682.0649648885365</v>
      </c>
      <c r="L2048" s="45">
        <f>VLOOKUP(J2048,$J$873:$L$974,3,FALSE)*M2048</f>
        <v>2.8388888888888886</v>
      </c>
      <c r="M2048" s="1508">
        <f>VLOOKUP(J2048,$J$1697:$K$1799,2,FALSE)</f>
        <v>1</v>
      </c>
      <c r="N2048" s="524"/>
      <c r="P2048" s="243"/>
      <c r="Q2048" s="192"/>
      <c r="R2048" s="243"/>
      <c r="T2048" s="166"/>
      <c r="U2048" s="50"/>
      <c r="V2048" s="2394"/>
      <c r="W2048" s="152">
        <v>2896.6077829603428</v>
      </c>
      <c r="X2048" s="154">
        <v>2531.737308410552</v>
      </c>
      <c r="Y2048" s="154">
        <v>959.95459154364198</v>
      </c>
      <c r="Z2048" s="152">
        <v>959.95459154364198</v>
      </c>
      <c r="AA2048" s="152">
        <v>959.95459154364198</v>
      </c>
      <c r="AB2048" s="154">
        <v>950.52172387527389</v>
      </c>
      <c r="AC2048" s="154">
        <v>748.6192265910754</v>
      </c>
      <c r="AD2048" s="154">
        <v>878.90673552233147</v>
      </c>
      <c r="AE2048" s="154">
        <v>1212.4917696882567</v>
      </c>
      <c r="AF2048" s="743">
        <v>3682.0649648885365</v>
      </c>
      <c r="AG2048" s="743">
        <f t="shared" si="255"/>
        <v>3682.0649648885365</v>
      </c>
      <c r="DG2048" s="543"/>
      <c r="DH2048" s="149"/>
      <c r="DI2048" s="1020"/>
      <c r="DJ2048" s="2045"/>
    </row>
    <row r="2049" spans="1:114" ht="15" customHeight="1" outlineLevel="1" x14ac:dyDescent="0.25">
      <c r="A2049" s="2145"/>
      <c r="C2049" s="49"/>
      <c r="D2049" s="2394"/>
      <c r="E2049" s="2394"/>
      <c r="F2049" s="2404" t="str">
        <f t="shared" si="258"/>
        <v>ASHP-SEER16-Replace_CAC_ElectricHeat_ER1_MF</v>
      </c>
      <c r="G2049" s="2404"/>
      <c r="H2049" s="2404"/>
      <c r="I2049" s="2404"/>
      <c r="J2049" s="1506" t="str">
        <f t="shared" si="259"/>
        <v>353000_2024_12_</v>
      </c>
      <c r="K2049" s="152"/>
      <c r="L2049" s="45" t="str">
        <f>IF(K2049&gt;0,VLOOKUP(J2049,$J$873:$L$974,3,FALSE),"")</f>
        <v/>
      </c>
      <c r="M2049" s="1508" t="str">
        <f>IF(K2049&gt;0,VLOOKUP(J2049,$J$1697:$K$1799,2,FALSE),"")</f>
        <v/>
      </c>
      <c r="P2049" s="243"/>
      <c r="T2049" s="50"/>
      <c r="U2049" s="50"/>
      <c r="V2049" s="2394"/>
      <c r="W2049" s="152"/>
      <c r="X2049" s="154"/>
      <c r="Y2049" s="154"/>
      <c r="Z2049" s="152"/>
      <c r="AA2049" s="152"/>
      <c r="AB2049" s="154"/>
      <c r="AC2049" s="152"/>
      <c r="AD2049" s="152"/>
      <c r="AE2049" s="152"/>
      <c r="AF2049" s="743"/>
      <c r="AG2049" s="743" t="str">
        <f t="shared" si="255"/>
        <v/>
      </c>
      <c r="DG2049" s="543"/>
      <c r="DH2049" s="149"/>
      <c r="DI2049" s="1020"/>
      <c r="DJ2049" s="2045"/>
    </row>
    <row r="2050" spans="1:114" ht="15" customHeight="1" outlineLevel="1" x14ac:dyDescent="0.25">
      <c r="A2050" s="2145"/>
      <c r="C2050" s="49"/>
      <c r="D2050" s="2394"/>
      <c r="E2050" s="2394"/>
      <c r="F2050" s="2404" t="str">
        <f t="shared" si="258"/>
        <v>ASHP-SEER16-Replace_CAC_ElectricHeat_ER2_MF</v>
      </c>
      <c r="G2050" s="2404"/>
      <c r="H2050" s="2404"/>
      <c r="I2050" s="2404"/>
      <c r="J2050" s="1506" t="str">
        <f t="shared" si="259"/>
        <v>353000_2024_12_</v>
      </c>
      <c r="K2050" s="152"/>
      <c r="L2050" s="45" t="str">
        <f>IF(K2050&gt;0,VLOOKUP(J2050,$J$873:$L$974,3,FALSE),"")</f>
        <v/>
      </c>
      <c r="M2050" s="1508" t="str">
        <f>IF(K2050&gt;0,VLOOKUP(J2050,$J$1697:$K$1799,2,FALSE),"")</f>
        <v/>
      </c>
      <c r="P2050" s="243"/>
      <c r="T2050" s="50"/>
      <c r="U2050" s="50"/>
      <c r="V2050" s="2394"/>
      <c r="W2050" s="152"/>
      <c r="X2050" s="154"/>
      <c r="Y2050" s="154"/>
      <c r="Z2050" s="152"/>
      <c r="AA2050" s="152"/>
      <c r="AB2050" s="154"/>
      <c r="AC2050" s="152"/>
      <c r="AD2050" s="152"/>
      <c r="AE2050" s="152"/>
      <c r="AF2050" s="743"/>
      <c r="AG2050" s="743" t="str">
        <f t="shared" si="255"/>
        <v/>
      </c>
      <c r="DG2050" s="543"/>
      <c r="DH2050" s="149"/>
      <c r="DI2050" s="1020"/>
      <c r="DJ2050" s="2045"/>
    </row>
    <row r="2051" spans="1:114" ht="15" customHeight="1" outlineLevel="1" x14ac:dyDescent="0.25">
      <c r="A2051" s="2145"/>
      <c r="C2051" s="49"/>
      <c r="D2051" s="2394"/>
      <c r="E2051" s="2394"/>
      <c r="F2051" s="2404" t="str">
        <f t="shared" si="258"/>
        <v>ASHP-SEER16-Replace_CAC_ElectricHeat_ER2_MF</v>
      </c>
      <c r="G2051" s="2404"/>
      <c r="H2051" s="2404"/>
      <c r="I2051" s="2404"/>
      <c r="J2051" s="1506" t="str">
        <f t="shared" si="259"/>
        <v>353000_2024_12_</v>
      </c>
      <c r="K2051" s="152"/>
      <c r="L2051" s="45" t="str">
        <f>IF(K2051&gt;0,VLOOKUP(J2051,$J$873:$L$974,3,FALSE),"")</f>
        <v/>
      </c>
      <c r="M2051" s="1508" t="str">
        <f>IF(K2051&gt;0,VLOOKUP(J2051,$J$1697:$K$1799,2,FALSE),"")</f>
        <v/>
      </c>
      <c r="P2051" s="243"/>
      <c r="Q2051" s="192"/>
      <c r="R2051" s="243"/>
      <c r="T2051" s="166"/>
      <c r="U2051" s="50"/>
      <c r="V2051" s="2394"/>
      <c r="W2051" s="152"/>
      <c r="X2051" s="154"/>
      <c r="Y2051" s="154"/>
      <c r="Z2051" s="152"/>
      <c r="AA2051" s="152"/>
      <c r="AB2051" s="152"/>
      <c r="AC2051" s="152"/>
      <c r="AD2051" s="152"/>
      <c r="AE2051" s="152"/>
      <c r="AF2051" s="743"/>
      <c r="AG2051" s="743" t="str">
        <f t="shared" si="255"/>
        <v/>
      </c>
      <c r="DG2051" s="543"/>
      <c r="DH2051" s="149"/>
      <c r="DI2051" s="1020"/>
      <c r="DJ2051" s="2045"/>
    </row>
    <row r="2052" spans="1:114" ht="15" customHeight="1" outlineLevel="1" x14ac:dyDescent="0.25">
      <c r="A2052" s="2145"/>
      <c r="C2052" s="49"/>
      <c r="D2052" s="2394"/>
      <c r="E2052" s="2394"/>
      <c r="F2052" s="2404" t="str">
        <f t="shared" si="258"/>
        <v>ASHP-SEER17-Replace_CAC_ElectricHeat_ROF_SF</v>
      </c>
      <c r="G2052" s="2404"/>
      <c r="H2052" s="2404"/>
      <c r="I2052" s="2404"/>
      <c r="J2052" s="1506" t="str">
        <f t="shared" si="259"/>
        <v>353100_2024_12_</v>
      </c>
      <c r="K2052" s="1514">
        <f>(S$876+L2052*T$876)-(S$883+L2052*T$883)</f>
        <v>4073.1981423529414</v>
      </c>
      <c r="L2052" s="45">
        <f>VLOOKUP(J2052,$J$873:$L$974,3,FALSE)*M2052</f>
        <v>3.2119969039215692</v>
      </c>
      <c r="M2052" s="1508">
        <f>VLOOKUP(J2052,$J$1697:$K$1799,2,FALSE)</f>
        <v>1</v>
      </c>
      <c r="N2052" s="524"/>
      <c r="P2052" s="243"/>
      <c r="T2052" s="50"/>
      <c r="U2052" s="50"/>
      <c r="V2052" s="2394"/>
      <c r="W2052" s="152">
        <v>1624</v>
      </c>
      <c r="X2052" s="154">
        <v>2027.1999999999998</v>
      </c>
      <c r="Y2052" s="154">
        <v>580</v>
      </c>
      <c r="Z2052" s="152">
        <v>580</v>
      </c>
      <c r="AA2052" s="152">
        <v>580</v>
      </c>
      <c r="AB2052" s="154">
        <v>724</v>
      </c>
      <c r="AC2052" s="152">
        <v>724</v>
      </c>
      <c r="AD2052" s="152">
        <v>724</v>
      </c>
      <c r="AE2052" s="152">
        <v>724</v>
      </c>
      <c r="AF2052" s="743">
        <v>4073.1981423529414</v>
      </c>
      <c r="AG2052" s="743">
        <f t="shared" si="255"/>
        <v>4073.1981423529414</v>
      </c>
      <c r="DG2052" s="543"/>
      <c r="DH2052" s="149"/>
      <c r="DI2052" s="1020"/>
      <c r="DJ2052" s="2045"/>
    </row>
    <row r="2053" spans="1:114" ht="15" customHeight="1" outlineLevel="1" x14ac:dyDescent="0.25">
      <c r="A2053" s="2145"/>
      <c r="C2053" s="49"/>
      <c r="D2053" s="2394"/>
      <c r="E2053" s="2394"/>
      <c r="F2053" s="2404" t="str">
        <f t="shared" si="258"/>
        <v>ASHP-SEER17-Replace_CAC_ElectricHeat_ROF_SF</v>
      </c>
      <c r="G2053" s="2404"/>
      <c r="H2053" s="2404"/>
      <c r="I2053" s="2404"/>
      <c r="J2053" s="1506" t="str">
        <f t="shared" si="259"/>
        <v>353100_2024_12_</v>
      </c>
      <c r="K2053" s="152"/>
      <c r="L2053" s="45" t="str">
        <f>IF(K2053&gt;0,VLOOKUP(J2053,$J$873:$L$974,3,FALSE),"")</f>
        <v/>
      </c>
      <c r="M2053" s="1508" t="str">
        <f>IF(K2053&gt;0,VLOOKUP(J2053,$J$1697:$K$1799,2,FALSE),"")</f>
        <v/>
      </c>
      <c r="P2053" s="243"/>
      <c r="Q2053" s="192"/>
      <c r="R2053" s="243"/>
      <c r="T2053" s="166"/>
      <c r="U2053" s="50"/>
      <c r="V2053" s="2394"/>
      <c r="W2053" s="152"/>
      <c r="X2053" s="154"/>
      <c r="Y2053" s="154"/>
      <c r="Z2053" s="152"/>
      <c r="AA2053" s="152"/>
      <c r="AB2053" s="154"/>
      <c r="AC2053" s="152"/>
      <c r="AD2053" s="152"/>
      <c r="AE2053" s="152"/>
      <c r="AF2053" s="743"/>
      <c r="AG2053" s="743" t="str">
        <f t="shared" si="255"/>
        <v/>
      </c>
      <c r="DG2053" s="543"/>
      <c r="DH2053" s="149"/>
      <c r="DI2053" s="1020"/>
      <c r="DJ2053" s="2045"/>
    </row>
    <row r="2054" spans="1:114" ht="15.75" customHeight="1" outlineLevel="1" x14ac:dyDescent="0.25">
      <c r="A2054" s="2145"/>
      <c r="C2054" s="49"/>
      <c r="D2054" s="2394"/>
      <c r="E2054" s="2394"/>
      <c r="F2054" s="1968" t="s">
        <v>1162</v>
      </c>
      <c r="G2054" s="1969"/>
      <c r="H2054" s="1969"/>
      <c r="I2054" s="1970"/>
      <c r="J2054" s="2095" t="s">
        <v>1161</v>
      </c>
      <c r="K2054" s="1982">
        <f>(S$876+L2054*T$876)-(S$883+L2054*T$883)*S$891</f>
        <v>4176.60601696091</v>
      </c>
      <c r="L2054" s="45">
        <f>VLOOKUP(J2054,$J$873:$L$975,3,FALSE)*M2054</f>
        <v>2.4</v>
      </c>
      <c r="M2054" s="1508">
        <f>VLOOKUP(J2054,$J$1697:$K$1799,2,FALSE)</f>
        <v>1</v>
      </c>
      <c r="T2054" s="50"/>
      <c r="U2054" s="50"/>
      <c r="V2054" s="2394"/>
      <c r="W2054" s="213"/>
      <c r="X2054" s="213"/>
      <c r="Y2054" s="213"/>
      <c r="Z2054" s="213"/>
      <c r="AA2054" s="213"/>
      <c r="AB2054" s="213"/>
      <c r="AC2054" s="2020"/>
      <c r="AD2054" s="2021"/>
      <c r="AE2054" s="2022"/>
      <c r="AF2054" s="2019"/>
      <c r="AG2054" s="743">
        <f>IF(K2054&lt;&gt;"",K2054,"")</f>
        <v>4176.60601696091</v>
      </c>
      <c r="DG2054" s="543"/>
      <c r="DH2054" s="149"/>
      <c r="DI2054" s="1020"/>
      <c r="DJ2054" s="2045"/>
    </row>
    <row r="2055" spans="1:114" ht="15" customHeight="1" outlineLevel="1" x14ac:dyDescent="0.25">
      <c r="A2055" s="2145"/>
      <c r="C2055" s="49"/>
      <c r="D2055" s="2394"/>
      <c r="E2055" s="2394"/>
      <c r="F2055" s="2404" t="str">
        <f t="shared" ref="F2055:F2072" si="260">E703</f>
        <v>ASHP-SEER17-Replace_CAC_NonElectricHeat_ROF_SF</v>
      </c>
      <c r="G2055" s="2404"/>
      <c r="H2055" s="2404"/>
      <c r="I2055" s="2404"/>
      <c r="J2055" s="1506" t="str">
        <f t="shared" ref="J2055:J2072" si="261">C703</f>
        <v>353110_2024_12_</v>
      </c>
      <c r="K2055" s="1514">
        <f>((S$876+L2055*T$876)-(S$883+L2055*T$883))*VLOOKUP(J2055,$J$2200:$K$2216,2,FALSE)</f>
        <v>196.21825901070565</v>
      </c>
      <c r="L2055" s="45">
        <f>VLOOKUP(J2055,$J$873:$L$974,3,FALSE)*M2055</f>
        <v>3.2119969039215692</v>
      </c>
      <c r="M2055" s="1508">
        <f>VLOOKUP(J2055,$J$1697:$K$1799,2,FALSE)</f>
        <v>1</v>
      </c>
      <c r="N2055" s="524"/>
      <c r="P2055" s="243"/>
      <c r="Q2055" s="192"/>
      <c r="R2055" s="243"/>
      <c r="T2055" s="166"/>
      <c r="U2055" s="50"/>
      <c r="V2055" s="2394"/>
      <c r="W2055" s="152"/>
      <c r="X2055" s="154"/>
      <c r="Y2055" s="154"/>
      <c r="Z2055" s="152"/>
      <c r="AA2055" s="152"/>
      <c r="AB2055" s="154"/>
      <c r="AC2055" s="152"/>
      <c r="AD2055" s="154">
        <v>724</v>
      </c>
      <c r="AE2055" s="152">
        <v>724</v>
      </c>
      <c r="AF2055" s="743">
        <v>183.91380808343658</v>
      </c>
      <c r="AG2055" s="743">
        <f t="shared" si="255"/>
        <v>196.21825901070565</v>
      </c>
      <c r="DG2055" s="543"/>
      <c r="DH2055" s="149"/>
      <c r="DI2055" s="1020"/>
      <c r="DJ2055" s="2045"/>
    </row>
    <row r="2056" spans="1:114" ht="15" customHeight="1" outlineLevel="1" x14ac:dyDescent="0.25">
      <c r="A2056" s="2145"/>
      <c r="C2056" s="49"/>
      <c r="D2056" s="2394"/>
      <c r="E2056" s="2394"/>
      <c r="F2056" s="2404" t="str">
        <f t="shared" si="260"/>
        <v>ASHP-SEER17-Replace_CAC_NonElectricHeat_ROF_SF</v>
      </c>
      <c r="G2056" s="2404"/>
      <c r="H2056" s="2404"/>
      <c r="I2056" s="2404"/>
      <c r="J2056" s="1506" t="str">
        <f t="shared" si="261"/>
        <v>353110_2024_12_</v>
      </c>
      <c r="K2056" s="152"/>
      <c r="L2056" s="45" t="str">
        <f>IF(K2056&gt;0,VLOOKUP(J2056,$J$873:$L$974,3,FALSE),"")</f>
        <v/>
      </c>
      <c r="M2056" s="1508" t="str">
        <f>IF(K2056&gt;0,VLOOKUP(J2056,$J$1697:$K$1799,2,FALSE),"")</f>
        <v/>
      </c>
      <c r="P2056" s="243"/>
      <c r="Q2056" s="192"/>
      <c r="R2056" s="243"/>
      <c r="T2056" s="166"/>
      <c r="U2056" s="50"/>
      <c r="V2056" s="2394"/>
      <c r="W2056" s="152"/>
      <c r="X2056" s="154"/>
      <c r="Y2056" s="154"/>
      <c r="Z2056" s="152"/>
      <c r="AA2056" s="152"/>
      <c r="AB2056" s="154"/>
      <c r="AC2056" s="152"/>
      <c r="AD2056" s="152"/>
      <c r="AE2056" s="152"/>
      <c r="AF2056" s="743"/>
      <c r="AG2056" s="743" t="str">
        <f t="shared" si="255"/>
        <v/>
      </c>
      <c r="DG2056" s="543"/>
      <c r="DH2056" s="149"/>
      <c r="DI2056" s="1020"/>
      <c r="DJ2056" s="2045"/>
    </row>
    <row r="2057" spans="1:114" ht="15" customHeight="1" outlineLevel="1" x14ac:dyDescent="0.25">
      <c r="A2057" s="2145"/>
      <c r="C2057" s="49"/>
      <c r="D2057" s="2394"/>
      <c r="E2057" s="2394"/>
      <c r="F2057" s="2404" t="str">
        <f t="shared" si="260"/>
        <v>ASHP-SEER18-Replace_CAC_ElectricHeat_ROF_SF</v>
      </c>
      <c r="G2057" s="2404"/>
      <c r="H2057" s="2404"/>
      <c r="I2057" s="2404"/>
      <c r="J2057" s="1506" t="str">
        <f t="shared" si="261"/>
        <v>353200_2024_12_</v>
      </c>
      <c r="K2057" s="1514">
        <f>(S$877+L2057*T$877)-(S$883+L2057*T$883)</f>
        <v>4172.2222220000003</v>
      </c>
      <c r="L2057" s="45">
        <f>VLOOKUP(J2057,$J$873:$L$974,3,FALSE)*M2057</f>
        <v>3.0020370366666667</v>
      </c>
      <c r="M2057" s="1508">
        <f>VLOOKUP(J2057,$J$1697:$K$1799,2,FALSE)</f>
        <v>1</v>
      </c>
      <c r="N2057" s="524"/>
      <c r="P2057" s="243"/>
      <c r="Q2057" s="192"/>
      <c r="R2057" s="243"/>
      <c r="T2057" s="166"/>
      <c r="U2057" s="50"/>
      <c r="V2057" s="2394"/>
      <c r="W2057" s="152">
        <v>1997.3333333333333</v>
      </c>
      <c r="X2057" s="154">
        <v>2696.1759999999999</v>
      </c>
      <c r="Y2057" s="154">
        <v>713.33333333333337</v>
      </c>
      <c r="Z2057" s="152">
        <v>713.33333333333337</v>
      </c>
      <c r="AA2057" s="152">
        <v>713.33333333333337</v>
      </c>
      <c r="AB2057" s="154">
        <v>962.92000000000007</v>
      </c>
      <c r="AC2057" s="152">
        <v>962.92000000000007</v>
      </c>
      <c r="AD2057" s="152">
        <v>962.92000000000007</v>
      </c>
      <c r="AE2057" s="152">
        <v>962.92000000000007</v>
      </c>
      <c r="AF2057" s="743">
        <v>4172.2222220000003</v>
      </c>
      <c r="AG2057" s="743">
        <f t="shared" si="255"/>
        <v>4172.2222220000003</v>
      </c>
      <c r="DG2057" s="543"/>
      <c r="DH2057" s="149"/>
      <c r="DI2057" s="1020"/>
      <c r="DJ2057" s="2045"/>
    </row>
    <row r="2058" spans="1:114" ht="15" customHeight="1" outlineLevel="1" x14ac:dyDescent="0.25">
      <c r="A2058" s="2145"/>
      <c r="C2058" s="49"/>
      <c r="D2058" s="2394"/>
      <c r="E2058" s="2394"/>
      <c r="F2058" s="2404" t="str">
        <f t="shared" si="260"/>
        <v>ASHP-SEER18-Replace_CAC_ElectricHeat_ROF_SF</v>
      </c>
      <c r="G2058" s="2404"/>
      <c r="H2058" s="2404"/>
      <c r="I2058" s="2404"/>
      <c r="J2058" s="1506" t="str">
        <f t="shared" si="261"/>
        <v>353200_2024_12_</v>
      </c>
      <c r="K2058" s="152"/>
      <c r="L2058" s="45" t="str">
        <f>IF(K2058&gt;0,VLOOKUP(J2058,$J$873:$L$974,3,FALSE),"")</f>
        <v/>
      </c>
      <c r="M2058" s="1508" t="str">
        <f>IF(K2058&gt;0,VLOOKUP(J2058,$J$1697:$K$1799,2,FALSE),"")</f>
        <v/>
      </c>
      <c r="P2058" s="243"/>
      <c r="Q2058" s="192"/>
      <c r="R2058" s="243"/>
      <c r="T2058" s="166"/>
      <c r="U2058" s="50"/>
      <c r="V2058" s="2394"/>
      <c r="W2058" s="152"/>
      <c r="X2058" s="154"/>
      <c r="Y2058" s="154"/>
      <c r="Z2058" s="152"/>
      <c r="AA2058" s="152"/>
      <c r="AB2058" s="154"/>
      <c r="AC2058" s="152"/>
      <c r="AD2058" s="152"/>
      <c r="AE2058" s="152"/>
      <c r="AF2058" s="743"/>
      <c r="AG2058" s="743" t="str">
        <f t="shared" si="255"/>
        <v/>
      </c>
      <c r="DG2058" s="543"/>
      <c r="DH2058" s="149"/>
      <c r="DI2058" s="1020"/>
      <c r="DJ2058" s="2045"/>
    </row>
    <row r="2059" spans="1:114" ht="15" customHeight="1" outlineLevel="1" x14ac:dyDescent="0.25">
      <c r="A2059" s="2145"/>
      <c r="C2059" s="49"/>
      <c r="D2059" s="2394"/>
      <c r="E2059" s="2394"/>
      <c r="F2059" s="2404" t="str">
        <f t="shared" si="260"/>
        <v>ASHP-SEER18-Replace_CAC_NonElectricHeat_ROF_SF</v>
      </c>
      <c r="G2059" s="2404"/>
      <c r="H2059" s="2404"/>
      <c r="I2059" s="2404"/>
      <c r="J2059" s="1506" t="str">
        <f t="shared" si="261"/>
        <v>353210_2024_12_</v>
      </c>
      <c r="K2059" s="1514">
        <f>((S$877+L2059*T$877)-(S$883+L2059*T$883))*VLOOKUP(J2059,$J$2200:$K$2216,2,FALSE)</f>
        <v>287.53125540252807</v>
      </c>
      <c r="L2059" s="45">
        <f>VLOOKUP(J2059,$J$873:$L$974,3,FALSE)*M2059</f>
        <v>3.0020370366666667</v>
      </c>
      <c r="M2059" s="1508">
        <f>VLOOKUP(J2059,$J$1697:$K$1799,2,FALSE)</f>
        <v>1</v>
      </c>
      <c r="N2059" s="524"/>
      <c r="P2059" s="243"/>
      <c r="Q2059" s="192"/>
      <c r="R2059" s="243"/>
      <c r="T2059" s="166"/>
      <c r="U2059" s="50"/>
      <c r="V2059" s="2394"/>
      <c r="W2059" s="152"/>
      <c r="X2059" s="154"/>
      <c r="Y2059" s="154"/>
      <c r="Z2059" s="152"/>
      <c r="AA2059" s="152"/>
      <c r="AB2059" s="154"/>
      <c r="AC2059" s="152"/>
      <c r="AD2059" s="154">
        <v>962.92000000000007</v>
      </c>
      <c r="AE2059" s="152">
        <v>962.92000000000007</v>
      </c>
      <c r="AF2059" s="743">
        <v>264.28036762775952</v>
      </c>
      <c r="AG2059" s="743">
        <f t="shared" si="255"/>
        <v>287.53125540252807</v>
      </c>
      <c r="DG2059" s="543"/>
      <c r="DH2059" s="149"/>
      <c r="DI2059" s="1020"/>
      <c r="DJ2059" s="2045"/>
    </row>
    <row r="2060" spans="1:114" ht="15" customHeight="1" outlineLevel="1" x14ac:dyDescent="0.25">
      <c r="A2060" s="2145"/>
      <c r="C2060" s="49"/>
      <c r="D2060" s="2394"/>
      <c r="E2060" s="2394"/>
      <c r="F2060" s="2404" t="str">
        <f t="shared" si="260"/>
        <v>ASHP-SEER18-Replace_CAC_NonElectricHeat_ROF_SF</v>
      </c>
      <c r="G2060" s="2404"/>
      <c r="H2060" s="2404"/>
      <c r="I2060" s="2404"/>
      <c r="J2060" s="1506" t="str">
        <f t="shared" si="261"/>
        <v>353210_2024_12_</v>
      </c>
      <c r="K2060" s="152"/>
      <c r="L2060" s="45" t="str">
        <f>IF(K2060&gt;0,VLOOKUP(J2060,$J$873:$L$974,3,FALSE),"")</f>
        <v/>
      </c>
      <c r="M2060" s="1508" t="str">
        <f>IF(K2060&gt;0,VLOOKUP(J2060,$J$1697:$K$1799,2,FALSE),"")</f>
        <v/>
      </c>
      <c r="P2060" s="243"/>
      <c r="Q2060" s="192"/>
      <c r="R2060" s="243"/>
      <c r="T2060" s="166"/>
      <c r="U2060" s="50"/>
      <c r="V2060" s="2394"/>
      <c r="W2060" s="152"/>
      <c r="X2060" s="154"/>
      <c r="Y2060" s="154"/>
      <c r="Z2060" s="152"/>
      <c r="AA2060" s="152"/>
      <c r="AB2060" s="154"/>
      <c r="AC2060" s="152"/>
      <c r="AD2060" s="152"/>
      <c r="AE2060" s="152"/>
      <c r="AF2060" s="743"/>
      <c r="AG2060" s="743" t="str">
        <f t="shared" si="255"/>
        <v/>
      </c>
      <c r="DG2060" s="543"/>
      <c r="DH2060" s="149"/>
      <c r="DI2060" s="1020"/>
      <c r="DJ2060" s="2045"/>
    </row>
    <row r="2061" spans="1:114" ht="14.65" customHeight="1" outlineLevel="1" x14ac:dyDescent="0.25">
      <c r="A2061" s="2145"/>
      <c r="C2061" s="49"/>
      <c r="D2061" s="2394"/>
      <c r="E2061" s="2394"/>
      <c r="F2061" s="2404" t="str">
        <f t="shared" si="260"/>
        <v>ASHP-SEER19-Replace_CAC_ElectricHeat_ROF_SF</v>
      </c>
      <c r="G2061" s="2404"/>
      <c r="H2061" s="2404"/>
      <c r="I2061" s="2404"/>
      <c r="J2061" s="1506" t="str">
        <f t="shared" si="261"/>
        <v>353300_2024_12_</v>
      </c>
      <c r="K2061" s="1514">
        <f>(S$878+L2061*T$878)-(S$883+L2061*T$883)</f>
        <v>4392.2197803846157</v>
      </c>
      <c r="L2061" s="45">
        <f>VLOOKUP(J2061,$J$873:$L$974,3,FALSE)*M2061</f>
        <v>2.9920329673076922</v>
      </c>
      <c r="M2061" s="1508">
        <f>VLOOKUP(J2061,$J$1697:$K$1799,2,FALSE)</f>
        <v>1</v>
      </c>
      <c r="N2061" s="524"/>
      <c r="P2061" s="243"/>
      <c r="Q2061" s="192"/>
      <c r="R2061" s="243"/>
      <c r="T2061" s="166"/>
      <c r="U2061" s="50"/>
      <c r="V2061" s="2394"/>
      <c r="W2061" s="152">
        <v>2277.3333333333335</v>
      </c>
      <c r="X2061" s="154">
        <v>3370.2200000000007</v>
      </c>
      <c r="Y2061" s="154">
        <v>813.33333333333337</v>
      </c>
      <c r="Z2061" s="152">
        <v>813.33333333333337</v>
      </c>
      <c r="AA2061" s="152">
        <v>813.33333333333337</v>
      </c>
      <c r="AB2061" s="154">
        <v>1203.6500000000003</v>
      </c>
      <c r="AC2061" s="152">
        <v>1203.6500000000003</v>
      </c>
      <c r="AD2061" s="152">
        <v>1203.6500000000003</v>
      </c>
      <c r="AE2061" s="152">
        <v>1203.6500000000003</v>
      </c>
      <c r="AF2061" s="743">
        <v>4392.2197803846157</v>
      </c>
      <c r="AG2061" s="743">
        <f t="shared" si="255"/>
        <v>4392.2197803846157</v>
      </c>
      <c r="DG2061" s="543"/>
      <c r="DH2061" s="149"/>
      <c r="DI2061" s="1020"/>
      <c r="DJ2061" s="2045"/>
    </row>
    <row r="2062" spans="1:114" ht="14.65" customHeight="1" outlineLevel="1" x14ac:dyDescent="0.25">
      <c r="A2062" s="2145"/>
      <c r="C2062" s="49"/>
      <c r="D2062" s="2394"/>
      <c r="E2062" s="2394"/>
      <c r="F2062" s="2404" t="str">
        <f t="shared" si="260"/>
        <v>ASHP-SEER19-Replace_CAC_ElectricHeat_ROF_SF</v>
      </c>
      <c r="G2062" s="2404"/>
      <c r="H2062" s="2404"/>
      <c r="I2062" s="2404"/>
      <c r="J2062" s="1506" t="str">
        <f t="shared" si="261"/>
        <v>353300_2024_12_</v>
      </c>
      <c r="K2062" s="152"/>
      <c r="L2062" s="45" t="str">
        <f>IF(K2062&gt;0,VLOOKUP(J2062,$J$873:$L$974,3,FALSE),"")</f>
        <v/>
      </c>
      <c r="M2062" s="1508" t="str">
        <f>IF(K2062&gt;0,VLOOKUP(J2062,$J$1697:$K$1799,2,FALSE),"")</f>
        <v/>
      </c>
      <c r="P2062" s="243"/>
      <c r="Q2062" s="192"/>
      <c r="R2062" s="243"/>
      <c r="T2062" s="166"/>
      <c r="U2062" s="50"/>
      <c r="V2062" s="2394"/>
      <c r="W2062" s="152"/>
      <c r="X2062" s="154"/>
      <c r="Y2062" s="154"/>
      <c r="Z2062" s="152"/>
      <c r="AA2062" s="152"/>
      <c r="AB2062" s="154"/>
      <c r="AC2062" s="152"/>
      <c r="AD2062" s="152"/>
      <c r="AE2062" s="152"/>
      <c r="AF2062" s="743"/>
      <c r="AG2062" s="743" t="str">
        <f t="shared" si="255"/>
        <v/>
      </c>
      <c r="DG2062" s="543"/>
      <c r="DH2062" s="149"/>
      <c r="DI2062" s="1020"/>
      <c r="DJ2062" s="2045"/>
    </row>
    <row r="2063" spans="1:114" ht="14.65" customHeight="1" outlineLevel="1" x14ac:dyDescent="0.25">
      <c r="A2063" s="2145"/>
      <c r="C2063" s="49"/>
      <c r="D2063" s="2394"/>
      <c r="E2063" s="2394"/>
      <c r="F2063" s="2404" t="str">
        <f t="shared" si="260"/>
        <v>ASHP-SEER19-Replace_CAC_NonElectricHeat_ROF_SF</v>
      </c>
      <c r="G2063" s="2404"/>
      <c r="H2063" s="2404"/>
      <c r="I2063" s="2404"/>
      <c r="J2063" s="1506" t="str">
        <f t="shared" si="261"/>
        <v>353310_2024_12_</v>
      </c>
      <c r="K2063" s="1514">
        <f>((S$878+L2063*T$878)-(S$883+L2063*T$883))*VLOOKUP(J2063,$J$2200:$K$2216,2,FALSE)</f>
        <v>355.12822735476902</v>
      </c>
      <c r="L2063" s="45">
        <f>VLOOKUP(J2063,$J$873:$L$974,3,FALSE)*M2063</f>
        <v>2.9920329673076922</v>
      </c>
      <c r="M2063" s="1508">
        <f>VLOOKUP(J2063,$J$1697:$K$1799,2,FALSE)</f>
        <v>1</v>
      </c>
      <c r="N2063" s="524"/>
      <c r="P2063" s="243"/>
      <c r="Q2063" s="192"/>
      <c r="R2063" s="243"/>
      <c r="T2063" s="166"/>
      <c r="U2063" s="50"/>
      <c r="V2063" s="2394"/>
      <c r="W2063" s="152"/>
      <c r="X2063" s="154"/>
      <c r="Y2063" s="154"/>
      <c r="Z2063" s="152"/>
      <c r="AA2063" s="152"/>
      <c r="AB2063" s="154"/>
      <c r="AC2063" s="152"/>
      <c r="AD2063" s="154">
        <v>1203.6500000000003</v>
      </c>
      <c r="AE2063" s="152">
        <v>1203.6500000000003</v>
      </c>
      <c r="AF2063" s="743">
        <v>326.35323489724897</v>
      </c>
      <c r="AG2063" s="743">
        <f t="shared" si="255"/>
        <v>355.12822735476902</v>
      </c>
      <c r="DG2063" s="543"/>
      <c r="DH2063" s="149"/>
      <c r="DI2063" s="1020"/>
      <c r="DJ2063" s="2045"/>
    </row>
    <row r="2064" spans="1:114" ht="14.65" customHeight="1" outlineLevel="1" x14ac:dyDescent="0.25">
      <c r="A2064" s="2145"/>
      <c r="C2064" s="49"/>
      <c r="D2064" s="2394"/>
      <c r="E2064" s="2394"/>
      <c r="F2064" s="2404" t="str">
        <f t="shared" si="260"/>
        <v>ASHP-SEER19-Replace_CAC_NonElectricHeat_ROF_SF</v>
      </c>
      <c r="G2064" s="2404"/>
      <c r="H2064" s="2404"/>
      <c r="I2064" s="2404"/>
      <c r="J2064" s="1506" t="str">
        <f t="shared" si="261"/>
        <v>353310_2024_12_</v>
      </c>
      <c r="K2064" s="152"/>
      <c r="L2064" s="45" t="str">
        <f>IF(K2064&gt;0,VLOOKUP(J2064,$J$873:$L$974,3,FALSE),"")</f>
        <v/>
      </c>
      <c r="M2064" s="1508" t="str">
        <f>IF(K2064&gt;0,VLOOKUP(J2064,$J$1697:$K$1799,2,FALSE),"")</f>
        <v/>
      </c>
      <c r="P2064" s="243"/>
      <c r="Q2064" s="192"/>
      <c r="R2064" s="243"/>
      <c r="T2064" s="166"/>
      <c r="U2064" s="50"/>
      <c r="V2064" s="2394"/>
      <c r="W2064" s="152"/>
      <c r="X2064" s="154"/>
      <c r="Y2064" s="154"/>
      <c r="Z2064" s="152"/>
      <c r="AA2064" s="152"/>
      <c r="AB2064" s="154"/>
      <c r="AC2064" s="152"/>
      <c r="AD2064" s="152"/>
      <c r="AE2064" s="152"/>
      <c r="AF2064" s="743"/>
      <c r="AG2064" s="743" t="str">
        <f t="shared" si="255"/>
        <v/>
      </c>
      <c r="DG2064" s="543"/>
      <c r="DH2064" s="149"/>
      <c r="DI2064" s="1020"/>
      <c r="DJ2064" s="2045"/>
    </row>
    <row r="2065" spans="1:114" ht="14.65" customHeight="1" outlineLevel="1" x14ac:dyDescent="0.25">
      <c r="A2065" s="2145"/>
      <c r="C2065" s="49"/>
      <c r="D2065" s="2394"/>
      <c r="E2065" s="2394"/>
      <c r="F2065" s="2404" t="str">
        <f t="shared" si="260"/>
        <v>ASHP-SEER20-Replace_CAC_ElectricHeat_ER1_SF</v>
      </c>
      <c r="G2065" s="2404"/>
      <c r="H2065" s="2404"/>
      <c r="I2065" s="2404"/>
      <c r="J2065" s="1506" t="str">
        <f t="shared" si="261"/>
        <v>353400_2024_12_</v>
      </c>
      <c r="K2065" s="1514">
        <f>(S$878+L2065*T$878)-((S$885+L2065*T$885)*S$891)</f>
        <v>4188.7510221369221</v>
      </c>
      <c r="L2065" s="45">
        <f>VLOOKUP(J2065,$J$873:$L$974,3,FALSE)*M2065</f>
        <v>2.5833656509695291</v>
      </c>
      <c r="M2065" s="1508">
        <f>VLOOKUP(J2065,$J$1697:$K$1799,2,FALSE)</f>
        <v>1</v>
      </c>
      <c r="N2065" s="524"/>
      <c r="P2065" s="243"/>
      <c r="Q2065" s="192"/>
      <c r="R2065" s="243"/>
      <c r="T2065" s="166"/>
      <c r="U2065" s="50"/>
      <c r="V2065" s="2394"/>
      <c r="W2065" s="152">
        <v>5275.2377829603429</v>
      </c>
      <c r="X2065" s="154">
        <v>7014.7584744777705</v>
      </c>
      <c r="Y2065" s="154">
        <v>2032.6993716056036</v>
      </c>
      <c r="Z2065" s="152">
        <v>2032.6993716056036</v>
      </c>
      <c r="AA2065" s="152">
        <v>2032.6993716056036</v>
      </c>
      <c r="AB2065" s="154">
        <v>2185.0873864864097</v>
      </c>
      <c r="AC2065" s="154">
        <v>2161.1935998255572</v>
      </c>
      <c r="AD2065" s="154">
        <v>2109.0699962597669</v>
      </c>
      <c r="AE2065" s="154">
        <v>2149.1611707609081</v>
      </c>
      <c r="AF2065" s="743">
        <v>4188.7510221369221</v>
      </c>
      <c r="AG2065" s="743">
        <f t="shared" si="255"/>
        <v>4188.7510221369221</v>
      </c>
      <c r="DG2065" s="543"/>
      <c r="DH2065" s="149"/>
      <c r="DI2065" s="1020"/>
      <c r="DJ2065" s="2045"/>
    </row>
    <row r="2066" spans="1:114" ht="14.65" customHeight="1" outlineLevel="1" x14ac:dyDescent="0.25">
      <c r="A2066" s="2145"/>
      <c r="C2066" s="49"/>
      <c r="D2066" s="2394"/>
      <c r="E2066" s="2394"/>
      <c r="F2066" s="2404" t="str">
        <f t="shared" si="260"/>
        <v>ASHP-SEER20-Replace_CAC_ElectricHeat_ER1_SF</v>
      </c>
      <c r="G2066" s="2404"/>
      <c r="H2066" s="2404"/>
      <c r="I2066" s="2404"/>
      <c r="J2066" s="1506" t="str">
        <f t="shared" si="261"/>
        <v>353400_2024_12_</v>
      </c>
      <c r="K2066" s="152"/>
      <c r="L2066" s="45" t="str">
        <f>IF(K2066&gt;0,VLOOKUP(J2066,$J$873:$L$974,3,FALSE),"")</f>
        <v/>
      </c>
      <c r="M2066" s="1508" t="str">
        <f>IF(K2066&gt;0,VLOOKUP(J2066,$J$1697:$K$1799,2,FALSE),"")</f>
        <v/>
      </c>
      <c r="P2066" s="243"/>
      <c r="Q2066" s="192"/>
      <c r="R2066" s="243"/>
      <c r="T2066" s="166"/>
      <c r="U2066" s="50"/>
      <c r="V2066" s="2394"/>
      <c r="W2066" s="152"/>
      <c r="X2066" s="154"/>
      <c r="Y2066" s="154"/>
      <c r="Z2066" s="152"/>
      <c r="AA2066" s="152"/>
      <c r="AB2066" s="154"/>
      <c r="AC2066" s="152"/>
      <c r="AD2066" s="152"/>
      <c r="AE2066" s="152"/>
      <c r="AF2066" s="743"/>
      <c r="AG2066" s="743" t="str">
        <f t="shared" si="255"/>
        <v/>
      </c>
      <c r="DG2066" s="543"/>
      <c r="DH2066" s="149"/>
      <c r="DI2066" s="1020"/>
      <c r="DJ2066" s="2045"/>
    </row>
    <row r="2067" spans="1:114" ht="14.65" customHeight="1" outlineLevel="1" x14ac:dyDescent="0.25">
      <c r="A2067" s="2145"/>
      <c r="C2067" s="49"/>
      <c r="D2067" s="2394"/>
      <c r="E2067" s="2394"/>
      <c r="F2067" s="2404" t="str">
        <f t="shared" si="260"/>
        <v>ASHP-SEER20-Replace_CAC_ElectricHeat_ER2_SF</v>
      </c>
      <c r="G2067" s="2404"/>
      <c r="H2067" s="2404"/>
      <c r="I2067" s="2404"/>
      <c r="J2067" s="1506" t="str">
        <f t="shared" si="261"/>
        <v>353400_2024_12_</v>
      </c>
      <c r="K2067" s="152"/>
      <c r="L2067" s="45" t="str">
        <f>IF(K2067&gt;0,VLOOKUP(J2067,$J$873:$L$974,3,FALSE),"")</f>
        <v/>
      </c>
      <c r="M2067" s="1508" t="str">
        <f>IF(K2067&gt;0,VLOOKUP(J2067,$J$1697:$K$1799,2,FALSE),"")</f>
        <v/>
      </c>
      <c r="P2067" s="243"/>
      <c r="Q2067" s="192"/>
      <c r="R2067" s="243"/>
      <c r="T2067" s="166"/>
      <c r="U2067" s="50"/>
      <c r="V2067" s="2394"/>
      <c r="W2067" s="152"/>
      <c r="X2067" s="154"/>
      <c r="Y2067" s="154"/>
      <c r="Z2067" s="152"/>
      <c r="AA2067" s="152"/>
      <c r="AB2067" s="154"/>
      <c r="AC2067" s="152"/>
      <c r="AD2067" s="152"/>
      <c r="AE2067" s="152"/>
      <c r="AF2067" s="743"/>
      <c r="AG2067" s="743" t="str">
        <f t="shared" si="255"/>
        <v/>
      </c>
      <c r="DG2067" s="543"/>
      <c r="DH2067" s="149"/>
      <c r="DI2067" s="1020"/>
      <c r="DJ2067" s="2045"/>
    </row>
    <row r="2068" spans="1:114" ht="14.65" customHeight="1" outlineLevel="1" x14ac:dyDescent="0.25">
      <c r="A2068" s="2145"/>
      <c r="C2068" s="49"/>
      <c r="D2068" s="2394"/>
      <c r="E2068" s="2394"/>
      <c r="F2068" s="2404" t="str">
        <f t="shared" si="260"/>
        <v>ASHP-SEER20-Replace_CAC_ElectricHeat_ER2_SF</v>
      </c>
      <c r="G2068" s="2404"/>
      <c r="H2068" s="2404"/>
      <c r="I2068" s="2404"/>
      <c r="J2068" s="1506" t="str">
        <f t="shared" si="261"/>
        <v>353400_2024_12_</v>
      </c>
      <c r="K2068" s="152"/>
      <c r="L2068" s="45" t="str">
        <f>IF(K2068&gt;0,VLOOKUP(J2068,$J$873:$L$974,3,FALSE),"")</f>
        <v/>
      </c>
      <c r="M2068" s="1508" t="str">
        <f>IF(K2068&gt;0,VLOOKUP(J2068,$J$1697:$K$1799,2,FALSE),"")</f>
        <v/>
      </c>
      <c r="P2068" s="243"/>
      <c r="Q2068" s="192"/>
      <c r="R2068" s="243"/>
      <c r="T2068" s="166"/>
      <c r="U2068" s="50"/>
      <c r="V2068" s="2394"/>
      <c r="W2068" s="152"/>
      <c r="X2068" s="154"/>
      <c r="Y2068" s="154"/>
      <c r="Z2068" s="152"/>
      <c r="AA2068" s="152"/>
      <c r="AB2068" s="154"/>
      <c r="AC2068" s="152"/>
      <c r="AD2068" s="152"/>
      <c r="AE2068" s="152"/>
      <c r="AF2068" s="743"/>
      <c r="AG2068" s="743" t="str">
        <f t="shared" si="255"/>
        <v/>
      </c>
      <c r="DG2068" s="543"/>
      <c r="DH2068" s="149"/>
      <c r="DI2068" s="1020"/>
      <c r="DJ2068" s="2045"/>
    </row>
    <row r="2069" spans="1:114" ht="14.65" customHeight="1" outlineLevel="1" x14ac:dyDescent="0.25">
      <c r="A2069" s="2145"/>
      <c r="C2069" s="49"/>
      <c r="D2069" s="2394"/>
      <c r="E2069" s="2394"/>
      <c r="F2069" s="2404" t="str">
        <f t="shared" si="260"/>
        <v>ASHP-SEER20-Replace_CAC_NonElectricHeat_ER1_SF</v>
      </c>
      <c r="G2069" s="2404"/>
      <c r="H2069" s="2404"/>
      <c r="I2069" s="2404"/>
      <c r="J2069" s="1506" t="str">
        <f t="shared" si="261"/>
        <v>353410_2024_12_</v>
      </c>
      <c r="K2069" s="1514">
        <f>((S$878+L2069*T$878)-((S$885+L2069*T$885)*S$891))*VLOOKUP(J2069,$J$2200:$K$2216,2,FALSE)</f>
        <v>639.41681653953015</v>
      </c>
      <c r="L2069" s="45">
        <f>VLOOKUP(J2069,$J$873:$L$974,3,FALSE)*M2069</f>
        <v>2.5833656509695291</v>
      </c>
      <c r="M2069" s="1508">
        <f>VLOOKUP(J2069,$J$1697:$K$1799,2,FALSE)</f>
        <v>1</v>
      </c>
      <c r="N2069" s="524"/>
      <c r="P2069" s="243"/>
      <c r="Q2069" s="192"/>
      <c r="R2069" s="243"/>
      <c r="T2069" s="166"/>
      <c r="U2069" s="50"/>
      <c r="V2069" s="2394"/>
      <c r="W2069" s="152"/>
      <c r="X2069" s="154"/>
      <c r="Y2069" s="154"/>
      <c r="Z2069" s="152"/>
      <c r="AA2069" s="152"/>
      <c r="AB2069" s="154"/>
      <c r="AC2069" s="154">
        <v>2161.1935998255572</v>
      </c>
      <c r="AD2069" s="154">
        <v>2109.0699962597669</v>
      </c>
      <c r="AE2069" s="154">
        <v>2149.1611707609081</v>
      </c>
      <c r="AF2069" s="743">
        <v>594.14061546225037</v>
      </c>
      <c r="AG2069" s="743">
        <f t="shared" si="255"/>
        <v>639.41681653953015</v>
      </c>
      <c r="DG2069" s="543"/>
      <c r="DH2069" s="149"/>
      <c r="DI2069" s="1020"/>
      <c r="DJ2069" s="2045"/>
    </row>
    <row r="2070" spans="1:114" ht="14.65" customHeight="1" outlineLevel="1" x14ac:dyDescent="0.25">
      <c r="A2070" s="2145"/>
      <c r="C2070" s="49"/>
      <c r="D2070" s="2394"/>
      <c r="E2070" s="2394"/>
      <c r="F2070" s="2404" t="str">
        <f t="shared" si="260"/>
        <v>ASHP-SEER20-Replace_CAC_NonElectricHeat_ER1_SF</v>
      </c>
      <c r="G2070" s="2404"/>
      <c r="H2070" s="2404"/>
      <c r="I2070" s="2404"/>
      <c r="J2070" s="1506" t="str">
        <f t="shared" si="261"/>
        <v>353410_2024_12_</v>
      </c>
      <c r="K2070" s="152"/>
      <c r="L2070" s="45"/>
      <c r="M2070" s="1508"/>
      <c r="P2070" s="243"/>
      <c r="Q2070" s="192"/>
      <c r="R2070" s="243"/>
      <c r="T2070" s="166"/>
      <c r="U2070" s="50"/>
      <c r="V2070" s="2394"/>
      <c r="W2070" s="152"/>
      <c r="X2070" s="154"/>
      <c r="Y2070" s="154"/>
      <c r="Z2070" s="152"/>
      <c r="AA2070" s="152"/>
      <c r="AB2070" s="154"/>
      <c r="AC2070" s="152"/>
      <c r="AD2070" s="152"/>
      <c r="AE2070" s="152"/>
      <c r="AF2070" s="743"/>
      <c r="AG2070" s="743" t="str">
        <f t="shared" si="255"/>
        <v/>
      </c>
      <c r="DG2070" s="543"/>
      <c r="DH2070" s="149"/>
      <c r="DI2070" s="1020"/>
      <c r="DJ2070" s="2045"/>
    </row>
    <row r="2071" spans="1:114" ht="14.65" customHeight="1" outlineLevel="1" x14ac:dyDescent="0.25">
      <c r="A2071" s="2145"/>
      <c r="C2071" s="49"/>
      <c r="D2071" s="2394"/>
      <c r="E2071" s="2394"/>
      <c r="F2071" s="2404" t="str">
        <f t="shared" si="260"/>
        <v>ASHP-SEER20-Replace_CAC_NonElectricHeat_ER2_SF</v>
      </c>
      <c r="G2071" s="2404"/>
      <c r="H2071" s="2404"/>
      <c r="I2071" s="2404"/>
      <c r="J2071" s="1506" t="str">
        <f t="shared" si="261"/>
        <v>353410_2024_12_</v>
      </c>
      <c r="K2071" s="152"/>
      <c r="L2071" s="45"/>
      <c r="M2071" s="1508"/>
      <c r="P2071" s="243"/>
      <c r="Q2071" s="192"/>
      <c r="R2071" s="243"/>
      <c r="T2071" s="166"/>
      <c r="U2071" s="50"/>
      <c r="V2071" s="2394"/>
      <c r="W2071" s="152"/>
      <c r="X2071" s="154"/>
      <c r="Y2071" s="154"/>
      <c r="Z2071" s="152"/>
      <c r="AA2071" s="152"/>
      <c r="AB2071" s="154"/>
      <c r="AC2071" s="152"/>
      <c r="AD2071" s="152"/>
      <c r="AE2071" s="152"/>
      <c r="AF2071" s="743"/>
      <c r="AG2071" s="743" t="str">
        <f t="shared" si="255"/>
        <v/>
      </c>
      <c r="DG2071" s="543"/>
      <c r="DH2071" s="149"/>
      <c r="DI2071" s="1020"/>
      <c r="DJ2071" s="2045"/>
    </row>
    <row r="2072" spans="1:114" ht="14.65" customHeight="1" outlineLevel="1" x14ac:dyDescent="0.25">
      <c r="A2072" s="2145"/>
      <c r="C2072" s="49"/>
      <c r="D2072" s="2394"/>
      <c r="E2072" s="2394"/>
      <c r="F2072" s="2404" t="str">
        <f t="shared" si="260"/>
        <v>ASHP-SEER20-Replace_CAC_NonElectricHeat_ER2_SF</v>
      </c>
      <c r="G2072" s="2404"/>
      <c r="H2072" s="2404"/>
      <c r="I2072" s="2404"/>
      <c r="J2072" s="1506" t="str">
        <f t="shared" si="261"/>
        <v>353410_2024_12_</v>
      </c>
      <c r="K2072" s="152"/>
      <c r="L2072" s="45"/>
      <c r="M2072" s="1508"/>
      <c r="P2072" s="243"/>
      <c r="Q2072" s="192"/>
      <c r="R2072" s="243"/>
      <c r="T2072" s="166"/>
      <c r="U2072" s="50"/>
      <c r="V2072" s="2394"/>
      <c r="W2072" s="152"/>
      <c r="X2072" s="154"/>
      <c r="Y2072" s="154"/>
      <c r="Z2072" s="152"/>
      <c r="AA2072" s="152"/>
      <c r="AB2072" s="154"/>
      <c r="AC2072" s="152"/>
      <c r="AD2072" s="152"/>
      <c r="AE2072" s="152"/>
      <c r="AF2072" s="743"/>
      <c r="AG2072" s="743" t="str">
        <f t="shared" si="255"/>
        <v/>
      </c>
      <c r="DG2072" s="543"/>
      <c r="DH2072" s="149"/>
      <c r="DI2072" s="1020"/>
      <c r="DJ2072" s="2045"/>
    </row>
    <row r="2073" spans="1:114" ht="15.75" customHeight="1" outlineLevel="1" x14ac:dyDescent="0.25">
      <c r="A2073" s="2145"/>
      <c r="C2073" s="49"/>
      <c r="D2073" s="2394"/>
      <c r="E2073" s="2394"/>
      <c r="F2073" s="1968" t="s">
        <v>1180</v>
      </c>
      <c r="G2073" s="1969"/>
      <c r="H2073" s="1969"/>
      <c r="I2073" s="1970"/>
      <c r="J2073" s="2095" t="s">
        <v>1179</v>
      </c>
      <c r="K2073" s="1982">
        <f>((S$878+L2073*T$878)-(S$883+L2073*T$883))*VLOOKUP(J2073,$J$2200:$K$2216,2,FALSE)</f>
        <v>968.96549571986588</v>
      </c>
      <c r="L2073" s="45">
        <f>VLOOKUP(J2073,$J$873:$L$975,3,FALSE)*M2073</f>
        <v>2.2000000000000002</v>
      </c>
      <c r="M2073" s="1508">
        <f>VLOOKUP(J2073,$J$1697:$K$1799,2,FALSE)</f>
        <v>1</v>
      </c>
      <c r="T2073" s="50"/>
      <c r="U2073" s="50"/>
      <c r="V2073" s="2394"/>
      <c r="W2073" s="213"/>
      <c r="X2073" s="213"/>
      <c r="Y2073" s="213"/>
      <c r="Z2073" s="213"/>
      <c r="AA2073" s="213"/>
      <c r="AB2073" s="213"/>
      <c r="AC2073" s="2020"/>
      <c r="AD2073" s="2021"/>
      <c r="AE2073" s="2022"/>
      <c r="AF2073" s="2019"/>
      <c r="AG2073" s="743">
        <f>IF(K2073&lt;&gt;"",K2073,"")</f>
        <v>968.96549571986588</v>
      </c>
      <c r="DG2073" s="543"/>
      <c r="DH2073" s="149"/>
      <c r="DI2073" s="1020"/>
      <c r="DJ2073" s="2045"/>
    </row>
    <row r="2074" spans="1:114" ht="15.75" customHeight="1" outlineLevel="1" x14ac:dyDescent="0.25">
      <c r="A2074" s="2145"/>
      <c r="C2074" s="49"/>
      <c r="D2074" s="2394"/>
      <c r="E2074" s="2394"/>
      <c r="F2074" s="1968" t="s">
        <v>1181</v>
      </c>
      <c r="G2074" s="1969"/>
      <c r="H2074" s="1969"/>
      <c r="I2074" s="1970"/>
      <c r="J2074" s="2095" t="s">
        <v>1179</v>
      </c>
      <c r="K2074" s="154"/>
      <c r="L2074" s="45">
        <f>VLOOKUP(J2074,$J$873:$L$975,3,FALSE)*M2074</f>
        <v>2.2000000000000002</v>
      </c>
      <c r="M2074" s="1508">
        <f>VLOOKUP(J2074,$J$1697:$K$1799,2,FALSE)</f>
        <v>1</v>
      </c>
      <c r="T2074" s="50"/>
      <c r="U2074" s="50"/>
      <c r="V2074" s="2394"/>
      <c r="W2074" s="213"/>
      <c r="X2074" s="213"/>
      <c r="Y2074" s="213"/>
      <c r="Z2074" s="213"/>
      <c r="AA2074" s="213"/>
      <c r="AB2074" s="213"/>
      <c r="AC2074" s="2020"/>
      <c r="AD2074" s="2021"/>
      <c r="AE2074" s="2022"/>
      <c r="AF2074" s="2019"/>
      <c r="AG2074" s="743" t="str">
        <f>IF(K2074&lt;&gt;"",K2074,"")</f>
        <v/>
      </c>
      <c r="DG2074" s="543"/>
      <c r="DH2074" s="149"/>
      <c r="DI2074" s="1020"/>
      <c r="DJ2074" s="2045"/>
    </row>
    <row r="2075" spans="1:114" ht="14.65" customHeight="1" outlineLevel="1" x14ac:dyDescent="0.25">
      <c r="A2075" s="2145"/>
      <c r="C2075" s="49"/>
      <c r="D2075" s="2394"/>
      <c r="E2075" s="2394"/>
      <c r="F2075" s="2404" t="str">
        <f>E725</f>
        <v>ASHP-SEER20-Replace_CAC_ElectricHeat_ROF_SF</v>
      </c>
      <c r="G2075" s="2404"/>
      <c r="H2075" s="2404"/>
      <c r="I2075" s="2404"/>
      <c r="J2075" s="1506" t="str">
        <f>C725</f>
        <v>353450_2024_12_</v>
      </c>
      <c r="K2075" s="1514">
        <f>(S$878+L2075*T$878)-(S$883+L2075*T$883)</f>
        <v>4329.25</v>
      </c>
      <c r="L2075" s="45">
        <f>VLOOKUP(J2075,$J$873:$L$974,3,FALSE)*M2075</f>
        <v>2.8870833333333334</v>
      </c>
      <c r="M2075" s="1508">
        <f>VLOOKUP(J2075,$J$1697:$K$1799,2,FALSE)</f>
        <v>1</v>
      </c>
      <c r="N2075" s="524"/>
      <c r="P2075" s="243"/>
      <c r="Q2075" s="192"/>
      <c r="R2075" s="243"/>
      <c r="T2075" s="166"/>
      <c r="U2075" s="50"/>
      <c r="V2075" s="2394"/>
      <c r="W2075" s="152">
        <v>3712</v>
      </c>
      <c r="X2075" s="154">
        <v>4622.0159999999987</v>
      </c>
      <c r="Y2075" s="154">
        <v>1160</v>
      </c>
      <c r="Z2075" s="152">
        <v>1160</v>
      </c>
      <c r="AA2075" s="152">
        <v>1160</v>
      </c>
      <c r="AB2075" s="154">
        <v>1444.3799999999994</v>
      </c>
      <c r="AC2075" s="152">
        <v>1444.3799999999994</v>
      </c>
      <c r="AD2075" s="152">
        <v>1444.3799999999994</v>
      </c>
      <c r="AE2075" s="152">
        <v>1444.3799999999994</v>
      </c>
      <c r="AF2075" s="743">
        <v>4329.25</v>
      </c>
      <c r="AG2075" s="743">
        <f t="shared" si="255"/>
        <v>4329.25</v>
      </c>
      <c r="DG2075" s="543"/>
      <c r="DH2075" s="149"/>
      <c r="DI2075" s="1020"/>
      <c r="DJ2075" s="2045"/>
    </row>
    <row r="2076" spans="1:114" ht="14.65" customHeight="1" outlineLevel="1" x14ac:dyDescent="0.25">
      <c r="A2076" s="2145"/>
      <c r="C2076" s="49"/>
      <c r="D2076" s="2394"/>
      <c r="E2076" s="2394"/>
      <c r="F2076" s="2404" t="str">
        <f>E726</f>
        <v>ASHP-SEER20-Replace_CAC_ElectricHeat_ROF_SF</v>
      </c>
      <c r="G2076" s="2404"/>
      <c r="H2076" s="2404"/>
      <c r="I2076" s="2404"/>
      <c r="J2076" s="1506" t="str">
        <f>C726</f>
        <v>353450_2024_12_</v>
      </c>
      <c r="K2076" s="152"/>
      <c r="L2076" s="45" t="str">
        <f>IF(K2076&gt;0,VLOOKUP(J2076,$J$873:$L$974,3,FALSE),"")</f>
        <v/>
      </c>
      <c r="M2076" s="1508" t="str">
        <f>IF(K2076&gt;0,VLOOKUP(J2076,$J$1697:$K$1799,2,FALSE),"")</f>
        <v/>
      </c>
      <c r="P2076" s="243"/>
      <c r="Q2076" s="192"/>
      <c r="R2076" s="243"/>
      <c r="T2076" s="166"/>
      <c r="U2076" s="50"/>
      <c r="V2076" s="2394"/>
      <c r="W2076" s="152"/>
      <c r="X2076" s="154"/>
      <c r="Y2076" s="154"/>
      <c r="Z2076" s="152"/>
      <c r="AA2076" s="152"/>
      <c r="AB2076" s="154"/>
      <c r="AC2076" s="152"/>
      <c r="AD2076" s="152"/>
      <c r="AE2076" s="152"/>
      <c r="AF2076" s="743"/>
      <c r="AG2076" s="743" t="str">
        <f t="shared" si="255"/>
        <v/>
      </c>
      <c r="DG2076" s="543"/>
      <c r="DH2076" s="149"/>
      <c r="DI2076" s="1020"/>
      <c r="DJ2076" s="2045"/>
    </row>
    <row r="2077" spans="1:114" ht="15.75" customHeight="1" outlineLevel="1" x14ac:dyDescent="0.25">
      <c r="A2077" s="2145"/>
      <c r="C2077" s="49"/>
      <c r="D2077" s="2394"/>
      <c r="E2077" s="2394"/>
      <c r="F2077" s="1968" t="s">
        <v>1185</v>
      </c>
      <c r="G2077" s="1969"/>
      <c r="H2077" s="1969"/>
      <c r="I2077" s="1970"/>
      <c r="J2077" s="2095" t="s">
        <v>1184</v>
      </c>
      <c r="K2077" s="1982">
        <f>(S$878+L2077*T$878)-(S$883+L2077*T$883)*S$891</f>
        <v>4357.60601696091</v>
      </c>
      <c r="L2077" s="45">
        <f>VLOOKUP(J2077,$J$873:$L$975,3,FALSE)*M2077</f>
        <v>1.95</v>
      </c>
      <c r="M2077" s="1508">
        <f>VLOOKUP(J2077,$J$1697:$K$1799,2,FALSE)</f>
        <v>1</v>
      </c>
      <c r="T2077" s="50"/>
      <c r="U2077" s="50"/>
      <c r="V2077" s="2394"/>
      <c r="W2077" s="213"/>
      <c r="X2077" s="213"/>
      <c r="Y2077" s="213"/>
      <c r="Z2077" s="213"/>
      <c r="AA2077" s="213"/>
      <c r="AB2077" s="213"/>
      <c r="AC2077" s="2020"/>
      <c r="AD2077" s="2021"/>
      <c r="AE2077" s="2022"/>
      <c r="AF2077" s="2019"/>
      <c r="AG2077" s="743">
        <f>IF(K2077&lt;&gt;"",K2077,"")</f>
        <v>4357.60601696091</v>
      </c>
      <c r="DG2077" s="543"/>
      <c r="DH2077" s="149"/>
      <c r="DI2077" s="1020"/>
      <c r="DJ2077" s="2045"/>
    </row>
    <row r="2078" spans="1:114" ht="14.65" customHeight="1" outlineLevel="1" x14ac:dyDescent="0.25">
      <c r="A2078" s="2145"/>
      <c r="C2078" s="49"/>
      <c r="D2078" s="2394"/>
      <c r="E2078" s="2394"/>
      <c r="F2078" s="2404" t="str">
        <f t="shared" ref="F2078:F2120" si="262">E729</f>
        <v>ASHP-SEER20-Replace_CAC_NonElectricHeat_ROF_SF</v>
      </c>
      <c r="G2078" s="2404"/>
      <c r="H2078" s="2404"/>
      <c r="I2078" s="2404"/>
      <c r="J2078" s="1506" t="str">
        <f t="shared" ref="J2078:J2120" si="263">C729</f>
        <v>353460_2024_12_</v>
      </c>
      <c r="K2078" s="1514">
        <f>((S$878+L2078*T$878)-(S$883+L2078*T$883))*VLOOKUP(J2078,$J$2200:$K$2216,2,FALSE)</f>
        <v>350.28820074109143</v>
      </c>
      <c r="L2078" s="45">
        <f>VLOOKUP(J2078,$J$873:$L$974,3,FALSE)*M2078</f>
        <v>2.8870833333333334</v>
      </c>
      <c r="M2078" s="1508">
        <f>VLOOKUP(J2078,$J$1697:$K$1799,2,FALSE)</f>
        <v>1</v>
      </c>
      <c r="N2078" s="524"/>
      <c r="P2078" s="243"/>
      <c r="Q2078" s="192"/>
      <c r="R2078" s="243"/>
      <c r="T2078" s="166"/>
      <c r="U2078" s="50"/>
      <c r="V2078" s="2394"/>
      <c r="W2078" s="152"/>
      <c r="X2078" s="154"/>
      <c r="Y2078" s="154"/>
      <c r="Z2078" s="152"/>
      <c r="AA2078" s="152"/>
      <c r="AB2078" s="154"/>
      <c r="AC2078" s="152"/>
      <c r="AD2078" s="154">
        <v>1444.3799999999994</v>
      </c>
      <c r="AE2078" s="152">
        <v>1444.3799999999994</v>
      </c>
      <c r="AF2078" s="743">
        <v>322.96131048074847</v>
      </c>
      <c r="AG2078" s="743">
        <f t="shared" si="255"/>
        <v>350.28820074109143</v>
      </c>
      <c r="DG2078" s="543"/>
      <c r="DH2078" s="149"/>
      <c r="DI2078" s="1020"/>
      <c r="DJ2078" s="2045"/>
    </row>
    <row r="2079" spans="1:114" ht="14.65" customHeight="1" outlineLevel="1" x14ac:dyDescent="0.25">
      <c r="A2079" s="2145"/>
      <c r="C2079" s="49"/>
      <c r="D2079" s="2394"/>
      <c r="E2079" s="2394"/>
      <c r="F2079" s="2404" t="str">
        <f t="shared" si="262"/>
        <v>ASHP-SEER20-Replace_CAC_NonElectricHeat_ROF_SF</v>
      </c>
      <c r="G2079" s="2404"/>
      <c r="H2079" s="2404"/>
      <c r="I2079" s="2404"/>
      <c r="J2079" s="1506" t="str">
        <f t="shared" si="263"/>
        <v>353460_2024_12_</v>
      </c>
      <c r="K2079" s="152"/>
      <c r="L2079" s="45" t="str">
        <f>IF(K2079&gt;0,VLOOKUP(J2079,$J$873:$L$974,3,FALSE),"")</f>
        <v/>
      </c>
      <c r="M2079" s="1508" t="str">
        <f>IF(K2079&gt;0,VLOOKUP(J2079,$J$1697:$K$1799,2,FALSE),"")</f>
        <v/>
      </c>
      <c r="P2079" s="243"/>
      <c r="Q2079" s="192"/>
      <c r="R2079" s="243"/>
      <c r="T2079" s="166"/>
      <c r="U2079" s="50"/>
      <c r="V2079" s="2394"/>
      <c r="W2079" s="152"/>
      <c r="X2079" s="154"/>
      <c r="Y2079" s="154"/>
      <c r="Z2079" s="152"/>
      <c r="AA2079" s="152"/>
      <c r="AB2079" s="154"/>
      <c r="AC2079" s="152"/>
      <c r="AD2079" s="152"/>
      <c r="AE2079" s="152"/>
      <c r="AF2079" s="743"/>
      <c r="AG2079" s="743" t="str">
        <f t="shared" si="255"/>
        <v/>
      </c>
      <c r="DG2079" s="543"/>
      <c r="DH2079" s="149"/>
      <c r="DI2079" s="1020"/>
      <c r="DJ2079" s="2045"/>
    </row>
    <row r="2080" spans="1:114" ht="14.65" customHeight="1" outlineLevel="1" x14ac:dyDescent="0.25">
      <c r="A2080" s="2145"/>
      <c r="C2080" s="49"/>
      <c r="D2080" s="2394"/>
      <c r="E2080" s="2394"/>
      <c r="F2080" s="2404" t="str">
        <f t="shared" si="262"/>
        <v>ASHP-SEER21-Replace_CAC_ElectricHeat_ER1_SF</v>
      </c>
      <c r="G2080" s="2404"/>
      <c r="H2080" s="2404"/>
      <c r="I2080" s="2404"/>
      <c r="J2080" s="1506" t="str">
        <f t="shared" si="263"/>
        <v>353550_2024_12_</v>
      </c>
      <c r="K2080" s="1514">
        <f>(S$878+L2080*T$878)-((S$885+L2080*T$885)*S$891)</f>
        <v>4645.1653206811143</v>
      </c>
      <c r="L2080" s="45">
        <f>VLOOKUP(J2080,$J$873:$L$974,3,FALSE)*M2080</f>
        <v>3.3440561485431846</v>
      </c>
      <c r="M2080" s="1508">
        <f>VLOOKUP(J2080,$J$1697:$K$1799,2,FALSE)</f>
        <v>1</v>
      </c>
      <c r="N2080" s="524"/>
      <c r="P2080" s="243"/>
      <c r="Q2080" s="192"/>
      <c r="R2080" s="243"/>
      <c r="T2080" s="166"/>
      <c r="U2080" s="50"/>
      <c r="V2080" s="2394"/>
      <c r="W2080" s="152">
        <v>5275.2377829603429</v>
      </c>
      <c r="X2080" s="154">
        <v>7775.9467344777704</v>
      </c>
      <c r="Y2080" s="154">
        <v>2032.6993716056036</v>
      </c>
      <c r="Z2080" s="152">
        <v>2032.6993716056036</v>
      </c>
      <c r="AA2080" s="152">
        <v>2032.6993716056036</v>
      </c>
      <c r="AB2080" s="154">
        <v>2430.6319864864099</v>
      </c>
      <c r="AC2080" s="154">
        <v>2547.9287573669544</v>
      </c>
      <c r="AD2080" s="154">
        <v>2490.8675578660959</v>
      </c>
      <c r="AE2080" s="154">
        <v>2602.2336285635597</v>
      </c>
      <c r="AF2080" s="743">
        <v>4645.1653206811143</v>
      </c>
      <c r="AG2080" s="743">
        <f t="shared" si="255"/>
        <v>4645.1653206811143</v>
      </c>
      <c r="DG2080" s="543"/>
      <c r="DH2080" s="149"/>
      <c r="DI2080" s="1020"/>
      <c r="DJ2080" s="2045"/>
    </row>
    <row r="2081" spans="1:114" ht="14.65" customHeight="1" outlineLevel="1" x14ac:dyDescent="0.25">
      <c r="A2081" s="2145"/>
      <c r="C2081" s="49"/>
      <c r="D2081" s="2394"/>
      <c r="E2081" s="2394"/>
      <c r="F2081" s="2404" t="str">
        <f t="shared" si="262"/>
        <v>ASHP-SEER21-Replace_CAC_ElectricHeat_ER1_SF</v>
      </c>
      <c r="G2081" s="2404"/>
      <c r="H2081" s="2404"/>
      <c r="I2081" s="2404"/>
      <c r="J2081" s="1506" t="str">
        <f t="shared" si="263"/>
        <v>353550_2024_12_</v>
      </c>
      <c r="K2081" s="152"/>
      <c r="L2081" s="45" t="str">
        <f>IF(K2081&gt;0,VLOOKUP(J2081,$J$873:$L$974,3,FALSE),"")</f>
        <v/>
      </c>
      <c r="M2081" s="1508" t="str">
        <f>IF(K2081&gt;0,VLOOKUP(J2081,$J$1697:$K$1799,2,FALSE),"")</f>
        <v/>
      </c>
      <c r="P2081" s="243"/>
      <c r="Q2081" s="192"/>
      <c r="R2081" s="243"/>
      <c r="T2081" s="166"/>
      <c r="U2081" s="50"/>
      <c r="V2081" s="2394"/>
      <c r="W2081" s="152"/>
      <c r="X2081" s="154"/>
      <c r="Y2081" s="154"/>
      <c r="Z2081" s="152"/>
      <c r="AA2081" s="152"/>
      <c r="AB2081" s="154"/>
      <c r="AC2081" s="152"/>
      <c r="AD2081" s="152"/>
      <c r="AE2081" s="152"/>
      <c r="AF2081" s="743"/>
      <c r="AG2081" s="743" t="str">
        <f t="shared" si="255"/>
        <v/>
      </c>
      <c r="DG2081" s="543"/>
      <c r="DH2081" s="149"/>
      <c r="DI2081" s="1020"/>
      <c r="DJ2081" s="2045"/>
    </row>
    <row r="2082" spans="1:114" ht="14.65" customHeight="1" outlineLevel="1" x14ac:dyDescent="0.25">
      <c r="A2082" s="2145"/>
      <c r="C2082" s="49"/>
      <c r="D2082" s="2394"/>
      <c r="E2082" s="2394"/>
      <c r="F2082" s="2404" t="str">
        <f t="shared" si="262"/>
        <v>ASHP-SEER21-Replace_CAC_ElectricHeat_ER2_SF</v>
      </c>
      <c r="G2082" s="2404"/>
      <c r="H2082" s="2404"/>
      <c r="I2082" s="2404"/>
      <c r="J2082" s="1506" t="str">
        <f t="shared" si="263"/>
        <v>353550_2024_12_</v>
      </c>
      <c r="K2082" s="152"/>
      <c r="L2082" s="45" t="str">
        <f>IF(K2082&gt;0,VLOOKUP(J2082,$J$873:$L$974,3,FALSE),"")</f>
        <v/>
      </c>
      <c r="M2082" s="1508" t="str">
        <f>IF(K2082&gt;0,VLOOKUP(J2082,$J$1697:$K$1799,2,FALSE),"")</f>
        <v/>
      </c>
      <c r="P2082" s="243"/>
      <c r="Q2082" s="192"/>
      <c r="R2082" s="243"/>
      <c r="T2082" s="166"/>
      <c r="U2082" s="50"/>
      <c r="V2082" s="2394"/>
      <c r="W2082" s="152"/>
      <c r="X2082" s="154"/>
      <c r="Y2082" s="154"/>
      <c r="Z2082" s="152"/>
      <c r="AA2082" s="152"/>
      <c r="AB2082" s="154"/>
      <c r="AC2082" s="152"/>
      <c r="AD2082" s="152"/>
      <c r="AE2082" s="152"/>
      <c r="AF2082" s="743"/>
      <c r="AG2082" s="743" t="str">
        <f t="shared" si="255"/>
        <v/>
      </c>
      <c r="DG2082" s="543"/>
      <c r="DH2082" s="149"/>
      <c r="DI2082" s="1020"/>
      <c r="DJ2082" s="2045"/>
    </row>
    <row r="2083" spans="1:114" ht="14.65" customHeight="1" outlineLevel="1" x14ac:dyDescent="0.25">
      <c r="A2083" s="2145"/>
      <c r="C2083" s="49"/>
      <c r="D2083" s="2394"/>
      <c r="E2083" s="2394"/>
      <c r="F2083" s="2404" t="str">
        <f t="shared" si="262"/>
        <v>ASHP-SEER21-Replace_CAC_ElectricHeat_ER2_SF</v>
      </c>
      <c r="G2083" s="2404"/>
      <c r="H2083" s="2404"/>
      <c r="I2083" s="2404"/>
      <c r="J2083" s="1506" t="str">
        <f t="shared" si="263"/>
        <v>353550_2024_12_</v>
      </c>
      <c r="K2083" s="152"/>
      <c r="L2083" s="45" t="str">
        <f>IF(K2083&gt;0,VLOOKUP(J2083,$J$873:$L$974,3,FALSE),"")</f>
        <v/>
      </c>
      <c r="M2083" s="1508" t="str">
        <f>IF(K2083&gt;0,VLOOKUP(J2083,$J$1697:$K$1799,2,FALSE),"")</f>
        <v/>
      </c>
      <c r="P2083" s="243"/>
      <c r="Q2083" s="192"/>
      <c r="R2083" s="243"/>
      <c r="T2083" s="166"/>
      <c r="U2083" s="50"/>
      <c r="V2083" s="2394"/>
      <c r="W2083" s="152"/>
      <c r="X2083" s="154"/>
      <c r="Y2083" s="154"/>
      <c r="Z2083" s="152"/>
      <c r="AA2083" s="152"/>
      <c r="AB2083" s="154"/>
      <c r="AC2083" s="152"/>
      <c r="AD2083" s="152"/>
      <c r="AE2083" s="152"/>
      <c r="AF2083" s="743"/>
      <c r="AG2083" s="743" t="str">
        <f t="shared" si="255"/>
        <v/>
      </c>
      <c r="DG2083" s="543"/>
      <c r="DH2083" s="149"/>
      <c r="DI2083" s="1020"/>
      <c r="DJ2083" s="2045"/>
    </row>
    <row r="2084" spans="1:114" ht="14.65" customHeight="1" outlineLevel="1" x14ac:dyDescent="0.25">
      <c r="A2084" s="2145"/>
      <c r="C2084" s="49"/>
      <c r="D2084" s="2394"/>
      <c r="E2084" s="2394"/>
      <c r="F2084" s="2404" t="str">
        <f t="shared" si="262"/>
        <v>ASHP-SEER21-Replace_CAC_NonElectricHeat_ER1_SF</v>
      </c>
      <c r="G2084" s="2404"/>
      <c r="H2084" s="2404"/>
      <c r="I2084" s="2404"/>
      <c r="J2084" s="1506" t="str">
        <f t="shared" si="263"/>
        <v>353560_2024_12_</v>
      </c>
      <c r="K2084" s="1514">
        <f>((S$878+L2084*T$878)-((S$885+L2084*T$885)*S$891))*VLOOKUP(J2084,$J$2200:$K$2216,2,FALSE)</f>
        <v>636.0313063667636</v>
      </c>
      <c r="L2084" s="45">
        <f>VLOOKUP(J2084,$J$873:$L$974,3,FALSE)*M2084</f>
        <v>3.3440561485431846</v>
      </c>
      <c r="M2084" s="1508">
        <f>VLOOKUP(J2084,$J$1697:$K$1799,2,FALSE)</f>
        <v>1</v>
      </c>
      <c r="N2084" s="524"/>
      <c r="P2084" s="243"/>
      <c r="Q2084" s="192"/>
      <c r="R2084" s="243"/>
      <c r="T2084" s="166"/>
      <c r="U2084" s="50"/>
      <c r="V2084" s="2394"/>
      <c r="W2084" s="152"/>
      <c r="X2084" s="154"/>
      <c r="Y2084" s="154"/>
      <c r="Z2084" s="152"/>
      <c r="AA2084" s="152"/>
      <c r="AB2084" s="154"/>
      <c r="AC2084" s="154">
        <v>2547.9287573669544</v>
      </c>
      <c r="AD2084" s="154">
        <v>2490.8675578660959</v>
      </c>
      <c r="AE2084" s="154">
        <v>2602.2336285635597</v>
      </c>
      <c r="AF2084" s="743">
        <v>584.70329002915889</v>
      </c>
      <c r="AG2084" s="743">
        <f t="shared" si="255"/>
        <v>636.0313063667636</v>
      </c>
      <c r="DG2084" s="543"/>
      <c r="DH2084" s="149"/>
      <c r="DI2084" s="1020"/>
      <c r="DJ2084" s="2045"/>
    </row>
    <row r="2085" spans="1:114" ht="14.65" customHeight="1" outlineLevel="1" x14ac:dyDescent="0.25">
      <c r="A2085" s="2145"/>
      <c r="C2085" s="49"/>
      <c r="D2085" s="2394"/>
      <c r="E2085" s="2394"/>
      <c r="F2085" s="2404" t="str">
        <f t="shared" si="262"/>
        <v>ASHP-SEER21-Replace_CAC_NonElectricHeat_ER1_SF</v>
      </c>
      <c r="G2085" s="2404"/>
      <c r="H2085" s="2404"/>
      <c r="I2085" s="2404"/>
      <c r="J2085" s="1506" t="str">
        <f t="shared" si="263"/>
        <v>353560_2024_12_</v>
      </c>
      <c r="K2085" s="152"/>
      <c r="L2085" s="45"/>
      <c r="M2085" s="1508"/>
      <c r="P2085" s="243"/>
      <c r="Q2085" s="192"/>
      <c r="R2085" s="243"/>
      <c r="T2085" s="166"/>
      <c r="U2085" s="50"/>
      <c r="V2085" s="2394"/>
      <c r="W2085" s="152"/>
      <c r="X2085" s="154"/>
      <c r="Y2085" s="154"/>
      <c r="Z2085" s="152"/>
      <c r="AA2085" s="152"/>
      <c r="AB2085" s="154"/>
      <c r="AC2085" s="152"/>
      <c r="AD2085" s="152"/>
      <c r="AE2085" s="152"/>
      <c r="AF2085" s="743"/>
      <c r="AG2085" s="743" t="str">
        <f t="shared" si="255"/>
        <v/>
      </c>
      <c r="DG2085" s="543"/>
      <c r="DH2085" s="149"/>
      <c r="DI2085" s="1020"/>
      <c r="DJ2085" s="2045"/>
    </row>
    <row r="2086" spans="1:114" ht="14.65" customHeight="1" outlineLevel="1" x14ac:dyDescent="0.25">
      <c r="A2086" s="2145"/>
      <c r="C2086" s="49"/>
      <c r="D2086" s="2394"/>
      <c r="E2086" s="2394"/>
      <c r="F2086" s="2404" t="str">
        <f t="shared" si="262"/>
        <v>ASHP-SEER21-Replace_CAC_NonElectricHeat_ER2_SF</v>
      </c>
      <c r="G2086" s="2404"/>
      <c r="H2086" s="2404"/>
      <c r="I2086" s="2404"/>
      <c r="J2086" s="1506" t="str">
        <f t="shared" si="263"/>
        <v>353560_2024_12_</v>
      </c>
      <c r="K2086" s="152"/>
      <c r="L2086" s="45"/>
      <c r="M2086" s="1508"/>
      <c r="P2086" s="243"/>
      <c r="Q2086" s="192"/>
      <c r="R2086" s="243"/>
      <c r="T2086" s="166"/>
      <c r="U2086" s="50"/>
      <c r="V2086" s="2394"/>
      <c r="W2086" s="152"/>
      <c r="X2086" s="154"/>
      <c r="Y2086" s="154"/>
      <c r="Z2086" s="152"/>
      <c r="AA2086" s="152"/>
      <c r="AB2086" s="154"/>
      <c r="AC2086" s="152"/>
      <c r="AD2086" s="152"/>
      <c r="AE2086" s="152"/>
      <c r="AF2086" s="743"/>
      <c r="AG2086" s="743" t="str">
        <f t="shared" si="255"/>
        <v/>
      </c>
      <c r="DG2086" s="543"/>
      <c r="DH2086" s="149"/>
      <c r="DI2086" s="1020"/>
      <c r="DJ2086" s="2045"/>
    </row>
    <row r="2087" spans="1:114" ht="14.65" customHeight="1" outlineLevel="1" x14ac:dyDescent="0.25">
      <c r="A2087" s="2145"/>
      <c r="C2087" s="49"/>
      <c r="D2087" s="2394"/>
      <c r="E2087" s="2394"/>
      <c r="F2087" s="2404" t="str">
        <f t="shared" si="262"/>
        <v>ASHP-SEER21-Replace_CAC_NonElectricHeat_ER2_SF</v>
      </c>
      <c r="G2087" s="2404"/>
      <c r="H2087" s="2404"/>
      <c r="I2087" s="2404"/>
      <c r="J2087" s="1506" t="str">
        <f t="shared" si="263"/>
        <v>353560_2024_12_</v>
      </c>
      <c r="K2087" s="152"/>
      <c r="L2087" s="45"/>
      <c r="M2087" s="1508"/>
      <c r="P2087" s="243"/>
      <c r="Q2087" s="192"/>
      <c r="R2087" s="243"/>
      <c r="T2087" s="166"/>
      <c r="U2087" s="50"/>
      <c r="V2087" s="2394"/>
      <c r="W2087" s="152"/>
      <c r="X2087" s="154"/>
      <c r="Y2087" s="154"/>
      <c r="Z2087" s="152"/>
      <c r="AA2087" s="152"/>
      <c r="AB2087" s="154"/>
      <c r="AC2087" s="152"/>
      <c r="AD2087" s="152"/>
      <c r="AE2087" s="152"/>
      <c r="AF2087" s="743"/>
      <c r="AG2087" s="743" t="str">
        <f t="shared" si="255"/>
        <v/>
      </c>
      <c r="DG2087" s="543"/>
      <c r="DH2087" s="149"/>
      <c r="DI2087" s="1020"/>
      <c r="DJ2087" s="2045"/>
    </row>
    <row r="2088" spans="1:114" ht="14.65" customHeight="1" outlineLevel="1" x14ac:dyDescent="0.25">
      <c r="A2088" s="2145"/>
      <c r="C2088" s="49"/>
      <c r="D2088" s="2394"/>
      <c r="E2088" s="2394"/>
      <c r="F2088" s="2404" t="str">
        <f t="shared" si="262"/>
        <v>ASHP-SEER21-Replace_CAC_ElectricHeat_ER1_MF</v>
      </c>
      <c r="G2088" s="2404"/>
      <c r="H2088" s="2404"/>
      <c r="I2088" s="2404"/>
      <c r="J2088" s="1506" t="str">
        <f t="shared" si="263"/>
        <v>353600_2024_12_</v>
      </c>
      <c r="K2088" s="1514">
        <f>(S$878+L2088*T$878)-((S$885+L2088*T$885)*S$891)</f>
        <v>3847.7316315552043</v>
      </c>
      <c r="L2088" s="45">
        <f>VLOOKUP(J2088,$J$873:$L$974,3,FALSE)*M2088</f>
        <v>2.0150000000000001</v>
      </c>
      <c r="M2088" s="1508">
        <f>VLOOKUP(J2088,$J$1697:$K$1799,2,FALSE)</f>
        <v>0.65</v>
      </c>
      <c r="N2088" s="524"/>
      <c r="P2088" s="243"/>
      <c r="Q2088" s="192"/>
      <c r="R2088" s="243"/>
      <c r="T2088" s="166"/>
      <c r="U2088" s="50"/>
      <c r="V2088" s="2394"/>
      <c r="W2088" s="152">
        <v>5275.2377829603429</v>
      </c>
      <c r="X2088" s="154">
        <v>5054.3653774105505</v>
      </c>
      <c r="Y2088" s="154">
        <v>1727.2545915436422</v>
      </c>
      <c r="Z2088" s="152">
        <v>1727.2545915436422</v>
      </c>
      <c r="AA2088" s="152">
        <v>1727.2545915436422</v>
      </c>
      <c r="AB2088" s="154">
        <v>2171.3844012161662</v>
      </c>
      <c r="AC2088" s="152">
        <v>2171.3844012161662</v>
      </c>
      <c r="AD2088" s="152">
        <v>2171.3844012161662</v>
      </c>
      <c r="AE2088" s="154">
        <v>2239.6470361368501</v>
      </c>
      <c r="AF2088" s="743">
        <v>3847.7316315552043</v>
      </c>
      <c r="AG2088" s="743">
        <f t="shared" si="255"/>
        <v>3847.7316315552043</v>
      </c>
      <c r="DG2088" s="543"/>
      <c r="DH2088" s="149"/>
      <c r="DI2088" s="1020"/>
      <c r="DJ2088" s="2045"/>
    </row>
    <row r="2089" spans="1:114" ht="14.65" customHeight="1" outlineLevel="1" x14ac:dyDescent="0.25">
      <c r="A2089" s="2145"/>
      <c r="C2089" s="49"/>
      <c r="D2089" s="2394"/>
      <c r="E2089" s="2394"/>
      <c r="F2089" s="2404" t="str">
        <f t="shared" si="262"/>
        <v>ASHP-SEER21-Replace_CAC_ElectricHeat_ER1_MF</v>
      </c>
      <c r="G2089" s="2404"/>
      <c r="H2089" s="2404"/>
      <c r="I2089" s="2404"/>
      <c r="J2089" s="1506" t="str">
        <f t="shared" si="263"/>
        <v>353600_2024_12_</v>
      </c>
      <c r="K2089" s="152"/>
      <c r="L2089" s="45" t="str">
        <f>IF(K2089&gt;0,VLOOKUP(J2089,$J$873:$L$974,3,FALSE),"")</f>
        <v/>
      </c>
      <c r="M2089" s="1508" t="str">
        <f>IF(K2089&gt;0,VLOOKUP(J2089,$J$1697:$K$1799,2,FALSE),"")</f>
        <v/>
      </c>
      <c r="P2089" s="243"/>
      <c r="Q2089" s="192"/>
      <c r="R2089" s="243"/>
      <c r="T2089" s="166"/>
      <c r="U2089" s="50"/>
      <c r="V2089" s="2394"/>
      <c r="W2089" s="152"/>
      <c r="X2089" s="154"/>
      <c r="Y2089" s="154"/>
      <c r="Z2089" s="152"/>
      <c r="AA2089" s="152"/>
      <c r="AB2089" s="154"/>
      <c r="AC2089" s="152"/>
      <c r="AD2089" s="152"/>
      <c r="AE2089" s="152"/>
      <c r="AF2089" s="743"/>
      <c r="AG2089" s="743" t="str">
        <f t="shared" si="255"/>
        <v/>
      </c>
      <c r="DG2089" s="543"/>
      <c r="DH2089" s="149"/>
      <c r="DI2089" s="1020"/>
      <c r="DJ2089" s="2045"/>
    </row>
    <row r="2090" spans="1:114" ht="14.65" customHeight="1" outlineLevel="1" x14ac:dyDescent="0.25">
      <c r="A2090" s="2145"/>
      <c r="C2090" s="49"/>
      <c r="D2090" s="2394"/>
      <c r="E2090" s="2394"/>
      <c r="F2090" s="2404" t="str">
        <f t="shared" si="262"/>
        <v>ASHP-SEER21-Replace_CAC_ElectricHeat_ER2_MF</v>
      </c>
      <c r="G2090" s="2404"/>
      <c r="H2090" s="2404"/>
      <c r="I2090" s="2404"/>
      <c r="J2090" s="1506" t="str">
        <f t="shared" si="263"/>
        <v>353600_2024_12_</v>
      </c>
      <c r="K2090" s="152"/>
      <c r="L2090" s="45" t="str">
        <f>IF(K2090&gt;0,VLOOKUP(J2090,$J$873:$L$974,3,FALSE),"")</f>
        <v/>
      </c>
      <c r="M2090" s="1508" t="str">
        <f>IF(K2090&gt;0,VLOOKUP(J2090,$J$1697:$K$1799,2,FALSE),"")</f>
        <v/>
      </c>
      <c r="P2090" s="243"/>
      <c r="Q2090" s="192"/>
      <c r="R2090" s="243"/>
      <c r="T2090" s="166"/>
      <c r="U2090" s="50"/>
      <c r="V2090" s="2394"/>
      <c r="W2090" s="152"/>
      <c r="X2090" s="154"/>
      <c r="Y2090" s="154"/>
      <c r="Z2090" s="152"/>
      <c r="AA2090" s="152"/>
      <c r="AB2090" s="154"/>
      <c r="AC2090" s="152"/>
      <c r="AD2090" s="152"/>
      <c r="AE2090" s="152"/>
      <c r="AF2090" s="743"/>
      <c r="AG2090" s="743" t="str">
        <f t="shared" si="255"/>
        <v/>
      </c>
      <c r="DG2090" s="543"/>
      <c r="DH2090" s="149"/>
      <c r="DI2090" s="1020"/>
      <c r="DJ2090" s="2045"/>
    </row>
    <row r="2091" spans="1:114" ht="14.65" customHeight="1" outlineLevel="1" x14ac:dyDescent="0.25">
      <c r="A2091" s="2145"/>
      <c r="C2091" s="49"/>
      <c r="D2091" s="2394"/>
      <c r="E2091" s="2394"/>
      <c r="F2091" s="2404" t="str">
        <f t="shared" si="262"/>
        <v>ASHP-SEER21-Replace_CAC_ElectricHeat_ER2_MF</v>
      </c>
      <c r="G2091" s="2404"/>
      <c r="H2091" s="2404"/>
      <c r="I2091" s="2404"/>
      <c r="J2091" s="1506" t="str">
        <f t="shared" si="263"/>
        <v>353600_2024_12_</v>
      </c>
      <c r="K2091" s="152"/>
      <c r="L2091" s="45" t="str">
        <f>IF(K2091&gt;0,VLOOKUP(J2091,$J$873:$L$974,3,FALSE),"")</f>
        <v/>
      </c>
      <c r="M2091" s="1508" t="str">
        <f>IF(K2091&gt;0,VLOOKUP(J2091,$J$1697:$K$1799,2,FALSE),"")</f>
        <v/>
      </c>
      <c r="P2091" s="243"/>
      <c r="Q2091" s="192"/>
      <c r="R2091" s="243"/>
      <c r="T2091" s="166"/>
      <c r="U2091" s="50"/>
      <c r="V2091" s="2394"/>
      <c r="W2091" s="152"/>
      <c r="X2091" s="154"/>
      <c r="Y2091" s="154"/>
      <c r="Z2091" s="152"/>
      <c r="AA2091" s="152"/>
      <c r="AB2091" s="154"/>
      <c r="AC2091" s="152"/>
      <c r="AD2091" s="152"/>
      <c r="AE2091" s="152"/>
      <c r="AF2091" s="743"/>
      <c r="AG2091" s="743" t="str">
        <f t="shared" si="255"/>
        <v/>
      </c>
      <c r="DG2091" s="543"/>
      <c r="DH2091" s="149"/>
      <c r="DI2091" s="1020"/>
      <c r="DJ2091" s="2045"/>
    </row>
    <row r="2092" spans="1:114" ht="14.65" customHeight="1" outlineLevel="1" x14ac:dyDescent="0.25">
      <c r="A2092" s="2145"/>
      <c r="C2092" s="49"/>
      <c r="D2092" s="2394"/>
      <c r="E2092" s="2394"/>
      <c r="F2092" s="2404" t="str">
        <f t="shared" si="262"/>
        <v>ASHP-SEER21-Replace_CAC_ElectricHeat_ROF_SF</v>
      </c>
      <c r="G2092" s="2404"/>
      <c r="H2092" s="2404"/>
      <c r="I2092" s="2404"/>
      <c r="J2092" s="1506" t="str">
        <f t="shared" si="263"/>
        <v>353650_2024_12_</v>
      </c>
      <c r="K2092" s="1514">
        <f>(S$878+L2092*T$878)-(S$883+L2092*T$883)</f>
        <v>4678.9696970312507</v>
      </c>
      <c r="L2092" s="45">
        <f>VLOOKUP(J2092,$J$873:$L$974,3,FALSE)*M2092</f>
        <v>3.4699494950520831</v>
      </c>
      <c r="M2092" s="1508">
        <f>VLOOKUP(J2092,$J$1697:$K$1799,2,FALSE)</f>
        <v>1</v>
      </c>
      <c r="N2092" s="524"/>
      <c r="P2092" s="243"/>
      <c r="Q2092" s="192"/>
      <c r="R2092" s="243"/>
      <c r="T2092" s="166"/>
      <c r="U2092" s="50"/>
      <c r="V2092" s="2394"/>
      <c r="W2092" s="152">
        <v>3712</v>
      </c>
      <c r="X2092" s="154">
        <v>5407.758719999998</v>
      </c>
      <c r="Y2092" s="154">
        <v>1160</v>
      </c>
      <c r="Z2092" s="152">
        <v>1160</v>
      </c>
      <c r="AA2092" s="152">
        <v>1160</v>
      </c>
      <c r="AB2092" s="154">
        <v>1689.9245999999991</v>
      </c>
      <c r="AC2092" s="152">
        <v>1689.9245999999991</v>
      </c>
      <c r="AD2092" s="152">
        <v>1689.9245999999991</v>
      </c>
      <c r="AE2092" s="152">
        <v>1689.9245999999991</v>
      </c>
      <c r="AF2092" s="743">
        <v>4678.9696970312507</v>
      </c>
      <c r="AG2092" s="743">
        <f t="shared" si="255"/>
        <v>4678.9696970312507</v>
      </c>
      <c r="DG2092" s="543"/>
      <c r="DH2092" s="149"/>
      <c r="DI2092" s="1020"/>
      <c r="DJ2092" s="2045"/>
    </row>
    <row r="2093" spans="1:114" ht="14.65" customHeight="1" outlineLevel="1" x14ac:dyDescent="0.25">
      <c r="A2093" s="2145"/>
      <c r="C2093" s="49"/>
      <c r="D2093" s="2394"/>
      <c r="E2093" s="2394"/>
      <c r="F2093" s="2404" t="str">
        <f t="shared" si="262"/>
        <v>ASHP-SEER21-Replace_CAC_ElectricHeat_ROF_SF</v>
      </c>
      <c r="G2093" s="2404"/>
      <c r="H2093" s="2404"/>
      <c r="I2093" s="2404"/>
      <c r="J2093" s="1506" t="str">
        <f t="shared" si="263"/>
        <v>353650_2024_12_</v>
      </c>
      <c r="K2093" s="152"/>
      <c r="L2093" s="45" t="str">
        <f>IF(K2093&gt;0,VLOOKUP(J2093,$J$873:$L$974,3,FALSE),"")</f>
        <v/>
      </c>
      <c r="M2093" s="1508" t="str">
        <f>IF(K2093&gt;0,VLOOKUP(J2093,$J$1697:$K$1799,2,FALSE),"")</f>
        <v/>
      </c>
      <c r="P2093" s="243"/>
      <c r="Q2093" s="192"/>
      <c r="R2093" s="243"/>
      <c r="T2093" s="166"/>
      <c r="U2093" s="50"/>
      <c r="V2093" s="2394"/>
      <c r="W2093" s="152"/>
      <c r="X2093" s="154"/>
      <c r="Y2093" s="154"/>
      <c r="Z2093" s="152"/>
      <c r="AA2093" s="152"/>
      <c r="AB2093" s="154"/>
      <c r="AC2093" s="152"/>
      <c r="AD2093" s="152"/>
      <c r="AE2093" s="152"/>
      <c r="AF2093" s="743"/>
      <c r="AG2093" s="743" t="str">
        <f t="shared" si="255"/>
        <v/>
      </c>
      <c r="DG2093" s="543"/>
      <c r="DH2093" s="149"/>
      <c r="DI2093" s="1020"/>
      <c r="DJ2093" s="2045"/>
    </row>
    <row r="2094" spans="1:114" ht="14.65" customHeight="1" outlineLevel="1" x14ac:dyDescent="0.25">
      <c r="A2094" s="2145"/>
      <c r="C2094" s="49"/>
      <c r="D2094" s="2394"/>
      <c r="E2094" s="2394"/>
      <c r="F2094" s="2404" t="str">
        <f t="shared" si="262"/>
        <v>ASHP-SEER21-Replace_CAC_NonElectricHeat_ROF_SF</v>
      </c>
      <c r="G2094" s="2404"/>
      <c r="H2094" s="2404"/>
      <c r="I2094" s="2404"/>
      <c r="J2094" s="1506" t="str">
        <f t="shared" si="263"/>
        <v>353660_2024_12_</v>
      </c>
      <c r="K2094" s="1514">
        <f>((S$878+L2094*T$878)-(S$883+L2094*T$883))*VLOOKUP(J2094,$J$2200:$K$2216,2,FALSE)</f>
        <v>373.0952204170697</v>
      </c>
      <c r="L2094" s="45">
        <f>VLOOKUP(J2094,$J$873:$L$974,3,FALSE)*M2094</f>
        <v>3.4699494950520831</v>
      </c>
      <c r="M2094" s="1508">
        <f>VLOOKUP(J2094,$J$1697:$K$1799,2,FALSE)</f>
        <v>1</v>
      </c>
      <c r="N2094" s="524"/>
      <c r="P2094" s="243"/>
      <c r="Q2094" s="192"/>
      <c r="R2094" s="243"/>
      <c r="T2094" s="166"/>
      <c r="U2094" s="50"/>
      <c r="V2094" s="2394"/>
      <c r="W2094" s="152"/>
      <c r="X2094" s="154"/>
      <c r="Y2094" s="154"/>
      <c r="Z2094" s="152"/>
      <c r="AA2094" s="152"/>
      <c r="AB2094" s="154"/>
      <c r="AC2094" s="152"/>
      <c r="AD2094" s="154">
        <v>1689.9245999999991</v>
      </c>
      <c r="AE2094" s="152">
        <v>1689.9245999999991</v>
      </c>
      <c r="AF2094" s="743">
        <v>343.17059134232289</v>
      </c>
      <c r="AG2094" s="743">
        <f t="shared" si="255"/>
        <v>373.0952204170697</v>
      </c>
      <c r="DG2094" s="543"/>
      <c r="DH2094" s="149"/>
      <c r="DI2094" s="1020"/>
      <c r="DJ2094" s="2045"/>
    </row>
    <row r="2095" spans="1:114" ht="14.65" customHeight="1" outlineLevel="1" x14ac:dyDescent="0.25">
      <c r="A2095" s="2145"/>
      <c r="C2095" s="49"/>
      <c r="D2095" s="2394"/>
      <c r="E2095" s="2394"/>
      <c r="F2095" s="2404" t="str">
        <f t="shared" si="262"/>
        <v>ASHP-SEER21-Replace_CAC_NonElectricHeat_ROF_SF</v>
      </c>
      <c r="G2095" s="2404"/>
      <c r="H2095" s="2404"/>
      <c r="I2095" s="2404"/>
      <c r="J2095" s="1506" t="str">
        <f t="shared" si="263"/>
        <v>353660_2024_12_</v>
      </c>
      <c r="K2095" s="152"/>
      <c r="L2095" s="45" t="str">
        <f>IF(K2095&gt;0,VLOOKUP(J2095,$J$873:$L$974,3,FALSE),"")</f>
        <v/>
      </c>
      <c r="M2095" s="1508" t="str">
        <f>IF(K2095&gt;0,VLOOKUP(J2095,$J$1697:$K$1799,2,FALSE),"")</f>
        <v/>
      </c>
      <c r="P2095" s="243"/>
      <c r="Q2095" s="192"/>
      <c r="R2095" s="243"/>
      <c r="T2095" s="166"/>
      <c r="U2095" s="50"/>
      <c r="V2095" s="2394"/>
      <c r="W2095" s="152"/>
      <c r="X2095" s="154"/>
      <c r="Y2095" s="154"/>
      <c r="Z2095" s="152"/>
      <c r="AA2095" s="152"/>
      <c r="AB2095" s="154"/>
      <c r="AC2095" s="152"/>
      <c r="AD2095" s="152"/>
      <c r="AE2095" s="152"/>
      <c r="AF2095" s="743"/>
      <c r="AG2095" s="743" t="str">
        <f t="shared" si="255"/>
        <v/>
      </c>
      <c r="DG2095" s="543"/>
      <c r="DH2095" s="149"/>
      <c r="DI2095" s="1020"/>
      <c r="DJ2095" s="2045"/>
    </row>
    <row r="2096" spans="1:114" ht="14.65" customHeight="1" outlineLevel="1" x14ac:dyDescent="0.25">
      <c r="A2096" s="2145"/>
      <c r="C2096" s="49"/>
      <c r="D2096" s="2394"/>
      <c r="E2096" s="2394"/>
      <c r="F2096" s="2404" t="str">
        <f t="shared" si="262"/>
        <v>ASHP-SEER17_ER1_SF</v>
      </c>
      <c r="G2096" s="2404"/>
      <c r="H2096" s="2404"/>
      <c r="I2096" s="2404"/>
      <c r="J2096" s="1506" t="str">
        <f t="shared" si="263"/>
        <v>353750_2024_12_</v>
      </c>
      <c r="K2096" s="1514">
        <f>(S$876+L2096*T$876)-(S$884+L2096*T$884)*S$891</f>
        <v>626.73442183390762</v>
      </c>
      <c r="L2096" s="45">
        <f>VLOOKUP(J2096,$J$873:$L$974,3,FALSE)*M2096</f>
        <v>2.6603692243864097</v>
      </c>
      <c r="M2096" s="1508">
        <f>VLOOKUP(J2096,$J$1697:$K$1799,2,FALSE)</f>
        <v>1</v>
      </c>
      <c r="N2096" s="524"/>
      <c r="P2096" s="243"/>
      <c r="Q2096" s="192"/>
      <c r="R2096" s="243"/>
      <c r="T2096" s="166"/>
      <c r="U2096" s="50"/>
      <c r="V2096" s="2394"/>
      <c r="W2096" s="152">
        <v>3701.5757044416546</v>
      </c>
      <c r="X2096" s="154">
        <v>5090.0695373473054</v>
      </c>
      <c r="Y2096" s="154">
        <v>1509.0025568704818</v>
      </c>
      <c r="Z2096" s="152">
        <v>1509.0025568704818</v>
      </c>
      <c r="AA2096" s="152">
        <v>1509.0025568704818</v>
      </c>
      <c r="AB2096" s="154">
        <v>1512.4949598081143</v>
      </c>
      <c r="AC2096" s="154">
        <v>1423.7466093535209</v>
      </c>
      <c r="AD2096" s="154">
        <v>1425.2574866940254</v>
      </c>
      <c r="AE2096" s="154">
        <v>1449.7889087112662</v>
      </c>
      <c r="AF2096" s="743">
        <v>626.73442183390762</v>
      </c>
      <c r="AG2096" s="743">
        <f t="shared" si="255"/>
        <v>626.73442183390762</v>
      </c>
      <c r="DG2096" s="543"/>
      <c r="DH2096" s="149"/>
      <c r="DI2096" s="1020"/>
      <c r="DJ2096" s="2045"/>
    </row>
    <row r="2097" spans="1:114" ht="15" customHeight="1" outlineLevel="1" x14ac:dyDescent="0.25">
      <c r="A2097" s="2145"/>
      <c r="C2097" s="49"/>
      <c r="D2097" s="2394"/>
      <c r="E2097" s="2394"/>
      <c r="F2097" s="2404" t="str">
        <f t="shared" si="262"/>
        <v>ASHP-SEER17_ER1_SF</v>
      </c>
      <c r="G2097" s="2404"/>
      <c r="H2097" s="2404"/>
      <c r="I2097" s="2404"/>
      <c r="J2097" s="1506" t="str">
        <f t="shared" si="263"/>
        <v>353750_2024_12_</v>
      </c>
      <c r="K2097" s="152"/>
      <c r="L2097" s="45" t="str">
        <f>IF(K2097&gt;0,VLOOKUP(J2097,$J$873:$L$974,3,FALSE),"")</f>
        <v/>
      </c>
      <c r="M2097" s="1508" t="str">
        <f>IF(K2097&gt;0,VLOOKUP(J2097,$J$1697:$K$1799,2,FALSE),"")</f>
        <v/>
      </c>
      <c r="P2097" s="243"/>
      <c r="Q2097" s="192"/>
      <c r="R2097" s="243"/>
      <c r="T2097" s="166"/>
      <c r="U2097" s="50"/>
      <c r="V2097" s="2394"/>
      <c r="W2097" s="152"/>
      <c r="X2097" s="154"/>
      <c r="Y2097" s="154"/>
      <c r="Z2097" s="152"/>
      <c r="AA2097" s="152"/>
      <c r="AB2097" s="154"/>
      <c r="AC2097" s="152"/>
      <c r="AD2097" s="152"/>
      <c r="AE2097" s="152"/>
      <c r="AF2097" s="743"/>
      <c r="AG2097" s="743" t="str">
        <f t="shared" si="255"/>
        <v/>
      </c>
      <c r="DG2097" s="543"/>
      <c r="DH2097" s="149"/>
      <c r="DI2097" s="1020"/>
      <c r="DJ2097" s="2045"/>
    </row>
    <row r="2098" spans="1:114" ht="15" customHeight="1" outlineLevel="1" x14ac:dyDescent="0.25">
      <c r="A2098" s="2145"/>
      <c r="C2098" s="49"/>
      <c r="D2098" s="2394"/>
      <c r="E2098" s="2394"/>
      <c r="F2098" s="2404" t="str">
        <f t="shared" si="262"/>
        <v>ASHP-SEER17_ER2_SF</v>
      </c>
      <c r="G2098" s="2404"/>
      <c r="H2098" s="2404"/>
      <c r="I2098" s="2404"/>
      <c r="J2098" s="1506" t="str">
        <f t="shared" si="263"/>
        <v>353750_2024_12_</v>
      </c>
      <c r="K2098" s="152"/>
      <c r="L2098" s="45" t="str">
        <f>IF(K2098&gt;0,VLOOKUP(J2098,$J$873:$L$974,3,FALSE),"")</f>
        <v/>
      </c>
      <c r="M2098" s="1508" t="str">
        <f>IF(K2098&gt;0,VLOOKUP(J2098,$J$1697:$K$1799,2,FALSE),"")</f>
        <v/>
      </c>
      <c r="P2098" s="243"/>
      <c r="Q2098" s="192"/>
      <c r="R2098" s="243"/>
      <c r="T2098" s="166"/>
      <c r="U2098" s="50"/>
      <c r="V2098" s="2394"/>
      <c r="W2098" s="152"/>
      <c r="X2098" s="154"/>
      <c r="Y2098" s="154"/>
      <c r="Z2098" s="152"/>
      <c r="AA2098" s="152"/>
      <c r="AB2098" s="154"/>
      <c r="AC2098" s="152"/>
      <c r="AD2098" s="152"/>
      <c r="AE2098" s="152"/>
      <c r="AF2098" s="743"/>
      <c r="AG2098" s="743" t="str">
        <f t="shared" si="255"/>
        <v/>
      </c>
      <c r="DG2098" s="543"/>
      <c r="DH2098" s="149"/>
      <c r="DI2098" s="1020"/>
      <c r="DJ2098" s="2045"/>
    </row>
    <row r="2099" spans="1:114" ht="15" customHeight="1" outlineLevel="1" x14ac:dyDescent="0.25">
      <c r="A2099" s="2145"/>
      <c r="C2099" s="49"/>
      <c r="D2099" s="2394"/>
      <c r="E2099" s="2394"/>
      <c r="F2099" s="2404" t="str">
        <f t="shared" si="262"/>
        <v>ASHP-SEER17_ER2_SF</v>
      </c>
      <c r="G2099" s="2404"/>
      <c r="H2099" s="2404"/>
      <c r="I2099" s="2404"/>
      <c r="J2099" s="1506" t="str">
        <f t="shared" si="263"/>
        <v>353750_2024_12_</v>
      </c>
      <c r="K2099" s="152"/>
      <c r="L2099" s="45" t="str">
        <f>IF(K2099&gt;0,VLOOKUP(J2099,$J$873:$L$974,3,FALSE),"")</f>
        <v/>
      </c>
      <c r="M2099" s="1508" t="str">
        <f>IF(K2099&gt;0,VLOOKUP(J2099,$J$1697:$K$1799,2,FALSE),"")</f>
        <v/>
      </c>
      <c r="P2099" s="243"/>
      <c r="Q2099" s="192"/>
      <c r="R2099" s="243"/>
      <c r="T2099" s="166"/>
      <c r="U2099" s="50"/>
      <c r="V2099" s="2394"/>
      <c r="W2099" s="152"/>
      <c r="X2099" s="154"/>
      <c r="Y2099" s="154"/>
      <c r="Z2099" s="152"/>
      <c r="AA2099" s="152"/>
      <c r="AB2099" s="154"/>
      <c r="AC2099" s="152"/>
      <c r="AD2099" s="152"/>
      <c r="AE2099" s="152"/>
      <c r="AF2099" s="743"/>
      <c r="AG2099" s="743" t="str">
        <f t="shared" si="255"/>
        <v/>
      </c>
      <c r="DG2099" s="543"/>
      <c r="DH2099" s="149"/>
      <c r="DI2099" s="1020"/>
      <c r="DJ2099" s="2045"/>
    </row>
    <row r="2100" spans="1:114" ht="15" customHeight="1" outlineLevel="1" x14ac:dyDescent="0.25">
      <c r="A2100" s="2145"/>
      <c r="C2100" s="49"/>
      <c r="D2100" s="2394"/>
      <c r="E2100" s="2394"/>
      <c r="F2100" s="2404" t="str">
        <f t="shared" si="262"/>
        <v>ASHP-SEER17_ROF_SF</v>
      </c>
      <c r="G2100" s="2404"/>
      <c r="H2100" s="2404"/>
      <c r="I2100" s="2404"/>
      <c r="J2100" s="1506" t="str">
        <f t="shared" si="263"/>
        <v>353800_2024_12_</v>
      </c>
      <c r="K2100" s="1514">
        <f>(S$876+L2100*T$876)-(S$882+L2100*T$882)</f>
        <v>630</v>
      </c>
      <c r="L2100" s="45">
        <f>VLOOKUP(J2100,$J$873:$L$974,3,FALSE)*M2100</f>
        <v>3.2119969039215692</v>
      </c>
      <c r="M2100" s="1508">
        <f>VLOOKUP(J2100,$J$1697:$K$1799,2,FALSE)</f>
        <v>1</v>
      </c>
      <c r="N2100" s="524"/>
      <c r="P2100" s="243"/>
      <c r="Q2100" s="192"/>
      <c r="R2100" s="243"/>
      <c r="T2100" s="166"/>
      <c r="U2100" s="50"/>
      <c r="V2100" s="2394"/>
      <c r="W2100" s="152">
        <v>1914</v>
      </c>
      <c r="X2100" s="154">
        <v>2389.1999999999998</v>
      </c>
      <c r="Y2100" s="154">
        <v>580</v>
      </c>
      <c r="Z2100" s="152">
        <v>580</v>
      </c>
      <c r="AA2100" s="152">
        <v>580</v>
      </c>
      <c r="AB2100" s="154">
        <v>724</v>
      </c>
      <c r="AC2100" s="152">
        <v>724</v>
      </c>
      <c r="AD2100" s="152">
        <v>724</v>
      </c>
      <c r="AE2100" s="152">
        <v>724</v>
      </c>
      <c r="AF2100" s="743">
        <v>630</v>
      </c>
      <c r="AG2100" s="743">
        <f t="shared" si="255"/>
        <v>630</v>
      </c>
      <c r="DG2100" s="543"/>
      <c r="DH2100" s="149"/>
      <c r="DI2100" s="1020"/>
      <c r="DJ2100" s="2045"/>
    </row>
    <row r="2101" spans="1:114" ht="15" customHeight="1" outlineLevel="1" x14ac:dyDescent="0.25">
      <c r="A2101" s="2145"/>
      <c r="C2101" s="49"/>
      <c r="D2101" s="2394"/>
      <c r="E2101" s="2394"/>
      <c r="F2101" s="2404" t="str">
        <f t="shared" si="262"/>
        <v>ASHP-SEER17_ROF_SF</v>
      </c>
      <c r="G2101" s="2404"/>
      <c r="H2101" s="2404"/>
      <c r="I2101" s="2404"/>
      <c r="J2101" s="1506" t="str">
        <f t="shared" si="263"/>
        <v>353800_2024_12_</v>
      </c>
      <c r="K2101" s="152"/>
      <c r="L2101" s="45" t="str">
        <f>IF(K2101&gt;0,VLOOKUP(J2101,$J$873:$L$974,3,FALSE),"")</f>
        <v/>
      </c>
      <c r="M2101" s="1508" t="str">
        <f>IF(K2101&gt;0,VLOOKUP(J2101,$J$1697:$K$1799,2,FALSE),"")</f>
        <v/>
      </c>
      <c r="P2101" s="243"/>
      <c r="Q2101" s="243"/>
      <c r="R2101" s="243"/>
      <c r="T2101" s="166"/>
      <c r="U2101" s="50"/>
      <c r="V2101" s="2394"/>
      <c r="W2101" s="152"/>
      <c r="X2101" s="154"/>
      <c r="Y2101" s="154"/>
      <c r="Z2101" s="152"/>
      <c r="AA2101" s="152"/>
      <c r="AB2101" s="154"/>
      <c r="AC2101" s="152"/>
      <c r="AD2101" s="152"/>
      <c r="AE2101" s="152"/>
      <c r="AF2101" s="743"/>
      <c r="AG2101" s="743" t="str">
        <f t="shared" ref="AG2101:AG2166" si="264">IF(K2101&lt;&gt;"",K2101,"")</f>
        <v/>
      </c>
      <c r="DG2101" s="543"/>
      <c r="DH2101" s="149"/>
      <c r="DI2101" s="1020"/>
      <c r="DJ2101" s="2045"/>
    </row>
    <row r="2102" spans="1:114" ht="15" customHeight="1" outlineLevel="1" x14ac:dyDescent="0.25">
      <c r="A2102" s="2145"/>
      <c r="C2102" s="49"/>
      <c r="D2102" s="2394"/>
      <c r="E2102" s="2394"/>
      <c r="F2102" s="2404" t="str">
        <f t="shared" si="262"/>
        <v>ASHP-SEER18_ER1_SF</v>
      </c>
      <c r="G2102" s="2404"/>
      <c r="H2102" s="2404"/>
      <c r="I2102" s="2404"/>
      <c r="J2102" s="1506" t="str">
        <f t="shared" si="263"/>
        <v>353850_2024_12_</v>
      </c>
      <c r="K2102" s="1514">
        <f>(S$877+L2102*T$877)-(S$884+L2102*T$884)*S$891</f>
        <v>851.83158083659146</v>
      </c>
      <c r="L2102" s="45">
        <f>VLOOKUP(J2102,$J$873:$L$974,3,FALSE)*M2102</f>
        <v>2.8921256722608026</v>
      </c>
      <c r="M2102" s="1508">
        <f>VLOOKUP(J2102,$J$1697:$K$1799,2,FALSE)</f>
        <v>1</v>
      </c>
      <c r="N2102" s="524"/>
      <c r="P2102" s="243"/>
      <c r="Q2102" s="243"/>
      <c r="R2102" s="243"/>
      <c r="T2102" s="166"/>
      <c r="U2102" s="50"/>
      <c r="V2102" s="2394"/>
      <c r="W2102" s="152">
        <v>4141.575704441655</v>
      </c>
      <c r="X2102" s="154">
        <v>5878.505537347306</v>
      </c>
      <c r="Y2102" s="154">
        <v>1642.3358902038149</v>
      </c>
      <c r="Z2102" s="152">
        <v>1642.3358902038149</v>
      </c>
      <c r="AA2102" s="152">
        <v>1642.3358902038149</v>
      </c>
      <c r="AB2102" s="154">
        <v>1811.1494264602443</v>
      </c>
      <c r="AC2102" s="154">
        <v>1729.9451804896671</v>
      </c>
      <c r="AD2102" s="154">
        <v>1681.5237652002679</v>
      </c>
      <c r="AE2102" s="154">
        <v>1751.9355683221515</v>
      </c>
      <c r="AF2102" s="743">
        <v>851.83158083659146</v>
      </c>
      <c r="AG2102" s="743">
        <f t="shared" si="264"/>
        <v>851.83158083659146</v>
      </c>
      <c r="DG2102" s="543"/>
      <c r="DH2102" s="149"/>
      <c r="DI2102" s="1020"/>
      <c r="DJ2102" s="2045"/>
    </row>
    <row r="2103" spans="1:114" ht="15" customHeight="1" outlineLevel="1" x14ac:dyDescent="0.25">
      <c r="A2103" s="2145"/>
      <c r="C2103" s="49"/>
      <c r="D2103" s="2394"/>
      <c r="E2103" s="2394"/>
      <c r="F2103" s="2404" t="str">
        <f t="shared" si="262"/>
        <v>ASHP-SEER18_ER1_SF</v>
      </c>
      <c r="G2103" s="2404"/>
      <c r="H2103" s="2404"/>
      <c r="I2103" s="2404"/>
      <c r="J2103" s="1506" t="str">
        <f t="shared" si="263"/>
        <v>353850_2024_12_</v>
      </c>
      <c r="K2103" s="152"/>
      <c r="L2103" s="45" t="str">
        <f>IF(K2103&gt;0,VLOOKUP(J2103,$J$873:$L$974,3,FALSE),"")</f>
        <v/>
      </c>
      <c r="M2103" s="1508" t="str">
        <f>IF(K2103&gt;0,VLOOKUP(J2103,$J$1697:$K$1799,2,FALSE),"")</f>
        <v/>
      </c>
      <c r="P2103" s="243"/>
      <c r="Q2103" s="243"/>
      <c r="R2103" s="243"/>
      <c r="T2103" s="166"/>
      <c r="U2103" s="50"/>
      <c r="V2103" s="2394"/>
      <c r="W2103" s="152"/>
      <c r="X2103" s="154"/>
      <c r="Y2103" s="154"/>
      <c r="Z2103" s="152"/>
      <c r="AA2103" s="152"/>
      <c r="AB2103" s="154"/>
      <c r="AC2103" s="152"/>
      <c r="AD2103" s="152"/>
      <c r="AE2103" s="152"/>
      <c r="AF2103" s="743"/>
      <c r="AG2103" s="743" t="str">
        <f t="shared" si="264"/>
        <v/>
      </c>
      <c r="DG2103" s="543"/>
      <c r="DH2103" s="149"/>
      <c r="DI2103" s="1020"/>
      <c r="DJ2103" s="2045"/>
    </row>
    <row r="2104" spans="1:114" ht="15" customHeight="1" outlineLevel="1" x14ac:dyDescent="0.25">
      <c r="A2104" s="2145"/>
      <c r="C2104" s="49"/>
      <c r="D2104" s="2394"/>
      <c r="E2104" s="2394"/>
      <c r="F2104" s="2404" t="str">
        <f t="shared" si="262"/>
        <v>ASHP-SEER18_ER2_SF</v>
      </c>
      <c r="G2104" s="2404"/>
      <c r="H2104" s="2404"/>
      <c r="I2104" s="2404"/>
      <c r="J2104" s="1506" t="str">
        <f t="shared" si="263"/>
        <v>353850_2024_12_</v>
      </c>
      <c r="K2104" s="152"/>
      <c r="L2104" s="45" t="str">
        <f>IF(K2104&gt;0,VLOOKUP(J2104,$J$873:$L$974,3,FALSE),"")</f>
        <v/>
      </c>
      <c r="M2104" s="1508" t="str">
        <f>IF(K2104&gt;0,VLOOKUP(J2104,$J$1697:$K$1799,2,FALSE),"")</f>
        <v/>
      </c>
      <c r="P2104" s="243"/>
      <c r="Q2104" s="243"/>
      <c r="R2104" s="243"/>
      <c r="T2104" s="166"/>
      <c r="U2104" s="50"/>
      <c r="V2104" s="2394"/>
      <c r="W2104" s="152"/>
      <c r="X2104" s="154"/>
      <c r="Y2104" s="154"/>
      <c r="Z2104" s="152"/>
      <c r="AA2104" s="152"/>
      <c r="AB2104" s="154"/>
      <c r="AC2104" s="152"/>
      <c r="AD2104" s="152"/>
      <c r="AE2104" s="152"/>
      <c r="AF2104" s="743"/>
      <c r="AG2104" s="743" t="str">
        <f t="shared" si="264"/>
        <v/>
      </c>
      <c r="DG2104" s="543"/>
      <c r="DH2104" s="149"/>
      <c r="DI2104" s="1020"/>
      <c r="DJ2104" s="2045"/>
    </row>
    <row r="2105" spans="1:114" ht="15" customHeight="1" outlineLevel="1" x14ac:dyDescent="0.25">
      <c r="A2105" s="2145"/>
      <c r="C2105" s="49"/>
      <c r="D2105" s="2394"/>
      <c r="E2105" s="2394"/>
      <c r="F2105" s="2404" t="str">
        <f t="shared" si="262"/>
        <v>ASHP-SEER18_ER2_SF</v>
      </c>
      <c r="G2105" s="2404"/>
      <c r="H2105" s="2404"/>
      <c r="I2105" s="2404"/>
      <c r="J2105" s="1506" t="str">
        <f t="shared" si="263"/>
        <v>353850_2024_12_</v>
      </c>
      <c r="K2105" s="152"/>
      <c r="L2105" s="45" t="str">
        <f>IF(K2105&gt;0,VLOOKUP(J2105,$J$873:$L$974,3,FALSE),"")</f>
        <v/>
      </c>
      <c r="M2105" s="1508" t="str">
        <f>IF(K2105&gt;0,VLOOKUP(J2105,$J$1697:$K$1799,2,FALSE),"")</f>
        <v/>
      </c>
      <c r="P2105" s="243"/>
      <c r="Q2105" s="243"/>
      <c r="R2105" s="243"/>
      <c r="T2105" s="166"/>
      <c r="U2105" s="50"/>
      <c r="V2105" s="2394"/>
      <c r="W2105" s="152"/>
      <c r="X2105" s="154"/>
      <c r="Y2105" s="154"/>
      <c r="Z2105" s="152"/>
      <c r="AA2105" s="152"/>
      <c r="AB2105" s="154"/>
      <c r="AC2105" s="152"/>
      <c r="AD2105" s="152"/>
      <c r="AE2105" s="152"/>
      <c r="AF2105" s="743"/>
      <c r="AG2105" s="743" t="str">
        <f t="shared" si="264"/>
        <v/>
      </c>
      <c r="DG2105" s="543"/>
      <c r="DH2105" s="149"/>
      <c r="DI2105" s="1020"/>
      <c r="DJ2105" s="2045"/>
    </row>
    <row r="2106" spans="1:114" ht="15" customHeight="1" outlineLevel="1" x14ac:dyDescent="0.25">
      <c r="A2106" s="2145"/>
      <c r="C2106" s="49"/>
      <c r="D2106" s="2394"/>
      <c r="E2106" s="2394"/>
      <c r="F2106" s="2404" t="str">
        <f t="shared" si="262"/>
        <v>ASHP-SEER18_ROF_SF</v>
      </c>
      <c r="G2106" s="2404"/>
      <c r="H2106" s="2404"/>
      <c r="I2106" s="2404"/>
      <c r="J2106" s="1506" t="str">
        <f t="shared" si="263"/>
        <v>353950_2024_12_</v>
      </c>
      <c r="K2106" s="1514">
        <f>(S$877+L2106*T$877)-(S$882+L2106*T$882)</f>
        <v>855</v>
      </c>
      <c r="L2106" s="45">
        <f>VLOOKUP(J2106,$J$873:$L$974,3,FALSE)*M2106</f>
        <v>3.0020370366666667</v>
      </c>
      <c r="M2106" s="1508">
        <f>VLOOKUP(J2106,$J$1697:$K$1799,2,FALSE)</f>
        <v>1</v>
      </c>
      <c r="N2106" s="524"/>
      <c r="P2106" s="243"/>
      <c r="Q2106" s="243"/>
      <c r="R2106" s="243"/>
      <c r="T2106" s="166"/>
      <c r="U2106" s="50"/>
      <c r="V2106" s="2394"/>
      <c r="W2106" s="152">
        <v>2354</v>
      </c>
      <c r="X2106" s="154">
        <v>3177.636</v>
      </c>
      <c r="Y2106" s="154">
        <v>713.33333333333337</v>
      </c>
      <c r="Z2106" s="152">
        <v>713.33333333333337</v>
      </c>
      <c r="AA2106" s="152">
        <v>713.33333333333337</v>
      </c>
      <c r="AB2106" s="154">
        <v>962.92000000000007</v>
      </c>
      <c r="AC2106" s="152">
        <v>962.92000000000007</v>
      </c>
      <c r="AD2106" s="152">
        <v>962.92000000000007</v>
      </c>
      <c r="AE2106" s="152">
        <v>962.92000000000007</v>
      </c>
      <c r="AF2106" s="743">
        <v>855</v>
      </c>
      <c r="AG2106" s="743">
        <f t="shared" si="264"/>
        <v>855</v>
      </c>
      <c r="DG2106" s="543"/>
      <c r="DH2106" s="149"/>
      <c r="DI2106" s="1020"/>
      <c r="DJ2106" s="2045"/>
    </row>
    <row r="2107" spans="1:114" ht="15" customHeight="1" outlineLevel="1" x14ac:dyDescent="0.25">
      <c r="A2107" s="2145"/>
      <c r="C2107" s="49"/>
      <c r="D2107" s="2394"/>
      <c r="E2107" s="2394"/>
      <c r="F2107" s="2404" t="str">
        <f t="shared" si="262"/>
        <v>ASHP-SEER18_ROF_SF</v>
      </c>
      <c r="G2107" s="2404"/>
      <c r="H2107" s="2404"/>
      <c r="I2107" s="2404"/>
      <c r="J2107" s="1506" t="str">
        <f t="shared" si="263"/>
        <v>353950_2024_12_</v>
      </c>
      <c r="K2107" s="152"/>
      <c r="L2107" s="45" t="str">
        <f>IF(K2107&gt;0,VLOOKUP(J2107,$J$873:$L$974,3,FALSE),"")</f>
        <v/>
      </c>
      <c r="M2107" s="1508" t="str">
        <f>IF(K2107&gt;0,VLOOKUP(J2107,$J$1697:$K$1799,2,FALSE),"")</f>
        <v/>
      </c>
      <c r="P2107" s="243"/>
      <c r="Q2107" s="243"/>
      <c r="R2107" s="243"/>
      <c r="T2107" s="166"/>
      <c r="U2107" s="50"/>
      <c r="V2107" s="2394"/>
      <c r="W2107" s="152"/>
      <c r="X2107" s="154"/>
      <c r="Y2107" s="154"/>
      <c r="Z2107" s="152"/>
      <c r="AA2107" s="152"/>
      <c r="AB2107" s="154"/>
      <c r="AC2107" s="152"/>
      <c r="AD2107" s="152"/>
      <c r="AE2107" s="152"/>
      <c r="AF2107" s="743"/>
      <c r="AG2107" s="743" t="str">
        <f t="shared" si="264"/>
        <v/>
      </c>
      <c r="DG2107" s="543"/>
      <c r="DH2107" s="149"/>
      <c r="DI2107" s="1020"/>
      <c r="DJ2107" s="2045"/>
    </row>
    <row r="2108" spans="1:114" ht="15" customHeight="1" outlineLevel="1" x14ac:dyDescent="0.25">
      <c r="A2108" s="2145"/>
      <c r="C2108" s="49"/>
      <c r="D2108" s="2394"/>
      <c r="E2108" s="2394"/>
      <c r="F2108" s="2404" t="str">
        <f t="shared" si="262"/>
        <v>ASHP-SEER19_ER1_SF</v>
      </c>
      <c r="G2108" s="2404"/>
      <c r="H2108" s="2404"/>
      <c r="I2108" s="2404"/>
      <c r="J2108" s="1506" t="str">
        <f t="shared" si="263"/>
        <v>354000_2024_12_</v>
      </c>
      <c r="K2108" s="1514">
        <f>(S$878+L2108*T$878)-(S$884+L2108*T$884)*S$891</f>
        <v>1078.2009195105929</v>
      </c>
      <c r="L2108" s="45">
        <f>VLOOKUP(J2108,$J$873:$L$974,3,FALSE)*M2108</f>
        <v>3.7731209149509803</v>
      </c>
      <c r="M2108" s="1508">
        <f>VLOOKUP(J2108,$J$1697:$K$1799,2,FALSE)</f>
        <v>1</v>
      </c>
      <c r="N2108" s="524"/>
      <c r="P2108" s="243"/>
      <c r="Q2108" s="243"/>
      <c r="R2108" s="243"/>
      <c r="T2108" s="166"/>
      <c r="U2108" s="50"/>
      <c r="V2108" s="2394"/>
      <c r="W2108" s="152">
        <v>4471.575704441655</v>
      </c>
      <c r="X2108" s="154">
        <v>6672.9145373473075</v>
      </c>
      <c r="Y2108" s="154">
        <v>1742.3358902038149</v>
      </c>
      <c r="Z2108" s="152">
        <v>1742.3358902038149</v>
      </c>
      <c r="AA2108" s="152">
        <v>1742.3358902038149</v>
      </c>
      <c r="AB2108" s="154">
        <v>1992.1449598081149</v>
      </c>
      <c r="AC2108" s="154">
        <v>2159.4014664340775</v>
      </c>
      <c r="AD2108" s="154">
        <v>2105.1914618743731</v>
      </c>
      <c r="AE2108" s="154">
        <v>2233.0143777696067</v>
      </c>
      <c r="AF2108" s="743">
        <v>1078.2009195105929</v>
      </c>
      <c r="AG2108" s="743">
        <f t="shared" si="264"/>
        <v>1078.2009195105929</v>
      </c>
      <c r="DG2108" s="543"/>
      <c r="DH2108" s="149"/>
      <c r="DI2108" s="1020"/>
      <c r="DJ2108" s="2045"/>
    </row>
    <row r="2109" spans="1:114" ht="15" customHeight="1" outlineLevel="1" x14ac:dyDescent="0.25">
      <c r="A2109" s="2145"/>
      <c r="C2109" s="49"/>
      <c r="D2109" s="2394"/>
      <c r="E2109" s="2394"/>
      <c r="F2109" s="2404" t="str">
        <f t="shared" si="262"/>
        <v>ASHP-SEER19_ER1_SF</v>
      </c>
      <c r="G2109" s="2404"/>
      <c r="H2109" s="2404"/>
      <c r="I2109" s="2404"/>
      <c r="J2109" s="1506" t="str">
        <f t="shared" si="263"/>
        <v>354000_2024_12_</v>
      </c>
      <c r="K2109" s="152"/>
      <c r="L2109" s="45" t="str">
        <f>IF(K2109&gt;0,VLOOKUP(J2109,$J$873:$L$974,3,FALSE),"")</f>
        <v/>
      </c>
      <c r="M2109" s="1508" t="str">
        <f>IF(K2109&gt;0,VLOOKUP(J2109,$J$1697:$K$1799,2,FALSE),"")</f>
        <v/>
      </c>
      <c r="P2109" s="243"/>
      <c r="Q2109" s="243"/>
      <c r="R2109" s="243"/>
      <c r="T2109" s="166"/>
      <c r="U2109" s="50"/>
      <c r="V2109" s="2394"/>
      <c r="W2109" s="152"/>
      <c r="X2109" s="154"/>
      <c r="Y2109" s="154"/>
      <c r="Z2109" s="152"/>
      <c r="AA2109" s="152"/>
      <c r="AB2109" s="154"/>
      <c r="AC2109" s="152"/>
      <c r="AD2109" s="152"/>
      <c r="AE2109" s="152"/>
      <c r="AF2109" s="743"/>
      <c r="AG2109" s="743" t="str">
        <f t="shared" si="264"/>
        <v/>
      </c>
      <c r="DG2109" s="543"/>
      <c r="DH2109" s="149"/>
      <c r="DI2109" s="1020"/>
      <c r="DJ2109" s="2045"/>
    </row>
    <row r="2110" spans="1:114" ht="15" customHeight="1" outlineLevel="1" x14ac:dyDescent="0.25">
      <c r="A2110" s="2145"/>
      <c r="C2110" s="49"/>
      <c r="D2110" s="2394"/>
      <c r="E2110" s="2394"/>
      <c r="F2110" s="2404" t="str">
        <f t="shared" si="262"/>
        <v>ASHP-SEER19_ER2_SF</v>
      </c>
      <c r="G2110" s="2404"/>
      <c r="H2110" s="2404"/>
      <c r="I2110" s="2404"/>
      <c r="J2110" s="1506" t="str">
        <f t="shared" si="263"/>
        <v>354000_2024_12_</v>
      </c>
      <c r="K2110" s="152"/>
      <c r="L2110" s="45" t="str">
        <f>IF(K2110&gt;0,VLOOKUP(J2110,$J$873:$L$974,3,FALSE),"")</f>
        <v/>
      </c>
      <c r="M2110" s="1508" t="str">
        <f>IF(K2110&gt;0,VLOOKUP(J2110,$J$1697:$K$1799,2,FALSE),"")</f>
        <v/>
      </c>
      <c r="P2110" s="243"/>
      <c r="Q2110" s="243"/>
      <c r="R2110" s="243"/>
      <c r="T2110" s="166"/>
      <c r="U2110" s="50"/>
      <c r="V2110" s="2394"/>
      <c r="W2110" s="152"/>
      <c r="X2110" s="154"/>
      <c r="Y2110" s="154"/>
      <c r="Z2110" s="152"/>
      <c r="AA2110" s="152"/>
      <c r="AB2110" s="154"/>
      <c r="AC2110" s="152"/>
      <c r="AD2110" s="152"/>
      <c r="AE2110" s="152"/>
      <c r="AF2110" s="743"/>
      <c r="AG2110" s="743" t="str">
        <f t="shared" si="264"/>
        <v/>
      </c>
      <c r="DG2110" s="543"/>
      <c r="DH2110" s="149"/>
      <c r="DI2110" s="1020"/>
      <c r="DJ2110" s="2045"/>
    </row>
    <row r="2111" spans="1:114" ht="15" customHeight="1" outlineLevel="1" x14ac:dyDescent="0.25">
      <c r="A2111" s="2145"/>
      <c r="C2111" s="49"/>
      <c r="D2111" s="2394"/>
      <c r="E2111" s="2394"/>
      <c r="F2111" s="2404" t="str">
        <f t="shared" si="262"/>
        <v>ASHP-SEER19_ER2_SF</v>
      </c>
      <c r="G2111" s="2404"/>
      <c r="H2111" s="2404"/>
      <c r="I2111" s="2404"/>
      <c r="J2111" s="1506" t="str">
        <f t="shared" si="263"/>
        <v>354000_2024_12_</v>
      </c>
      <c r="K2111" s="152"/>
      <c r="L2111" s="45" t="str">
        <f>IF(K2111&gt;0,VLOOKUP(J2111,$J$873:$L$974,3,FALSE),"")</f>
        <v/>
      </c>
      <c r="M2111" s="1508" t="str">
        <f>IF(K2111&gt;0,VLOOKUP(J2111,$J$1697:$K$1799,2,FALSE),"")</f>
        <v/>
      </c>
      <c r="P2111" s="243"/>
      <c r="Q2111" s="243"/>
      <c r="R2111" s="243"/>
      <c r="T2111" s="166"/>
      <c r="U2111" s="50"/>
      <c r="V2111" s="2394"/>
      <c r="W2111" s="152"/>
      <c r="X2111" s="154"/>
      <c r="Y2111" s="154"/>
      <c r="Z2111" s="152"/>
      <c r="AA2111" s="152"/>
      <c r="AB2111" s="154"/>
      <c r="AC2111" s="152"/>
      <c r="AD2111" s="152"/>
      <c r="AE2111" s="152"/>
      <c r="AF2111" s="743"/>
      <c r="AG2111" s="743" t="str">
        <f t="shared" si="264"/>
        <v/>
      </c>
      <c r="DG2111" s="543"/>
      <c r="DH2111" s="149"/>
      <c r="DI2111" s="1020"/>
      <c r="DJ2111" s="2045"/>
    </row>
    <row r="2112" spans="1:114" ht="15" customHeight="1" outlineLevel="1" x14ac:dyDescent="0.25">
      <c r="A2112" s="2145"/>
      <c r="C2112" s="49"/>
      <c r="D2112" s="2394"/>
      <c r="E2112" s="2394"/>
      <c r="F2112" s="2404" t="str">
        <f t="shared" si="262"/>
        <v>ASHP-SEER19_ROF_SF</v>
      </c>
      <c r="G2112" s="2404"/>
      <c r="H2112" s="2404"/>
      <c r="I2112" s="2404"/>
      <c r="J2112" s="1506" t="str">
        <f t="shared" si="263"/>
        <v>354050_2024_12_</v>
      </c>
      <c r="K2112" s="1514">
        <f>(S$878+L2112*T$878)-(S$882+L2112*T$882)</f>
        <v>1081</v>
      </c>
      <c r="L2112" s="45">
        <f>VLOOKUP(J2112,$J$873:$L$974,3,FALSE)*M2112</f>
        <v>2.9920329673076922</v>
      </c>
      <c r="M2112" s="1508">
        <f>VLOOKUP(J2112,$J$1697:$K$1799,2,FALSE)</f>
        <v>1</v>
      </c>
      <c r="N2112" s="524"/>
      <c r="P2112" s="243"/>
      <c r="Q2112" s="243"/>
      <c r="R2112" s="243"/>
      <c r="T2112" s="166"/>
      <c r="U2112" s="50"/>
      <c r="V2112" s="2394"/>
      <c r="W2112" s="152">
        <v>2684</v>
      </c>
      <c r="X2112" s="154">
        <v>3972.045000000001</v>
      </c>
      <c r="Y2112" s="154">
        <v>813.33333333333337</v>
      </c>
      <c r="Z2112" s="152">
        <v>813.33333333333337</v>
      </c>
      <c r="AA2112" s="152">
        <v>813.33333333333337</v>
      </c>
      <c r="AB2112" s="154">
        <v>1203.6500000000003</v>
      </c>
      <c r="AC2112" s="152">
        <v>1203.6500000000003</v>
      </c>
      <c r="AD2112" s="154">
        <v>1203.6500000000003</v>
      </c>
      <c r="AE2112" s="154">
        <v>1203.6500000000003</v>
      </c>
      <c r="AF2112" s="743">
        <v>1081</v>
      </c>
      <c r="AG2112" s="743">
        <f t="shared" si="264"/>
        <v>1081</v>
      </c>
      <c r="DG2112" s="543"/>
      <c r="DH2112" s="149"/>
      <c r="DI2112" s="1020"/>
      <c r="DJ2112" s="2045"/>
    </row>
    <row r="2113" spans="1:114" ht="15" customHeight="1" outlineLevel="1" x14ac:dyDescent="0.25">
      <c r="A2113" s="2145"/>
      <c r="C2113" s="49"/>
      <c r="D2113" s="2394"/>
      <c r="E2113" s="2394"/>
      <c r="F2113" s="2404" t="str">
        <f t="shared" si="262"/>
        <v>ASHP-SEER19_ROF_SF</v>
      </c>
      <c r="G2113" s="2404"/>
      <c r="H2113" s="2404"/>
      <c r="I2113" s="2404"/>
      <c r="J2113" s="1506" t="str">
        <f t="shared" si="263"/>
        <v>354050_2024_12_</v>
      </c>
      <c r="K2113" s="152"/>
      <c r="L2113" s="45" t="str">
        <f>IF(K2113&gt;0,VLOOKUP(J2113,$J$873:$L$974,3,FALSE),"")</f>
        <v/>
      </c>
      <c r="M2113" s="1508" t="str">
        <f>IF(K2113&gt;0,VLOOKUP(J2113,$J$1697:$K$1799,2,FALSE),"")</f>
        <v/>
      </c>
      <c r="P2113" s="243"/>
      <c r="Q2113" s="243"/>
      <c r="R2113" s="243"/>
      <c r="T2113" s="166"/>
      <c r="U2113" s="50"/>
      <c r="V2113" s="2394"/>
      <c r="W2113" s="152"/>
      <c r="X2113" s="154"/>
      <c r="Y2113" s="154"/>
      <c r="Z2113" s="152"/>
      <c r="AA2113" s="152"/>
      <c r="AB2113" s="154"/>
      <c r="AC2113" s="152"/>
      <c r="AD2113" s="152"/>
      <c r="AE2113" s="152"/>
      <c r="AF2113" s="743"/>
      <c r="AG2113" s="743" t="str">
        <f t="shared" si="264"/>
        <v/>
      </c>
      <c r="DG2113" s="543"/>
      <c r="DH2113" s="149"/>
      <c r="DI2113" s="1020"/>
      <c r="DJ2113" s="2045"/>
    </row>
    <row r="2114" spans="1:114" ht="15" customHeight="1" outlineLevel="1" x14ac:dyDescent="0.25">
      <c r="A2114" s="2145"/>
      <c r="C2114" s="49"/>
      <c r="D2114" s="2394"/>
      <c r="E2114" s="2394"/>
      <c r="F2114" s="2404" t="str">
        <f t="shared" si="262"/>
        <v>ASHP-SEER17-Replace_CAC_ElectricHeat_ER1_SF</v>
      </c>
      <c r="G2114" s="2404"/>
      <c r="H2114" s="2404"/>
      <c r="I2114" s="2404"/>
      <c r="J2114" s="1506" t="str">
        <f t="shared" si="263"/>
        <v>354100_2024_12_</v>
      </c>
      <c r="K2114" s="1514">
        <f>(S$876+L2114*T$876)-((S$885+L2114*T$885)*S$891)</f>
        <v>3783.9531661870506</v>
      </c>
      <c r="L2114" s="45">
        <f>VLOOKUP(J2114,$J$873:$L$974,3,FALSE)*M2114</f>
        <v>2.6603692243864097</v>
      </c>
      <c r="M2114" s="1508">
        <f>VLOOKUP(J2114,$J$1697:$K$1799,2,FALSE)</f>
        <v>1</v>
      </c>
      <c r="N2114" s="524"/>
      <c r="P2114" s="243"/>
      <c r="Q2114" s="243"/>
      <c r="R2114" s="243"/>
      <c r="T2114" s="166"/>
      <c r="U2114" s="50"/>
      <c r="V2114" s="2394"/>
      <c r="W2114" s="152">
        <v>3824.9615612563771</v>
      </c>
      <c r="X2114" s="154">
        <v>4781.5804744777724</v>
      </c>
      <c r="Y2114" s="154">
        <v>1452.6993716056036</v>
      </c>
      <c r="Z2114" s="152">
        <v>1452.6993716056036</v>
      </c>
      <c r="AA2114" s="152">
        <v>1452.6993716056036</v>
      </c>
      <c r="AB2114" s="154">
        <v>1464.7073864864105</v>
      </c>
      <c r="AC2114" s="154">
        <v>1402.8007574105659</v>
      </c>
      <c r="AD2114" s="154">
        <v>1425.2574866940254</v>
      </c>
      <c r="AE2114" s="154">
        <v>1449.7889087112662</v>
      </c>
      <c r="AF2114" s="743">
        <v>3783.9531661870506</v>
      </c>
      <c r="AG2114" s="743">
        <f t="shared" si="264"/>
        <v>3783.9531661870506</v>
      </c>
      <c r="DG2114" s="543"/>
      <c r="DH2114" s="149"/>
      <c r="DI2114" s="1020"/>
      <c r="DJ2114" s="2045"/>
    </row>
    <row r="2115" spans="1:114" ht="15" customHeight="1" outlineLevel="1" x14ac:dyDescent="0.25">
      <c r="A2115" s="2145"/>
      <c r="C2115" s="49"/>
      <c r="D2115" s="2394"/>
      <c r="E2115" s="2394"/>
      <c r="F2115" s="2404" t="str">
        <f t="shared" si="262"/>
        <v>ASHP-SEER17-Replace_CAC_ElectricHeat_ER1_SF</v>
      </c>
      <c r="G2115" s="2404"/>
      <c r="H2115" s="2404"/>
      <c r="I2115" s="2404"/>
      <c r="J2115" s="1506" t="str">
        <f t="shared" si="263"/>
        <v>354100_2024_12_</v>
      </c>
      <c r="K2115" s="152"/>
      <c r="L2115" s="45" t="str">
        <f>IF(K2115&gt;0,VLOOKUP(J2115,$J$873:$L$974,3,FALSE),"")</f>
        <v/>
      </c>
      <c r="M2115" s="1508" t="str">
        <f>IF(K2115&gt;0,VLOOKUP(J2115,$J$1697:$K$1799,2,FALSE),"")</f>
        <v/>
      </c>
      <c r="P2115" s="243"/>
      <c r="Q2115" s="243"/>
      <c r="R2115" s="243"/>
      <c r="T2115" s="166"/>
      <c r="U2115" s="50"/>
      <c r="V2115" s="2394"/>
      <c r="W2115" s="152"/>
      <c r="X2115" s="154"/>
      <c r="Y2115" s="154"/>
      <c r="Z2115" s="152"/>
      <c r="AA2115" s="152"/>
      <c r="AB2115" s="154"/>
      <c r="AC2115" s="152"/>
      <c r="AD2115" s="152"/>
      <c r="AE2115" s="152"/>
      <c r="AF2115" s="743"/>
      <c r="AG2115" s="743" t="str">
        <f t="shared" si="264"/>
        <v/>
      </c>
      <c r="DG2115" s="543"/>
      <c r="DH2115" s="149"/>
      <c r="DI2115" s="1020"/>
      <c r="DJ2115" s="2045"/>
    </row>
    <row r="2116" spans="1:114" ht="15" customHeight="1" outlineLevel="1" x14ac:dyDescent="0.25">
      <c r="A2116" s="2145"/>
      <c r="C2116" s="49"/>
      <c r="D2116" s="2394"/>
      <c r="E2116" s="2394"/>
      <c r="F2116" s="2404" t="str">
        <f t="shared" si="262"/>
        <v>ASHP-SEER17-Replace_CAC_ElectricHeat_ER2_SF</v>
      </c>
      <c r="G2116" s="2404"/>
      <c r="H2116" s="2404"/>
      <c r="I2116" s="2404"/>
      <c r="J2116" s="1506" t="str">
        <f t="shared" si="263"/>
        <v>354100_2024_12_</v>
      </c>
      <c r="K2116" s="152"/>
      <c r="L2116" s="45" t="str">
        <f>IF(K2116&gt;0,VLOOKUP(J2116,$J$873:$L$974,3,FALSE),"")</f>
        <v/>
      </c>
      <c r="M2116" s="1508" t="str">
        <f>IF(K2116&gt;0,VLOOKUP(J2116,$J$1697:$K$1799,2,FALSE),"")</f>
        <v/>
      </c>
      <c r="P2116" s="243"/>
      <c r="Q2116" s="243"/>
      <c r="R2116" s="243"/>
      <c r="T2116" s="166"/>
      <c r="U2116" s="50"/>
      <c r="V2116" s="2394"/>
      <c r="W2116" s="152"/>
      <c r="X2116" s="154"/>
      <c r="Y2116" s="154"/>
      <c r="Z2116" s="152"/>
      <c r="AA2116" s="152"/>
      <c r="AB2116" s="154"/>
      <c r="AC2116" s="152"/>
      <c r="AD2116" s="152"/>
      <c r="AE2116" s="152"/>
      <c r="AF2116" s="743"/>
      <c r="AG2116" s="743" t="str">
        <f t="shared" si="264"/>
        <v/>
      </c>
      <c r="DG2116" s="543"/>
      <c r="DH2116" s="149"/>
      <c r="DI2116" s="1020"/>
      <c r="DJ2116" s="2045"/>
    </row>
    <row r="2117" spans="1:114" ht="15" customHeight="1" outlineLevel="1" x14ac:dyDescent="0.25">
      <c r="A2117" s="2145"/>
      <c r="C2117" s="49"/>
      <c r="D2117" s="2394"/>
      <c r="E2117" s="2394"/>
      <c r="F2117" s="2404" t="str">
        <f t="shared" si="262"/>
        <v>ASHP-SEER17-Replace_CAC_ElectricHeat_ER2_SF</v>
      </c>
      <c r="G2117" s="2404"/>
      <c r="H2117" s="2404"/>
      <c r="I2117" s="2404"/>
      <c r="J2117" s="1506" t="str">
        <f t="shared" si="263"/>
        <v>354100_2024_12_</v>
      </c>
      <c r="K2117" s="152"/>
      <c r="L2117" s="45" t="str">
        <f>IF(K2117&gt;0,VLOOKUP(J2117,$J$873:$L$974,3,FALSE),"")</f>
        <v/>
      </c>
      <c r="M2117" s="1508" t="str">
        <f>IF(K2117&gt;0,VLOOKUP(J2117,$J$1697:$K$1799,2,FALSE),"")</f>
        <v/>
      </c>
      <c r="P2117" s="243"/>
      <c r="Q2117" s="243"/>
      <c r="R2117" s="243"/>
      <c r="T2117" s="166"/>
      <c r="U2117" s="50"/>
      <c r="V2117" s="2394"/>
      <c r="W2117" s="152"/>
      <c r="X2117" s="154"/>
      <c r="Y2117" s="154"/>
      <c r="Z2117" s="152"/>
      <c r="AA2117" s="152"/>
      <c r="AB2117" s="154"/>
      <c r="AC2117" s="152"/>
      <c r="AD2117" s="152"/>
      <c r="AE2117" s="152"/>
      <c r="AF2117" s="743"/>
      <c r="AG2117" s="743" t="str">
        <f t="shared" si="264"/>
        <v/>
      </c>
      <c r="DG2117" s="543"/>
      <c r="DH2117" s="149"/>
      <c r="DI2117" s="1020"/>
      <c r="DJ2117" s="2045"/>
    </row>
    <row r="2118" spans="1:114" ht="15" customHeight="1" outlineLevel="1" x14ac:dyDescent="0.25">
      <c r="A2118" s="2145"/>
      <c r="C2118" s="49"/>
      <c r="D2118" s="2394"/>
      <c r="E2118" s="2394"/>
      <c r="F2118" s="2404" t="str">
        <f t="shared" si="262"/>
        <v>ASHP-SEER17-Replace_CAC_NonElectricHeat_ER1_SF</v>
      </c>
      <c r="G2118" s="2404"/>
      <c r="H2118" s="2404"/>
      <c r="I2118" s="2404"/>
      <c r="J2118" s="1506" t="str">
        <f t="shared" si="263"/>
        <v>354110_2024_12_</v>
      </c>
      <c r="K2118" s="1514">
        <f>((S$876+L2118*T$876)-((S$885+L2118*T$885)*S$891))*VLOOKUP(J2118,$J$2200:$K$2216,2,FALSE)</f>
        <v>532.70060739653661</v>
      </c>
      <c r="L2118" s="45">
        <f>VLOOKUP(J2118,$J$873:$L$974,3,FALSE)*M2118</f>
        <v>2.6603692243864097</v>
      </c>
      <c r="M2118" s="1508">
        <f>VLOOKUP(J2118,$J$1697:$K$1799,2,FALSE)</f>
        <v>1</v>
      </c>
      <c r="N2118" s="524"/>
      <c r="P2118" s="243"/>
      <c r="Q2118" s="243"/>
      <c r="R2118" s="243"/>
      <c r="T2118" s="166"/>
      <c r="U2118" s="50"/>
      <c r="V2118" s="2394"/>
      <c r="W2118" s="152"/>
      <c r="X2118" s="154"/>
      <c r="Y2118" s="154"/>
      <c r="Z2118" s="152"/>
      <c r="AA2118" s="152"/>
      <c r="AB2118" s="154"/>
      <c r="AC2118" s="154">
        <v>1402.8007574105659</v>
      </c>
      <c r="AD2118" s="154">
        <v>1425.2574866940254</v>
      </c>
      <c r="AE2118" s="154">
        <v>1449.7889087112662</v>
      </c>
      <c r="AF2118" s="743">
        <v>501.3407230169808</v>
      </c>
      <c r="AG2118" s="743">
        <f t="shared" si="264"/>
        <v>532.70060739653661</v>
      </c>
      <c r="DG2118" s="543"/>
      <c r="DH2118" s="149"/>
      <c r="DI2118" s="1020"/>
      <c r="DJ2118" s="2045"/>
    </row>
    <row r="2119" spans="1:114" ht="15" customHeight="1" outlineLevel="1" x14ac:dyDescent="0.25">
      <c r="A2119" s="2145"/>
      <c r="C2119" s="49"/>
      <c r="D2119" s="2394"/>
      <c r="E2119" s="2394"/>
      <c r="F2119" s="2404" t="str">
        <f t="shared" si="262"/>
        <v>ASHP-SEER17-Replace_CAC_NonElectricHeat_ER1_SF</v>
      </c>
      <c r="G2119" s="2404"/>
      <c r="H2119" s="2404"/>
      <c r="I2119" s="2404"/>
      <c r="J2119" s="1506" t="str">
        <f t="shared" si="263"/>
        <v>354110_2024_12_</v>
      </c>
      <c r="K2119" s="152"/>
      <c r="L2119" s="45"/>
      <c r="M2119" s="1508"/>
      <c r="P2119" s="243"/>
      <c r="Q2119" s="243"/>
      <c r="R2119" s="243"/>
      <c r="T2119" s="166"/>
      <c r="U2119" s="50"/>
      <c r="V2119" s="2394"/>
      <c r="W2119" s="152"/>
      <c r="X2119" s="154"/>
      <c r="Y2119" s="154"/>
      <c r="Z2119" s="152"/>
      <c r="AA2119" s="152"/>
      <c r="AB2119" s="154"/>
      <c r="AC2119" s="152"/>
      <c r="AD2119" s="152"/>
      <c r="AE2119" s="152"/>
      <c r="AF2119" s="743"/>
      <c r="AG2119" s="743" t="str">
        <f t="shared" si="264"/>
        <v/>
      </c>
      <c r="DG2119" s="543"/>
      <c r="DH2119" s="149"/>
      <c r="DI2119" s="1020"/>
      <c r="DJ2119" s="2045"/>
    </row>
    <row r="2120" spans="1:114" ht="15" customHeight="1" outlineLevel="1" x14ac:dyDescent="0.25">
      <c r="A2120" s="2145"/>
      <c r="C2120" s="49"/>
      <c r="D2120" s="2394"/>
      <c r="E2120" s="2394"/>
      <c r="F2120" s="2404" t="str">
        <f t="shared" si="262"/>
        <v>ASHP-SEER17-Replace_CAC_NonElectricHeat_ER2_SF</v>
      </c>
      <c r="G2120" s="2404"/>
      <c r="H2120" s="2404"/>
      <c r="I2120" s="2404"/>
      <c r="J2120" s="1506" t="str">
        <f t="shared" si="263"/>
        <v>354110_2024_12_</v>
      </c>
      <c r="K2120" s="152"/>
      <c r="L2120" s="45"/>
      <c r="M2120" s="1508"/>
      <c r="P2120" s="243"/>
      <c r="Q2120" s="243"/>
      <c r="R2120" s="243"/>
      <c r="T2120" s="166"/>
      <c r="U2120" s="50"/>
      <c r="V2120" s="2394"/>
      <c r="W2120" s="152"/>
      <c r="X2120" s="154"/>
      <c r="Y2120" s="154"/>
      <c r="Z2120" s="152"/>
      <c r="AA2120" s="152"/>
      <c r="AB2120" s="154"/>
      <c r="AC2120" s="152"/>
      <c r="AD2120" s="152"/>
      <c r="AE2120" s="152"/>
      <c r="AF2120" s="743"/>
      <c r="AG2120" s="743" t="str">
        <f t="shared" si="264"/>
        <v/>
      </c>
      <c r="DG2120" s="543"/>
      <c r="DH2120" s="149"/>
      <c r="DI2120" s="1020"/>
      <c r="DJ2120" s="2045"/>
    </row>
    <row r="2121" spans="1:114" ht="15" customHeight="1" outlineLevel="1" x14ac:dyDescent="0.25">
      <c r="A2121" s="2145"/>
      <c r="C2121" s="49"/>
      <c r="D2121" s="2394"/>
      <c r="E2121" s="2394"/>
      <c r="F2121" s="2404" t="str">
        <f>E776</f>
        <v>ASHP-SEER17-Replace_CAC_NonElectricHeat_ER2_SF</v>
      </c>
      <c r="G2121" s="2404"/>
      <c r="H2121" s="2404"/>
      <c r="I2121" s="2404"/>
      <c r="J2121" s="1506" t="str">
        <f>C776</f>
        <v>354110_2024_12_</v>
      </c>
      <c r="K2121" s="152"/>
      <c r="L2121" s="45"/>
      <c r="M2121" s="1508"/>
      <c r="P2121" s="243"/>
      <c r="Q2121" s="243"/>
      <c r="R2121" s="243"/>
      <c r="T2121" s="166"/>
      <c r="U2121" s="50"/>
      <c r="V2121" s="2394"/>
      <c r="W2121" s="152"/>
      <c r="X2121" s="154"/>
      <c r="Y2121" s="154"/>
      <c r="Z2121" s="152"/>
      <c r="AA2121" s="152"/>
      <c r="AB2121" s="154"/>
      <c r="AC2121" s="152"/>
      <c r="AD2121" s="152"/>
      <c r="AE2121" s="152"/>
      <c r="AF2121" s="743"/>
      <c r="AG2121" s="743" t="str">
        <f t="shared" si="264"/>
        <v/>
      </c>
      <c r="DG2121" s="543"/>
      <c r="DH2121" s="149"/>
      <c r="DI2121" s="1020"/>
      <c r="DJ2121" s="2045"/>
    </row>
    <row r="2122" spans="1:114" ht="15.75" customHeight="1" outlineLevel="1" x14ac:dyDescent="0.25">
      <c r="A2122" s="2145"/>
      <c r="C2122" s="49"/>
      <c r="D2122" s="2394"/>
      <c r="E2122" s="2394"/>
      <c r="F2122" s="1968" t="s">
        <v>1223</v>
      </c>
      <c r="G2122" s="1969"/>
      <c r="H2122" s="1969"/>
      <c r="I2122" s="1970"/>
      <c r="J2122" s="2095" t="s">
        <v>1222</v>
      </c>
      <c r="K2122" s="1982">
        <f>((S$876+L2122*T$876)-(S$883+L2122*T$883))*VLOOKUP(J2122,$J$2200:$K$2216,2,FALSE)</f>
        <v>490.66476099789202</v>
      </c>
      <c r="L2122" s="45">
        <f>VLOOKUP(J2122,$J$873:$L$975,3,FALSE)*M2122</f>
        <v>1.9627289377289376</v>
      </c>
      <c r="M2122" s="1508">
        <f>VLOOKUP(J2122,$J$1697:$K$1799,2,FALSE)</f>
        <v>1</v>
      </c>
      <c r="T2122" s="50"/>
      <c r="U2122" s="50"/>
      <c r="V2122" s="2394"/>
      <c r="W2122" s="213"/>
      <c r="X2122" s="213"/>
      <c r="Y2122" s="213"/>
      <c r="Z2122" s="213"/>
      <c r="AA2122" s="213"/>
      <c r="AB2122" s="213"/>
      <c r="AC2122" s="2020"/>
      <c r="AD2122" s="2021"/>
      <c r="AE2122" s="2022"/>
      <c r="AF2122" s="2019"/>
      <c r="AG2122" s="743">
        <f>IF(K2122&lt;&gt;"",K2122,"")</f>
        <v>490.66476099789202</v>
      </c>
      <c r="DG2122" s="543"/>
      <c r="DH2122" s="149"/>
      <c r="DI2122" s="1020"/>
      <c r="DJ2122" s="2045"/>
    </row>
    <row r="2123" spans="1:114" ht="15.75" customHeight="1" outlineLevel="1" x14ac:dyDescent="0.25">
      <c r="A2123" s="2145"/>
      <c r="C2123" s="49"/>
      <c r="D2123" s="2394"/>
      <c r="E2123" s="2394"/>
      <c r="F2123" s="1968" t="s">
        <v>1224</v>
      </c>
      <c r="G2123" s="1969"/>
      <c r="H2123" s="1969"/>
      <c r="I2123" s="1970"/>
      <c r="J2123" s="2095" t="s">
        <v>1222</v>
      </c>
      <c r="K2123" s="154"/>
      <c r="L2123" s="45">
        <f>VLOOKUP(J2123,$J$873:$L$975,3,FALSE)*M2123</f>
        <v>1.9627289377289376</v>
      </c>
      <c r="M2123" s="1508">
        <f>VLOOKUP(J2123,$J$1697:$K$1799,2,FALSE)</f>
        <v>1</v>
      </c>
      <c r="T2123" s="50"/>
      <c r="U2123" s="50"/>
      <c r="V2123" s="2394"/>
      <c r="W2123" s="213"/>
      <c r="X2123" s="213"/>
      <c r="Y2123" s="213"/>
      <c r="Z2123" s="213"/>
      <c r="AA2123" s="213"/>
      <c r="AB2123" s="213"/>
      <c r="AC2123" s="2020"/>
      <c r="AD2123" s="2021"/>
      <c r="AE2123" s="2022"/>
      <c r="AF2123" s="2019"/>
      <c r="AG2123" s="743" t="str">
        <f>IF(K2123&lt;&gt;"",K2123,"")</f>
        <v/>
      </c>
      <c r="DG2123" s="543"/>
      <c r="DH2123" s="149"/>
      <c r="DI2123" s="1020"/>
      <c r="DJ2123" s="2045"/>
    </row>
    <row r="2124" spans="1:114" ht="15" customHeight="1" outlineLevel="1" x14ac:dyDescent="0.25">
      <c r="A2124" s="2145"/>
      <c r="C2124" s="49"/>
      <c r="D2124" s="2394"/>
      <c r="E2124" s="2394"/>
      <c r="F2124" s="2404" t="str">
        <f t="shared" ref="F2124:F2155" si="265">E777</f>
        <v>ASHP-SEER17-Replace_CAC_ElectricHeat_ER1_MF</v>
      </c>
      <c r="G2124" s="2404"/>
      <c r="H2124" s="2404"/>
      <c r="I2124" s="2404"/>
      <c r="J2124" s="1506" t="str">
        <f t="shared" ref="J2124:J2155" si="266">C777</f>
        <v>354150_2024_12_</v>
      </c>
      <c r="K2124" s="1514">
        <f>(S$876+L2124*T$876)-((S$885+L2124*T$885)*S$891)</f>
        <v>3396.7316315552043</v>
      </c>
      <c r="L2124" s="45">
        <f>VLOOKUP(J2124,$J$873:$L$974,3,FALSE)*M2124</f>
        <v>2.0150000000000001</v>
      </c>
      <c r="M2124" s="1508">
        <f>VLOOKUP(J2124,$J$1697:$K$1799,2,FALSE)</f>
        <v>0.65</v>
      </c>
      <c r="N2124" s="524"/>
      <c r="P2124" s="243"/>
      <c r="Q2124" s="243"/>
      <c r="R2124" s="243"/>
      <c r="T2124" s="166"/>
      <c r="U2124" s="50"/>
      <c r="V2124" s="2394"/>
      <c r="W2124" s="152">
        <v>3824.9615612563771</v>
      </c>
      <c r="X2124" s="154">
        <v>3108.027308410552</v>
      </c>
      <c r="Y2124" s="154">
        <v>1147.2545915436422</v>
      </c>
      <c r="Z2124" s="152">
        <v>1147.2545915436422</v>
      </c>
      <c r="AA2124" s="152">
        <v>1147.2545915436422</v>
      </c>
      <c r="AB2124" s="154">
        <v>1205.4598012161669</v>
      </c>
      <c r="AC2124" s="152">
        <v>1205.4598012161669</v>
      </c>
      <c r="AD2124" s="152">
        <v>1205.4598012161669</v>
      </c>
      <c r="AE2124" s="154">
        <v>1273.7224361368508</v>
      </c>
      <c r="AF2124" s="743">
        <v>3396.7316315552043</v>
      </c>
      <c r="AG2124" s="743">
        <f t="shared" si="264"/>
        <v>3396.7316315552043</v>
      </c>
      <c r="DG2124" s="543"/>
      <c r="DH2124" s="149"/>
      <c r="DI2124" s="1020"/>
      <c r="DJ2124" s="2045"/>
    </row>
    <row r="2125" spans="1:114" ht="15" customHeight="1" outlineLevel="1" x14ac:dyDescent="0.25">
      <c r="A2125" s="2145"/>
      <c r="C2125" s="49"/>
      <c r="D2125" s="2394"/>
      <c r="E2125" s="2394"/>
      <c r="F2125" s="2404" t="str">
        <f t="shared" si="265"/>
        <v>ASHP-SEER17-Replace_CAC_ElectricHeat_ER1_MF</v>
      </c>
      <c r="G2125" s="2404"/>
      <c r="H2125" s="2404"/>
      <c r="I2125" s="2404"/>
      <c r="J2125" s="1506" t="str">
        <f t="shared" si="266"/>
        <v>354150_2024_12_</v>
      </c>
      <c r="K2125" s="152"/>
      <c r="L2125" s="45" t="str">
        <f>IF(K2125&gt;0,VLOOKUP(J2125,$J$873:$L$974,3,FALSE),"")</f>
        <v/>
      </c>
      <c r="M2125" s="1508" t="str">
        <f>IF(K2125&gt;0,VLOOKUP(J2125,$J$1697:$K$1799,2,FALSE),"")</f>
        <v/>
      </c>
      <c r="P2125" s="243"/>
      <c r="Q2125" s="243"/>
      <c r="R2125" s="243"/>
      <c r="T2125" s="166"/>
      <c r="U2125" s="50"/>
      <c r="V2125" s="2394"/>
      <c r="W2125" s="152"/>
      <c r="X2125" s="154"/>
      <c r="Y2125" s="154"/>
      <c r="Z2125" s="152"/>
      <c r="AA2125" s="152"/>
      <c r="AB2125" s="154"/>
      <c r="AC2125" s="152"/>
      <c r="AD2125" s="152"/>
      <c r="AE2125" s="152"/>
      <c r="AF2125" s="743"/>
      <c r="AG2125" s="743" t="str">
        <f t="shared" si="264"/>
        <v/>
      </c>
      <c r="DG2125" s="543"/>
      <c r="DH2125" s="149"/>
      <c r="DI2125" s="1020"/>
      <c r="DJ2125" s="2045"/>
    </row>
    <row r="2126" spans="1:114" ht="15" customHeight="1" outlineLevel="1" x14ac:dyDescent="0.25">
      <c r="A2126" s="2145"/>
      <c r="C2126" s="49"/>
      <c r="D2126" s="2394"/>
      <c r="E2126" s="2394"/>
      <c r="F2126" s="2404" t="str">
        <f t="shared" si="265"/>
        <v>ASHP-SEER17-Replace_CAC_ElectricHeat_ER2_MF</v>
      </c>
      <c r="G2126" s="2404"/>
      <c r="H2126" s="2404"/>
      <c r="I2126" s="2404"/>
      <c r="J2126" s="1506" t="str">
        <f t="shared" si="266"/>
        <v>354150_2024_12_</v>
      </c>
      <c r="K2126" s="152"/>
      <c r="L2126" s="45" t="str">
        <f>IF(K2126&gt;0,VLOOKUP(J2126,$J$873:$L$974,3,FALSE),"")</f>
        <v/>
      </c>
      <c r="M2126" s="1508" t="str">
        <f>IF(K2126&gt;0,VLOOKUP(J2126,$J$1697:$K$1799,2,FALSE),"")</f>
        <v/>
      </c>
      <c r="P2126" s="243"/>
      <c r="Q2126" s="243"/>
      <c r="R2126" s="243"/>
      <c r="T2126" s="166"/>
      <c r="U2126" s="50"/>
      <c r="V2126" s="2394"/>
      <c r="W2126" s="152"/>
      <c r="X2126" s="154"/>
      <c r="Y2126" s="154"/>
      <c r="Z2126" s="152"/>
      <c r="AA2126" s="152"/>
      <c r="AB2126" s="154"/>
      <c r="AC2126" s="152"/>
      <c r="AD2126" s="152"/>
      <c r="AE2126" s="152"/>
      <c r="AF2126" s="743"/>
      <c r="AG2126" s="743" t="str">
        <f t="shared" si="264"/>
        <v/>
      </c>
      <c r="DG2126" s="543"/>
      <c r="DH2126" s="149"/>
      <c r="DI2126" s="1020"/>
      <c r="DJ2126" s="2045"/>
    </row>
    <row r="2127" spans="1:114" ht="15" customHeight="1" outlineLevel="1" x14ac:dyDescent="0.25">
      <c r="A2127" s="2145"/>
      <c r="C2127" s="49"/>
      <c r="D2127" s="2394"/>
      <c r="E2127" s="2394"/>
      <c r="F2127" s="2404" t="str">
        <f t="shared" si="265"/>
        <v>ASHP-SEER17-Replace_CAC_ElectricHeat_ER2_MF</v>
      </c>
      <c r="G2127" s="2404"/>
      <c r="H2127" s="2404"/>
      <c r="I2127" s="2404"/>
      <c r="J2127" s="1506" t="str">
        <f t="shared" si="266"/>
        <v>354150_2024_12_</v>
      </c>
      <c r="K2127" s="152"/>
      <c r="L2127" s="45" t="str">
        <f>IF(K2127&gt;0,VLOOKUP(J2127,$J$873:$L$974,3,FALSE),"")</f>
        <v/>
      </c>
      <c r="M2127" s="1508" t="str">
        <f>IF(K2127&gt;0,VLOOKUP(J2127,$J$1697:$K$1799,2,FALSE),"")</f>
        <v/>
      </c>
      <c r="P2127" s="243"/>
      <c r="Q2127" s="243"/>
      <c r="R2127" s="243"/>
      <c r="T2127" s="166"/>
      <c r="U2127" s="50"/>
      <c r="V2127" s="2394"/>
      <c r="W2127" s="152"/>
      <c r="X2127" s="154"/>
      <c r="Y2127" s="154"/>
      <c r="Z2127" s="152"/>
      <c r="AA2127" s="152"/>
      <c r="AB2127" s="154"/>
      <c r="AC2127" s="152"/>
      <c r="AD2127" s="152"/>
      <c r="AE2127" s="152"/>
      <c r="AF2127" s="743"/>
      <c r="AG2127" s="743" t="str">
        <f t="shared" si="264"/>
        <v/>
      </c>
      <c r="DG2127" s="543"/>
      <c r="DH2127" s="149"/>
      <c r="DI2127" s="1020"/>
      <c r="DJ2127" s="2045"/>
    </row>
    <row r="2128" spans="1:114" ht="15" customHeight="1" outlineLevel="1" x14ac:dyDescent="0.25">
      <c r="A2128" s="2145"/>
      <c r="C2128" s="49"/>
      <c r="D2128" s="2394"/>
      <c r="E2128" s="2394"/>
      <c r="F2128" s="2404" t="str">
        <f t="shared" si="265"/>
        <v>ASHP-SEER17_ER1_MF</v>
      </c>
      <c r="G2128" s="2404"/>
      <c r="H2128" s="2404"/>
      <c r="I2128" s="2404"/>
      <c r="J2128" s="1506" t="str">
        <f t="shared" si="266"/>
        <v>354200_2024_12_</v>
      </c>
      <c r="K2128" s="1514">
        <f>(S$876+L2128*T$876)-(S$884+L2128*T$884)*S$891</f>
        <v>626.51836415648631</v>
      </c>
      <c r="L2128" s="45">
        <f>VLOOKUP(J2128,$J$873:$L$974,3,FALSE)*M2128</f>
        <v>2.145</v>
      </c>
      <c r="M2128" s="1508">
        <f>VLOOKUP(J2128,$J$1697:$K$1799,2,FALSE)</f>
        <v>0.65</v>
      </c>
      <c r="N2128" s="524"/>
      <c r="P2128" s="243"/>
      <c r="Q2128" s="243"/>
      <c r="R2128" s="243"/>
      <c r="T2128" s="166"/>
      <c r="U2128" s="50"/>
      <c r="V2128" s="2394"/>
      <c r="W2128" s="152">
        <v>6101.9914642916983</v>
      </c>
      <c r="X2128" s="154">
        <v>3308.5451992757485</v>
      </c>
      <c r="Y2128" s="154">
        <v>1183.8516619658126</v>
      </c>
      <c r="Z2128" s="152">
        <v>1183.8516619658126</v>
      </c>
      <c r="AA2128" s="152">
        <v>1183.8516619658126</v>
      </c>
      <c r="AB2128" s="154">
        <v>1236.5217238752739</v>
      </c>
      <c r="AC2128" s="152">
        <v>1236.5217238752739</v>
      </c>
      <c r="AD2128" s="152">
        <v>1236.5217238752739</v>
      </c>
      <c r="AE2128" s="154">
        <v>1309.1883997585833</v>
      </c>
      <c r="AF2128" s="743">
        <v>626.51836415648631</v>
      </c>
      <c r="AG2128" s="743">
        <f t="shared" si="264"/>
        <v>626.51836415648631</v>
      </c>
      <c r="DG2128" s="543"/>
      <c r="DH2128" s="149"/>
      <c r="DI2128" s="1020"/>
      <c r="DJ2128" s="2045"/>
    </row>
    <row r="2129" spans="1:114" ht="15" customHeight="1" outlineLevel="1" x14ac:dyDescent="0.25">
      <c r="A2129" s="2145"/>
      <c r="C2129" s="49"/>
      <c r="D2129" s="2394"/>
      <c r="E2129" s="2394"/>
      <c r="F2129" s="2404" t="str">
        <f t="shared" si="265"/>
        <v>ASHP-SEER17_ER1_MF</v>
      </c>
      <c r="G2129" s="2404"/>
      <c r="H2129" s="2404"/>
      <c r="I2129" s="2404"/>
      <c r="J2129" s="1506" t="str">
        <f t="shared" si="266"/>
        <v>354200_2024_12_</v>
      </c>
      <c r="K2129" s="152"/>
      <c r="L2129" s="45" t="str">
        <f>IF(K2129&gt;0,VLOOKUP(J2129,$J$873:$L$974,3,FALSE),"")</f>
        <v/>
      </c>
      <c r="M2129" s="1508" t="str">
        <f>IF(K2129&gt;0,VLOOKUP(J2129,$J$1697:$K$1799,2,FALSE),"")</f>
        <v/>
      </c>
      <c r="P2129" s="243"/>
      <c r="Q2129" s="243"/>
      <c r="R2129" s="243"/>
      <c r="T2129" s="166"/>
      <c r="U2129" s="50"/>
      <c r="V2129" s="2394"/>
      <c r="W2129" s="152"/>
      <c r="X2129" s="154"/>
      <c r="Y2129" s="154"/>
      <c r="Z2129" s="152"/>
      <c r="AA2129" s="152"/>
      <c r="AB2129" s="154"/>
      <c r="AC2129" s="152"/>
      <c r="AD2129" s="152"/>
      <c r="AE2129" s="152"/>
      <c r="AF2129" s="743"/>
      <c r="AG2129" s="743" t="str">
        <f t="shared" si="264"/>
        <v/>
      </c>
      <c r="DG2129" s="543"/>
      <c r="DH2129" s="149"/>
      <c r="DI2129" s="1020"/>
      <c r="DJ2129" s="2045"/>
    </row>
    <row r="2130" spans="1:114" ht="15" customHeight="1" outlineLevel="1" x14ac:dyDescent="0.25">
      <c r="A2130" s="2145"/>
      <c r="C2130" s="49"/>
      <c r="D2130" s="2394"/>
      <c r="E2130" s="2394"/>
      <c r="F2130" s="2404" t="str">
        <f t="shared" si="265"/>
        <v>ASHP-SEER17_ER2_MF</v>
      </c>
      <c r="G2130" s="2404"/>
      <c r="H2130" s="2404"/>
      <c r="I2130" s="2404"/>
      <c r="J2130" s="1506" t="str">
        <f t="shared" si="266"/>
        <v>354200_2024_12_</v>
      </c>
      <c r="K2130" s="152"/>
      <c r="L2130" s="45" t="str">
        <f>IF(K2130&gt;0,VLOOKUP(J2130,$J$873:$L$974,3,FALSE),"")</f>
        <v/>
      </c>
      <c r="M2130" s="1508" t="str">
        <f>IF(K2130&gt;0,VLOOKUP(J2130,$J$1697:$K$1799,2,FALSE),"")</f>
        <v/>
      </c>
      <c r="P2130" s="243"/>
      <c r="Q2130" s="243"/>
      <c r="R2130" s="243"/>
      <c r="T2130" s="166"/>
      <c r="U2130" s="50"/>
      <c r="V2130" s="2394"/>
      <c r="W2130" s="152"/>
      <c r="X2130" s="154"/>
      <c r="Y2130" s="154"/>
      <c r="Z2130" s="152"/>
      <c r="AA2130" s="152"/>
      <c r="AB2130" s="154"/>
      <c r="AC2130" s="152"/>
      <c r="AD2130" s="152"/>
      <c r="AE2130" s="152"/>
      <c r="AF2130" s="743"/>
      <c r="AG2130" s="743" t="str">
        <f t="shared" si="264"/>
        <v/>
      </c>
      <c r="DG2130" s="543"/>
      <c r="DH2130" s="149"/>
      <c r="DI2130" s="1020"/>
      <c r="DJ2130" s="2045"/>
    </row>
    <row r="2131" spans="1:114" ht="15" customHeight="1" outlineLevel="1" x14ac:dyDescent="0.25">
      <c r="A2131" s="2145"/>
      <c r="C2131" s="49"/>
      <c r="D2131" s="2394"/>
      <c r="E2131" s="2394"/>
      <c r="F2131" s="2404" t="str">
        <f t="shared" si="265"/>
        <v>ASHP-SEER17_ER2_MF</v>
      </c>
      <c r="G2131" s="2404"/>
      <c r="H2131" s="2404"/>
      <c r="I2131" s="2404"/>
      <c r="J2131" s="1506" t="str">
        <f t="shared" si="266"/>
        <v>354200_2024_12_</v>
      </c>
      <c r="K2131" s="152"/>
      <c r="L2131" s="45" t="str">
        <f>IF(K2131&gt;0,VLOOKUP(J2131,$J$873:$L$974,3,FALSE),"")</f>
        <v/>
      </c>
      <c r="M2131" s="1508" t="str">
        <f>IF(K2131&gt;0,VLOOKUP(J2131,$J$1697:$K$1799,2,FALSE),"")</f>
        <v/>
      </c>
      <c r="P2131" s="243"/>
      <c r="Q2131" s="243"/>
      <c r="R2131" s="243"/>
      <c r="T2131" s="166"/>
      <c r="U2131" s="50"/>
      <c r="V2131" s="2394"/>
      <c r="W2131" s="152"/>
      <c r="X2131" s="154"/>
      <c r="Y2131" s="154"/>
      <c r="Z2131" s="152"/>
      <c r="AA2131" s="152"/>
      <c r="AB2131" s="154"/>
      <c r="AC2131" s="152"/>
      <c r="AD2131" s="152"/>
      <c r="AE2131" s="152"/>
      <c r="AF2131" s="743"/>
      <c r="AG2131" s="743" t="str">
        <f t="shared" si="264"/>
        <v/>
      </c>
      <c r="DG2131" s="543"/>
      <c r="DH2131" s="149"/>
      <c r="DI2131" s="1020"/>
      <c r="DJ2131" s="2045"/>
    </row>
    <row r="2132" spans="1:114" ht="15" customHeight="1" outlineLevel="1" x14ac:dyDescent="0.25">
      <c r="A2132" s="2145"/>
      <c r="C2132" s="49"/>
      <c r="D2132" s="2394"/>
      <c r="E2132" s="2394"/>
      <c r="F2132" s="2404" t="str">
        <f t="shared" si="265"/>
        <v>ASHP-SEER18-Replace_CAC_ElectricHeat_ER1_SF</v>
      </c>
      <c r="G2132" s="2404"/>
      <c r="H2132" s="2404"/>
      <c r="I2132" s="2404"/>
      <c r="J2132" s="1506" t="str">
        <f t="shared" si="266"/>
        <v>354250_2024_12_</v>
      </c>
      <c r="K2132" s="1514">
        <f>(S$877+L2132*T$877)-((S$885+L2132*T$885)*S$891)</f>
        <v>4148.0070349116859</v>
      </c>
      <c r="L2132" s="45">
        <f>VLOOKUP(J2132,$J$873:$L$974,3,FALSE)*M2132</f>
        <v>2.8921256722608026</v>
      </c>
      <c r="M2132" s="1508">
        <f>VLOOKUP(J2132,$J$1697:$K$1799,2,FALSE)</f>
        <v>1</v>
      </c>
      <c r="N2132" s="524"/>
      <c r="P2132" s="243"/>
      <c r="Q2132" s="243"/>
      <c r="R2132" s="243"/>
      <c r="T2132" s="166"/>
      <c r="U2132" s="50"/>
      <c r="V2132" s="2394"/>
      <c r="W2132" s="152">
        <v>4279.6282279230445</v>
      </c>
      <c r="X2132" s="154">
        <v>5522.2324744777725</v>
      </c>
      <c r="Y2132" s="154">
        <v>1586.0327049389366</v>
      </c>
      <c r="Z2132" s="152">
        <v>1586.0327049389366</v>
      </c>
      <c r="AA2132" s="152">
        <v>1586.0327049389366</v>
      </c>
      <c r="AB2132" s="154">
        <v>1778.604441180808</v>
      </c>
      <c r="AC2132" s="154">
        <v>1714.015989382433</v>
      </c>
      <c r="AD2132" s="154">
        <v>1681.5237652002679</v>
      </c>
      <c r="AE2132" s="154">
        <v>1751.9355683221515</v>
      </c>
      <c r="AF2132" s="743">
        <v>4148.0070349116859</v>
      </c>
      <c r="AG2132" s="743">
        <f t="shared" si="264"/>
        <v>4148.0070349116859</v>
      </c>
      <c r="DG2132" s="543"/>
      <c r="DH2132" s="149"/>
      <c r="DI2132" s="1020"/>
      <c r="DJ2132" s="2045"/>
    </row>
    <row r="2133" spans="1:114" ht="15" customHeight="1" outlineLevel="1" x14ac:dyDescent="0.25">
      <c r="A2133" s="2145"/>
      <c r="C2133" s="49"/>
      <c r="D2133" s="2394"/>
      <c r="E2133" s="2394"/>
      <c r="F2133" s="2404" t="str">
        <f t="shared" si="265"/>
        <v>ASHP-SEER18-Replace_CAC_ElectricHeat_ER1_SF</v>
      </c>
      <c r="G2133" s="2404"/>
      <c r="H2133" s="2404"/>
      <c r="I2133" s="2404"/>
      <c r="J2133" s="1506" t="str">
        <f t="shared" si="266"/>
        <v>354250_2024_12_</v>
      </c>
      <c r="K2133" s="152"/>
      <c r="L2133" s="45" t="str">
        <f>IF(K2133&gt;0,VLOOKUP(J2133,$J$873:$L$974,3,FALSE),"")</f>
        <v/>
      </c>
      <c r="M2133" s="1508" t="str">
        <f>IF(K2133&gt;0,VLOOKUP(J2133,$J$1697:$K$1799,2,FALSE),"")</f>
        <v/>
      </c>
      <c r="P2133" s="243"/>
      <c r="Q2133" s="243"/>
      <c r="R2133" s="243"/>
      <c r="T2133" s="166"/>
      <c r="U2133" s="50"/>
      <c r="V2133" s="2394"/>
      <c r="W2133" s="152"/>
      <c r="X2133" s="154"/>
      <c r="Y2133" s="154"/>
      <c r="Z2133" s="152"/>
      <c r="AA2133" s="152"/>
      <c r="AB2133" s="154"/>
      <c r="AC2133" s="152"/>
      <c r="AD2133" s="152"/>
      <c r="AE2133" s="152"/>
      <c r="AF2133" s="743"/>
      <c r="AG2133" s="743" t="str">
        <f t="shared" si="264"/>
        <v/>
      </c>
      <c r="DG2133" s="543"/>
      <c r="DH2133" s="149"/>
      <c r="DI2133" s="1020"/>
      <c r="DJ2133" s="2045"/>
    </row>
    <row r="2134" spans="1:114" ht="15" customHeight="1" outlineLevel="1" x14ac:dyDescent="0.25">
      <c r="A2134" s="2145"/>
      <c r="C2134" s="49"/>
      <c r="D2134" s="2394"/>
      <c r="E2134" s="2394"/>
      <c r="F2134" s="2404" t="str">
        <f t="shared" si="265"/>
        <v>ASHP-SEER18-Replace_CAC_ElectricHeat_ER2_SF</v>
      </c>
      <c r="G2134" s="2404"/>
      <c r="H2134" s="2404"/>
      <c r="I2134" s="2404"/>
      <c r="J2134" s="1506" t="str">
        <f t="shared" si="266"/>
        <v>354250_2024_12_</v>
      </c>
      <c r="K2134" s="152"/>
      <c r="L2134" s="45" t="str">
        <f>IF(K2134&gt;0,VLOOKUP(J2134,$J$873:$L$974,3,FALSE),"")</f>
        <v/>
      </c>
      <c r="M2134" s="1508" t="str">
        <f>IF(K2134&gt;0,VLOOKUP(J2134,$J$1697:$K$1799,2,FALSE),"")</f>
        <v/>
      </c>
      <c r="P2134" s="243"/>
      <c r="Q2134" s="243"/>
      <c r="R2134" s="243"/>
      <c r="T2134" s="166"/>
      <c r="U2134" s="50"/>
      <c r="V2134" s="2394"/>
      <c r="W2134" s="152"/>
      <c r="X2134" s="154"/>
      <c r="Y2134" s="154"/>
      <c r="Z2134" s="152"/>
      <c r="AA2134" s="152"/>
      <c r="AB2134" s="154"/>
      <c r="AC2134" s="152"/>
      <c r="AD2134" s="152"/>
      <c r="AE2134" s="152"/>
      <c r="AF2134" s="743"/>
      <c r="AG2134" s="743" t="str">
        <f t="shared" si="264"/>
        <v/>
      </c>
      <c r="DG2134" s="543"/>
      <c r="DH2134" s="149"/>
      <c r="DI2134" s="1020"/>
      <c r="DJ2134" s="2045"/>
    </row>
    <row r="2135" spans="1:114" ht="15" customHeight="1" outlineLevel="1" x14ac:dyDescent="0.25">
      <c r="A2135" s="2145"/>
      <c r="C2135" s="49"/>
      <c r="D2135" s="2394"/>
      <c r="E2135" s="2394"/>
      <c r="F2135" s="2404" t="str">
        <f t="shared" si="265"/>
        <v>ASHP-SEER18-Replace_CAC_ElectricHeat_ER2_SF</v>
      </c>
      <c r="G2135" s="2404"/>
      <c r="H2135" s="2404"/>
      <c r="I2135" s="2404"/>
      <c r="J2135" s="1506" t="str">
        <f t="shared" si="266"/>
        <v>354250_2024_12_</v>
      </c>
      <c r="K2135" s="152"/>
      <c r="L2135" s="45" t="str">
        <f>IF(K2135&gt;0,VLOOKUP(J2135,$J$873:$L$974,3,FALSE),"")</f>
        <v/>
      </c>
      <c r="M2135" s="1508" t="str">
        <f>IF(K2135&gt;0,VLOOKUP(J2135,$J$1697:$K$1799,2,FALSE),"")</f>
        <v/>
      </c>
      <c r="P2135" s="243"/>
      <c r="Q2135" s="243"/>
      <c r="R2135" s="243"/>
      <c r="T2135" s="166"/>
      <c r="U2135" s="50"/>
      <c r="V2135" s="2394"/>
      <c r="W2135" s="152"/>
      <c r="X2135" s="154"/>
      <c r="Y2135" s="154"/>
      <c r="Z2135" s="152"/>
      <c r="AA2135" s="152"/>
      <c r="AB2135" s="154"/>
      <c r="AC2135" s="152"/>
      <c r="AD2135" s="152"/>
      <c r="AE2135" s="152"/>
      <c r="AF2135" s="743"/>
      <c r="AG2135" s="743" t="str">
        <f t="shared" si="264"/>
        <v/>
      </c>
      <c r="DG2135" s="543"/>
      <c r="DH2135" s="149"/>
      <c r="DI2135" s="1020"/>
      <c r="DJ2135" s="2045"/>
    </row>
    <row r="2136" spans="1:114" ht="15" customHeight="1" outlineLevel="1" x14ac:dyDescent="0.25">
      <c r="A2136" s="2145"/>
      <c r="C2136" s="49"/>
      <c r="D2136" s="2394"/>
      <c r="E2136" s="2394"/>
      <c r="F2136" s="2404" t="str">
        <f t="shared" si="265"/>
        <v>ASHP-SEER18-Replace_CAC_NonElectricHeat_ER1_SF</v>
      </c>
      <c r="G2136" s="2404"/>
      <c r="H2136" s="2404"/>
      <c r="I2136" s="2404"/>
      <c r="J2136" s="1506" t="str">
        <f t="shared" si="266"/>
        <v>354260_2024_12_</v>
      </c>
      <c r="K2136" s="1514">
        <f>((S$877+L2136*T$877)-((S$885+L2136*T$885)*S$891))*VLOOKUP(J2136,$J$2200:$K$2216,2,FALSE)</f>
        <v>629.00018095247731</v>
      </c>
      <c r="L2136" s="45">
        <f>VLOOKUP(J2136,$J$873:$L$974,3,FALSE)*M2136</f>
        <v>2.8921256722608026</v>
      </c>
      <c r="M2136" s="1508">
        <f>VLOOKUP(J2136,$J$1697:$K$1799,2,FALSE)</f>
        <v>1</v>
      </c>
      <c r="N2136" s="524"/>
      <c r="P2136" s="243"/>
      <c r="Q2136" s="243"/>
      <c r="R2136" s="243"/>
      <c r="T2136" s="166"/>
      <c r="U2136" s="50"/>
      <c r="V2136" s="2394"/>
      <c r="W2136" s="152"/>
      <c r="X2136" s="154"/>
      <c r="Y2136" s="154"/>
      <c r="Z2136" s="152"/>
      <c r="AA2136" s="152"/>
      <c r="AB2136" s="154"/>
      <c r="AC2136" s="154">
        <v>1714.015989382433</v>
      </c>
      <c r="AD2136" s="154">
        <v>1681.5237652002679</v>
      </c>
      <c r="AE2136" s="154">
        <v>1751.9355683221515</v>
      </c>
      <c r="AF2136" s="743">
        <v>578.71908821532099</v>
      </c>
      <c r="AG2136" s="743">
        <f t="shared" si="264"/>
        <v>629.00018095247731</v>
      </c>
      <c r="DG2136" s="543"/>
      <c r="DH2136" s="149"/>
      <c r="DI2136" s="1020"/>
      <c r="DJ2136" s="2045"/>
    </row>
    <row r="2137" spans="1:114" ht="15" customHeight="1" outlineLevel="1" x14ac:dyDescent="0.25">
      <c r="A2137" s="2145"/>
      <c r="C2137" s="49"/>
      <c r="D2137" s="2394"/>
      <c r="E2137" s="2394"/>
      <c r="F2137" s="2404" t="str">
        <f t="shared" si="265"/>
        <v>ASHP-SEER18-Replace_CAC_NonElectricHeat_ER1_SF</v>
      </c>
      <c r="G2137" s="2404"/>
      <c r="H2137" s="2404"/>
      <c r="I2137" s="2404"/>
      <c r="J2137" s="1506" t="str">
        <f t="shared" si="266"/>
        <v>354260_2024_12_</v>
      </c>
      <c r="K2137" s="152"/>
      <c r="L2137" s="45"/>
      <c r="M2137" s="1508"/>
      <c r="P2137" s="243"/>
      <c r="Q2137" s="243"/>
      <c r="R2137" s="243"/>
      <c r="T2137" s="166"/>
      <c r="U2137" s="50"/>
      <c r="V2137" s="2394"/>
      <c r="W2137" s="152"/>
      <c r="X2137" s="154"/>
      <c r="Y2137" s="154"/>
      <c r="Z2137" s="152"/>
      <c r="AA2137" s="152"/>
      <c r="AB2137" s="154"/>
      <c r="AC2137" s="152"/>
      <c r="AD2137" s="152"/>
      <c r="AE2137" s="152"/>
      <c r="AF2137" s="743"/>
      <c r="AG2137" s="743" t="str">
        <f t="shared" si="264"/>
        <v/>
      </c>
      <c r="DG2137" s="543"/>
      <c r="DH2137" s="149"/>
      <c r="DI2137" s="1020"/>
      <c r="DJ2137" s="2045"/>
    </row>
    <row r="2138" spans="1:114" ht="15" customHeight="1" outlineLevel="1" x14ac:dyDescent="0.25">
      <c r="A2138" s="2145"/>
      <c r="C2138" s="49"/>
      <c r="D2138" s="2394"/>
      <c r="E2138" s="2394"/>
      <c r="F2138" s="2404" t="str">
        <f t="shared" si="265"/>
        <v>ASHP-SEER18-Replace_CAC_NonElectricHeat_ER2_SF</v>
      </c>
      <c r="G2138" s="2404"/>
      <c r="H2138" s="2404"/>
      <c r="I2138" s="2404"/>
      <c r="J2138" s="1506" t="str">
        <f t="shared" si="266"/>
        <v>354260_2024_12_</v>
      </c>
      <c r="K2138" s="152"/>
      <c r="L2138" s="45"/>
      <c r="M2138" s="1508"/>
      <c r="P2138" s="243"/>
      <c r="Q2138" s="243"/>
      <c r="R2138" s="243"/>
      <c r="T2138" s="166"/>
      <c r="U2138" s="50"/>
      <c r="V2138" s="2394"/>
      <c r="W2138" s="152"/>
      <c r="X2138" s="154"/>
      <c r="Y2138" s="154"/>
      <c r="Z2138" s="152"/>
      <c r="AA2138" s="152"/>
      <c r="AB2138" s="154"/>
      <c r="AC2138" s="152"/>
      <c r="AD2138" s="152"/>
      <c r="AE2138" s="152"/>
      <c r="AF2138" s="743"/>
      <c r="AG2138" s="743" t="str">
        <f t="shared" si="264"/>
        <v/>
      </c>
      <c r="DG2138" s="543"/>
      <c r="DH2138" s="149"/>
      <c r="DI2138" s="1020"/>
      <c r="DJ2138" s="2045"/>
    </row>
    <row r="2139" spans="1:114" ht="15" customHeight="1" outlineLevel="1" x14ac:dyDescent="0.25">
      <c r="A2139" s="2145"/>
      <c r="C2139" s="49"/>
      <c r="D2139" s="2394"/>
      <c r="E2139" s="2394"/>
      <c r="F2139" s="2404" t="str">
        <f t="shared" si="265"/>
        <v>ASHP-SEER18-Replace_CAC_NonElectricHeat_ER2_SF</v>
      </c>
      <c r="G2139" s="2404"/>
      <c r="H2139" s="2404"/>
      <c r="I2139" s="2404"/>
      <c r="J2139" s="1506" t="str">
        <f t="shared" si="266"/>
        <v>354260_2024_12_</v>
      </c>
      <c r="K2139" s="152"/>
      <c r="L2139" s="45"/>
      <c r="M2139" s="1508"/>
      <c r="P2139" s="243"/>
      <c r="Q2139" s="243"/>
      <c r="R2139" s="243"/>
      <c r="T2139" s="166"/>
      <c r="U2139" s="50"/>
      <c r="V2139" s="2394"/>
      <c r="W2139" s="152"/>
      <c r="X2139" s="154"/>
      <c r="Y2139" s="154"/>
      <c r="Z2139" s="152"/>
      <c r="AA2139" s="152"/>
      <c r="AB2139" s="154"/>
      <c r="AC2139" s="152"/>
      <c r="AD2139" s="152"/>
      <c r="AE2139" s="152"/>
      <c r="AF2139" s="743"/>
      <c r="AG2139" s="743" t="str">
        <f t="shared" si="264"/>
        <v/>
      </c>
      <c r="DG2139" s="543"/>
      <c r="DH2139" s="149"/>
      <c r="DI2139" s="1020"/>
      <c r="DJ2139" s="2045"/>
    </row>
    <row r="2140" spans="1:114" ht="15" customHeight="1" outlineLevel="1" x14ac:dyDescent="0.25">
      <c r="A2140" s="2145"/>
      <c r="C2140" s="49"/>
      <c r="D2140" s="2394"/>
      <c r="E2140" s="2394"/>
      <c r="F2140" s="2404" t="str">
        <f t="shared" si="265"/>
        <v>ASHP-SEER18-Replace_CAC_ElectricHeat_ER1_MF</v>
      </c>
      <c r="G2140" s="2404"/>
      <c r="H2140" s="2404"/>
      <c r="I2140" s="2404"/>
      <c r="J2140" s="1506" t="str">
        <f t="shared" si="266"/>
        <v>354300_2024_12_</v>
      </c>
      <c r="K2140" s="1514">
        <f>(S$877+L2140*T$877)-((S$885+L2140*T$885)*S$891)</f>
        <v>3312.7316315552043</v>
      </c>
      <c r="L2140" s="45">
        <f>VLOOKUP(J2140,$J$873:$L$974,3,FALSE)*M2140</f>
        <v>1.5</v>
      </c>
      <c r="M2140" s="1508">
        <f>VLOOKUP(J2140,$J$1697:$K$1799,2,FALSE)</f>
        <v>1</v>
      </c>
      <c r="N2140" s="524"/>
      <c r="P2140" s="243"/>
      <c r="Q2140" s="243"/>
      <c r="R2140" s="243"/>
      <c r="T2140" s="166"/>
      <c r="U2140" s="50"/>
      <c r="V2140" s="2394"/>
      <c r="W2140" s="152">
        <v>4279.6282279230445</v>
      </c>
      <c r="X2140" s="154">
        <v>3589.451108410552</v>
      </c>
      <c r="Y2140" s="154">
        <v>1280.5879248769756</v>
      </c>
      <c r="Z2140" s="152">
        <v>1280.5879248769756</v>
      </c>
      <c r="AA2140" s="152">
        <v>1280.5879248769756</v>
      </c>
      <c r="AB2140" s="154">
        <v>1584.1584531821509</v>
      </c>
      <c r="AC2140" s="154">
        <v>1195.8844199433067</v>
      </c>
      <c r="AD2140" s="152">
        <v>1195.8844199433067</v>
      </c>
      <c r="AE2140" s="154">
        <v>1372.1426571738343</v>
      </c>
      <c r="AF2140" s="743">
        <v>3312.7316315552043</v>
      </c>
      <c r="AG2140" s="743">
        <f t="shared" si="264"/>
        <v>3312.7316315552043</v>
      </c>
      <c r="DG2140" s="543"/>
      <c r="DH2140" s="149"/>
      <c r="DI2140" s="1020"/>
      <c r="DJ2140" s="2045"/>
    </row>
    <row r="2141" spans="1:114" ht="15" customHeight="1" outlineLevel="1" x14ac:dyDescent="0.25">
      <c r="A2141" s="2145"/>
      <c r="C2141" s="49"/>
      <c r="D2141" s="2394"/>
      <c r="E2141" s="2394"/>
      <c r="F2141" s="2404" t="str">
        <f t="shared" si="265"/>
        <v>ASHP-SEER18-Replace_CAC_ElectricHeat_ER1_MF</v>
      </c>
      <c r="G2141" s="2404"/>
      <c r="H2141" s="2404"/>
      <c r="I2141" s="2404"/>
      <c r="J2141" s="1506" t="str">
        <f t="shared" si="266"/>
        <v>354300_2024_12_</v>
      </c>
      <c r="K2141" s="152"/>
      <c r="L2141" s="45" t="str">
        <f>IF(K2141&gt;0,VLOOKUP(J2141,$J$873:$L$974,3,FALSE),"")</f>
        <v/>
      </c>
      <c r="M2141" s="1508" t="str">
        <f>IF(K2141&gt;0,VLOOKUP(J2141,$J$1697:$K$1799,2,FALSE),"")</f>
        <v/>
      </c>
      <c r="P2141" s="243"/>
      <c r="Q2141" s="243"/>
      <c r="R2141" s="243"/>
      <c r="T2141" s="166"/>
      <c r="U2141" s="50"/>
      <c r="V2141" s="2394"/>
      <c r="W2141" s="152"/>
      <c r="X2141" s="154"/>
      <c r="Y2141" s="154"/>
      <c r="Z2141" s="152"/>
      <c r="AA2141" s="152"/>
      <c r="AB2141" s="154"/>
      <c r="AC2141" s="152"/>
      <c r="AD2141" s="152"/>
      <c r="AE2141" s="152"/>
      <c r="AF2141" s="743"/>
      <c r="AG2141" s="743" t="str">
        <f t="shared" si="264"/>
        <v/>
      </c>
      <c r="DG2141" s="543"/>
      <c r="DH2141" s="149"/>
      <c r="DI2141" s="1020"/>
      <c r="DJ2141" s="2045"/>
    </row>
    <row r="2142" spans="1:114" ht="15" customHeight="1" outlineLevel="1" x14ac:dyDescent="0.25">
      <c r="A2142" s="2145"/>
      <c r="C2142" s="49"/>
      <c r="D2142" s="2394"/>
      <c r="E2142" s="2394"/>
      <c r="F2142" s="2404" t="str">
        <f t="shared" si="265"/>
        <v>ASHP-SEER18-Replace_CAC_ElectricHeat_ER2_MF</v>
      </c>
      <c r="G2142" s="2404"/>
      <c r="H2142" s="2404"/>
      <c r="I2142" s="2404"/>
      <c r="J2142" s="1506" t="str">
        <f t="shared" si="266"/>
        <v>354300_2024_12_</v>
      </c>
      <c r="K2142" s="152"/>
      <c r="L2142" s="45" t="str">
        <f>IF(K2142&gt;0,VLOOKUP(J2142,$J$873:$L$974,3,FALSE),"")</f>
        <v/>
      </c>
      <c r="M2142" s="1508" t="str">
        <f>IF(K2142&gt;0,VLOOKUP(J2142,$J$1697:$K$1799,2,FALSE),"")</f>
        <v/>
      </c>
      <c r="P2142" s="243"/>
      <c r="Q2142" s="243"/>
      <c r="R2142" s="243"/>
      <c r="T2142" s="166"/>
      <c r="U2142" s="50"/>
      <c r="V2142" s="2394"/>
      <c r="W2142" s="152"/>
      <c r="X2142" s="154"/>
      <c r="Y2142" s="154"/>
      <c r="Z2142" s="152"/>
      <c r="AA2142" s="152"/>
      <c r="AB2142" s="154"/>
      <c r="AC2142" s="152"/>
      <c r="AD2142" s="152"/>
      <c r="AE2142" s="152"/>
      <c r="AF2142" s="743"/>
      <c r="AG2142" s="743" t="str">
        <f t="shared" si="264"/>
        <v/>
      </c>
      <c r="DG2142" s="543"/>
      <c r="DH2142" s="149"/>
      <c r="DI2142" s="1020"/>
      <c r="DJ2142" s="2045"/>
    </row>
    <row r="2143" spans="1:114" ht="15" customHeight="1" outlineLevel="1" x14ac:dyDescent="0.25">
      <c r="A2143" s="2145"/>
      <c r="C2143" s="49"/>
      <c r="D2143" s="2394"/>
      <c r="E2143" s="2394"/>
      <c r="F2143" s="2404" t="str">
        <f t="shared" si="265"/>
        <v>ASHP-SEER18-Replace_CAC_ElectricHeat_ER2_MF</v>
      </c>
      <c r="G2143" s="2404"/>
      <c r="H2143" s="2404"/>
      <c r="I2143" s="2404"/>
      <c r="J2143" s="1506" t="str">
        <f t="shared" si="266"/>
        <v>354300_2024_12_</v>
      </c>
      <c r="K2143" s="152"/>
      <c r="L2143" s="45" t="str">
        <f>IF(K2143&gt;0,VLOOKUP(J2143,$J$873:$L$974,3,FALSE),"")</f>
        <v/>
      </c>
      <c r="M2143" s="1508" t="str">
        <f>IF(K2143&gt;0,VLOOKUP(J2143,$J$1697:$K$1799,2,FALSE),"")</f>
        <v/>
      </c>
      <c r="P2143" s="243"/>
      <c r="Q2143" s="192"/>
      <c r="R2143" s="243"/>
      <c r="T2143" s="166"/>
      <c r="U2143" s="50"/>
      <c r="V2143" s="2394"/>
      <c r="W2143" s="152"/>
      <c r="X2143" s="154"/>
      <c r="Y2143" s="154"/>
      <c r="Z2143" s="152"/>
      <c r="AA2143" s="152"/>
      <c r="AB2143" s="154"/>
      <c r="AC2143" s="152"/>
      <c r="AD2143" s="152"/>
      <c r="AE2143" s="152"/>
      <c r="AF2143" s="743"/>
      <c r="AG2143" s="743" t="str">
        <f t="shared" si="264"/>
        <v/>
      </c>
      <c r="DG2143" s="543"/>
      <c r="DH2143" s="149"/>
      <c r="DI2143" s="1020"/>
      <c r="DJ2143" s="2045"/>
    </row>
    <row r="2144" spans="1:114" ht="15" customHeight="1" outlineLevel="1" x14ac:dyDescent="0.25">
      <c r="A2144" s="2145"/>
      <c r="C2144" s="49"/>
      <c r="D2144" s="2394"/>
      <c r="E2144" s="2394"/>
      <c r="F2144" s="2404" t="str">
        <f t="shared" si="265"/>
        <v>ASHP-SEER18_ER1_MF</v>
      </c>
      <c r="G2144" s="2404"/>
      <c r="H2144" s="2404"/>
      <c r="I2144" s="2404"/>
      <c r="J2144" s="1506" t="str">
        <f t="shared" si="266"/>
        <v>354350_2024_12_</v>
      </c>
      <c r="K2144" s="1514">
        <f>(S$877+L2144*T$877)-(S$884+L2144*T$884)*S$891</f>
        <v>851.66719041900797</v>
      </c>
      <c r="L2144" s="45">
        <f>VLOOKUP(J2144,$J$873:$L$974,3,FALSE)*M2144</f>
        <v>2.5</v>
      </c>
      <c r="M2144" s="1508">
        <f>VLOOKUP(J2144,$J$1697:$K$1799,2,FALSE)</f>
        <v>1</v>
      </c>
      <c r="N2144" s="524"/>
      <c r="P2144" s="243"/>
      <c r="Q2144" s="192"/>
      <c r="R2144" s="243"/>
      <c r="T2144" s="166"/>
      <c r="U2144" s="50"/>
      <c r="V2144" s="2394"/>
      <c r="W2144" s="152">
        <v>6827.3247976250323</v>
      </c>
      <c r="X2144" s="154">
        <f>(X$947/12000)*$T$880*X$1772</f>
        <v>0</v>
      </c>
      <c r="Y2144" s="154">
        <v>1317.1849952991461</v>
      </c>
      <c r="Z2144" s="152">
        <v>1317.1849952991461</v>
      </c>
      <c r="AA2144" s="152">
        <v>1317.1849952991461</v>
      </c>
      <c r="AB2144" s="154">
        <v>1475.441723875274</v>
      </c>
      <c r="AC2144" s="154">
        <v>1739.4680664776884</v>
      </c>
      <c r="AD2144" s="152">
        <v>1739.4680664776884</v>
      </c>
      <c r="AE2144" s="154">
        <v>1644.9577619563906</v>
      </c>
      <c r="AF2144" s="743">
        <v>851.66719041900797</v>
      </c>
      <c r="AG2144" s="743">
        <f t="shared" si="264"/>
        <v>851.66719041900797</v>
      </c>
      <c r="DG2144" s="543"/>
      <c r="DH2144" s="149"/>
      <c r="DI2144" s="1020"/>
      <c r="DJ2144" s="2045"/>
    </row>
    <row r="2145" spans="1:114" ht="15" customHeight="1" outlineLevel="1" x14ac:dyDescent="0.25">
      <c r="A2145" s="2145"/>
      <c r="C2145" s="49"/>
      <c r="D2145" s="2394"/>
      <c r="E2145" s="2394"/>
      <c r="F2145" s="2404" t="str">
        <f t="shared" si="265"/>
        <v>ASHP-SEER18_ER1_MF</v>
      </c>
      <c r="G2145" s="2404"/>
      <c r="H2145" s="2404"/>
      <c r="I2145" s="2404"/>
      <c r="J2145" s="1506" t="str">
        <f t="shared" si="266"/>
        <v>354350_2024_12_</v>
      </c>
      <c r="K2145" s="152"/>
      <c r="L2145" s="45" t="str">
        <f>IF(K2145&gt;0,VLOOKUP(J2145,$J$873:$L$974,3,FALSE),"")</f>
        <v/>
      </c>
      <c r="M2145" s="1508" t="str">
        <f>IF(K2145&gt;0,VLOOKUP(J2145,$J$1697:$K$1799,2,FALSE),"")</f>
        <v/>
      </c>
      <c r="P2145" s="243"/>
      <c r="Q2145" s="192"/>
      <c r="R2145" s="243"/>
      <c r="T2145" s="166"/>
      <c r="U2145" s="50"/>
      <c r="V2145" s="2394"/>
      <c r="W2145" s="152"/>
      <c r="X2145" s="154"/>
      <c r="Y2145" s="154"/>
      <c r="Z2145" s="152"/>
      <c r="AA2145" s="152"/>
      <c r="AB2145" s="154"/>
      <c r="AC2145" s="152"/>
      <c r="AD2145" s="152"/>
      <c r="AE2145" s="152"/>
      <c r="AF2145" s="743"/>
      <c r="AG2145" s="743" t="str">
        <f t="shared" si="264"/>
        <v/>
      </c>
      <c r="DG2145" s="543"/>
      <c r="DH2145" s="149"/>
      <c r="DI2145" s="1020"/>
      <c r="DJ2145" s="2045"/>
    </row>
    <row r="2146" spans="1:114" ht="15" customHeight="1" outlineLevel="1" x14ac:dyDescent="0.25">
      <c r="A2146" s="2145"/>
      <c r="C2146" s="49"/>
      <c r="D2146" s="2394"/>
      <c r="E2146" s="2394"/>
      <c r="F2146" s="2404" t="str">
        <f t="shared" si="265"/>
        <v>ASHP-SEER18_ER2_MF</v>
      </c>
      <c r="G2146" s="2404"/>
      <c r="H2146" s="2404"/>
      <c r="I2146" s="2404"/>
      <c r="J2146" s="1506" t="str">
        <f t="shared" si="266"/>
        <v>354350_2024_12_</v>
      </c>
      <c r="K2146" s="152"/>
      <c r="L2146" s="45" t="str">
        <f>IF(K2146&gt;0,VLOOKUP(J2146,$J$873:$L$974,3,FALSE),"")</f>
        <v/>
      </c>
      <c r="M2146" s="1508" t="str">
        <f>IF(K2146&gt;0,VLOOKUP(J2146,$J$1697:$K$1799,2,FALSE),"")</f>
        <v/>
      </c>
      <c r="P2146" s="243"/>
      <c r="Q2146" s="192"/>
      <c r="R2146" s="243"/>
      <c r="T2146" s="166"/>
      <c r="U2146" s="50"/>
      <c r="V2146" s="2394"/>
      <c r="W2146" s="152"/>
      <c r="X2146" s="154"/>
      <c r="Y2146" s="154"/>
      <c r="Z2146" s="152"/>
      <c r="AA2146" s="152"/>
      <c r="AB2146" s="154"/>
      <c r="AC2146" s="152"/>
      <c r="AD2146" s="152"/>
      <c r="AE2146" s="152"/>
      <c r="AF2146" s="743"/>
      <c r="AG2146" s="743" t="str">
        <f t="shared" si="264"/>
        <v/>
      </c>
      <c r="DG2146" s="543"/>
      <c r="DH2146" s="149"/>
      <c r="DI2146" s="1020"/>
      <c r="DJ2146" s="2045"/>
    </row>
    <row r="2147" spans="1:114" ht="15" customHeight="1" outlineLevel="1" x14ac:dyDescent="0.25">
      <c r="A2147" s="2145"/>
      <c r="C2147" s="49"/>
      <c r="D2147" s="2394"/>
      <c r="E2147" s="2394"/>
      <c r="F2147" s="2404" t="str">
        <f t="shared" si="265"/>
        <v>ASHP-SEER18_ER2_MF</v>
      </c>
      <c r="G2147" s="2404"/>
      <c r="H2147" s="2404"/>
      <c r="I2147" s="2404"/>
      <c r="J2147" s="1506" t="str">
        <f t="shared" si="266"/>
        <v>354350_2024_12_</v>
      </c>
      <c r="K2147" s="152"/>
      <c r="L2147" s="45" t="str">
        <f>IF(K2147&gt;0,VLOOKUP(J2147,$J$873:$L$974,3,FALSE),"")</f>
        <v/>
      </c>
      <c r="M2147" s="1508" t="str">
        <f>IF(K2147&gt;0,VLOOKUP(J2147,$J$1697:$K$1799,2,FALSE),"")</f>
        <v/>
      </c>
      <c r="P2147" s="243"/>
      <c r="Q2147" s="192"/>
      <c r="R2147" s="243"/>
      <c r="T2147" s="166"/>
      <c r="U2147" s="50"/>
      <c r="V2147" s="2394"/>
      <c r="W2147" s="152"/>
      <c r="X2147" s="154"/>
      <c r="Y2147" s="154"/>
      <c r="Z2147" s="152"/>
      <c r="AA2147" s="152"/>
      <c r="AB2147" s="154"/>
      <c r="AC2147" s="152"/>
      <c r="AD2147" s="152"/>
      <c r="AE2147" s="152"/>
      <c r="AF2147" s="743"/>
      <c r="AG2147" s="743" t="str">
        <f t="shared" si="264"/>
        <v/>
      </c>
      <c r="DG2147" s="543"/>
      <c r="DH2147" s="149"/>
      <c r="DI2147" s="1020"/>
      <c r="DJ2147" s="2045"/>
    </row>
    <row r="2148" spans="1:114" ht="15" customHeight="1" outlineLevel="1" x14ac:dyDescent="0.25">
      <c r="A2148" s="2145"/>
      <c r="C2148" s="49"/>
      <c r="D2148" s="2394"/>
      <c r="E2148" s="2394"/>
      <c r="F2148" s="2404" t="str">
        <f t="shared" si="265"/>
        <v>ASHP-SEER19-Replace_CAC_ElectricHeat_ER1_SF</v>
      </c>
      <c r="G2148" s="2404"/>
      <c r="H2148" s="2404"/>
      <c r="I2148" s="2404"/>
      <c r="J2148" s="1506" t="str">
        <f t="shared" si="266"/>
        <v>354400_2024_12_</v>
      </c>
      <c r="K2148" s="1514">
        <f>(S$878+L2148*T$878)-((S$885+L2148*T$885)*S$891)</f>
        <v>4902.6041805257928</v>
      </c>
      <c r="L2148" s="45">
        <f>VLOOKUP(J2148,$J$873:$L$974,3,FALSE)*M2148</f>
        <v>3.7731209149509803</v>
      </c>
      <c r="M2148" s="1508">
        <f>VLOOKUP(J2148,$J$1697:$K$1799,2,FALSE)</f>
        <v>1</v>
      </c>
      <c r="N2148" s="524"/>
      <c r="P2148" s="243"/>
      <c r="Q2148" s="192"/>
      <c r="R2148" s="243"/>
      <c r="T2148" s="166"/>
      <c r="U2148" s="50"/>
      <c r="V2148" s="2394"/>
      <c r="W2148" s="152">
        <v>4620.6282279230445</v>
      </c>
      <c r="X2148" s="154">
        <v>6268.4954744777742</v>
      </c>
      <c r="Y2148" s="154">
        <v>1686.03270493894</v>
      </c>
      <c r="Z2148" s="152">
        <v>1686.0327049389366</v>
      </c>
      <c r="AA2148" s="152">
        <v>1686.0327049389366</v>
      </c>
      <c r="AB2148" s="154">
        <v>1944.3573864864111</v>
      </c>
      <c r="AC2148" s="154">
        <v>2063.8263197906699</v>
      </c>
      <c r="AD2148" s="154">
        <v>2105.1914618743731</v>
      </c>
      <c r="AE2148" s="154">
        <v>2233.0143777696067</v>
      </c>
      <c r="AF2148" s="743">
        <v>4902.6041805257928</v>
      </c>
      <c r="AG2148" s="743">
        <f t="shared" si="264"/>
        <v>4902.6041805257928</v>
      </c>
      <c r="DG2148" s="543"/>
      <c r="DH2148" s="149"/>
      <c r="DI2148" s="1020"/>
      <c r="DJ2148" s="2045"/>
    </row>
    <row r="2149" spans="1:114" ht="15" customHeight="1" outlineLevel="1" x14ac:dyDescent="0.25">
      <c r="A2149" s="2145"/>
      <c r="C2149" s="49"/>
      <c r="D2149" s="2394"/>
      <c r="E2149" s="2394"/>
      <c r="F2149" s="2404" t="str">
        <f t="shared" si="265"/>
        <v>ASHP-SEER19-Replace_CAC_ElectricHeat_ER1_SF</v>
      </c>
      <c r="G2149" s="2404"/>
      <c r="H2149" s="2404"/>
      <c r="I2149" s="2404"/>
      <c r="J2149" s="1506" t="str">
        <f t="shared" si="266"/>
        <v>354400_2024_12_</v>
      </c>
      <c r="K2149" s="152"/>
      <c r="L2149" s="45" t="str">
        <f>IF(K2149&gt;0,VLOOKUP(J2149,$J$873:$L$974,3,FALSE),"")</f>
        <v/>
      </c>
      <c r="M2149" s="1508" t="str">
        <f>IF(K2149&gt;0,VLOOKUP(J2149,$J$1697:$K$1799,2,FALSE),"")</f>
        <v/>
      </c>
      <c r="P2149" s="243"/>
      <c r="T2149" s="50"/>
      <c r="U2149" s="50"/>
      <c r="V2149" s="2394"/>
      <c r="W2149" s="152"/>
      <c r="X2149" s="154"/>
      <c r="Y2149" s="154"/>
      <c r="Z2149" s="152"/>
      <c r="AA2149" s="152"/>
      <c r="AB2149" s="154"/>
      <c r="AC2149" s="152"/>
      <c r="AD2149" s="152"/>
      <c r="AE2149" s="152"/>
      <c r="AF2149" s="743"/>
      <c r="AG2149" s="743" t="str">
        <f t="shared" si="264"/>
        <v/>
      </c>
      <c r="DG2149" s="543"/>
      <c r="DH2149" s="149"/>
      <c r="DI2149" s="1020"/>
      <c r="DJ2149" s="2045"/>
    </row>
    <row r="2150" spans="1:114" ht="15" customHeight="1" outlineLevel="1" x14ac:dyDescent="0.25">
      <c r="A2150" s="2145"/>
      <c r="C2150" s="49"/>
      <c r="D2150" s="2394"/>
      <c r="E2150" s="2394"/>
      <c r="F2150" s="2404" t="str">
        <f t="shared" si="265"/>
        <v>ASHP-SEER19-Replace_CAC_ElectricHeat_ER2_SF</v>
      </c>
      <c r="G2150" s="2404"/>
      <c r="H2150" s="2404"/>
      <c r="I2150" s="2404"/>
      <c r="J2150" s="1506" t="str">
        <f t="shared" si="266"/>
        <v>354400_2024_12_</v>
      </c>
      <c r="K2150" s="152"/>
      <c r="L2150" s="45" t="str">
        <f>IF(K2150&gt;0,VLOOKUP(J2150,$J$873:$L$974,3,FALSE),"")</f>
        <v/>
      </c>
      <c r="M2150" s="1508" t="str">
        <f>IF(K2150&gt;0,VLOOKUP(J2150,$J$1697:$K$1799,2,FALSE),"")</f>
        <v/>
      </c>
      <c r="P2150" s="243"/>
      <c r="Q2150" s="192"/>
      <c r="R2150" s="243"/>
      <c r="T2150" s="166"/>
      <c r="U2150" s="50"/>
      <c r="V2150" s="2394"/>
      <c r="W2150" s="152"/>
      <c r="X2150" s="154"/>
      <c r="Y2150" s="154"/>
      <c r="Z2150" s="152"/>
      <c r="AA2150" s="152"/>
      <c r="AB2150" s="154"/>
      <c r="AC2150" s="152"/>
      <c r="AD2150" s="152"/>
      <c r="AE2150" s="152"/>
      <c r="AF2150" s="743"/>
      <c r="AG2150" s="743" t="str">
        <f t="shared" si="264"/>
        <v/>
      </c>
      <c r="DG2150" s="543"/>
      <c r="DH2150" s="149"/>
      <c r="DI2150" s="1020"/>
      <c r="DJ2150" s="2045"/>
    </row>
    <row r="2151" spans="1:114" ht="15" customHeight="1" outlineLevel="1" x14ac:dyDescent="0.25">
      <c r="A2151" s="2145"/>
      <c r="C2151" s="49"/>
      <c r="D2151" s="2394"/>
      <c r="E2151" s="2394"/>
      <c r="F2151" s="2404" t="str">
        <f t="shared" si="265"/>
        <v>ASHP-SEER19-Replace_CAC_ElectricHeat_ER2_SF</v>
      </c>
      <c r="G2151" s="2404"/>
      <c r="H2151" s="2404"/>
      <c r="I2151" s="2404"/>
      <c r="J2151" s="1506" t="str">
        <f t="shared" si="266"/>
        <v>354400_2024_12_</v>
      </c>
      <c r="K2151" s="152"/>
      <c r="L2151" s="45" t="str">
        <f>IF(K2151&gt;0,VLOOKUP(J2151,$J$873:$L$974,3,FALSE),"")</f>
        <v/>
      </c>
      <c r="M2151" s="1508" t="str">
        <f>IF(K2151&gt;0,VLOOKUP(J2151,$J$1697:$K$1799,2,FALSE),"")</f>
        <v/>
      </c>
      <c r="P2151" s="243"/>
      <c r="T2151" s="50"/>
      <c r="U2151" s="50"/>
      <c r="V2151" s="2394"/>
      <c r="W2151" s="152"/>
      <c r="X2151" s="154"/>
      <c r="Y2151" s="154"/>
      <c r="Z2151" s="152"/>
      <c r="AA2151" s="152"/>
      <c r="AB2151" s="154"/>
      <c r="AC2151" s="152"/>
      <c r="AD2151" s="152"/>
      <c r="AE2151" s="152"/>
      <c r="AF2151" s="743"/>
      <c r="AG2151" s="743" t="str">
        <f t="shared" si="264"/>
        <v/>
      </c>
      <c r="DG2151" s="543"/>
      <c r="DH2151" s="149"/>
      <c r="DI2151" s="1020"/>
      <c r="DJ2151" s="2045"/>
    </row>
    <row r="2152" spans="1:114" ht="15" customHeight="1" outlineLevel="1" x14ac:dyDescent="0.25">
      <c r="A2152" s="2145"/>
      <c r="C2152" s="49"/>
      <c r="D2152" s="2394"/>
      <c r="E2152" s="2394"/>
      <c r="F2152" s="2404" t="str">
        <f t="shared" si="265"/>
        <v>ASHP-SEER19-Replace_CAC_NonElectricHeat_ER1_SF</v>
      </c>
      <c r="G2152" s="2404"/>
      <c r="H2152" s="2404"/>
      <c r="I2152" s="2404"/>
      <c r="J2152" s="1506" t="str">
        <f t="shared" si="266"/>
        <v>354410_2024_12_</v>
      </c>
      <c r="K2152" s="1514">
        <f>((S$878+L2152*T$878)-((S$885+L2152*T$885)*S$891))*VLOOKUP(J2152,$J$2200:$K$2216,2,FALSE)</f>
        <v>595.74489338766887</v>
      </c>
      <c r="L2152" s="45">
        <f>VLOOKUP(J2152,$J$873:$L$974,3,FALSE)*M2152</f>
        <v>3.6</v>
      </c>
      <c r="M2152" s="1508">
        <f>VLOOKUP(J2152,$J$1697:$K$1799,2,FALSE)</f>
        <v>1</v>
      </c>
      <c r="N2152" s="524"/>
      <c r="P2152" s="243"/>
      <c r="T2152" s="50"/>
      <c r="U2152" s="50"/>
      <c r="V2152" s="2394"/>
      <c r="W2152" s="152"/>
      <c r="X2152" s="154"/>
      <c r="Y2152" s="154"/>
      <c r="Z2152" s="152"/>
      <c r="AA2152" s="152"/>
      <c r="AB2152" s="154"/>
      <c r="AC2152" s="154">
        <v>2063.8263197906699</v>
      </c>
      <c r="AD2152" s="152">
        <v>2063.8263197906699</v>
      </c>
      <c r="AE2152" s="154">
        <v>2185.7843772172032</v>
      </c>
      <c r="AF2152" s="743">
        <v>550.39602164642804</v>
      </c>
      <c r="AG2152" s="743">
        <f t="shared" si="264"/>
        <v>595.74489338766887</v>
      </c>
      <c r="DG2152" s="543"/>
      <c r="DH2152" s="149"/>
      <c r="DI2152" s="1020"/>
      <c r="DJ2152" s="2045"/>
    </row>
    <row r="2153" spans="1:114" ht="15" customHeight="1" outlineLevel="1" x14ac:dyDescent="0.25">
      <c r="A2153" s="2145"/>
      <c r="C2153" s="49"/>
      <c r="D2153" s="2394"/>
      <c r="E2153" s="2394"/>
      <c r="F2153" s="2404" t="str">
        <f t="shared" si="265"/>
        <v>ASHP-SEER19-Replace_CAC_NonElectricHeat_ER1_SF</v>
      </c>
      <c r="G2153" s="2404"/>
      <c r="H2153" s="2404"/>
      <c r="I2153" s="2404"/>
      <c r="J2153" s="1506" t="str">
        <f t="shared" si="266"/>
        <v>354410_2024_12_</v>
      </c>
      <c r="K2153" s="152"/>
      <c r="L2153" s="45"/>
      <c r="M2153" s="1508"/>
      <c r="P2153" s="243"/>
      <c r="T2153" s="50"/>
      <c r="U2153" s="50"/>
      <c r="V2153" s="2394"/>
      <c r="W2153" s="152"/>
      <c r="X2153" s="154"/>
      <c r="Y2153" s="154"/>
      <c r="Z2153" s="152"/>
      <c r="AA2153" s="152"/>
      <c r="AB2153" s="154"/>
      <c r="AC2153" s="152"/>
      <c r="AD2153" s="152"/>
      <c r="AE2153" s="152"/>
      <c r="AF2153" s="743"/>
      <c r="AG2153" s="743" t="str">
        <f t="shared" si="264"/>
        <v/>
      </c>
      <c r="DG2153" s="543"/>
      <c r="DH2153" s="149"/>
      <c r="DI2153" s="1020"/>
      <c r="DJ2153" s="2045"/>
    </row>
    <row r="2154" spans="1:114" ht="15" customHeight="1" outlineLevel="1" x14ac:dyDescent="0.25">
      <c r="A2154" s="2145"/>
      <c r="C2154" s="49"/>
      <c r="D2154" s="2394"/>
      <c r="E2154" s="2394"/>
      <c r="F2154" s="2404" t="str">
        <f t="shared" si="265"/>
        <v>ASHP-SEER19-Replace_CAC_NonElectricHeat_ER2_SF</v>
      </c>
      <c r="G2154" s="2404"/>
      <c r="H2154" s="2404"/>
      <c r="I2154" s="2404"/>
      <c r="J2154" s="1506" t="str">
        <f t="shared" si="266"/>
        <v>354410_2024_12_</v>
      </c>
      <c r="K2154" s="152"/>
      <c r="L2154" s="45"/>
      <c r="M2154" s="1508"/>
      <c r="P2154" s="243"/>
      <c r="T2154" s="50"/>
      <c r="U2154" s="50"/>
      <c r="V2154" s="2394"/>
      <c r="W2154" s="152"/>
      <c r="X2154" s="154"/>
      <c r="Y2154" s="154"/>
      <c r="Z2154" s="152"/>
      <c r="AA2154" s="152"/>
      <c r="AB2154" s="154"/>
      <c r="AC2154" s="152"/>
      <c r="AD2154" s="152"/>
      <c r="AE2154" s="152"/>
      <c r="AF2154" s="743"/>
      <c r="AG2154" s="743" t="str">
        <f t="shared" si="264"/>
        <v/>
      </c>
      <c r="DG2154" s="543"/>
      <c r="DH2154" s="149"/>
      <c r="DI2154" s="1020"/>
      <c r="DJ2154" s="2045"/>
    </row>
    <row r="2155" spans="1:114" ht="15" customHeight="1" outlineLevel="1" x14ac:dyDescent="0.25">
      <c r="A2155" s="2145"/>
      <c r="C2155" s="49"/>
      <c r="D2155" s="2394"/>
      <c r="E2155" s="2394"/>
      <c r="F2155" s="2404" t="str">
        <f t="shared" si="265"/>
        <v>ASHP-SEER19-Replace_CAC_NonElectricHeat_ER2_SF</v>
      </c>
      <c r="G2155" s="2404"/>
      <c r="H2155" s="2404"/>
      <c r="I2155" s="2404"/>
      <c r="J2155" s="1506" t="str">
        <f t="shared" si="266"/>
        <v>354410_2024_12_</v>
      </c>
      <c r="K2155" s="152"/>
      <c r="L2155" s="45"/>
      <c r="M2155" s="1508"/>
      <c r="P2155" s="243"/>
      <c r="T2155" s="50"/>
      <c r="U2155" s="50"/>
      <c r="V2155" s="2394"/>
      <c r="W2155" s="152"/>
      <c r="X2155" s="154"/>
      <c r="Y2155" s="154"/>
      <c r="Z2155" s="152"/>
      <c r="AA2155" s="152"/>
      <c r="AB2155" s="154"/>
      <c r="AC2155" s="152"/>
      <c r="AD2155" s="152"/>
      <c r="AE2155" s="152"/>
      <c r="AF2155" s="743"/>
      <c r="AG2155" s="743" t="str">
        <f t="shared" si="264"/>
        <v/>
      </c>
      <c r="DG2155" s="543"/>
      <c r="DH2155" s="149"/>
      <c r="DI2155" s="1020"/>
      <c r="DJ2155" s="2045"/>
    </row>
    <row r="2156" spans="1:114" ht="15" customHeight="1" outlineLevel="1" x14ac:dyDescent="0.25">
      <c r="A2156" s="2145"/>
      <c r="C2156" s="49"/>
      <c r="D2156" s="2394"/>
      <c r="E2156" s="2394"/>
      <c r="F2156" s="2404" t="str">
        <f t="shared" ref="F2156:F2187" si="267">E809</f>
        <v>ASHP-SEER19-Replace_CAC_ElectricHeat_ER1_MF</v>
      </c>
      <c r="G2156" s="2404"/>
      <c r="H2156" s="2404"/>
      <c r="I2156" s="2404"/>
      <c r="J2156" s="1506" t="str">
        <f t="shared" ref="J2156:J2187" si="268">C809</f>
        <v>354450_2024_12_</v>
      </c>
      <c r="K2156" s="1514">
        <f>(S$878+L2156*T$878)-((S$885+L2156*T$885)*S$891)</f>
        <v>3847.7316315552043</v>
      </c>
      <c r="L2156" s="45">
        <f>VLOOKUP(J2156,$J$873:$L$974,3,FALSE)*M2156</f>
        <v>2.0150000000000001</v>
      </c>
      <c r="M2156" s="1508">
        <f>VLOOKUP(J2156,$J$1697:$K$1799,2,FALSE)</f>
        <v>0.65</v>
      </c>
      <c r="N2156" s="524"/>
      <c r="P2156" s="243"/>
      <c r="Q2156" s="192"/>
      <c r="R2156" s="243"/>
      <c r="T2156" s="166"/>
      <c r="U2156" s="50"/>
      <c r="V2156" s="2394"/>
      <c r="W2156" s="152">
        <v>4620.6282279230445</v>
      </c>
      <c r="X2156" s="154">
        <v>4074.5220584105532</v>
      </c>
      <c r="Y2156" s="154">
        <v>1380.5879248769756</v>
      </c>
      <c r="Z2156" s="152">
        <v>1380.5879248769756</v>
      </c>
      <c r="AA2156" s="152">
        <v>1380.5879248769756</v>
      </c>
      <c r="AB2156" s="154">
        <v>1685.1098012161674</v>
      </c>
      <c r="AC2156" s="152">
        <v>1685.1098012161674</v>
      </c>
      <c r="AD2156" s="152">
        <v>1685.1098012161674</v>
      </c>
      <c r="AE2156" s="154">
        <v>1753.3724361368513</v>
      </c>
      <c r="AF2156" s="743">
        <v>3847.7316315552043</v>
      </c>
      <c r="AG2156" s="743">
        <f t="shared" si="264"/>
        <v>3847.7316315552043</v>
      </c>
      <c r="DG2156" s="543"/>
      <c r="DH2156" s="149"/>
      <c r="DI2156" s="1020"/>
      <c r="DJ2156" s="2045"/>
    </row>
    <row r="2157" spans="1:114" ht="15" customHeight="1" outlineLevel="1" x14ac:dyDescent="0.25">
      <c r="A2157" s="2145"/>
      <c r="C2157" s="49"/>
      <c r="D2157" s="2394"/>
      <c r="E2157" s="2394"/>
      <c r="F2157" s="2404" t="str">
        <f t="shared" si="267"/>
        <v>ASHP-SEER19-Replace_CAC_ElectricHeat_ER1_MF</v>
      </c>
      <c r="G2157" s="2404"/>
      <c r="H2157" s="2404"/>
      <c r="I2157" s="2404"/>
      <c r="J2157" s="1506" t="str">
        <f t="shared" si="268"/>
        <v>354450_2024_12_</v>
      </c>
      <c r="K2157" s="152"/>
      <c r="L2157" s="45" t="str">
        <f>IF(K2157&gt;0,VLOOKUP(J2157,$J$873:$L$974,3,FALSE),"")</f>
        <v/>
      </c>
      <c r="M2157" s="1508" t="str">
        <f>IF(K2157&gt;0,VLOOKUP(J2157,$J$1697:$K$1799,2,FALSE),"")</f>
        <v/>
      </c>
      <c r="P2157" s="243"/>
      <c r="T2157" s="50"/>
      <c r="U2157" s="50"/>
      <c r="V2157" s="2394"/>
      <c r="W2157" s="152"/>
      <c r="X2157" s="154"/>
      <c r="Y2157" s="154"/>
      <c r="Z2157" s="152"/>
      <c r="AA2157" s="152"/>
      <c r="AB2157" s="154"/>
      <c r="AC2157" s="152"/>
      <c r="AD2157" s="152"/>
      <c r="AE2157" s="152"/>
      <c r="AF2157" s="743"/>
      <c r="AG2157" s="743" t="str">
        <f t="shared" si="264"/>
        <v/>
      </c>
      <c r="DG2157" s="543"/>
      <c r="DH2157" s="149"/>
      <c r="DI2157" s="1020"/>
      <c r="DJ2157" s="2045"/>
    </row>
    <row r="2158" spans="1:114" ht="15" customHeight="1" outlineLevel="1" x14ac:dyDescent="0.25">
      <c r="A2158" s="2145"/>
      <c r="C2158" s="49"/>
      <c r="D2158" s="2394"/>
      <c r="E2158" s="2394"/>
      <c r="F2158" s="2404" t="str">
        <f t="shared" si="267"/>
        <v>ASHP-SEER19-Replace_CAC_ElectricHeat_ER2_MF</v>
      </c>
      <c r="G2158" s="2404"/>
      <c r="H2158" s="2404"/>
      <c r="I2158" s="2404"/>
      <c r="J2158" s="1506" t="str">
        <f t="shared" si="268"/>
        <v>354450_2024_12_</v>
      </c>
      <c r="K2158" s="152"/>
      <c r="L2158" s="45" t="str">
        <f>IF(K2158&gt;0,VLOOKUP(J2158,$J$873:$L$974,3,FALSE),"")</f>
        <v/>
      </c>
      <c r="M2158" s="1508" t="str">
        <f>IF(K2158&gt;0,VLOOKUP(J2158,$J$1697:$K$1799,2,FALSE),"")</f>
        <v/>
      </c>
      <c r="P2158" s="243"/>
      <c r="T2158" s="50"/>
      <c r="U2158" s="50"/>
      <c r="V2158" s="2394"/>
      <c r="W2158" s="152"/>
      <c r="X2158" s="154"/>
      <c r="Y2158" s="154"/>
      <c r="Z2158" s="152"/>
      <c r="AA2158" s="152"/>
      <c r="AB2158" s="154"/>
      <c r="AC2158" s="152"/>
      <c r="AD2158" s="152"/>
      <c r="AE2158" s="152"/>
      <c r="AF2158" s="743"/>
      <c r="AG2158" s="743" t="str">
        <f t="shared" si="264"/>
        <v/>
      </c>
      <c r="DG2158" s="543"/>
      <c r="DH2158" s="149"/>
      <c r="DI2158" s="1020"/>
      <c r="DJ2158" s="2045"/>
    </row>
    <row r="2159" spans="1:114" ht="15" customHeight="1" outlineLevel="1" x14ac:dyDescent="0.25">
      <c r="A2159" s="2145"/>
      <c r="C2159" s="49"/>
      <c r="D2159" s="2394"/>
      <c r="E2159" s="2394"/>
      <c r="F2159" s="2404" t="str">
        <f t="shared" si="267"/>
        <v>ASHP-SEER19-Replace_CAC_ElectricHeat_ER2_MF</v>
      </c>
      <c r="G2159" s="2404"/>
      <c r="H2159" s="2404"/>
      <c r="I2159" s="2404"/>
      <c r="J2159" s="1506" t="str">
        <f t="shared" si="268"/>
        <v>354450_2024_12_</v>
      </c>
      <c r="K2159" s="152"/>
      <c r="L2159" s="45" t="str">
        <f>IF(K2159&gt;0,VLOOKUP(J2159,$J$873:$L$974,3,FALSE),"")</f>
        <v/>
      </c>
      <c r="M2159" s="1508" t="str">
        <f>IF(K2159&gt;0,VLOOKUP(J2159,$J$1697:$K$1799,2,FALSE),"")</f>
        <v/>
      </c>
      <c r="P2159" s="243"/>
      <c r="Q2159" s="192"/>
      <c r="R2159" s="243"/>
      <c r="T2159" s="166"/>
      <c r="U2159" s="50"/>
      <c r="V2159" s="2394"/>
      <c r="W2159" s="152"/>
      <c r="X2159" s="154"/>
      <c r="Y2159" s="154"/>
      <c r="Z2159" s="152"/>
      <c r="AA2159" s="152"/>
      <c r="AB2159" s="154"/>
      <c r="AC2159" s="152"/>
      <c r="AD2159" s="152"/>
      <c r="AE2159" s="152"/>
      <c r="AF2159" s="743"/>
      <c r="AG2159" s="743" t="str">
        <f t="shared" si="264"/>
        <v/>
      </c>
      <c r="DG2159" s="543"/>
      <c r="DH2159" s="149"/>
      <c r="DI2159" s="1020"/>
      <c r="DJ2159" s="2045"/>
    </row>
    <row r="2160" spans="1:114" ht="15" customHeight="1" outlineLevel="1" x14ac:dyDescent="0.25">
      <c r="A2160" s="2145"/>
      <c r="C2160" s="49"/>
      <c r="D2160" s="2394"/>
      <c r="E2160" s="2394"/>
      <c r="F2160" s="2404" t="str">
        <f t="shared" si="267"/>
        <v>ASHP-SEER19_ER1_MF</v>
      </c>
      <c r="G2160" s="2404"/>
      <c r="H2160" s="2404"/>
      <c r="I2160" s="2404"/>
      <c r="J2160" s="1506" t="str">
        <f t="shared" si="268"/>
        <v>354500_2024_12_</v>
      </c>
      <c r="K2160" s="1514">
        <f>(S$878+L2160*T$878)-(S$884+L2160*T$884)*S$891</f>
        <v>1077.5183641564863</v>
      </c>
      <c r="L2160" s="45">
        <f>VLOOKUP(J2160,$J$873:$L$974,3,FALSE)*M2160</f>
        <v>2.145</v>
      </c>
      <c r="M2160" s="1508">
        <f>VLOOKUP(J2160,$J$1697:$K$1799,2,FALSE)</f>
        <v>0.65</v>
      </c>
      <c r="N2160" s="524"/>
      <c r="P2160" s="243"/>
      <c r="Q2160" s="192"/>
      <c r="R2160" s="243"/>
      <c r="T2160" s="166"/>
      <c r="U2160" s="50"/>
      <c r="V2160" s="2394"/>
      <c r="W2160" s="152">
        <v>7371.3247976250323</v>
      </c>
      <c r="X2160" s="154">
        <v>4337.39444927575</v>
      </c>
      <c r="Y2160" s="154">
        <v>1417.1849952991461</v>
      </c>
      <c r="Z2160" s="152">
        <v>1417.1849952991461</v>
      </c>
      <c r="AA2160" s="152">
        <v>1417.1849952991461</v>
      </c>
      <c r="AB2160" s="154">
        <v>1716.1717238752744</v>
      </c>
      <c r="AC2160" s="152">
        <v>1716.1717238752744</v>
      </c>
      <c r="AD2160" s="152">
        <v>1716.1717238752744</v>
      </c>
      <c r="AE2160" s="154">
        <v>1788.8383997585838</v>
      </c>
      <c r="AF2160" s="743">
        <v>1077.5183641564863</v>
      </c>
      <c r="AG2160" s="743">
        <f t="shared" si="264"/>
        <v>1077.5183641564863</v>
      </c>
      <c r="DG2160" s="543"/>
      <c r="DH2160" s="149"/>
      <c r="DI2160" s="1020"/>
      <c r="DJ2160" s="2045"/>
    </row>
    <row r="2161" spans="1:114" ht="15" customHeight="1" outlineLevel="1" x14ac:dyDescent="0.25">
      <c r="A2161" s="2145"/>
      <c r="C2161" s="49"/>
      <c r="D2161" s="2394"/>
      <c r="E2161" s="2394"/>
      <c r="F2161" s="2404" t="str">
        <f t="shared" si="267"/>
        <v>ASHP-SEER19_ER1_MF</v>
      </c>
      <c r="G2161" s="2404"/>
      <c r="H2161" s="2404"/>
      <c r="I2161" s="2404"/>
      <c r="J2161" s="1506" t="str">
        <f t="shared" si="268"/>
        <v>354500_2024_12_</v>
      </c>
      <c r="K2161" s="152"/>
      <c r="L2161" s="45" t="str">
        <f>IF(K2161&gt;0,VLOOKUP(J2161,$J$873:$L$974,3,FALSE),"")</f>
        <v/>
      </c>
      <c r="M2161" s="1508" t="str">
        <f>IF(K2161&gt;0,VLOOKUP(J2161,$J$1697:$K$1799,2,FALSE),"")</f>
        <v/>
      </c>
      <c r="P2161" s="243"/>
      <c r="T2161" s="50"/>
      <c r="U2161" s="50"/>
      <c r="V2161" s="2394"/>
      <c r="W2161" s="152"/>
      <c r="X2161" s="154"/>
      <c r="Y2161" s="154"/>
      <c r="Z2161" s="152"/>
      <c r="AA2161" s="152"/>
      <c r="AB2161" s="154"/>
      <c r="AC2161" s="152"/>
      <c r="AD2161" s="152"/>
      <c r="AE2161" s="152"/>
      <c r="AF2161" s="743"/>
      <c r="AG2161" s="743" t="str">
        <f t="shared" si="264"/>
        <v/>
      </c>
      <c r="DG2161" s="543"/>
      <c r="DH2161" s="149"/>
      <c r="DI2161" s="1020"/>
      <c r="DJ2161" s="2045"/>
    </row>
    <row r="2162" spans="1:114" ht="15" customHeight="1" outlineLevel="1" x14ac:dyDescent="0.25">
      <c r="A2162" s="2145"/>
      <c r="C2162" s="49"/>
      <c r="D2162" s="2394"/>
      <c r="E2162" s="2394"/>
      <c r="F2162" s="2404" t="str">
        <f t="shared" si="267"/>
        <v>ASHP-SEER19_ER2_MF</v>
      </c>
      <c r="G2162" s="2404"/>
      <c r="H2162" s="2404"/>
      <c r="I2162" s="2404"/>
      <c r="J2162" s="1506" t="str">
        <f t="shared" si="268"/>
        <v>354500_2024_12_</v>
      </c>
      <c r="K2162" s="152"/>
      <c r="L2162" s="45" t="str">
        <f>IF(K2162&gt;0,VLOOKUP(J2162,$J$873:$L$974,3,FALSE),"")</f>
        <v/>
      </c>
      <c r="M2162" s="1508" t="str">
        <f>IF(K2162&gt;0,VLOOKUP(J2162,$J$1697:$K$1799,2,FALSE),"")</f>
        <v/>
      </c>
      <c r="P2162" s="243"/>
      <c r="T2162" s="50"/>
      <c r="U2162" s="50"/>
      <c r="V2162" s="2394"/>
      <c r="W2162" s="152"/>
      <c r="X2162" s="154"/>
      <c r="Y2162" s="154"/>
      <c r="Z2162" s="152"/>
      <c r="AA2162" s="152"/>
      <c r="AB2162" s="154"/>
      <c r="AC2162" s="152"/>
      <c r="AD2162" s="152"/>
      <c r="AE2162" s="152"/>
      <c r="AF2162" s="743"/>
      <c r="AG2162" s="743" t="str">
        <f t="shared" si="264"/>
        <v/>
      </c>
      <c r="DG2162" s="543"/>
      <c r="DH2162" s="149"/>
      <c r="DI2162" s="1020"/>
      <c r="DJ2162" s="2045"/>
    </row>
    <row r="2163" spans="1:114" ht="15" customHeight="1" outlineLevel="1" x14ac:dyDescent="0.25">
      <c r="A2163" s="2145"/>
      <c r="C2163" s="49"/>
      <c r="D2163" s="2394"/>
      <c r="E2163" s="2394"/>
      <c r="F2163" s="2404" t="str">
        <f t="shared" si="267"/>
        <v>ASHP-SEER19_ER2_MF</v>
      </c>
      <c r="G2163" s="2404"/>
      <c r="H2163" s="2404"/>
      <c r="I2163" s="2404"/>
      <c r="J2163" s="1506" t="str">
        <f t="shared" si="268"/>
        <v>354500_2024_12_</v>
      </c>
      <c r="K2163" s="152"/>
      <c r="L2163" s="45" t="str">
        <f>IF(K2163&gt;0,VLOOKUP(J2163,$J$873:$L$974,3,FALSE),"")</f>
        <v/>
      </c>
      <c r="M2163" s="1508" t="str">
        <f>IF(K2163&gt;0,VLOOKUP(J2163,$J$1697:$K$1799,2,FALSE),"")</f>
        <v/>
      </c>
      <c r="P2163" s="243"/>
      <c r="Q2163" s="192"/>
      <c r="R2163" s="243"/>
      <c r="T2163" s="166"/>
      <c r="U2163" s="50"/>
      <c r="V2163" s="2394"/>
      <c r="W2163" s="152"/>
      <c r="X2163" s="154"/>
      <c r="Y2163" s="154"/>
      <c r="Z2163" s="152"/>
      <c r="AA2163" s="152"/>
      <c r="AB2163" s="154"/>
      <c r="AC2163" s="152"/>
      <c r="AD2163" s="152"/>
      <c r="AE2163" s="152"/>
      <c r="AF2163" s="743"/>
      <c r="AG2163" s="743" t="str">
        <f t="shared" si="264"/>
        <v/>
      </c>
      <c r="DG2163" s="543"/>
      <c r="DH2163" s="149"/>
      <c r="DI2163" s="1020"/>
      <c r="DJ2163" s="2045"/>
    </row>
    <row r="2164" spans="1:114" ht="15" customHeight="1" outlineLevel="1" x14ac:dyDescent="0.25">
      <c r="A2164" s="2145"/>
      <c r="C2164" s="49"/>
      <c r="D2164" s="2394"/>
      <c r="E2164" s="2394"/>
      <c r="F2164" s="2404" t="str">
        <f t="shared" si="267"/>
        <v>ASHP-SEER20_ER1_SF</v>
      </c>
      <c r="G2164" s="2404"/>
      <c r="H2164" s="2404"/>
      <c r="I2164" s="2404"/>
      <c r="J2164" s="1506" t="str">
        <f t="shared" si="268"/>
        <v>354550_2024_12_</v>
      </c>
      <c r="K2164" s="1514">
        <f>(S$878+L2164*T$878)-(S$884+L2164*T$884)*S$891</f>
        <v>1077.7021397098724</v>
      </c>
      <c r="L2164" s="45">
        <f>VLOOKUP(J2164,$J$873:$L$974,3,FALSE)*M2164</f>
        <v>2.5833656509695291</v>
      </c>
      <c r="M2164" s="1508">
        <f>VLOOKUP(J2164,$J$1697:$K$1799,2,FALSE)</f>
        <v>1</v>
      </c>
      <c r="N2164" s="524"/>
      <c r="P2164" s="243"/>
      <c r="Q2164" s="192"/>
      <c r="R2164" s="243"/>
      <c r="T2164" s="166"/>
      <c r="U2164" s="50"/>
      <c r="V2164" s="2394"/>
      <c r="W2164" s="152">
        <v>13953.854780733807</v>
      </c>
      <c r="X2164" s="154">
        <v>7467.3235373473026</v>
      </c>
      <c r="Y2164" s="154">
        <v>2089.0025568704818</v>
      </c>
      <c r="Z2164" s="152">
        <v>2089.0025568704818</v>
      </c>
      <c r="AA2164" s="152">
        <v>2089.0025568704818</v>
      </c>
      <c r="AB2164" s="154">
        <v>2232.8749598081135</v>
      </c>
      <c r="AC2164" s="154">
        <v>2639.0693330425956</v>
      </c>
      <c r="AD2164" s="154">
        <v>2109.0699962597669</v>
      </c>
      <c r="AE2164" s="154">
        <v>2149.1611707609081</v>
      </c>
      <c r="AF2164" s="743">
        <v>1077.7021397098724</v>
      </c>
      <c r="AG2164" s="743">
        <f t="shared" si="264"/>
        <v>1077.7021397098724</v>
      </c>
      <c r="DG2164" s="543"/>
      <c r="DH2164" s="149"/>
      <c r="DI2164" s="1020"/>
      <c r="DJ2164" s="2045"/>
    </row>
    <row r="2165" spans="1:114" ht="15" customHeight="1" outlineLevel="1" x14ac:dyDescent="0.25">
      <c r="A2165" s="2145"/>
      <c r="C2165" s="49"/>
      <c r="D2165" s="2394"/>
      <c r="E2165" s="2394"/>
      <c r="F2165" s="2404" t="str">
        <f t="shared" si="267"/>
        <v>ASHP-SEER20_ER1_SF</v>
      </c>
      <c r="G2165" s="2404"/>
      <c r="H2165" s="2404"/>
      <c r="I2165" s="2404"/>
      <c r="J2165" s="1506" t="str">
        <f t="shared" si="268"/>
        <v>354550_2024_12_</v>
      </c>
      <c r="K2165" s="152"/>
      <c r="L2165" s="45" t="str">
        <f>IF(K2165&gt;0,VLOOKUP(J2165,$J$873:$L$974,3,FALSE),"")</f>
        <v/>
      </c>
      <c r="M2165" s="1508" t="str">
        <f>IF(K2165&gt;0,VLOOKUP(J2165,$J$1697:$K$1799,2,FALSE),"")</f>
        <v/>
      </c>
      <c r="P2165" s="243"/>
      <c r="Q2165" s="192"/>
      <c r="R2165" s="243"/>
      <c r="T2165" s="166"/>
      <c r="U2165" s="50"/>
      <c r="V2165" s="2394"/>
      <c r="W2165" s="152"/>
      <c r="X2165" s="154"/>
      <c r="Y2165" s="154"/>
      <c r="Z2165" s="152"/>
      <c r="AA2165" s="152"/>
      <c r="AB2165" s="154"/>
      <c r="AC2165" s="152"/>
      <c r="AD2165" s="152"/>
      <c r="AE2165" s="152"/>
      <c r="AF2165" s="743"/>
      <c r="AG2165" s="743" t="str">
        <f t="shared" si="264"/>
        <v/>
      </c>
      <c r="DG2165" s="543"/>
      <c r="DH2165" s="149"/>
      <c r="DI2165" s="1020"/>
      <c r="DJ2165" s="2045"/>
    </row>
    <row r="2166" spans="1:114" ht="15" customHeight="1" outlineLevel="1" x14ac:dyDescent="0.25">
      <c r="A2166" s="2145"/>
      <c r="C2166" s="49"/>
      <c r="D2166" s="2394"/>
      <c r="E2166" s="2394"/>
      <c r="F2166" s="2404" t="str">
        <f t="shared" si="267"/>
        <v>ASHP-SEER20_ER2_SF</v>
      </c>
      <c r="G2166" s="2404"/>
      <c r="H2166" s="2404"/>
      <c r="I2166" s="2404"/>
      <c r="J2166" s="1506" t="str">
        <f t="shared" si="268"/>
        <v>354550_2024_12_</v>
      </c>
      <c r="K2166" s="152"/>
      <c r="L2166" s="45" t="str">
        <f>IF(K2166&gt;0,VLOOKUP(J2166,$J$873:$L$974,3,FALSE),"")</f>
        <v/>
      </c>
      <c r="M2166" s="1508" t="str">
        <f>IF(K2166&gt;0,VLOOKUP(J2166,$J$1697:$K$1799,2,FALSE),"")</f>
        <v/>
      </c>
      <c r="P2166" s="243"/>
      <c r="Q2166" s="192"/>
      <c r="R2166" s="243"/>
      <c r="T2166" s="166"/>
      <c r="U2166" s="50"/>
      <c r="V2166" s="2394"/>
      <c r="W2166" s="152"/>
      <c r="X2166" s="154"/>
      <c r="Y2166" s="154"/>
      <c r="Z2166" s="152"/>
      <c r="AA2166" s="152"/>
      <c r="AB2166" s="154"/>
      <c r="AC2166" s="152"/>
      <c r="AD2166" s="152"/>
      <c r="AE2166" s="152"/>
      <c r="AF2166" s="743"/>
      <c r="AG2166" s="743" t="str">
        <f t="shared" si="264"/>
        <v/>
      </c>
      <c r="DG2166" s="543"/>
      <c r="DH2166" s="149"/>
      <c r="DI2166" s="1020"/>
      <c r="DJ2166" s="2045"/>
    </row>
    <row r="2167" spans="1:114" ht="15" customHeight="1" outlineLevel="1" x14ac:dyDescent="0.25">
      <c r="A2167" s="2145"/>
      <c r="C2167" s="49"/>
      <c r="D2167" s="2394"/>
      <c r="E2167" s="2394"/>
      <c r="F2167" s="2404" t="str">
        <f t="shared" si="267"/>
        <v>ASHP-SEER20_ER2_SF</v>
      </c>
      <c r="G2167" s="2404"/>
      <c r="H2167" s="2404"/>
      <c r="I2167" s="2404"/>
      <c r="J2167" s="1506" t="str">
        <f t="shared" si="268"/>
        <v>354550_2024_12_</v>
      </c>
      <c r="K2167" s="152"/>
      <c r="L2167" s="45" t="str">
        <f>IF(K2167&gt;0,VLOOKUP(J2167,$J$873:$L$974,3,FALSE),"")</f>
        <v/>
      </c>
      <c r="M2167" s="1508" t="str">
        <f>IF(K2167&gt;0,VLOOKUP(J2167,$J$1697:$K$1799,2,FALSE),"")</f>
        <v/>
      </c>
      <c r="P2167" s="243"/>
      <c r="Q2167" s="192"/>
      <c r="R2167" s="243"/>
      <c r="T2167" s="166"/>
      <c r="U2167" s="50"/>
      <c r="V2167" s="2394"/>
      <c r="W2167" s="152"/>
      <c r="X2167" s="154"/>
      <c r="Y2167" s="154"/>
      <c r="Z2167" s="152"/>
      <c r="AA2167" s="152"/>
      <c r="AB2167" s="154"/>
      <c r="AC2167" s="152"/>
      <c r="AD2167" s="152"/>
      <c r="AE2167" s="152"/>
      <c r="AF2167" s="743"/>
      <c r="AG2167" s="743" t="str">
        <f t="shared" ref="AG2167:AG2216" si="269">IF(K2167&lt;&gt;"",K2167,"")</f>
        <v/>
      </c>
      <c r="DG2167" s="543"/>
      <c r="DH2167" s="149"/>
      <c r="DI2167" s="1020"/>
      <c r="DJ2167" s="2045"/>
    </row>
    <row r="2168" spans="1:114" ht="15" customHeight="1" outlineLevel="1" x14ac:dyDescent="0.25">
      <c r="A2168" s="2145"/>
      <c r="C2168" s="49"/>
      <c r="D2168" s="2394"/>
      <c r="E2168" s="2394"/>
      <c r="F2168" s="2404" t="str">
        <f t="shared" si="267"/>
        <v>ASHP-SEER20_ROF_SF</v>
      </c>
      <c r="G2168" s="2404"/>
      <c r="H2168" s="2404"/>
      <c r="I2168" s="2404"/>
      <c r="J2168" s="1506" t="str">
        <f t="shared" si="268"/>
        <v>354600_2024_12_</v>
      </c>
      <c r="K2168" s="1514">
        <f>(S$878+L2168*T$878)-(S$882+L2168*T$882)</f>
        <v>1081</v>
      </c>
      <c r="L2168" s="45">
        <f>VLOOKUP(J2168,$J$873:$L$974,3,FALSE)*M2168</f>
        <v>2.8870833333333334</v>
      </c>
      <c r="M2168" s="1508">
        <f>VLOOKUP(J2168,$J$1697:$K$1799,2,FALSE)</f>
        <v>1</v>
      </c>
      <c r="N2168" s="524"/>
      <c r="P2168" s="243"/>
      <c r="Q2168" s="192"/>
      <c r="R2168" s="243"/>
      <c r="T2168" s="166"/>
      <c r="U2168" s="50"/>
      <c r="V2168" s="2394"/>
      <c r="W2168" s="152">
        <v>9512</v>
      </c>
      <c r="X2168" s="154">
        <v>4766.4539999999979</v>
      </c>
      <c r="Y2168" s="154">
        <v>1160</v>
      </c>
      <c r="Z2168" s="152">
        <v>1160</v>
      </c>
      <c r="AA2168" s="152">
        <v>1160</v>
      </c>
      <c r="AB2168" s="154">
        <v>1444.3799999999994</v>
      </c>
      <c r="AC2168" s="152">
        <v>1444.3799999999994</v>
      </c>
      <c r="AD2168" s="152">
        <v>1444.3799999999994</v>
      </c>
      <c r="AE2168" s="152">
        <v>1444.3799999999994</v>
      </c>
      <c r="AF2168" s="743">
        <v>1081</v>
      </c>
      <c r="AG2168" s="743">
        <f t="shared" si="269"/>
        <v>1081</v>
      </c>
      <c r="DG2168" s="543"/>
      <c r="DH2168" s="149"/>
      <c r="DI2168" s="1020"/>
      <c r="DJ2168" s="2045"/>
    </row>
    <row r="2169" spans="1:114" ht="15" customHeight="1" outlineLevel="1" x14ac:dyDescent="0.25">
      <c r="A2169" s="2145"/>
      <c r="C2169" s="49"/>
      <c r="D2169" s="2394"/>
      <c r="E2169" s="2394"/>
      <c r="F2169" s="2404" t="str">
        <f t="shared" si="267"/>
        <v>ASHP-SEER20_ROF_SF</v>
      </c>
      <c r="G2169" s="2404"/>
      <c r="H2169" s="2404"/>
      <c r="I2169" s="2404"/>
      <c r="J2169" s="1506" t="str">
        <f t="shared" si="268"/>
        <v>354600_2024_12_</v>
      </c>
      <c r="K2169" s="152"/>
      <c r="L2169" s="45" t="str">
        <f>IF(K2169&gt;0,VLOOKUP(J2169,$J$873:$L$974,3,FALSE),"")</f>
        <v/>
      </c>
      <c r="M2169" s="1508" t="str">
        <f>IF(K2169&gt;0,VLOOKUP(J2169,$J$1697:$K$1799,2,FALSE),"")</f>
        <v/>
      </c>
      <c r="P2169" s="243"/>
      <c r="Q2169" s="192"/>
      <c r="R2169" s="243"/>
      <c r="T2169" s="166"/>
      <c r="U2169" s="50"/>
      <c r="V2169" s="2394"/>
      <c r="W2169" s="152"/>
      <c r="X2169" s="154"/>
      <c r="Y2169" s="154"/>
      <c r="Z2169" s="152"/>
      <c r="AA2169" s="152"/>
      <c r="AB2169" s="154"/>
      <c r="AC2169" s="152"/>
      <c r="AD2169" s="152"/>
      <c r="AE2169" s="152"/>
      <c r="AF2169" s="743"/>
      <c r="AG2169" s="743" t="str">
        <f t="shared" si="269"/>
        <v/>
      </c>
      <c r="DG2169" s="543"/>
      <c r="DH2169" s="149"/>
      <c r="DI2169" s="1020"/>
      <c r="DJ2169" s="2045"/>
    </row>
    <row r="2170" spans="1:114" ht="14.65" customHeight="1" outlineLevel="1" x14ac:dyDescent="0.25">
      <c r="A2170" s="2145"/>
      <c r="C2170" s="49"/>
      <c r="D2170" s="2394"/>
      <c r="E2170" s="2394"/>
      <c r="F2170" s="2404" t="str">
        <f t="shared" si="267"/>
        <v>ASHP-SEER20-Replace_CAC_ElectricHeat_ER1_MF</v>
      </c>
      <c r="G2170" s="2404"/>
      <c r="H2170" s="2404"/>
      <c r="I2170" s="2404"/>
      <c r="J2170" s="1506" t="str">
        <f t="shared" si="268"/>
        <v>354650_2024_12_</v>
      </c>
      <c r="K2170" s="1514">
        <f>(S$878+L2170*T$878)-((S$885+L2170*T$885)*S$891)</f>
        <v>3847.7316315552043</v>
      </c>
      <c r="L2170" s="45">
        <f>VLOOKUP(J2170,$J$873:$L$974,3,FALSE)*M2170</f>
        <v>2.0150000000000001</v>
      </c>
      <c r="M2170" s="1508">
        <f>VLOOKUP(J2170,$J$1697:$K$1799,2,FALSE)</f>
        <v>0.65</v>
      </c>
      <c r="N2170" s="524"/>
      <c r="P2170" s="243"/>
      <c r="Q2170" s="192"/>
      <c r="R2170" s="243"/>
      <c r="T2170" s="166"/>
      <c r="U2170" s="50"/>
      <c r="V2170" s="2394"/>
      <c r="W2170" s="152">
        <v>13953.854780733807</v>
      </c>
      <c r="X2170" s="154">
        <v>4559.5930084105512</v>
      </c>
      <c r="Y2170" s="154">
        <v>1727.2545915436422</v>
      </c>
      <c r="Z2170" s="152">
        <v>1727.2545915436422</v>
      </c>
      <c r="AA2170" s="152">
        <v>1727.2545915436422</v>
      </c>
      <c r="AB2170" s="154">
        <v>1925.8398012161661</v>
      </c>
      <c r="AC2170" s="152">
        <v>1925.8398012161661</v>
      </c>
      <c r="AD2170" s="152">
        <v>1925.8398012161661</v>
      </c>
      <c r="AE2170" s="154">
        <v>1994.10243613685</v>
      </c>
      <c r="AF2170" s="743">
        <v>3847.7316315552043</v>
      </c>
      <c r="AG2170" s="743">
        <f t="shared" si="269"/>
        <v>3847.7316315552043</v>
      </c>
      <c r="DG2170" s="543"/>
      <c r="DH2170" s="149"/>
      <c r="DI2170" s="1020"/>
      <c r="DJ2170" s="2045"/>
    </row>
    <row r="2171" spans="1:114" ht="14.65" customHeight="1" outlineLevel="1" x14ac:dyDescent="0.25">
      <c r="A2171" s="2145"/>
      <c r="C2171" s="49"/>
      <c r="D2171" s="2394"/>
      <c r="E2171" s="2394"/>
      <c r="F2171" s="2404" t="str">
        <f t="shared" si="267"/>
        <v>ASHP-SEER20-Replace_CAC_ElectricHeat_ER1_MF</v>
      </c>
      <c r="G2171" s="2404"/>
      <c r="H2171" s="2404"/>
      <c r="I2171" s="2404"/>
      <c r="J2171" s="1506" t="str">
        <f t="shared" si="268"/>
        <v>354650_2024_12_</v>
      </c>
      <c r="K2171" s="152"/>
      <c r="L2171" s="45" t="str">
        <f>IF(K2171&gt;0,VLOOKUP(J2171,$J$873:$L$974,3,FALSE),"")</f>
        <v/>
      </c>
      <c r="M2171" s="1508" t="str">
        <f>IF(K2171&gt;0,VLOOKUP(J2171,$J$1697:$K$1799,2,FALSE),"")</f>
        <v/>
      </c>
      <c r="P2171" s="243"/>
      <c r="Q2171" s="192"/>
      <c r="R2171" s="243"/>
      <c r="T2171" s="166"/>
      <c r="U2171" s="50"/>
      <c r="V2171" s="2394"/>
      <c r="W2171" s="152"/>
      <c r="X2171" s="154"/>
      <c r="Y2171" s="154"/>
      <c r="Z2171" s="152"/>
      <c r="AA2171" s="152"/>
      <c r="AB2171" s="154"/>
      <c r="AC2171" s="152"/>
      <c r="AD2171" s="152"/>
      <c r="AE2171" s="152"/>
      <c r="AF2171" s="743"/>
      <c r="AG2171" s="743" t="str">
        <f t="shared" si="269"/>
        <v/>
      </c>
      <c r="DG2171" s="543"/>
      <c r="DH2171" s="149"/>
      <c r="DI2171" s="1020"/>
      <c r="DJ2171" s="2045"/>
    </row>
    <row r="2172" spans="1:114" ht="14.65" customHeight="1" outlineLevel="1" x14ac:dyDescent="0.25">
      <c r="A2172" s="2145"/>
      <c r="C2172" s="49"/>
      <c r="D2172" s="2394"/>
      <c r="E2172" s="2394"/>
      <c r="F2172" s="2404" t="str">
        <f t="shared" si="267"/>
        <v>ASHP-SEER20-Replace_CAC_ElectricHeat_ER2_MF</v>
      </c>
      <c r="G2172" s="2404"/>
      <c r="H2172" s="2404"/>
      <c r="I2172" s="2404"/>
      <c r="J2172" s="1506" t="str">
        <f t="shared" si="268"/>
        <v>354650_2024_12_</v>
      </c>
      <c r="K2172" s="152"/>
      <c r="L2172" s="45" t="str">
        <f>IF(K2172&gt;0,VLOOKUP(J2172,$J$873:$L$974,3,FALSE),"")</f>
        <v/>
      </c>
      <c r="M2172" s="1508" t="str">
        <f>IF(K2172&gt;0,VLOOKUP(J2172,$J$1697:$K$1799,2,FALSE),"")</f>
        <v/>
      </c>
      <c r="P2172" s="243"/>
      <c r="Q2172" s="192"/>
      <c r="R2172" s="243"/>
      <c r="T2172" s="166"/>
      <c r="U2172" s="50"/>
      <c r="V2172" s="2394"/>
      <c r="W2172" s="152"/>
      <c r="X2172" s="154"/>
      <c r="Y2172" s="154"/>
      <c r="Z2172" s="152"/>
      <c r="AA2172" s="152"/>
      <c r="AB2172" s="154"/>
      <c r="AC2172" s="152"/>
      <c r="AD2172" s="152"/>
      <c r="AE2172" s="152"/>
      <c r="AF2172" s="743"/>
      <c r="AG2172" s="743" t="str">
        <f t="shared" si="269"/>
        <v/>
      </c>
      <c r="DG2172" s="543"/>
      <c r="DH2172" s="149"/>
      <c r="DI2172" s="1020"/>
      <c r="DJ2172" s="2045"/>
    </row>
    <row r="2173" spans="1:114" ht="14.65" customHeight="1" outlineLevel="1" x14ac:dyDescent="0.25">
      <c r="A2173" s="2145"/>
      <c r="C2173" s="49"/>
      <c r="D2173" s="2394"/>
      <c r="E2173" s="2394"/>
      <c r="F2173" s="2404" t="str">
        <f t="shared" si="267"/>
        <v>ASHP-SEER20-Replace_CAC_ElectricHeat_ER2_MF</v>
      </c>
      <c r="G2173" s="2404"/>
      <c r="H2173" s="2404"/>
      <c r="I2173" s="2404"/>
      <c r="J2173" s="1506" t="str">
        <f t="shared" si="268"/>
        <v>354650_2024_12_</v>
      </c>
      <c r="K2173" s="152"/>
      <c r="L2173" s="45" t="str">
        <f>IF(K2173&gt;0,VLOOKUP(J2173,$J$873:$L$974,3,FALSE),"")</f>
        <v/>
      </c>
      <c r="M2173" s="1508" t="str">
        <f>IF(K2173&gt;0,VLOOKUP(J2173,$J$1697:$K$1799,2,FALSE),"")</f>
        <v/>
      </c>
      <c r="P2173" s="243"/>
      <c r="Q2173" s="192"/>
      <c r="R2173" s="243"/>
      <c r="T2173" s="166"/>
      <c r="U2173" s="50"/>
      <c r="V2173" s="2394"/>
      <c r="W2173" s="152"/>
      <c r="X2173" s="154"/>
      <c r="Y2173" s="154"/>
      <c r="Z2173" s="152"/>
      <c r="AA2173" s="152"/>
      <c r="AB2173" s="154"/>
      <c r="AC2173" s="152"/>
      <c r="AD2173" s="152"/>
      <c r="AE2173" s="152"/>
      <c r="AF2173" s="743"/>
      <c r="AG2173" s="743" t="str">
        <f t="shared" si="269"/>
        <v/>
      </c>
      <c r="DG2173" s="543"/>
      <c r="DH2173" s="149"/>
      <c r="DI2173" s="1020"/>
      <c r="DJ2173" s="2045"/>
    </row>
    <row r="2174" spans="1:114" ht="14.65" customHeight="1" outlineLevel="1" x14ac:dyDescent="0.25">
      <c r="A2174" s="2145"/>
      <c r="C2174" s="49"/>
      <c r="D2174" s="2394"/>
      <c r="E2174" s="2394"/>
      <c r="F2174" s="2404" t="str">
        <f t="shared" si="267"/>
        <v>ASHP-SEER20_ER1_MF</v>
      </c>
      <c r="G2174" s="2404"/>
      <c r="H2174" s="2404"/>
      <c r="I2174" s="2404"/>
      <c r="J2174" s="1506" t="str">
        <f t="shared" si="268"/>
        <v>354700_2024_12_</v>
      </c>
      <c r="K2174" s="1514">
        <f>(S$878+L2174*T$878)-(S$884+L2174*T$884)*S$891</f>
        <v>1077.5183641564863</v>
      </c>
      <c r="L2174" s="45">
        <f>VLOOKUP(J2174,$J$873:$L$974,3,FALSE)*M2174</f>
        <v>2.145</v>
      </c>
      <c r="M2174" s="1508">
        <f>VLOOKUP(J2174,$J$1697:$K$1799,2,FALSE)</f>
        <v>0.65</v>
      </c>
      <c r="N2174" s="524"/>
      <c r="P2174" s="243"/>
      <c r="Q2174" s="192"/>
      <c r="R2174" s="243"/>
      <c r="T2174" s="166"/>
      <c r="U2174" s="50"/>
      <c r="V2174" s="2394"/>
      <c r="W2174" s="152">
        <v>14804.699584437089</v>
      </c>
      <c r="X2174" s="154">
        <v>4853.7602992757465</v>
      </c>
      <c r="Y2174" s="154">
        <v>1763.8516619658126</v>
      </c>
      <c r="Z2174" s="152">
        <v>1763.8516619658126</v>
      </c>
      <c r="AA2174" s="152">
        <v>1763.8516619658126</v>
      </c>
      <c r="AB2174" s="154">
        <v>1956.9017238752731</v>
      </c>
      <c r="AC2174" s="152">
        <v>1956.9017238752731</v>
      </c>
      <c r="AD2174" s="152">
        <v>1956.9017238752731</v>
      </c>
      <c r="AE2174" s="154">
        <v>2029.5683997585825</v>
      </c>
      <c r="AF2174" s="743">
        <v>1077.5183641564863</v>
      </c>
      <c r="AG2174" s="743">
        <f t="shared" si="269"/>
        <v>1077.5183641564863</v>
      </c>
      <c r="DG2174" s="543"/>
      <c r="DH2174" s="149"/>
      <c r="DI2174" s="1020"/>
      <c r="DJ2174" s="2045"/>
    </row>
    <row r="2175" spans="1:114" ht="14.65" customHeight="1" outlineLevel="1" x14ac:dyDescent="0.25">
      <c r="A2175" s="2145"/>
      <c r="C2175" s="49"/>
      <c r="D2175" s="2394"/>
      <c r="E2175" s="2394"/>
      <c r="F2175" s="2404" t="str">
        <f t="shared" si="267"/>
        <v>ASHP-SEER20_ER1_MF</v>
      </c>
      <c r="G2175" s="2404"/>
      <c r="H2175" s="2404"/>
      <c r="I2175" s="2404"/>
      <c r="J2175" s="1506" t="str">
        <f t="shared" si="268"/>
        <v>354700_2024_12_</v>
      </c>
      <c r="K2175" s="152"/>
      <c r="L2175" s="45" t="str">
        <f>IF(K2175&gt;0,VLOOKUP(J2175,$J$873:$L$974,3,FALSE),"")</f>
        <v/>
      </c>
      <c r="M2175" s="1508" t="str">
        <f>IF(K2175&gt;0,VLOOKUP(J2175,$J$1697:$K$1799,2,FALSE),"")</f>
        <v/>
      </c>
      <c r="P2175" s="243"/>
      <c r="Q2175" s="192"/>
      <c r="R2175" s="243"/>
      <c r="T2175" s="166"/>
      <c r="U2175" s="50"/>
      <c r="V2175" s="2394"/>
      <c r="W2175" s="152"/>
      <c r="X2175" s="154"/>
      <c r="Y2175" s="154"/>
      <c r="Z2175" s="152"/>
      <c r="AA2175" s="152"/>
      <c r="AB2175" s="154"/>
      <c r="AC2175" s="152"/>
      <c r="AD2175" s="152"/>
      <c r="AE2175" s="152"/>
      <c r="AF2175" s="743"/>
      <c r="AG2175" s="743" t="str">
        <f t="shared" si="269"/>
        <v/>
      </c>
      <c r="DG2175" s="543"/>
      <c r="DH2175" s="149"/>
      <c r="DI2175" s="1020"/>
      <c r="DJ2175" s="2045"/>
    </row>
    <row r="2176" spans="1:114" ht="14.65" customHeight="1" outlineLevel="1" x14ac:dyDescent="0.25">
      <c r="A2176" s="2145"/>
      <c r="C2176" s="49"/>
      <c r="D2176" s="2394"/>
      <c r="E2176" s="2394"/>
      <c r="F2176" s="2404" t="str">
        <f t="shared" si="267"/>
        <v>ASHP-SEER20_ER2_MF</v>
      </c>
      <c r="G2176" s="2404"/>
      <c r="H2176" s="2404"/>
      <c r="I2176" s="2404"/>
      <c r="J2176" s="1506" t="str">
        <f t="shared" si="268"/>
        <v>354700_2024_12_</v>
      </c>
      <c r="K2176" s="152"/>
      <c r="L2176" s="45" t="str">
        <f>IF(K2176&gt;0,VLOOKUP(J2176,$J$873:$L$974,3,FALSE),"")</f>
        <v/>
      </c>
      <c r="M2176" s="1508" t="str">
        <f>IF(K2176&gt;0,VLOOKUP(J2176,$J$1697:$K$1799,2,FALSE),"")</f>
        <v/>
      </c>
      <c r="P2176" s="243"/>
      <c r="Q2176" s="192"/>
      <c r="R2176" s="243"/>
      <c r="T2176" s="166"/>
      <c r="U2176" s="50"/>
      <c r="V2176" s="2394"/>
      <c r="W2176" s="152"/>
      <c r="X2176" s="154"/>
      <c r="Y2176" s="154"/>
      <c r="Z2176" s="152"/>
      <c r="AA2176" s="152"/>
      <c r="AB2176" s="154"/>
      <c r="AC2176" s="152"/>
      <c r="AD2176" s="152"/>
      <c r="AE2176" s="152"/>
      <c r="AF2176" s="743"/>
      <c r="AG2176" s="743" t="str">
        <f t="shared" si="269"/>
        <v/>
      </c>
      <c r="DG2176" s="543"/>
      <c r="DH2176" s="149"/>
      <c r="DI2176" s="1020"/>
      <c r="DJ2176" s="2045"/>
    </row>
    <row r="2177" spans="1:114" ht="14.65" customHeight="1" outlineLevel="1" x14ac:dyDescent="0.25">
      <c r="A2177" s="2145"/>
      <c r="C2177" s="49"/>
      <c r="D2177" s="2394"/>
      <c r="E2177" s="2394"/>
      <c r="F2177" s="2404" t="str">
        <f t="shared" si="267"/>
        <v>ASHP-SEER20_ER2_MF</v>
      </c>
      <c r="G2177" s="2404"/>
      <c r="H2177" s="2404"/>
      <c r="I2177" s="2404"/>
      <c r="J2177" s="1506" t="str">
        <f t="shared" si="268"/>
        <v>354700_2024_12_</v>
      </c>
      <c r="K2177" s="152"/>
      <c r="L2177" s="45" t="str">
        <f>IF(K2177&gt;0,VLOOKUP(J2177,$J$873:$L$974,3,FALSE),"")</f>
        <v/>
      </c>
      <c r="M2177" s="1508" t="str">
        <f>IF(K2177&gt;0,VLOOKUP(J2177,$J$1697:$K$1799,2,FALSE),"")</f>
        <v/>
      </c>
      <c r="P2177" s="243"/>
      <c r="Q2177" s="192"/>
      <c r="R2177" s="243"/>
      <c r="T2177" s="166"/>
      <c r="U2177" s="50"/>
      <c r="V2177" s="2394"/>
      <c r="W2177" s="152"/>
      <c r="X2177" s="154"/>
      <c r="Y2177" s="154"/>
      <c r="Z2177" s="152"/>
      <c r="AA2177" s="152"/>
      <c r="AB2177" s="154"/>
      <c r="AC2177" s="152"/>
      <c r="AD2177" s="152"/>
      <c r="AE2177" s="152"/>
      <c r="AF2177" s="743"/>
      <c r="AG2177" s="743" t="str">
        <f t="shared" si="269"/>
        <v/>
      </c>
      <c r="DG2177" s="543"/>
      <c r="DH2177" s="149"/>
      <c r="DI2177" s="1020"/>
      <c r="DJ2177" s="2045"/>
    </row>
    <row r="2178" spans="1:114" ht="14.65" customHeight="1" outlineLevel="1" x14ac:dyDescent="0.25">
      <c r="A2178" s="2145"/>
      <c r="C2178" s="49"/>
      <c r="D2178" s="2394"/>
      <c r="E2178" s="2394"/>
      <c r="F2178" s="2404" t="str">
        <f t="shared" si="267"/>
        <v>ASHP-SEER21_ER1_SF</v>
      </c>
      <c r="G2178" s="2404"/>
      <c r="H2178" s="2404"/>
      <c r="I2178" s="2404"/>
      <c r="J2178" s="1506" t="str">
        <f t="shared" si="268"/>
        <v>354750_2024_12_</v>
      </c>
      <c r="K2178" s="1514">
        <f>(S$878+L2178*T$878)-(S$884+L2178*T$884)*S$891</f>
        <v>1078.0210431568885</v>
      </c>
      <c r="L2178" s="45">
        <f>VLOOKUP(J2178,$J$873:$L$974,3,FALSE)*M2178</f>
        <v>3.3440561485431846</v>
      </c>
      <c r="M2178" s="1508">
        <f>VLOOKUP(J2178,$J$1697:$K$1799,2,FALSE)</f>
        <v>1</v>
      </c>
      <c r="N2178" s="524"/>
      <c r="P2178" s="243"/>
      <c r="Q2178" s="192"/>
      <c r="R2178" s="243"/>
      <c r="T2178" s="166"/>
      <c r="U2178" s="50"/>
      <c r="V2178" s="2394"/>
      <c r="W2178" s="152">
        <v>14804.699584437089</v>
      </c>
      <c r="X2178" s="154">
        <v>8277.6207173473031</v>
      </c>
      <c r="Y2178" s="154">
        <v>2089.0025568704818</v>
      </c>
      <c r="Z2178" s="152">
        <v>2089.0025568704818</v>
      </c>
      <c r="AA2178" s="152">
        <v>2089.0025568704818</v>
      </c>
      <c r="AB2178" s="154">
        <v>2478.4195598081137</v>
      </c>
      <c r="AC2178" s="154">
        <v>2498.6373792903719</v>
      </c>
      <c r="AD2178" s="154">
        <v>2490.8675578660959</v>
      </c>
      <c r="AE2178" s="154">
        <v>2602.2336285635597</v>
      </c>
      <c r="AF2178" s="743">
        <v>1078.0210431568885</v>
      </c>
      <c r="AG2178" s="743">
        <f t="shared" si="269"/>
        <v>1078.0210431568885</v>
      </c>
      <c r="DG2178" s="543"/>
      <c r="DH2178" s="149"/>
      <c r="DI2178" s="1020"/>
      <c r="DJ2178" s="2045"/>
    </row>
    <row r="2179" spans="1:114" ht="14.65" customHeight="1" outlineLevel="1" x14ac:dyDescent="0.25">
      <c r="A2179" s="2145"/>
      <c r="C2179" s="49"/>
      <c r="D2179" s="2394"/>
      <c r="E2179" s="2394"/>
      <c r="F2179" s="2404" t="str">
        <f t="shared" si="267"/>
        <v>ASHP-SEER21_ER1_SF</v>
      </c>
      <c r="G2179" s="2404"/>
      <c r="H2179" s="2404"/>
      <c r="I2179" s="2404"/>
      <c r="J2179" s="1506" t="str">
        <f t="shared" si="268"/>
        <v>354750_2024_12_</v>
      </c>
      <c r="K2179" s="152"/>
      <c r="L2179" s="45" t="str">
        <f>IF(K2179&gt;0,VLOOKUP(J2179,$J$873:$L$974,3,FALSE),"")</f>
        <v/>
      </c>
      <c r="M2179" s="1508" t="str">
        <f>IF(K2179&gt;0,VLOOKUP(J2179,$J$1697:$K$1799,2,FALSE),"")</f>
        <v/>
      </c>
      <c r="P2179" s="243"/>
      <c r="Q2179" s="192"/>
      <c r="R2179" s="243"/>
      <c r="T2179" s="166"/>
      <c r="U2179" s="50"/>
      <c r="V2179" s="2394"/>
      <c r="W2179" s="152"/>
      <c r="X2179" s="154"/>
      <c r="Y2179" s="154"/>
      <c r="Z2179" s="152"/>
      <c r="AA2179" s="152"/>
      <c r="AB2179" s="154"/>
      <c r="AC2179" s="152"/>
      <c r="AD2179" s="152"/>
      <c r="AE2179" s="152"/>
      <c r="AF2179" s="743"/>
      <c r="AG2179" s="743" t="str">
        <f t="shared" si="269"/>
        <v/>
      </c>
      <c r="DG2179" s="543"/>
      <c r="DH2179" s="149"/>
      <c r="DI2179" s="1020"/>
      <c r="DJ2179" s="2045"/>
    </row>
    <row r="2180" spans="1:114" ht="14.65" customHeight="1" outlineLevel="1" x14ac:dyDescent="0.25">
      <c r="A2180" s="2145"/>
      <c r="C2180" s="49"/>
      <c r="D2180" s="2394"/>
      <c r="E2180" s="2394"/>
      <c r="F2180" s="2404" t="str">
        <f t="shared" si="267"/>
        <v>ASHP-SEER21_ER2_SF</v>
      </c>
      <c r="G2180" s="2404"/>
      <c r="H2180" s="2404"/>
      <c r="I2180" s="2404"/>
      <c r="J2180" s="1506" t="str">
        <f t="shared" si="268"/>
        <v>354750_2024_12_</v>
      </c>
      <c r="K2180" s="152"/>
      <c r="L2180" s="45" t="str">
        <f>IF(K2180&gt;0,VLOOKUP(J2180,$J$873:$L$974,3,FALSE),"")</f>
        <v/>
      </c>
      <c r="M2180" s="1508" t="str">
        <f>IF(K2180&gt;0,VLOOKUP(J2180,$J$1697:$K$1799,2,FALSE),"")</f>
        <v/>
      </c>
      <c r="P2180" s="243"/>
      <c r="Q2180" s="192"/>
      <c r="R2180" s="243"/>
      <c r="T2180" s="166"/>
      <c r="U2180" s="50"/>
      <c r="V2180" s="2394"/>
      <c r="W2180" s="152"/>
      <c r="X2180" s="154"/>
      <c r="Y2180" s="154"/>
      <c r="Z2180" s="152"/>
      <c r="AA2180" s="152"/>
      <c r="AB2180" s="154"/>
      <c r="AC2180" s="152"/>
      <c r="AD2180" s="152"/>
      <c r="AE2180" s="152"/>
      <c r="AF2180" s="743"/>
      <c r="AG2180" s="743" t="str">
        <f t="shared" si="269"/>
        <v/>
      </c>
      <c r="DG2180" s="543"/>
      <c r="DH2180" s="149"/>
      <c r="DI2180" s="1020"/>
      <c r="DJ2180" s="2045"/>
    </row>
    <row r="2181" spans="1:114" ht="14.65" customHeight="1" outlineLevel="1" x14ac:dyDescent="0.25">
      <c r="A2181" s="2145"/>
      <c r="C2181" s="49"/>
      <c r="D2181" s="2394"/>
      <c r="E2181" s="2394"/>
      <c r="F2181" s="2404" t="str">
        <f t="shared" si="267"/>
        <v>ASHP-SEER21_ER2_SF</v>
      </c>
      <c r="G2181" s="2404"/>
      <c r="H2181" s="2404"/>
      <c r="I2181" s="2404"/>
      <c r="J2181" s="1506" t="str">
        <f t="shared" si="268"/>
        <v>354750_2024_12_</v>
      </c>
      <c r="K2181" s="152"/>
      <c r="L2181" s="45" t="str">
        <f>IF(K2181&gt;0,VLOOKUP(J2181,$J$873:$L$974,3,FALSE),"")</f>
        <v/>
      </c>
      <c r="M2181" s="1508" t="str">
        <f>IF(K2181&gt;0,VLOOKUP(J2181,$J$1697:$K$1799,2,FALSE),"")</f>
        <v/>
      </c>
      <c r="P2181" s="243"/>
      <c r="Q2181" s="192"/>
      <c r="R2181" s="243"/>
      <c r="T2181" s="166"/>
      <c r="U2181" s="50"/>
      <c r="V2181" s="2394"/>
      <c r="W2181" s="152"/>
      <c r="X2181" s="154"/>
      <c r="Y2181" s="154"/>
      <c r="Z2181" s="152"/>
      <c r="AA2181" s="152"/>
      <c r="AB2181" s="154"/>
      <c r="AC2181" s="152"/>
      <c r="AD2181" s="152"/>
      <c r="AE2181" s="152"/>
      <c r="AF2181" s="743"/>
      <c r="AG2181" s="743" t="str">
        <f t="shared" si="269"/>
        <v/>
      </c>
      <c r="DG2181" s="543"/>
      <c r="DH2181" s="149"/>
      <c r="DI2181" s="1020"/>
      <c r="DJ2181" s="2045"/>
    </row>
    <row r="2182" spans="1:114" ht="14.65" customHeight="1" outlineLevel="1" x14ac:dyDescent="0.25">
      <c r="A2182" s="2145"/>
      <c r="C2182" s="49"/>
      <c r="D2182" s="2394"/>
      <c r="E2182" s="2394"/>
      <c r="F2182" s="2404" t="str">
        <f t="shared" si="267"/>
        <v>ASHP-SEER21_ROF_SF</v>
      </c>
      <c r="G2182" s="2404"/>
      <c r="H2182" s="2404"/>
      <c r="I2182" s="2404"/>
      <c r="J2182" s="1506" t="str">
        <f t="shared" si="268"/>
        <v>354800_2024_12_</v>
      </c>
      <c r="K2182" s="1514">
        <f>(S$878+L2182*T$878)-(S$882+L2182*T$882)</f>
        <v>1081</v>
      </c>
      <c r="L2182" s="45">
        <f>VLOOKUP(J2182,$J$873:$L$974,3,FALSE)*M2182</f>
        <v>3.4699494950520831</v>
      </c>
      <c r="M2182" s="1508">
        <f>VLOOKUP(J2182,$J$1697:$K$1799,2,FALSE)</f>
        <v>1</v>
      </c>
      <c r="N2182" s="524"/>
      <c r="P2182" s="243"/>
      <c r="Q2182" s="192"/>
      <c r="R2182" s="243"/>
      <c r="T2182" s="166"/>
      <c r="U2182" s="50"/>
      <c r="V2182" s="2394"/>
      <c r="W2182" s="152">
        <v>9976</v>
      </c>
      <c r="X2182" s="154">
        <v>5576.7511799999966</v>
      </c>
      <c r="Y2182" s="154">
        <v>1160</v>
      </c>
      <c r="Z2182" s="152">
        <v>1160</v>
      </c>
      <c r="AA2182" s="152">
        <v>1160</v>
      </c>
      <c r="AB2182" s="154">
        <v>1689.9245999999991</v>
      </c>
      <c r="AC2182" s="152">
        <v>1689.9245999999991</v>
      </c>
      <c r="AD2182" s="152">
        <v>1689.9245999999991</v>
      </c>
      <c r="AE2182" s="152">
        <v>1689.9245999999991</v>
      </c>
      <c r="AF2182" s="743">
        <v>1081</v>
      </c>
      <c r="AG2182" s="743">
        <f t="shared" si="269"/>
        <v>1081</v>
      </c>
      <c r="DG2182" s="543"/>
      <c r="DH2182" s="149"/>
      <c r="DI2182" s="1020"/>
      <c r="DJ2182" s="2045"/>
    </row>
    <row r="2183" spans="1:114" ht="14.65" customHeight="1" outlineLevel="1" x14ac:dyDescent="0.25">
      <c r="A2183" s="2145"/>
      <c r="C2183" s="49"/>
      <c r="D2183" s="2394"/>
      <c r="E2183" s="2394"/>
      <c r="F2183" s="2404" t="str">
        <f t="shared" si="267"/>
        <v>ASHP-SEER21_ROF_SF</v>
      </c>
      <c r="G2183" s="2404"/>
      <c r="H2183" s="2404"/>
      <c r="I2183" s="2404"/>
      <c r="J2183" s="1506" t="str">
        <f t="shared" si="268"/>
        <v>354800_2024_12_</v>
      </c>
      <c r="K2183" s="152"/>
      <c r="L2183" s="45" t="str">
        <f>IF(K2183&gt;0,VLOOKUP(J2183,$J$873:$L$974,3,FALSE),"")</f>
        <v/>
      </c>
      <c r="M2183" s="1508" t="str">
        <f>IF(K2183&gt;0,VLOOKUP(J2183,$J$1697:$K$1799,2,FALSE),"")</f>
        <v/>
      </c>
      <c r="P2183" s="243"/>
      <c r="Q2183" s="192"/>
      <c r="R2183" s="243"/>
      <c r="T2183" s="166"/>
      <c r="U2183" s="50"/>
      <c r="V2183" s="2394"/>
      <c r="W2183" s="152"/>
      <c r="X2183" s="154"/>
      <c r="Y2183" s="154"/>
      <c r="Z2183" s="152"/>
      <c r="AA2183" s="152"/>
      <c r="AB2183" s="154"/>
      <c r="AC2183" s="152"/>
      <c r="AD2183" s="152"/>
      <c r="AE2183" s="152"/>
      <c r="AF2183" s="743"/>
      <c r="AG2183" s="743" t="str">
        <f t="shared" si="269"/>
        <v/>
      </c>
      <c r="DG2183" s="543"/>
      <c r="DH2183" s="149"/>
      <c r="DI2183" s="1020"/>
      <c r="DJ2183" s="2045"/>
    </row>
    <row r="2184" spans="1:114" ht="14.65" customHeight="1" outlineLevel="1" x14ac:dyDescent="0.25">
      <c r="A2184" s="2145"/>
      <c r="C2184" s="49"/>
      <c r="D2184" s="2394"/>
      <c r="E2184" s="2394"/>
      <c r="F2184" s="2404" t="str">
        <f t="shared" si="267"/>
        <v>ASHP-SEER21-Replace_CAC_ElectricHeat_ROF_MF</v>
      </c>
      <c r="G2184" s="2404"/>
      <c r="H2184" s="2404"/>
      <c r="I2184" s="2404"/>
      <c r="J2184" s="1506" t="str">
        <f t="shared" si="268"/>
        <v>354850_2024_12_</v>
      </c>
      <c r="K2184" s="1514">
        <f>(S$878+L2184*T$878)-(S$883+L2184*T$883)</f>
        <v>3689</v>
      </c>
      <c r="L2184" s="45">
        <f>VLOOKUP(J2184,$J$873:$L$974,3,FALSE)*M2184</f>
        <v>1.8199999999999998</v>
      </c>
      <c r="M2184" s="1508">
        <f>VLOOKUP(J2184,$J$1697:$K$1799,2,FALSE)</f>
        <v>0.65</v>
      </c>
      <c r="N2184" s="524"/>
      <c r="P2184" s="243"/>
      <c r="Q2184" s="192"/>
      <c r="R2184" s="243"/>
      <c r="T2184" s="166"/>
      <c r="U2184" s="50"/>
      <c r="V2184" s="2394"/>
      <c r="W2184" s="152">
        <v>10092</v>
      </c>
      <c r="X2184" s="154">
        <v>3075.6627719999983</v>
      </c>
      <c r="Y2184" s="154">
        <v>1160</v>
      </c>
      <c r="Z2184" s="152">
        <v>1160</v>
      </c>
      <c r="AA2184" s="152">
        <v>1160</v>
      </c>
      <c r="AB2184" s="154">
        <v>1689.9245999999991</v>
      </c>
      <c r="AC2184" s="152">
        <v>1689.9245999999991</v>
      </c>
      <c r="AD2184" s="152">
        <v>1689.9245999999991</v>
      </c>
      <c r="AE2184" s="152">
        <v>1689.9245999999991</v>
      </c>
      <c r="AF2184" s="743">
        <v>3689</v>
      </c>
      <c r="AG2184" s="743">
        <f t="shared" si="269"/>
        <v>3689</v>
      </c>
      <c r="DG2184" s="543"/>
      <c r="DH2184" s="149"/>
      <c r="DI2184" s="1020"/>
      <c r="DJ2184" s="2045"/>
    </row>
    <row r="2185" spans="1:114" ht="14.65" customHeight="1" outlineLevel="1" x14ac:dyDescent="0.25">
      <c r="A2185" s="2145"/>
      <c r="C2185" s="49"/>
      <c r="D2185" s="2394"/>
      <c r="E2185" s="2394"/>
      <c r="F2185" s="2404" t="str">
        <f t="shared" si="267"/>
        <v>ASHP-SEER21-Replace_CAC_ElectricHeat_ROF_MF</v>
      </c>
      <c r="G2185" s="2404"/>
      <c r="H2185" s="2404"/>
      <c r="I2185" s="2404"/>
      <c r="J2185" s="1506" t="str">
        <f t="shared" si="268"/>
        <v>354850_2024_12_</v>
      </c>
      <c r="K2185" s="152"/>
      <c r="L2185" s="45" t="str">
        <f>IF(K2185&gt;0,VLOOKUP(J2185,$J$873:$L$974,3,FALSE),"")</f>
        <v/>
      </c>
      <c r="M2185" s="1508" t="str">
        <f>IF(K2185&gt;0,VLOOKUP(J2185,$J$1697:$K$1799,2,FALSE),"")</f>
        <v/>
      </c>
      <c r="P2185" s="243"/>
      <c r="Q2185" s="192"/>
      <c r="R2185" s="243"/>
      <c r="T2185" s="166"/>
      <c r="U2185" s="50"/>
      <c r="V2185" s="2394"/>
      <c r="W2185" s="152"/>
      <c r="X2185" s="154"/>
      <c r="Y2185" s="154"/>
      <c r="Z2185" s="152"/>
      <c r="AA2185" s="152"/>
      <c r="AB2185" s="154"/>
      <c r="AC2185" s="152"/>
      <c r="AD2185" s="152"/>
      <c r="AE2185" s="152"/>
      <c r="AF2185" s="743"/>
      <c r="AG2185" s="743" t="str">
        <f t="shared" si="269"/>
        <v/>
      </c>
      <c r="DG2185" s="543"/>
      <c r="DH2185" s="149"/>
      <c r="DI2185" s="1020"/>
      <c r="DJ2185" s="2045"/>
    </row>
    <row r="2186" spans="1:114" ht="14.65" customHeight="1" outlineLevel="1" x14ac:dyDescent="0.25">
      <c r="A2186" s="2145"/>
      <c r="C2186" s="49"/>
      <c r="D2186" s="2394"/>
      <c r="E2186" s="2394"/>
      <c r="F2186" s="2404" t="str">
        <f t="shared" si="267"/>
        <v>ASHP-SEER21_ER1_MF</v>
      </c>
      <c r="G2186" s="2404"/>
      <c r="H2186" s="2404"/>
      <c r="I2186" s="2404"/>
      <c r="J2186" s="1506" t="str">
        <f t="shared" si="268"/>
        <v>354900_2024_12_</v>
      </c>
      <c r="K2186" s="1514">
        <f>(S$878+L2186*T$878)-(S$884+L2186*T$884)*S$891</f>
        <v>1077.5183641564863</v>
      </c>
      <c r="L2186" s="45">
        <f>VLOOKUP(J2186,$J$873:$L$974,3,FALSE)*M2186</f>
        <v>2.145</v>
      </c>
      <c r="M2186" s="1508">
        <f>VLOOKUP(J2186,$J$1697:$K$1799,2,FALSE)</f>
        <v>0.65</v>
      </c>
      <c r="N2186" s="524"/>
      <c r="P2186" s="243"/>
      <c r="Q2186" s="192"/>
      <c r="R2186" s="243"/>
      <c r="T2186" s="166"/>
      <c r="U2186" s="50"/>
      <c r="V2186" s="2394"/>
      <c r="W2186" s="152">
        <v>15995.882309621684</v>
      </c>
      <c r="X2186" s="154">
        <v>5380.4534662757469</v>
      </c>
      <c r="Y2186" s="154">
        <v>1763.8516619658126</v>
      </c>
      <c r="Z2186" s="152">
        <v>1763.8516619658126</v>
      </c>
      <c r="AA2186" s="152">
        <v>1763.8516619658126</v>
      </c>
      <c r="AB2186" s="154">
        <v>2202.4463238752733</v>
      </c>
      <c r="AC2186" s="152">
        <v>2202.4463238752733</v>
      </c>
      <c r="AD2186" s="152">
        <v>2202.4463238752733</v>
      </c>
      <c r="AE2186" s="154">
        <v>2275.1129997585826</v>
      </c>
      <c r="AF2186" s="743" t="e">
        <v>#REF!</v>
      </c>
      <c r="AG2186" s="743">
        <f t="shared" si="269"/>
        <v>1077.5183641564863</v>
      </c>
      <c r="DG2186" s="543"/>
      <c r="DH2186" s="149"/>
      <c r="DI2186" s="1020"/>
      <c r="DJ2186" s="2045"/>
    </row>
    <row r="2187" spans="1:114" ht="14.65" customHeight="1" outlineLevel="1" x14ac:dyDescent="0.25">
      <c r="A2187" s="2145"/>
      <c r="C2187" s="49"/>
      <c r="D2187" s="2394"/>
      <c r="E2187" s="2394"/>
      <c r="F2187" s="2404" t="str">
        <f t="shared" si="267"/>
        <v>ASHP-SEER21_ER1_MF</v>
      </c>
      <c r="G2187" s="2404"/>
      <c r="H2187" s="2404"/>
      <c r="I2187" s="2404"/>
      <c r="J2187" s="1506" t="str">
        <f t="shared" si="268"/>
        <v>354900_2024_12_</v>
      </c>
      <c r="K2187" s="152"/>
      <c r="L2187" s="45" t="str">
        <f>IF(K2187&gt;0,VLOOKUP(J2187,$J$873:$L$974,3,FALSE),"")</f>
        <v/>
      </c>
      <c r="M2187" s="1508" t="str">
        <f>IF(K2187&gt;0,VLOOKUP(J2187,$J$1697:$K$1799,2,FALSE),"")</f>
        <v/>
      </c>
      <c r="P2187" s="243"/>
      <c r="Q2187" s="192"/>
      <c r="R2187" s="243"/>
      <c r="T2187" s="166"/>
      <c r="U2187" s="50"/>
      <c r="V2187" s="2394"/>
      <c r="W2187" s="152"/>
      <c r="X2187" s="154"/>
      <c r="Y2187" s="154"/>
      <c r="Z2187" s="152"/>
      <c r="AA2187" s="152"/>
      <c r="AB2187" s="154"/>
      <c r="AC2187" s="152"/>
      <c r="AD2187" s="152"/>
      <c r="AE2187" s="152"/>
      <c r="AF2187" s="743"/>
      <c r="AG2187" s="743" t="str">
        <f t="shared" si="269"/>
        <v/>
      </c>
      <c r="DG2187" s="543"/>
      <c r="DH2187" s="149"/>
      <c r="DI2187" s="1020"/>
      <c r="DJ2187" s="2045"/>
    </row>
    <row r="2188" spans="1:114" ht="14.65" customHeight="1" outlineLevel="1" x14ac:dyDescent="0.25">
      <c r="A2188" s="2145"/>
      <c r="C2188" s="49"/>
      <c r="D2188" s="2394"/>
      <c r="E2188" s="2394"/>
      <c r="F2188" s="2404" t="str">
        <f t="shared" ref="F2188:F2199" si="270">E841</f>
        <v>ASHP-SEER21_ER2_MF</v>
      </c>
      <c r="G2188" s="2404"/>
      <c r="H2188" s="2404"/>
      <c r="I2188" s="2404"/>
      <c r="J2188" s="1506" t="str">
        <f t="shared" ref="J2188:J2199" si="271">C841</f>
        <v>354900_2024_12_</v>
      </c>
      <c r="K2188" s="152"/>
      <c r="L2188" s="45" t="str">
        <f>IF(K2188&gt;0,VLOOKUP(J2188,$J$873:$L$974,3,FALSE),"")</f>
        <v/>
      </c>
      <c r="M2188" s="1508" t="str">
        <f>IF(K2188&gt;0,VLOOKUP(J2188,$J$1697:$K$1799,2,FALSE),"")</f>
        <v/>
      </c>
      <c r="P2188" s="243"/>
      <c r="Q2188" s="192"/>
      <c r="R2188" s="243"/>
      <c r="T2188" s="166"/>
      <c r="U2188" s="50"/>
      <c r="V2188" s="2394"/>
      <c r="W2188" s="152"/>
      <c r="X2188" s="154"/>
      <c r="Y2188" s="154"/>
      <c r="Z2188" s="152"/>
      <c r="AA2188" s="152"/>
      <c r="AB2188" s="154"/>
      <c r="AC2188" s="152"/>
      <c r="AD2188" s="152"/>
      <c r="AE2188" s="152"/>
      <c r="AF2188" s="743">
        <v>1077.5183641564863</v>
      </c>
      <c r="AG2188" s="743" t="str">
        <f t="shared" si="269"/>
        <v/>
      </c>
      <c r="DG2188" s="543"/>
      <c r="DH2188" s="149"/>
      <c r="DI2188" s="1020"/>
      <c r="DJ2188" s="2045"/>
    </row>
    <row r="2189" spans="1:114" ht="14.65" customHeight="1" outlineLevel="1" x14ac:dyDescent="0.25">
      <c r="A2189" s="2145"/>
      <c r="C2189" s="49"/>
      <c r="D2189" s="2394"/>
      <c r="E2189" s="2394"/>
      <c r="F2189" s="2404" t="str">
        <f t="shared" si="270"/>
        <v>ASHP-SEER21_ER2_MF</v>
      </c>
      <c r="G2189" s="2404"/>
      <c r="H2189" s="2404"/>
      <c r="I2189" s="2404"/>
      <c r="J2189" s="1506" t="str">
        <f t="shared" si="271"/>
        <v>354900_2024_12_</v>
      </c>
      <c r="K2189" s="152"/>
      <c r="L2189" s="45" t="str">
        <f>IF(K2189&gt;0,VLOOKUP(J2189,$J$873:$L$974,3,FALSE),"")</f>
        <v/>
      </c>
      <c r="M2189" s="1508" t="str">
        <f>IF(K2189&gt;0,VLOOKUP(J2189,$J$1697:$K$1799,2,FALSE),"")</f>
        <v/>
      </c>
      <c r="P2189" s="243"/>
      <c r="Q2189" s="192"/>
      <c r="R2189" s="243"/>
      <c r="T2189" s="166"/>
      <c r="U2189" s="50"/>
      <c r="V2189" s="2394"/>
      <c r="W2189" s="152"/>
      <c r="X2189" s="154"/>
      <c r="Y2189" s="154"/>
      <c r="Z2189" s="152"/>
      <c r="AA2189" s="152"/>
      <c r="AB2189" s="154"/>
      <c r="AC2189" s="152"/>
      <c r="AD2189" s="152"/>
      <c r="AE2189" s="152"/>
      <c r="AF2189" s="743"/>
      <c r="AG2189" s="743" t="str">
        <f t="shared" si="269"/>
        <v/>
      </c>
      <c r="DG2189" s="543"/>
      <c r="DH2189" s="149"/>
      <c r="DI2189" s="1020"/>
      <c r="DJ2189" s="2045"/>
    </row>
    <row r="2190" spans="1:114" ht="14.65" customHeight="1" outlineLevel="1" x14ac:dyDescent="0.25">
      <c r="A2190" s="2145"/>
      <c r="C2190" s="49"/>
      <c r="D2190" s="2394"/>
      <c r="E2190" s="2394"/>
      <c r="F2190" s="2404" t="str">
        <f t="shared" si="270"/>
        <v>ASHP-SEER17_ROF_MF</v>
      </c>
      <c r="G2190" s="2404"/>
      <c r="H2190" s="2404"/>
      <c r="I2190" s="2404"/>
      <c r="J2190" s="1506" t="str">
        <f t="shared" si="271"/>
        <v>354950_2024_12_</v>
      </c>
      <c r="K2190" s="1514">
        <f>(S$876+L2190*T$876)-(S$882+L2190*T$882)</f>
        <v>630</v>
      </c>
      <c r="L2190" s="45">
        <f>VLOOKUP(J2190,$J$873:$L$974,3,FALSE)*M2190</f>
        <v>2.145</v>
      </c>
      <c r="M2190" s="1508">
        <f>VLOOKUP(J2190,$J$1697:$K$1799,2,FALSE)</f>
        <v>0.65</v>
      </c>
      <c r="N2190" s="524"/>
      <c r="P2190" s="243"/>
      <c r="Q2190" s="192"/>
      <c r="R2190" s="243"/>
      <c r="T2190" s="166"/>
      <c r="U2190" s="50"/>
      <c r="V2190" s="2394"/>
      <c r="W2190" s="152">
        <v>1914</v>
      </c>
      <c r="X2190" s="154">
        <v>1552.98</v>
      </c>
      <c r="Y2190" s="154">
        <v>580</v>
      </c>
      <c r="Z2190" s="152">
        <v>580</v>
      </c>
      <c r="AA2190" s="152">
        <v>580</v>
      </c>
      <c r="AB2190" s="154">
        <v>724</v>
      </c>
      <c r="AC2190" s="152">
        <v>724</v>
      </c>
      <c r="AD2190" s="152">
        <v>724</v>
      </c>
      <c r="AE2190" s="152">
        <v>724</v>
      </c>
      <c r="AF2190" s="743"/>
      <c r="AG2190" s="743">
        <f t="shared" si="269"/>
        <v>630</v>
      </c>
      <c r="DG2190" s="543"/>
      <c r="DH2190" s="149"/>
      <c r="DI2190" s="1020"/>
      <c r="DJ2190" s="2045"/>
    </row>
    <row r="2191" spans="1:114" ht="14.65" customHeight="1" outlineLevel="1" x14ac:dyDescent="0.25">
      <c r="A2191" s="2145"/>
      <c r="C2191" s="49"/>
      <c r="D2191" s="2394"/>
      <c r="E2191" s="2394"/>
      <c r="F2191" s="2404" t="str">
        <f t="shared" si="270"/>
        <v>ASHP-SEER17_ROF_MF</v>
      </c>
      <c r="G2191" s="2404"/>
      <c r="H2191" s="2404"/>
      <c r="I2191" s="2404"/>
      <c r="J2191" s="1506" t="str">
        <f t="shared" si="271"/>
        <v>354950_2024_12_</v>
      </c>
      <c r="K2191" s="152"/>
      <c r="L2191" s="45" t="str">
        <f>IF(K2191&gt;0,VLOOKUP(J2191,$J$873:$L$974,3,FALSE),"")</f>
        <v/>
      </c>
      <c r="M2191" s="1508" t="str">
        <f>IF(K2191&gt;0,VLOOKUP(J2191,$J$1697:$K$1799,2,FALSE),"")</f>
        <v/>
      </c>
      <c r="P2191" s="243"/>
      <c r="Q2191" s="192"/>
      <c r="R2191" s="243"/>
      <c r="T2191" s="166"/>
      <c r="U2191" s="50"/>
      <c r="V2191" s="2394"/>
      <c r="W2191" s="152"/>
      <c r="X2191" s="154"/>
      <c r="Y2191" s="154"/>
      <c r="Z2191" s="152"/>
      <c r="AA2191" s="152"/>
      <c r="AB2191" s="154"/>
      <c r="AC2191" s="152"/>
      <c r="AD2191" s="152"/>
      <c r="AE2191" s="152"/>
      <c r="AF2191" s="743"/>
      <c r="AG2191" s="743" t="str">
        <f t="shared" si="269"/>
        <v/>
      </c>
      <c r="DG2191" s="543"/>
      <c r="DH2191" s="149"/>
      <c r="DI2191" s="1020"/>
      <c r="DJ2191" s="2045"/>
    </row>
    <row r="2192" spans="1:114" ht="14.65" customHeight="1" outlineLevel="1" x14ac:dyDescent="0.25">
      <c r="A2192" s="2145"/>
      <c r="C2192" s="49"/>
      <c r="D2192" s="2394"/>
      <c r="E2192" s="2394"/>
      <c r="F2192" s="2404" t="str">
        <f t="shared" si="270"/>
        <v>ASHP-SEER18_ROF_MF</v>
      </c>
      <c r="G2192" s="2404"/>
      <c r="H2192" s="2404"/>
      <c r="I2192" s="2404"/>
      <c r="J2192" s="1506" t="str">
        <f t="shared" si="271"/>
        <v>355000_2024_12_</v>
      </c>
      <c r="K2192" s="1514">
        <f>(S$877+L2192*T$877)-(S$882+L2192*T$882)</f>
        <v>855</v>
      </c>
      <c r="L2192" s="45">
        <f>VLOOKUP(J2192,$J$873:$L$974,3,FALSE)*M2192</f>
        <v>2.145</v>
      </c>
      <c r="M2192" s="1508">
        <f>VLOOKUP(J2192,$J$1697:$K$1799,2,FALSE)</f>
        <v>0.65</v>
      </c>
      <c r="N2192" s="524"/>
      <c r="P2192" s="243"/>
      <c r="Q2192" s="192"/>
      <c r="R2192" s="243"/>
      <c r="T2192" s="166"/>
      <c r="U2192" s="50"/>
      <c r="V2192" s="2394"/>
      <c r="W2192" s="152">
        <v>2354</v>
      </c>
      <c r="X2192" s="154">
        <v>2065.4634000000001</v>
      </c>
      <c r="Y2192" s="154">
        <v>713.33333333333337</v>
      </c>
      <c r="Z2192" s="152">
        <v>713.33333333333337</v>
      </c>
      <c r="AA2192" s="152">
        <v>713.33333333333337</v>
      </c>
      <c r="AB2192" s="154">
        <v>962.92000000000007</v>
      </c>
      <c r="AC2192" s="152">
        <v>962.92000000000007</v>
      </c>
      <c r="AD2192" s="152">
        <v>962.92000000000007</v>
      </c>
      <c r="AE2192" s="152">
        <v>962.92000000000007</v>
      </c>
      <c r="AF2192" s="743">
        <v>630</v>
      </c>
      <c r="AG2192" s="743">
        <f t="shared" si="269"/>
        <v>855</v>
      </c>
      <c r="DG2192" s="543"/>
      <c r="DH2192" s="149"/>
      <c r="DI2192" s="1020"/>
      <c r="DJ2192" s="2045"/>
    </row>
    <row r="2193" spans="1:114" ht="14.65" customHeight="1" outlineLevel="1" x14ac:dyDescent="0.25">
      <c r="A2193" s="2145"/>
      <c r="C2193" s="49"/>
      <c r="D2193" s="2394"/>
      <c r="E2193" s="2394"/>
      <c r="F2193" s="2404" t="str">
        <f t="shared" si="270"/>
        <v>ASHP-SEER18_ROF_MF</v>
      </c>
      <c r="G2193" s="2404"/>
      <c r="H2193" s="2404"/>
      <c r="I2193" s="2404"/>
      <c r="J2193" s="1506" t="str">
        <f t="shared" si="271"/>
        <v>355000_2024_12_</v>
      </c>
      <c r="K2193" s="152"/>
      <c r="L2193" s="45" t="str">
        <f>IF(K2193&gt;0,VLOOKUP(J2193,$J$873:$L$974,3,FALSE),"")</f>
        <v/>
      </c>
      <c r="M2193" s="1508" t="str">
        <f>IF(K2193&gt;0,VLOOKUP(J2193,$J$1697:$K$1799,2,FALSE),"")</f>
        <v/>
      </c>
      <c r="P2193" s="243"/>
      <c r="Q2193" s="192"/>
      <c r="R2193" s="243"/>
      <c r="T2193" s="166"/>
      <c r="U2193" s="50"/>
      <c r="V2193" s="2394"/>
      <c r="W2193" s="152"/>
      <c r="X2193" s="154"/>
      <c r="Y2193" s="154"/>
      <c r="Z2193" s="152"/>
      <c r="AA2193" s="152"/>
      <c r="AB2193" s="154"/>
      <c r="AC2193" s="152"/>
      <c r="AD2193" s="152"/>
      <c r="AE2193" s="152"/>
      <c r="AF2193" s="743"/>
      <c r="AG2193" s="743" t="str">
        <f t="shared" si="269"/>
        <v/>
      </c>
      <c r="DG2193" s="543"/>
      <c r="DH2193" s="149"/>
      <c r="DI2193" s="1020"/>
      <c r="DJ2193" s="2045"/>
    </row>
    <row r="2194" spans="1:114" ht="14.65" customHeight="1" outlineLevel="1" x14ac:dyDescent="0.25">
      <c r="A2194" s="2145"/>
      <c r="C2194" s="49"/>
      <c r="D2194" s="2394"/>
      <c r="E2194" s="2394"/>
      <c r="F2194" s="2404" t="str">
        <f t="shared" si="270"/>
        <v>ASHP-SEER19_ROF_MF</v>
      </c>
      <c r="G2194" s="2404"/>
      <c r="H2194" s="2404"/>
      <c r="I2194" s="2404"/>
      <c r="J2194" s="1506" t="str">
        <f t="shared" si="271"/>
        <v>355050_2024_12_</v>
      </c>
      <c r="K2194" s="1514">
        <f>(S$878+L2194*T$878)-(S$882+L2194*T$882)</f>
        <v>1081</v>
      </c>
      <c r="L2194" s="45">
        <f>VLOOKUP(J2194,$J$873:$L$974,3,FALSE)*M2194</f>
        <v>2.145</v>
      </c>
      <c r="M2194" s="1508">
        <f>VLOOKUP(J2194,$J$1697:$K$1799,2,FALSE)</f>
        <v>0.65</v>
      </c>
      <c r="N2194" s="524"/>
      <c r="P2194" s="243"/>
      <c r="Q2194" s="192"/>
      <c r="R2194" s="243"/>
      <c r="T2194" s="166"/>
      <c r="U2194" s="50"/>
      <c r="V2194" s="2394"/>
      <c r="W2194" s="152">
        <v>2684</v>
      </c>
      <c r="X2194" s="154">
        <v>2581.8292500000007</v>
      </c>
      <c r="Y2194" s="154">
        <v>813.33333333333337</v>
      </c>
      <c r="Z2194" s="152">
        <v>813.33333333333337</v>
      </c>
      <c r="AA2194" s="152">
        <v>813.33333333333337</v>
      </c>
      <c r="AB2194" s="154">
        <v>1203.6500000000003</v>
      </c>
      <c r="AC2194" s="152">
        <v>1203.6500000000003</v>
      </c>
      <c r="AD2194" s="152">
        <v>1203.6500000000003</v>
      </c>
      <c r="AE2194" s="152">
        <v>1203.6500000000003</v>
      </c>
      <c r="AF2194" s="743">
        <v>855</v>
      </c>
      <c r="AG2194" s="743">
        <f t="shared" si="269"/>
        <v>1081</v>
      </c>
      <c r="DG2194" s="543"/>
      <c r="DH2194" s="149"/>
      <c r="DI2194" s="1020"/>
      <c r="DJ2194" s="2045"/>
    </row>
    <row r="2195" spans="1:114" ht="15" customHeight="1" outlineLevel="1" x14ac:dyDescent="0.25">
      <c r="A2195" s="2145"/>
      <c r="C2195" s="49"/>
      <c r="D2195" s="2394"/>
      <c r="E2195" s="2394"/>
      <c r="F2195" s="2404" t="str">
        <f t="shared" si="270"/>
        <v>ASHP-SEER19_ROF_MF</v>
      </c>
      <c r="G2195" s="2404"/>
      <c r="H2195" s="2404"/>
      <c r="I2195" s="2404"/>
      <c r="J2195" s="1506" t="str">
        <f t="shared" si="271"/>
        <v>355050_2024_12_</v>
      </c>
      <c r="K2195" s="152"/>
      <c r="L2195" s="45" t="str">
        <f>IF(K2195&gt;0,VLOOKUP(J2195,$J$873:$L$974,3,FALSE),"")</f>
        <v/>
      </c>
      <c r="M2195" s="1508" t="str">
        <f>IF(K2195&gt;0,VLOOKUP(J2195,$J$1697:$K$1799,2,FALSE),"")</f>
        <v/>
      </c>
      <c r="P2195" s="243"/>
      <c r="Q2195" s="192"/>
      <c r="R2195" s="243"/>
      <c r="T2195" s="166"/>
      <c r="U2195" s="50"/>
      <c r="V2195" s="2394"/>
      <c r="W2195" s="152"/>
      <c r="X2195" s="154"/>
      <c r="Y2195" s="154"/>
      <c r="Z2195" s="152"/>
      <c r="AA2195" s="152"/>
      <c r="AB2195" s="154"/>
      <c r="AC2195" s="152"/>
      <c r="AD2195" s="152"/>
      <c r="AE2195" s="152"/>
      <c r="AF2195" s="743"/>
      <c r="AG2195" s="743" t="str">
        <f t="shared" si="269"/>
        <v/>
      </c>
      <c r="DG2195" s="543"/>
      <c r="DH2195" s="149"/>
      <c r="DI2195" s="1020"/>
      <c r="DJ2195" s="2045"/>
    </row>
    <row r="2196" spans="1:114" ht="15" customHeight="1" outlineLevel="1" x14ac:dyDescent="0.25">
      <c r="A2196" s="2145"/>
      <c r="C2196" s="49"/>
      <c r="D2196" s="2394"/>
      <c r="E2196" s="2394"/>
      <c r="F2196" s="2404" t="str">
        <f t="shared" si="270"/>
        <v>ASHP-SEER20_ROF_MF</v>
      </c>
      <c r="G2196" s="2404"/>
      <c r="H2196" s="2404"/>
      <c r="I2196" s="2404"/>
      <c r="J2196" s="1506" t="str">
        <f t="shared" si="271"/>
        <v>355100_2024_12_</v>
      </c>
      <c r="K2196" s="1514">
        <f>(S$878+L2196*T$878)-(S$882+L2196*T$882)</f>
        <v>1081</v>
      </c>
      <c r="L2196" s="45">
        <f>VLOOKUP(J2196,$J$873:$L$974,3,FALSE)*M2196</f>
        <v>2.145</v>
      </c>
      <c r="M2196" s="1508">
        <f>VLOOKUP(J2196,$J$1697:$K$1799,2,FALSE)</f>
        <v>0.65</v>
      </c>
      <c r="N2196" s="524"/>
      <c r="P2196" s="243"/>
      <c r="Q2196" s="192"/>
      <c r="R2196" s="243"/>
      <c r="T2196" s="166"/>
      <c r="U2196" s="50"/>
      <c r="V2196" s="2394"/>
      <c r="W2196" s="152">
        <v>3828</v>
      </c>
      <c r="X2196" s="154">
        <v>3098.1950999999985</v>
      </c>
      <c r="Y2196" s="154">
        <v>1160</v>
      </c>
      <c r="Z2196" s="152">
        <v>1160</v>
      </c>
      <c r="AA2196" s="152">
        <v>1160</v>
      </c>
      <c r="AB2196" s="154">
        <v>1444.3799999999994</v>
      </c>
      <c r="AC2196" s="152">
        <v>1444.3799999999994</v>
      </c>
      <c r="AD2196" s="152">
        <v>1444.3799999999994</v>
      </c>
      <c r="AE2196" s="152">
        <v>1444.3799999999994</v>
      </c>
      <c r="AF2196" s="743">
        <v>1081</v>
      </c>
      <c r="AG2196" s="743">
        <f t="shared" si="269"/>
        <v>1081</v>
      </c>
      <c r="DG2196" s="543"/>
      <c r="DH2196" s="149"/>
      <c r="DI2196" s="1020"/>
      <c r="DJ2196" s="2045"/>
    </row>
    <row r="2197" spans="1:114" ht="15" customHeight="1" outlineLevel="1" x14ac:dyDescent="0.25">
      <c r="A2197" s="2145"/>
      <c r="C2197" s="49"/>
      <c r="D2197" s="2394"/>
      <c r="E2197" s="2394"/>
      <c r="F2197" s="2404" t="str">
        <f t="shared" si="270"/>
        <v>ASHP-SEER20_ROF_MF</v>
      </c>
      <c r="G2197" s="2404"/>
      <c r="H2197" s="2404"/>
      <c r="I2197" s="2404"/>
      <c r="J2197" s="1506" t="str">
        <f t="shared" si="271"/>
        <v>355100_2024_12_</v>
      </c>
      <c r="K2197" s="152"/>
      <c r="L2197" s="45" t="str">
        <f>IF(K2197&gt;0,VLOOKUP(J2197,$J$873:$L$974,3,FALSE),"")</f>
        <v/>
      </c>
      <c r="M2197" s="1508" t="str">
        <f>IF(K2197&gt;0,VLOOKUP(J2197,$J$1697:$K$1799,2,FALSE),"")</f>
        <v/>
      </c>
      <c r="P2197" s="243"/>
      <c r="Q2197" s="192"/>
      <c r="R2197" s="243"/>
      <c r="T2197" s="166"/>
      <c r="U2197" s="50"/>
      <c r="V2197" s="2394"/>
      <c r="W2197" s="152"/>
      <c r="X2197" s="154"/>
      <c r="Y2197" s="154"/>
      <c r="Z2197" s="152"/>
      <c r="AA2197" s="152"/>
      <c r="AB2197" s="154"/>
      <c r="AC2197" s="152"/>
      <c r="AD2197" s="152"/>
      <c r="AE2197" s="152"/>
      <c r="AF2197" s="743"/>
      <c r="AG2197" s="743" t="str">
        <f t="shared" si="269"/>
        <v/>
      </c>
      <c r="DG2197" s="543"/>
      <c r="DH2197" s="149"/>
      <c r="DI2197" s="1020"/>
      <c r="DJ2197" s="2045"/>
    </row>
    <row r="2198" spans="1:114" ht="15" customHeight="1" outlineLevel="1" x14ac:dyDescent="0.25">
      <c r="A2198" s="2145"/>
      <c r="C2198" s="49"/>
      <c r="D2198" s="2394"/>
      <c r="E2198" s="2394"/>
      <c r="F2198" s="2404" t="str">
        <f t="shared" si="270"/>
        <v>ASHP-SEER21_ROF_MF</v>
      </c>
      <c r="G2198" s="2404"/>
      <c r="H2198" s="2404"/>
      <c r="I2198" s="2404"/>
      <c r="J2198" s="1506" t="str">
        <f t="shared" si="271"/>
        <v>355150_2024_12_</v>
      </c>
      <c r="K2198" s="1514">
        <f>(S$878+L2198*T$878)-(S$882+L2198*T$882)</f>
        <v>1081</v>
      </c>
      <c r="L2198" s="45">
        <f>VLOOKUP(J2198,$J$873:$L$974,3,FALSE)*M2198</f>
        <v>2.145</v>
      </c>
      <c r="M2198" s="1508">
        <f>VLOOKUP(J2198,$J$1697:$K$1799,2,FALSE)</f>
        <v>0.65</v>
      </c>
      <c r="N2198" s="524"/>
      <c r="P2198" s="243"/>
      <c r="Q2198" s="192"/>
      <c r="R2198" s="243"/>
      <c r="T2198" s="166"/>
      <c r="U2198" s="50"/>
      <c r="V2198" s="2394"/>
      <c r="W2198" s="152">
        <v>3828</v>
      </c>
      <c r="X2198" s="154">
        <v>3624.888266999998</v>
      </c>
      <c r="Y2198" s="154">
        <v>1160</v>
      </c>
      <c r="Z2198" s="152">
        <v>1160</v>
      </c>
      <c r="AA2198" s="152">
        <v>1160</v>
      </c>
      <c r="AB2198" s="154">
        <v>1689.9245999999991</v>
      </c>
      <c r="AC2198" s="152">
        <v>1689.9245999999991</v>
      </c>
      <c r="AD2198" s="152">
        <v>1689.9245999999991</v>
      </c>
      <c r="AE2198" s="152">
        <v>1689.9245999999991</v>
      </c>
      <c r="AF2198" s="743">
        <v>1081</v>
      </c>
      <c r="AG2198" s="743">
        <f t="shared" si="269"/>
        <v>1081</v>
      </c>
      <c r="DG2198" s="543"/>
      <c r="DH2198" s="149"/>
      <c r="DI2198" s="1020"/>
      <c r="DJ2198" s="2045"/>
    </row>
    <row r="2199" spans="1:114" ht="15.75" customHeight="1" outlineLevel="1" x14ac:dyDescent="0.25">
      <c r="A2199" s="2145"/>
      <c r="C2199" s="49"/>
      <c r="D2199" s="2395"/>
      <c r="E2199" s="2395"/>
      <c r="F2199" s="2404" t="str">
        <f t="shared" si="270"/>
        <v>ASHP-SEER21_ROF_MF</v>
      </c>
      <c r="G2199" s="2404"/>
      <c r="H2199" s="2404"/>
      <c r="I2199" s="2404"/>
      <c r="J2199" s="962" t="str">
        <f t="shared" si="271"/>
        <v>355150_2024_12_</v>
      </c>
      <c r="K2199" s="1514">
        <f>(S$878+L2199*T$878)-(S$882+L2199*T$882)</f>
        <v>1081</v>
      </c>
      <c r="L2199" s="45">
        <f t="shared" ref="L2199" si="272">VLOOKUP(J2199,$J$873:$L$974,3,FALSE)*M2199</f>
        <v>2.145</v>
      </c>
      <c r="M2199" s="1508">
        <f t="shared" ref="M2199" si="273">VLOOKUP(J2199,$J$1697:$K$1799,2,FALSE)</f>
        <v>0.65</v>
      </c>
      <c r="P2199" s="243"/>
      <c r="Q2199" s="192"/>
      <c r="R2199" s="243"/>
      <c r="T2199" s="166"/>
      <c r="U2199" s="50"/>
      <c r="V2199" s="2395"/>
      <c r="W2199" s="152"/>
      <c r="X2199" s="154"/>
      <c r="Y2199" s="154"/>
      <c r="Z2199" s="152"/>
      <c r="AA2199" s="152"/>
      <c r="AB2199" s="154"/>
      <c r="AC2199" s="152"/>
      <c r="AD2199" s="152"/>
      <c r="AE2199" s="152"/>
      <c r="AF2199" s="2023"/>
      <c r="AG2199" s="743">
        <f t="shared" si="269"/>
        <v>1081</v>
      </c>
      <c r="DG2199" s="543"/>
      <c r="DH2199" s="149"/>
      <c r="DI2199" s="1020"/>
      <c r="DJ2199" s="2045"/>
    </row>
    <row r="2200" spans="1:114" ht="15.75" customHeight="1" outlineLevel="1" x14ac:dyDescent="0.25">
      <c r="A2200" s="2145"/>
      <c r="C2200" s="49"/>
      <c r="D2200" s="2393" t="s">
        <v>1025</v>
      </c>
      <c r="E2200" s="2393" t="s">
        <v>1026</v>
      </c>
      <c r="F2200" s="2404" t="str">
        <f t="shared" ref="F2200:F2216" si="274">VLOOKUP(J2200,$C$647:$E$852,3,FALSE)</f>
        <v>ASHP-SEER15-Replace_CAC_NonElectricHeat_ER1_SF</v>
      </c>
      <c r="G2200" s="2404"/>
      <c r="H2200" s="2404"/>
      <c r="I2200" s="2404"/>
      <c r="J2200" s="962" t="s">
        <v>1119</v>
      </c>
      <c r="K2200" s="1445">
        <f t="shared" ref="K2200:K2216" si="275">SUMIFS(F$647:F$852,C$647:C$852,J2200)/SUMIFS(F$647:F$852,C$647:C$852,M2200)</f>
        <v>0.12747836866133846</v>
      </c>
      <c r="L2200" s="45"/>
      <c r="M2200" s="1812" t="str">
        <f t="shared" ref="M2200:M2215" si="276">INDEX($C$647:$E$852,MATCH(SUBSTITUTE(F2200, "NonElectric", "Electric"),$E$647:$E$852,0),1)</f>
        <v>352300_2024_12_</v>
      </c>
      <c r="P2200" s="243"/>
      <c r="Q2200" s="192"/>
      <c r="R2200" s="243"/>
      <c r="T2200" s="166"/>
      <c r="U2200" s="50"/>
      <c r="V2200" s="2393" t="s">
        <v>1025</v>
      </c>
      <c r="W2200" s="1268"/>
      <c r="X2200" s="1268"/>
      <c r="Y2200" s="1268"/>
      <c r="Z2200" s="1268"/>
      <c r="AA2200" s="1268"/>
      <c r="AB2200" s="1268"/>
      <c r="AC2200" s="752"/>
      <c r="AD2200" s="2026"/>
      <c r="AE2200" s="2027">
        <v>0.12033748297481067</v>
      </c>
      <c r="AF2200" s="273">
        <v>0.12033748297481067</v>
      </c>
      <c r="AG2200" s="296">
        <f t="shared" si="269"/>
        <v>0.12747836866133846</v>
      </c>
      <c r="DG2200" s="543"/>
      <c r="DH2200" s="149"/>
      <c r="DI2200" s="1020"/>
      <c r="DJ2200" s="2045"/>
    </row>
    <row r="2201" spans="1:114" ht="15.75" customHeight="1" outlineLevel="1" x14ac:dyDescent="0.25">
      <c r="A2201" s="2145"/>
      <c r="C2201" s="49"/>
      <c r="D2201" s="2394"/>
      <c r="E2201" s="2394"/>
      <c r="F2201" s="2404" t="str">
        <f t="shared" si="274"/>
        <v>ASHP-SEER15-Replace_CAC_NonElectricHeat_ROF_SF</v>
      </c>
      <c r="G2201" s="2404"/>
      <c r="H2201" s="2404"/>
      <c r="I2201" s="2404"/>
      <c r="J2201" s="962" t="s">
        <v>1127</v>
      </c>
      <c r="K2201" s="1445">
        <f t="shared" si="275"/>
        <v>3.1279359760070041E-2</v>
      </c>
      <c r="L2201" s="45"/>
      <c r="M2201" s="1812" t="str">
        <f t="shared" si="276"/>
        <v>352400_2024_12_</v>
      </c>
      <c r="P2201" s="243"/>
      <c r="Q2201" s="192"/>
      <c r="R2201" s="243"/>
      <c r="T2201" s="166"/>
      <c r="U2201" s="50"/>
      <c r="V2201" s="2394"/>
      <c r="W2201" s="1268"/>
      <c r="X2201" s="1268"/>
      <c r="Y2201" s="1268"/>
      <c r="Z2201" s="1268"/>
      <c r="AA2201" s="1268"/>
      <c r="AB2201" s="1268"/>
      <c r="AC2201" s="752"/>
      <c r="AD2201" s="2026"/>
      <c r="AE2201" s="2027">
        <v>2.9641511763673745E-2</v>
      </c>
      <c r="AF2201" s="273">
        <v>2.9641511763673745E-2</v>
      </c>
      <c r="AG2201" s="296">
        <f t="shared" si="269"/>
        <v>3.1279359760070041E-2</v>
      </c>
      <c r="DG2201" s="543"/>
      <c r="DH2201" s="149"/>
      <c r="DI2201" s="1020"/>
      <c r="DJ2201" s="2045"/>
    </row>
    <row r="2202" spans="1:114" ht="15.75" customHeight="1" outlineLevel="1" x14ac:dyDescent="0.25">
      <c r="A2202" s="2145"/>
      <c r="C2202" s="49"/>
      <c r="D2202" s="2394"/>
      <c r="E2202" s="2394"/>
      <c r="F2202" s="2404" t="str">
        <f t="shared" si="274"/>
        <v>ASHP-SEER16-Replace_CAC_NonElectricHeat_ER1_SF</v>
      </c>
      <c r="G2202" s="2404"/>
      <c r="H2202" s="2404"/>
      <c r="I2202" s="2404"/>
      <c r="J2202" s="962" t="s">
        <v>1137</v>
      </c>
      <c r="K2202" s="1445">
        <f t="shared" si="275"/>
        <v>0.14233980755703787</v>
      </c>
      <c r="L2202" s="45"/>
      <c r="M2202" s="1812" t="str">
        <f t="shared" si="276"/>
        <v>352500_2024_12_</v>
      </c>
      <c r="P2202" s="243"/>
      <c r="Q2202" s="192"/>
      <c r="R2202" s="243"/>
      <c r="T2202" s="166"/>
      <c r="U2202" s="50"/>
      <c r="V2202" s="2394"/>
      <c r="W2202" s="1268"/>
      <c r="X2202" s="1268"/>
      <c r="Y2202" s="1268"/>
      <c r="Z2202" s="1268"/>
      <c r="AA2202" s="1268"/>
      <c r="AB2202" s="1268"/>
      <c r="AC2202" s="752"/>
      <c r="AD2202" s="2026"/>
      <c r="AE2202" s="2027">
        <v>0.13195861492283978</v>
      </c>
      <c r="AF2202" s="273">
        <v>0.13195861492283978</v>
      </c>
      <c r="AG2202" s="296">
        <f t="shared" si="269"/>
        <v>0.14233980755703787</v>
      </c>
      <c r="DG2202" s="543"/>
      <c r="DH2202" s="149"/>
      <c r="DI2202" s="1020"/>
      <c r="DJ2202" s="2045"/>
    </row>
    <row r="2203" spans="1:114" ht="15.75" customHeight="1" outlineLevel="1" x14ac:dyDescent="0.25">
      <c r="A2203" s="2145"/>
      <c r="C2203" s="49"/>
      <c r="D2203" s="2394"/>
      <c r="E2203" s="2394"/>
      <c r="F2203" s="2392" t="str">
        <f t="shared" si="274"/>
        <v>ASHP-SEER16-Replace_CAC_NonElectricHeat_ER1_MF</v>
      </c>
      <c r="G2203" s="2392"/>
      <c r="H2203" s="2392"/>
      <c r="I2203" s="2392"/>
      <c r="J2203" s="2016" t="s">
        <v>1140</v>
      </c>
      <c r="K2203" s="2017">
        <f t="shared" si="275"/>
        <v>9.980925281690714E-2</v>
      </c>
      <c r="L2203" s="46"/>
      <c r="M2203" s="2018" t="s">
        <v>1156</v>
      </c>
      <c r="P2203" s="243"/>
      <c r="Q2203" s="192"/>
      <c r="R2203" s="243"/>
      <c r="T2203" s="166"/>
      <c r="U2203" s="50"/>
      <c r="V2203" s="2394"/>
      <c r="W2203" s="2024"/>
      <c r="X2203" s="2024"/>
      <c r="Y2203" s="2024"/>
      <c r="Z2203" s="2024"/>
      <c r="AA2203" s="2024"/>
      <c r="AB2203" s="2024"/>
      <c r="AC2203" s="2025"/>
      <c r="AD2203" s="2028"/>
      <c r="AE2203" s="2029"/>
      <c r="AF2203" s="2030"/>
      <c r="AG2203" s="296">
        <f>IF(K2203&lt;&gt;"",K2203,"")</f>
        <v>9.980925281690714E-2</v>
      </c>
      <c r="DG2203" s="543"/>
      <c r="DH2203" s="149"/>
      <c r="DI2203" s="1020"/>
      <c r="DJ2203" s="2045"/>
    </row>
    <row r="2204" spans="1:114" ht="15.75" customHeight="1" outlineLevel="1" x14ac:dyDescent="0.25">
      <c r="A2204" s="2145"/>
      <c r="C2204" s="49"/>
      <c r="D2204" s="2394"/>
      <c r="E2204" s="2394"/>
      <c r="F2204" s="2404" t="str">
        <f t="shared" si="274"/>
        <v>ASHP-SEER16-Replace_CAC_NonElectricHeat_ROF_SF</v>
      </c>
      <c r="G2204" s="2404"/>
      <c r="H2204" s="2404"/>
      <c r="I2204" s="2404"/>
      <c r="J2204" s="962" t="s">
        <v>1150</v>
      </c>
      <c r="K2204" s="1445">
        <f t="shared" si="275"/>
        <v>4.4421230606095055E-2</v>
      </c>
      <c r="L2204" s="45"/>
      <c r="M2204" s="1812" t="str">
        <f t="shared" si="276"/>
        <v>352600_2024_12_</v>
      </c>
      <c r="P2204" s="243"/>
      <c r="Q2204" s="192"/>
      <c r="R2204" s="243"/>
      <c r="T2204" s="166"/>
      <c r="U2204" s="50"/>
      <c r="V2204" s="2394"/>
      <c r="W2204" s="1268"/>
      <c r="X2204" s="1268"/>
      <c r="Y2204" s="1268"/>
      <c r="Z2204" s="1268"/>
      <c r="AA2204" s="1268"/>
      <c r="AB2204" s="1268"/>
      <c r="AC2204" s="752"/>
      <c r="AD2204" s="2026"/>
      <c r="AE2204" s="2027">
        <v>4.1245065423315345E-2</v>
      </c>
      <c r="AF2204" s="273">
        <v>4.1245065423315345E-2</v>
      </c>
      <c r="AG2204" s="296">
        <f t="shared" si="269"/>
        <v>4.4421230606095055E-2</v>
      </c>
      <c r="DG2204" s="543"/>
      <c r="DH2204" s="149"/>
      <c r="DI2204" s="1020"/>
      <c r="DJ2204" s="2045"/>
    </row>
    <row r="2205" spans="1:114" ht="15.75" customHeight="1" outlineLevel="1" x14ac:dyDescent="0.25">
      <c r="A2205" s="2145"/>
      <c r="C2205" s="49"/>
      <c r="D2205" s="2394"/>
      <c r="E2205" s="2394"/>
      <c r="F2205" s="2404" t="str">
        <f t="shared" si="274"/>
        <v>ASHP-SEER17-Replace_CAC_NonElectricHeat_ROF_SF</v>
      </c>
      <c r="G2205" s="2404"/>
      <c r="H2205" s="2404"/>
      <c r="I2205" s="2404"/>
      <c r="J2205" s="962" t="s">
        <v>1163</v>
      </c>
      <c r="K2205" s="1445">
        <f t="shared" si="275"/>
        <v>4.8173020843360531E-2</v>
      </c>
      <c r="L2205" s="45"/>
      <c r="M2205" s="1812" t="str">
        <f t="shared" si="276"/>
        <v>353100_2024_12_</v>
      </c>
      <c r="P2205" s="243"/>
      <c r="Q2205" s="192"/>
      <c r="R2205" s="243"/>
      <c r="T2205" s="166"/>
      <c r="U2205" s="50"/>
      <c r="V2205" s="2394"/>
      <c r="W2205" s="1268"/>
      <c r="X2205" s="1268"/>
      <c r="Y2205" s="1268"/>
      <c r="Z2205" s="1268"/>
      <c r="AA2205" s="1268"/>
      <c r="AB2205" s="1268"/>
      <c r="AC2205" s="752"/>
      <c r="AD2205" s="2026"/>
      <c r="AE2205" s="2027">
        <v>4.5152187950570979E-2</v>
      </c>
      <c r="AF2205" s="273">
        <v>4.5152187950570979E-2</v>
      </c>
      <c r="AG2205" s="296">
        <f t="shared" si="269"/>
        <v>4.8173020843360531E-2</v>
      </c>
      <c r="DG2205" s="543"/>
      <c r="DH2205" s="149"/>
      <c r="DI2205" s="1020"/>
      <c r="DJ2205" s="2045"/>
    </row>
    <row r="2206" spans="1:114" ht="15.75" customHeight="1" outlineLevel="1" x14ac:dyDescent="0.25">
      <c r="A2206" s="2145"/>
      <c r="C2206" s="49"/>
      <c r="D2206" s="2394"/>
      <c r="E2206" s="2394"/>
      <c r="F2206" s="2404" t="str">
        <f t="shared" si="274"/>
        <v>ASHP-SEER18-Replace_CAC_NonElectricHeat_ROF_SF</v>
      </c>
      <c r="G2206" s="2404"/>
      <c r="H2206" s="2404"/>
      <c r="I2206" s="2404"/>
      <c r="J2206" s="962" t="s">
        <v>1167</v>
      </c>
      <c r="K2206" s="1445">
        <f t="shared" si="275"/>
        <v>6.8915613815195301E-2</v>
      </c>
      <c r="L2206" s="45"/>
      <c r="M2206" s="1812" t="str">
        <f t="shared" si="276"/>
        <v>353200_2024_12_</v>
      </c>
      <c r="P2206" s="243"/>
      <c r="Q2206" s="192"/>
      <c r="R2206" s="243"/>
      <c r="T2206" s="166"/>
      <c r="U2206" s="50"/>
      <c r="V2206" s="2394"/>
      <c r="W2206" s="1268"/>
      <c r="X2206" s="1268"/>
      <c r="Y2206" s="1268"/>
      <c r="Z2206" s="1268"/>
      <c r="AA2206" s="1268"/>
      <c r="AB2206" s="1268"/>
      <c r="AC2206" s="752"/>
      <c r="AD2206" s="2026"/>
      <c r="AE2206" s="2027">
        <v>6.3342831125872731E-2</v>
      </c>
      <c r="AF2206" s="273">
        <v>6.3342831125872731E-2</v>
      </c>
      <c r="AG2206" s="296">
        <f t="shared" si="269"/>
        <v>6.8915613815195301E-2</v>
      </c>
      <c r="DG2206" s="543"/>
      <c r="DH2206" s="149"/>
      <c r="DI2206" s="1020"/>
      <c r="DJ2206" s="2045"/>
    </row>
    <row r="2207" spans="1:114" ht="15.75" customHeight="1" outlineLevel="1" x14ac:dyDescent="0.25">
      <c r="A2207" s="2145"/>
      <c r="C2207" s="49"/>
      <c r="D2207" s="2394"/>
      <c r="E2207" s="2394"/>
      <c r="F2207" s="2404" t="str">
        <f t="shared" si="274"/>
        <v>ASHP-SEER19-Replace_CAC_NonElectricHeat_ROF_SF</v>
      </c>
      <c r="G2207" s="2404"/>
      <c r="H2207" s="2404"/>
      <c r="I2207" s="2404"/>
      <c r="J2207" s="962" t="s">
        <v>1171</v>
      </c>
      <c r="K2207" s="1445">
        <f t="shared" si="275"/>
        <v>8.0853929245697106E-2</v>
      </c>
      <c r="L2207" s="45"/>
      <c r="M2207" s="1812" t="str">
        <f t="shared" si="276"/>
        <v>353300_2024_12_</v>
      </c>
      <c r="P2207" s="243"/>
      <c r="Q2207" s="192"/>
      <c r="R2207" s="243"/>
      <c r="T2207" s="166"/>
      <c r="U2207" s="50"/>
      <c r="V2207" s="2394"/>
      <c r="W2207" s="1268"/>
      <c r="X2207" s="1268"/>
      <c r="Y2207" s="1268"/>
      <c r="Z2207" s="1268"/>
      <c r="AA2207" s="1268"/>
      <c r="AB2207" s="1268"/>
      <c r="AC2207" s="752"/>
      <c r="AD2207" s="2026"/>
      <c r="AE2207" s="2027">
        <v>7.4302573918254844E-2</v>
      </c>
      <c r="AF2207" s="273">
        <v>7.4302573918254844E-2</v>
      </c>
      <c r="AG2207" s="296">
        <f t="shared" si="269"/>
        <v>8.0853929245697106E-2</v>
      </c>
      <c r="DG2207" s="543"/>
      <c r="DH2207" s="149"/>
      <c r="DI2207" s="1020"/>
      <c r="DJ2207" s="2045"/>
    </row>
    <row r="2208" spans="1:114" ht="15.75" customHeight="1" outlineLevel="1" x14ac:dyDescent="0.25">
      <c r="A2208" s="2145"/>
      <c r="C2208" s="49"/>
      <c r="D2208" s="2394"/>
      <c r="E2208" s="2394"/>
      <c r="F2208" s="2404" t="str">
        <f t="shared" si="274"/>
        <v>ASHP-SEER20-Replace_CAC_NonElectricHeat_ER1_SF</v>
      </c>
      <c r="G2208" s="2404"/>
      <c r="H2208" s="2404"/>
      <c r="I2208" s="2404"/>
      <c r="J2208" s="962" t="s">
        <v>1176</v>
      </c>
      <c r="K2208" s="1445">
        <f t="shared" si="275"/>
        <v>0.15265094849522159</v>
      </c>
      <c r="L2208" s="45"/>
      <c r="M2208" s="1812" t="str">
        <f t="shared" si="276"/>
        <v>353400_2024_12_</v>
      </c>
      <c r="P2208" s="243"/>
      <c r="Q2208" s="192"/>
      <c r="R2208" s="243"/>
      <c r="T2208" s="166"/>
      <c r="U2208" s="50"/>
      <c r="V2208" s="2394"/>
      <c r="W2208" s="1268"/>
      <c r="X2208" s="1268"/>
      <c r="Y2208" s="1268"/>
      <c r="Z2208" s="1268"/>
      <c r="AA2208" s="1268"/>
      <c r="AB2208" s="1268"/>
      <c r="AC2208" s="752"/>
      <c r="AD2208" s="2026"/>
      <c r="AE2208" s="2027">
        <v>0.14184195057722604</v>
      </c>
      <c r="AF2208" s="273">
        <v>0.14184195057722604</v>
      </c>
      <c r="AG2208" s="296">
        <f t="shared" si="269"/>
        <v>0.15265094849522159</v>
      </c>
      <c r="DG2208" s="543"/>
      <c r="DH2208" s="149"/>
      <c r="DI2208" s="1020"/>
      <c r="DJ2208" s="2045"/>
    </row>
    <row r="2209" spans="1:114" ht="15.75" customHeight="1" outlineLevel="1" x14ac:dyDescent="0.25">
      <c r="A2209" s="2145"/>
      <c r="C2209" s="49"/>
      <c r="D2209" s="2394"/>
      <c r="E2209" s="2394"/>
      <c r="F2209" s="2392" t="str">
        <f t="shared" si="274"/>
        <v>ASHP-SEER17-Replace_CAC_NonElectricHeat_ER1_MF</v>
      </c>
      <c r="G2209" s="2392"/>
      <c r="H2209" s="2392"/>
      <c r="I2209" s="2392"/>
      <c r="J2209" s="2016" t="s">
        <v>1222</v>
      </c>
      <c r="K2209" s="2017">
        <f t="shared" si="275"/>
        <v>0.14762884979982932</v>
      </c>
      <c r="L2209" s="46"/>
      <c r="M2209" s="2018" t="s">
        <v>1225</v>
      </c>
      <c r="P2209" s="243"/>
      <c r="Q2209" s="192"/>
      <c r="R2209" s="243"/>
      <c r="T2209" s="166"/>
      <c r="U2209" s="50"/>
      <c r="V2209" s="2394"/>
      <c r="W2209" s="2024"/>
      <c r="X2209" s="2024"/>
      <c r="Y2209" s="2024"/>
      <c r="Z2209" s="2024"/>
      <c r="AA2209" s="2024"/>
      <c r="AB2209" s="2024"/>
      <c r="AC2209" s="2025"/>
      <c r="AD2209" s="2028"/>
      <c r="AE2209" s="2029"/>
      <c r="AF2209" s="2030"/>
      <c r="AG2209" s="296">
        <f>IF(K2209&lt;&gt;"",K2209,"")</f>
        <v>0.14762884979982932</v>
      </c>
      <c r="DG2209" s="543"/>
      <c r="DH2209" s="149"/>
      <c r="DI2209" s="1020"/>
      <c r="DJ2209" s="2045"/>
    </row>
    <row r="2210" spans="1:114" ht="15.75" customHeight="1" outlineLevel="1" x14ac:dyDescent="0.25">
      <c r="A2210" s="2145"/>
      <c r="C2210" s="49"/>
      <c r="D2210" s="2394"/>
      <c r="E2210" s="2394"/>
      <c r="F2210" s="2404" t="str">
        <f t="shared" si="274"/>
        <v>ASHP-SEER20-Replace_CAC_NonElectricHeat_ROF_SF</v>
      </c>
      <c r="G2210" s="2404"/>
      <c r="H2210" s="2404"/>
      <c r="I2210" s="2404"/>
      <c r="J2210" s="962" t="s">
        <v>1186</v>
      </c>
      <c r="K2210" s="1445">
        <f t="shared" si="275"/>
        <v>8.0911982616178657E-2</v>
      </c>
      <c r="L2210" s="45"/>
      <c r="M2210" s="1812" t="str">
        <f t="shared" si="276"/>
        <v>353450_2024_12_</v>
      </c>
      <c r="P2210" s="243"/>
      <c r="Q2210" s="192"/>
      <c r="R2210" s="243"/>
      <c r="T2210" s="166"/>
      <c r="U2210" s="50"/>
      <c r="V2210" s="2394"/>
      <c r="W2210" s="1268"/>
      <c r="X2210" s="1268"/>
      <c r="Y2210" s="1268"/>
      <c r="Z2210" s="1268"/>
      <c r="AA2210" s="1268"/>
      <c r="AB2210" s="1268"/>
      <c r="AC2210" s="752"/>
      <c r="AD2210" s="2026"/>
      <c r="AE2210" s="2027">
        <v>7.4599829180746882E-2</v>
      </c>
      <c r="AF2210" s="273">
        <v>7.4599829180746882E-2</v>
      </c>
      <c r="AG2210" s="296">
        <f t="shared" si="269"/>
        <v>8.0911982616178657E-2</v>
      </c>
      <c r="DG2210" s="543"/>
      <c r="DH2210" s="149"/>
      <c r="DI2210" s="1020"/>
      <c r="DJ2210" s="2045"/>
    </row>
    <row r="2211" spans="1:114" ht="15.75" customHeight="1" outlineLevel="1" x14ac:dyDescent="0.25">
      <c r="A2211" s="2145"/>
      <c r="C2211" s="49"/>
      <c r="D2211" s="2394"/>
      <c r="E2211" s="2394"/>
      <c r="F2211" s="2404" t="str">
        <f t="shared" si="274"/>
        <v>ASHP-SEER21-Replace_CAC_NonElectricHeat_ER1_SF</v>
      </c>
      <c r="G2211" s="2404"/>
      <c r="H2211" s="2404"/>
      <c r="I2211" s="2404"/>
      <c r="J2211" s="962" t="s">
        <v>1191</v>
      </c>
      <c r="K2211" s="1445">
        <f t="shared" si="275"/>
        <v>0.13692328743070509</v>
      </c>
      <c r="L2211" s="45"/>
      <c r="M2211" s="1812" t="str">
        <f t="shared" si="276"/>
        <v>353550_2024_12_</v>
      </c>
      <c r="P2211" s="243"/>
      <c r="Q2211" s="192"/>
      <c r="R2211" s="243"/>
      <c r="T2211" s="166"/>
      <c r="U2211" s="50"/>
      <c r="V2211" s="2394"/>
      <c r="W2211" s="1268"/>
      <c r="X2211" s="1268"/>
      <c r="Y2211" s="1268"/>
      <c r="Z2211" s="1268"/>
      <c r="AA2211" s="1268"/>
      <c r="AB2211" s="1268"/>
      <c r="AC2211" s="752"/>
      <c r="AD2211" s="2026"/>
      <c r="AE2211" s="2027">
        <v>0.12587351572310124</v>
      </c>
      <c r="AF2211" s="273">
        <v>0.12587351572310124</v>
      </c>
      <c r="AG2211" s="296">
        <f t="shared" si="269"/>
        <v>0.13692328743070509</v>
      </c>
      <c r="DG2211" s="543"/>
      <c r="DH2211" s="149"/>
      <c r="DI2211" s="1020"/>
      <c r="DJ2211" s="2045"/>
    </row>
    <row r="2212" spans="1:114" ht="15.75" customHeight="1" outlineLevel="1" x14ac:dyDescent="0.25">
      <c r="A2212" s="2145"/>
      <c r="C2212" s="49"/>
      <c r="D2212" s="2394"/>
      <c r="E2212" s="2394"/>
      <c r="F2212" s="2404" t="str">
        <f t="shared" si="274"/>
        <v>ASHP-SEER21-Replace_CAC_NonElectricHeat_ROF_SF</v>
      </c>
      <c r="G2212" s="2404"/>
      <c r="H2212" s="2404"/>
      <c r="I2212" s="2404"/>
      <c r="J2212" s="962" t="s">
        <v>1199</v>
      </c>
      <c r="K2212" s="1445">
        <f t="shared" si="275"/>
        <v>7.9738755447335788E-2</v>
      </c>
      <c r="L2212" s="45"/>
      <c r="M2212" s="1812" t="str">
        <f t="shared" si="276"/>
        <v>353650_2024_12_</v>
      </c>
      <c r="P2212" s="243"/>
      <c r="Q2212" s="192"/>
      <c r="R2212" s="243"/>
      <c r="T2212" s="166"/>
      <c r="U2212" s="50"/>
      <c r="V2212" s="2394"/>
      <c r="W2212" s="1268"/>
      <c r="X2212" s="1268"/>
      <c r="Y2212" s="1268"/>
      <c r="Z2212" s="1268"/>
      <c r="AA2212" s="1268"/>
      <c r="AB2212" s="1268"/>
      <c r="AC2212" s="752"/>
      <c r="AD2212" s="2026"/>
      <c r="AE2212" s="2027">
        <v>7.3343195951890955E-2</v>
      </c>
      <c r="AF2212" s="273">
        <v>7.3343195951890955E-2</v>
      </c>
      <c r="AG2212" s="296">
        <f t="shared" si="269"/>
        <v>7.9738755447335788E-2</v>
      </c>
      <c r="DG2212" s="543"/>
      <c r="DH2212" s="149"/>
      <c r="DI2212" s="1020"/>
      <c r="DJ2212" s="2045"/>
    </row>
    <row r="2213" spans="1:114" ht="15.75" customHeight="1" outlineLevel="1" x14ac:dyDescent="0.25">
      <c r="A2213" s="2145"/>
      <c r="C2213" s="49"/>
      <c r="D2213" s="2394"/>
      <c r="E2213" s="2394"/>
      <c r="F2213" s="2404" t="str">
        <f t="shared" si="274"/>
        <v>ASHP-SEER17-Replace_CAC_NonElectricHeat_ER1_SF</v>
      </c>
      <c r="G2213" s="2404"/>
      <c r="H2213" s="2404"/>
      <c r="I2213" s="2404"/>
      <c r="J2213" s="962" t="s">
        <v>1219</v>
      </c>
      <c r="K2213" s="1445">
        <f t="shared" si="275"/>
        <v>0.14077885851143324</v>
      </c>
      <c r="L2213" s="45"/>
      <c r="M2213" s="1812" t="str">
        <f t="shared" si="276"/>
        <v>354100_2024_12_</v>
      </c>
      <c r="P2213" s="243"/>
      <c r="Q2213" s="192"/>
      <c r="R2213" s="243"/>
      <c r="T2213" s="166"/>
      <c r="U2213" s="50"/>
      <c r="V2213" s="2394"/>
      <c r="W2213" s="1268"/>
      <c r="X2213" s="1268"/>
      <c r="Y2213" s="1268"/>
      <c r="Z2213" s="1268"/>
      <c r="AA2213" s="1268"/>
      <c r="AB2213" s="1268"/>
      <c r="AC2213" s="752"/>
      <c r="AD2213" s="2026"/>
      <c r="AE2213" s="2027">
        <v>0.13249126006550532</v>
      </c>
      <c r="AF2213" s="273">
        <v>0.13249126006550532</v>
      </c>
      <c r="AG2213" s="296">
        <f t="shared" si="269"/>
        <v>0.14077885851143324</v>
      </c>
      <c r="DG2213" s="543"/>
      <c r="DH2213" s="149"/>
      <c r="DI2213" s="1020"/>
      <c r="DJ2213" s="2045"/>
    </row>
    <row r="2214" spans="1:114" ht="15.75" customHeight="1" outlineLevel="1" x14ac:dyDescent="0.25">
      <c r="A2214" s="2145"/>
      <c r="C2214" s="49"/>
      <c r="D2214" s="2394"/>
      <c r="E2214" s="2394"/>
      <c r="F2214" s="2404" t="str">
        <f t="shared" si="274"/>
        <v>ASHP-SEER18-Replace_CAC_NonElectricHeat_ER1_SF</v>
      </c>
      <c r="G2214" s="2404"/>
      <c r="H2214" s="2404"/>
      <c r="I2214" s="2404"/>
      <c r="J2214" s="962" t="s">
        <v>1234</v>
      </c>
      <c r="K2214" s="1445">
        <f t="shared" si="275"/>
        <v>0.15163913070988058</v>
      </c>
      <c r="L2214" s="45"/>
      <c r="M2214" s="1812" t="str">
        <f t="shared" si="276"/>
        <v>354250_2024_12_</v>
      </c>
      <c r="P2214" s="243"/>
      <c r="Q2214" s="192"/>
      <c r="R2214" s="243"/>
      <c r="T2214" s="166"/>
      <c r="U2214" s="50"/>
      <c r="V2214" s="2394"/>
      <c r="W2214" s="1268"/>
      <c r="X2214" s="1268"/>
      <c r="Y2214" s="1268"/>
      <c r="Z2214" s="1268"/>
      <c r="AA2214" s="1268"/>
      <c r="AB2214" s="1268"/>
      <c r="AC2214" s="752"/>
      <c r="AD2214" s="2026"/>
      <c r="AE2214" s="2027">
        <v>0.13951738349152593</v>
      </c>
      <c r="AF2214" s="273">
        <v>0.13951738349152593</v>
      </c>
      <c r="AG2214" s="296">
        <f t="shared" si="269"/>
        <v>0.15163913070988058</v>
      </c>
      <c r="DG2214" s="543"/>
      <c r="DH2214" s="149"/>
      <c r="DI2214" s="1020"/>
      <c r="DJ2214" s="2045"/>
    </row>
    <row r="2215" spans="1:114" ht="15.75" customHeight="1" outlineLevel="1" x14ac:dyDescent="0.25">
      <c r="A2215" s="2145"/>
      <c r="C2215" s="49"/>
      <c r="D2215" s="2394"/>
      <c r="E2215" s="2394"/>
      <c r="F2215" s="2404" t="str">
        <f t="shared" si="274"/>
        <v>ASHP-SEER19-Replace_CAC_NonElectricHeat_ER1_SF</v>
      </c>
      <c r="G2215" s="2404"/>
      <c r="H2215" s="2404"/>
      <c r="I2215" s="2404"/>
      <c r="J2215" s="962" t="s">
        <v>1246</v>
      </c>
      <c r="K2215" s="1445">
        <f t="shared" si="275"/>
        <v>0.12414632430582412</v>
      </c>
      <c r="L2215" s="45"/>
      <c r="M2215" s="1812" t="str">
        <f t="shared" si="276"/>
        <v>354400_2024_12_</v>
      </c>
      <c r="P2215" s="243"/>
      <c r="Q2215" s="192"/>
      <c r="R2215" s="243"/>
      <c r="T2215" s="166"/>
      <c r="U2215" s="50"/>
      <c r="V2215" s="2394"/>
      <c r="W2215" s="1268"/>
      <c r="X2215" s="1268"/>
      <c r="Y2215" s="1268"/>
      <c r="Z2215" s="1268"/>
      <c r="AA2215" s="1268"/>
      <c r="AB2215" s="1268"/>
      <c r="AC2215" s="752"/>
      <c r="AD2215" s="2026"/>
      <c r="AE2215" s="2027">
        <v>0.11469614554545365</v>
      </c>
      <c r="AF2215" s="273">
        <v>0.11469614554545365</v>
      </c>
      <c r="AG2215" s="296">
        <f t="shared" si="269"/>
        <v>0.12414632430582412</v>
      </c>
      <c r="DG2215" s="543"/>
      <c r="DH2215" s="149"/>
      <c r="DI2215" s="1020"/>
      <c r="DJ2215" s="2045"/>
    </row>
    <row r="2216" spans="1:114" ht="15.75" customHeight="1" outlineLevel="1" x14ac:dyDescent="0.25">
      <c r="A2216" s="2145"/>
      <c r="C2216" s="49"/>
      <c r="D2216" s="2395"/>
      <c r="E2216" s="2395"/>
      <c r="F2216" s="2392" t="str">
        <f t="shared" si="274"/>
        <v>ASHP-SEER20-Replace_CAC_NonElectricHeat_ER1_MF</v>
      </c>
      <c r="G2216" s="2392"/>
      <c r="H2216" s="2392"/>
      <c r="I2216" s="2392"/>
      <c r="J2216" s="2112" t="s">
        <v>1179</v>
      </c>
      <c r="K2216" s="2017">
        <f t="shared" si="275"/>
        <v>0.24737439257591676</v>
      </c>
      <c r="L2216" s="46"/>
      <c r="M2216" s="2018" t="s">
        <v>1260</v>
      </c>
      <c r="P2216" s="243"/>
      <c r="Q2216" s="192"/>
      <c r="R2216" s="243"/>
      <c r="T2216" s="166"/>
      <c r="U2216" s="50"/>
      <c r="V2216" s="2395"/>
      <c r="W2216" s="2024"/>
      <c r="X2216" s="2024"/>
      <c r="Y2216" s="2024"/>
      <c r="Z2216" s="2024"/>
      <c r="AA2216" s="2024"/>
      <c r="AB2216" s="2024"/>
      <c r="AC2216" s="2025"/>
      <c r="AD2216" s="2028"/>
      <c r="AE2216" s="2029"/>
      <c r="AF2216" s="2030"/>
      <c r="AG2216" s="296">
        <f t="shared" si="269"/>
        <v>0.24737439257591676</v>
      </c>
      <c r="DG2216" s="543"/>
      <c r="DH2216" s="149"/>
      <c r="DI2216" s="1020"/>
      <c r="DJ2216" s="2045"/>
    </row>
    <row r="2217" spans="1:114" ht="15.75" customHeight="1" outlineLevel="1" x14ac:dyDescent="0.25">
      <c r="A2217" s="2145"/>
      <c r="C2217" s="49"/>
      <c r="D2217" s="390"/>
      <c r="E2217" s="390"/>
      <c r="F2217" s="533"/>
      <c r="G2217" s="533"/>
      <c r="H2217" s="533"/>
      <c r="I2217" s="533"/>
      <c r="J2217" s="1509"/>
      <c r="K2217" s="1510"/>
      <c r="L2217" s="1511"/>
      <c r="M2217" s="1512"/>
      <c r="P2217" s="243"/>
      <c r="Q2217" s="192"/>
      <c r="R2217" s="243"/>
      <c r="T2217" s="166"/>
      <c r="U2217" s="50"/>
      <c r="V2217" s="390"/>
      <c r="W2217" s="1510"/>
      <c r="X2217" s="1513"/>
      <c r="Y2217" s="1513"/>
      <c r="Z2217" s="1510"/>
      <c r="AA2217" s="1510"/>
      <c r="AB2217" s="1513"/>
      <c r="AC2217" s="1510"/>
      <c r="AD2217" s="1510"/>
      <c r="AE2217" s="1510"/>
      <c r="AF2217" s="1510"/>
      <c r="AG2217" s="1981"/>
      <c r="DG2217" s="543"/>
      <c r="DH2217" s="149"/>
      <c r="DI2217" s="1020"/>
      <c r="DJ2217" s="2045"/>
    </row>
    <row r="2218" spans="1:114" ht="15" customHeight="1" x14ac:dyDescent="0.25">
      <c r="A2218" s="2145"/>
      <c r="C2218" s="49"/>
      <c r="D2218" s="100"/>
      <c r="E2218" s="100"/>
      <c r="G2218" s="100"/>
      <c r="T2218" s="50"/>
      <c r="U2218" s="50"/>
      <c r="V2218" s="50"/>
      <c r="DG2218" s="543"/>
      <c r="DH2218" s="149"/>
      <c r="DI2218" s="1020"/>
    </row>
    <row r="2219" spans="1:114" x14ac:dyDescent="0.25">
      <c r="A2219" s="2145"/>
      <c r="C2219" s="49"/>
      <c r="D2219" s="100"/>
      <c r="E2219" s="100"/>
      <c r="G2219" s="100"/>
      <c r="T2219" s="50"/>
      <c r="U2219" s="50"/>
      <c r="V2219" s="50"/>
      <c r="DG2219" s="543"/>
      <c r="DH2219" s="149"/>
      <c r="DI2219" s="1020"/>
    </row>
    <row r="2220" spans="1:114" x14ac:dyDescent="0.25">
      <c r="A2220" s="2145"/>
      <c r="C2220" s="49"/>
      <c r="D2220" s="100"/>
      <c r="E2220" s="100"/>
      <c r="G2220" s="100"/>
      <c r="T2220" s="50"/>
      <c r="U2220" s="50"/>
      <c r="V2220" s="50"/>
      <c r="DG2220" s="543"/>
      <c r="DH2220" s="149"/>
      <c r="DI2220" s="1020"/>
    </row>
    <row r="2221" spans="1:114" x14ac:dyDescent="0.25">
      <c r="A2221" s="2145"/>
      <c r="B2221" s="1234" t="s">
        <v>1304</v>
      </c>
      <c r="C2221" s="203"/>
      <c r="D2221" s="1235"/>
      <c r="E2221" s="1235"/>
      <c r="F2221" s="1235"/>
      <c r="G2221" s="1235"/>
      <c r="H2221" s="1235"/>
      <c r="I2221" s="1235"/>
      <c r="J2221" s="1235"/>
      <c r="K2221" s="1235"/>
      <c r="L2221" s="1235"/>
      <c r="M2221" s="1235"/>
      <c r="N2221" s="1235"/>
      <c r="O2221" s="1235"/>
      <c r="P2221" s="1235"/>
      <c r="Q2221" s="1269"/>
      <c r="T2221" s="50"/>
      <c r="U2221" s="50"/>
      <c r="V2221" s="2339" t="str">
        <f>B2221</f>
        <v>Packaged Terminal Air Source Heat Pumps</v>
      </c>
      <c r="W2221" s="2340"/>
      <c r="X2221" s="2340"/>
      <c r="Y2221" s="2340"/>
      <c r="Z2221" s="2340"/>
      <c r="AA2221" s="2340"/>
      <c r="AB2221" s="2340"/>
      <c r="AC2221" s="2341"/>
      <c r="AD2221" s="2341"/>
      <c r="AE2221" s="2341"/>
      <c r="AF2221" s="2341"/>
      <c r="AG2221" s="2341"/>
      <c r="AH2221" s="2342"/>
      <c r="DG2221" s="543"/>
      <c r="DH2221" s="149"/>
      <c r="DI2221" s="1020"/>
    </row>
    <row r="2222" spans="1:114" x14ac:dyDescent="0.25">
      <c r="A2222" s="2145"/>
      <c r="C2222" s="49"/>
      <c r="D2222" s="100"/>
      <c r="E2222" s="100"/>
      <c r="G2222" s="100"/>
      <c r="H2222" s="49"/>
      <c r="I2222" s="49"/>
      <c r="J2222" s="49"/>
      <c r="K2222" s="49"/>
      <c r="L2222" s="49"/>
      <c r="M2222" s="49"/>
      <c r="Q2222" s="100"/>
      <c r="T2222" s="50"/>
      <c r="U2222" s="50"/>
      <c r="V2222" s="50"/>
      <c r="DG2222" s="543"/>
      <c r="DH2222" s="149"/>
      <c r="DI2222" s="1020"/>
    </row>
    <row r="2223" spans="1:114" ht="30" x14ac:dyDescent="0.25">
      <c r="A2223" s="2145"/>
      <c r="C2223" s="1242" t="s">
        <v>43</v>
      </c>
      <c r="D2223" s="1242" t="s">
        <v>597</v>
      </c>
      <c r="E2223" s="1242" t="s">
        <v>45</v>
      </c>
      <c r="F2223" s="1242" t="s">
        <v>46</v>
      </c>
      <c r="G2223" s="1242" t="s">
        <v>47</v>
      </c>
      <c r="H2223" s="1242" t="s">
        <v>48</v>
      </c>
      <c r="I2223" s="1242" t="s">
        <v>49</v>
      </c>
      <c r="J2223" s="1254" t="s">
        <v>50</v>
      </c>
      <c r="K2223" s="1242" t="s">
        <v>51</v>
      </c>
      <c r="L2223" s="1242" t="s">
        <v>860</v>
      </c>
      <c r="T2223" s="50"/>
      <c r="U2223" s="50"/>
      <c r="V2223" s="162" t="s">
        <v>53</v>
      </c>
      <c r="W2223" s="637">
        <f>W$7</f>
        <v>43252</v>
      </c>
      <c r="X2223" s="637">
        <f t="shared" ref="X2223:AG2223" si="277">X$7</f>
        <v>43800</v>
      </c>
      <c r="Y2223" s="637">
        <f t="shared" si="277"/>
        <v>43800</v>
      </c>
      <c r="Z2223" s="637">
        <f t="shared" si="277"/>
        <v>43862</v>
      </c>
      <c r="AA2223" s="637">
        <f t="shared" si="277"/>
        <v>44013</v>
      </c>
      <c r="AB2223" s="637">
        <f t="shared" si="277"/>
        <v>44166</v>
      </c>
      <c r="AC2223" s="637">
        <f t="shared" si="277"/>
        <v>44531</v>
      </c>
      <c r="AD2223" s="637">
        <f t="shared" si="277"/>
        <v>44774</v>
      </c>
      <c r="AE2223" s="637">
        <f t="shared" si="277"/>
        <v>45139</v>
      </c>
      <c r="AF2223" s="637">
        <f t="shared" si="277"/>
        <v>45672</v>
      </c>
      <c r="AG2223" s="110">
        <f t="shared" si="277"/>
        <v>45931</v>
      </c>
      <c r="DG2223" s="1007" t="str">
        <f>'Efficient Products Deemed Table'!$DG$6</f>
        <v>TRC (2025)</v>
      </c>
      <c r="DH2223" s="1007" t="str">
        <f>'Efficient Products Deemed Table'!$DH$6</f>
        <v>Benefit Lookup</v>
      </c>
      <c r="DI2223" s="1007" t="str">
        <f>'Efficient Products Deemed Table'!$DI$6</f>
        <v>Benefits (2025 $)</v>
      </c>
      <c r="DJ2223" s="1007" t="str">
        <f>'Efficient Products Deemed Table'!$DJ$6</f>
        <v>Incremental Cost (2025 $)</v>
      </c>
    </row>
    <row r="2224" spans="1:114" x14ac:dyDescent="0.25">
      <c r="A2224" s="2143" t="s">
        <v>602</v>
      </c>
      <c r="B2224" s="1318">
        <f t="shared" ref="B2224:B2255" si="278">VALUE(LEFT(C2224,6))</f>
        <v>356200</v>
      </c>
      <c r="C2224" s="1816" t="s">
        <v>1305</v>
      </c>
      <c r="D2224" s="2093" t="s">
        <v>810</v>
      </c>
      <c r="E2224" s="1265" t="s">
        <v>1306</v>
      </c>
      <c r="F2224" s="979">
        <f>ROUND(((J$2295*J$2296*(1/J$2297-1/J$2300))/1000),2)</f>
        <v>459.54</v>
      </c>
      <c r="G2224" s="980" t="s">
        <v>1030</v>
      </c>
      <c r="H2224" s="919">
        <f>VLOOKUP(G2224,'CP FACTORS'!$A$3:$B$38, 2, FALSE)</f>
        <v>9.4741810000000004E-4</v>
      </c>
      <c r="I2224" s="981">
        <f t="shared" ref="I2224:I2239" si="279">ROUND(F2224*H2224,6)</f>
        <v>0.43537700000000001</v>
      </c>
      <c r="J2224" s="982">
        <f>$J$2306</f>
        <v>5</v>
      </c>
      <c r="K2224" s="983">
        <f>J$2308</f>
        <v>224.93182686576984</v>
      </c>
      <c r="L2224" s="984">
        <f>K$2285</f>
        <v>1.0111111111111111</v>
      </c>
      <c r="M2224" s="221"/>
      <c r="R2224" s="510"/>
      <c r="T2224" s="50"/>
      <c r="U2224" s="50"/>
      <c r="V2224" s="1261" t="s">
        <v>46</v>
      </c>
      <c r="W2224" s="907"/>
      <c r="X2224" s="907"/>
      <c r="Y2224" s="907"/>
      <c r="Z2224" s="907"/>
      <c r="AA2224" s="907"/>
      <c r="AB2224" s="907"/>
      <c r="AC2224" s="907"/>
      <c r="AD2224" s="965">
        <v>415.9</v>
      </c>
      <c r="AE2224" s="979">
        <v>415.9</v>
      </c>
      <c r="AF2224" s="253">
        <v>459.54</v>
      </c>
      <c r="AG2224" s="253">
        <f>IF(F2224&lt;&gt;"",F2224,"")</f>
        <v>459.54</v>
      </c>
      <c r="DG2224" s="1024">
        <f>(DI2224+DI2225+DI2226+DI2227)/(DJ2224+DJ2225+DJ2226+DJ2227)</f>
        <v>3.2268773695351931</v>
      </c>
      <c r="DH2224" s="1240" t="str">
        <f t="shared" ref="DH2224:DH2243" si="280">CONCATENATE(G2224," ",J2224," Year EUL")</f>
        <v>Cooling Res 5 Year EUL</v>
      </c>
      <c r="DI2224" s="931">
        <f>(INDEX('Avoided Cost Benefits'!$B$4:$B$866,MATCH(DH2224,'Avoided Cost Benefits'!$A$4:$A$866,0)))*F2224</f>
        <v>390.45761855945153</v>
      </c>
      <c r="DJ2224" s="2052">
        <f t="shared" ref="DJ2224:DJ2239" si="281">IFERROR(K2224/((1+DiscountRate)^(CurrentYear-DiscountYear)),0)</f>
        <v>224.93182686576984</v>
      </c>
    </row>
    <row r="2225" spans="1:114" x14ac:dyDescent="0.25">
      <c r="A2225" s="2143" t="s">
        <v>602</v>
      </c>
      <c r="B2225" s="1318">
        <f t="shared" si="278"/>
        <v>356200</v>
      </c>
      <c r="C2225" s="425" t="s">
        <v>1305</v>
      </c>
      <c r="D2225" s="2093" t="s">
        <v>810</v>
      </c>
      <c r="E2225" s="1265" t="s">
        <v>1306</v>
      </c>
      <c r="F2225" s="208">
        <f>ROUND(((J$2285*J$2286*(1/J$2287-1/J$2291))/1000),2)</f>
        <v>1229.9100000000001</v>
      </c>
      <c r="G2225" s="81" t="s">
        <v>1031</v>
      </c>
      <c r="H2225" s="66">
        <f>VLOOKUP(G2225,'CP FACTORS'!$A$3:$B$38, 2, FALSE)</f>
        <v>0</v>
      </c>
      <c r="I2225" s="961">
        <f t="shared" si="279"/>
        <v>0</v>
      </c>
      <c r="J2225" s="57">
        <f>$J$2306</f>
        <v>5</v>
      </c>
      <c r="K2225" s="159">
        <v>0</v>
      </c>
      <c r="L2225" s="967"/>
      <c r="M2225" s="221"/>
      <c r="R2225" s="510"/>
      <c r="T2225" s="50"/>
      <c r="U2225" s="50"/>
      <c r="V2225" s="1257" t="s">
        <v>46</v>
      </c>
      <c r="W2225" s="153"/>
      <c r="X2225" s="153"/>
      <c r="Y2225" s="153"/>
      <c r="Z2225" s="153"/>
      <c r="AA2225" s="153"/>
      <c r="AB2225" s="153"/>
      <c r="AC2225" s="153"/>
      <c r="AD2225" s="47">
        <v>1229.9100000000001</v>
      </c>
      <c r="AE2225" s="208">
        <v>1229.9100000000001</v>
      </c>
      <c r="AF2225" s="253">
        <v>1229.9100000000001</v>
      </c>
      <c r="AG2225" s="253">
        <f t="shared" ref="AG2225:AG2271" si="282">IF(F2225&lt;&gt;"",F2225,"")</f>
        <v>1229.9100000000001</v>
      </c>
      <c r="DG2225" s="1025"/>
      <c r="DH2225" s="1265" t="str">
        <f t="shared" si="280"/>
        <v>Heating Res 5 Year EUL</v>
      </c>
      <c r="DI2225" s="946">
        <f>(INDEX('Avoided Cost Benefits'!$B$4:$B$866,MATCH(DH2225,'Avoided Cost Benefits'!$A$4:$A$866,0)))*F2225</f>
        <v>281.59647518713859</v>
      </c>
      <c r="DJ2225" s="2051">
        <f t="shared" si="281"/>
        <v>0</v>
      </c>
    </row>
    <row r="2226" spans="1:114" x14ac:dyDescent="0.25">
      <c r="A2226" s="2143" t="s">
        <v>602</v>
      </c>
      <c r="B2226" s="1318">
        <f t="shared" si="278"/>
        <v>356200</v>
      </c>
      <c r="C2226" s="425" t="s">
        <v>1305</v>
      </c>
      <c r="D2226" s="2093" t="s">
        <v>810</v>
      </c>
      <c r="E2226" s="1265" t="s">
        <v>1307</v>
      </c>
      <c r="F2226" s="979">
        <f>ROUND(((J$2295*J$2296*(1/J$2299-1/J$2300))/1000),2)</f>
        <v>16</v>
      </c>
      <c r="G2226" s="81" t="s">
        <v>1083</v>
      </c>
      <c r="H2226" s="66">
        <f>VLOOKUP(G2226,'CP FACTORS'!$A$3:$B$38, 2, FALSE)</f>
        <v>9.4741810000000004E-4</v>
      </c>
      <c r="I2226" s="981">
        <f t="shared" si="279"/>
        <v>1.5159000000000001E-2</v>
      </c>
      <c r="J2226" s="57">
        <f>$J$2307</f>
        <v>10</v>
      </c>
      <c r="K2226" s="159">
        <v>0</v>
      </c>
      <c r="L2226" s="967"/>
      <c r="M2226" s="221"/>
      <c r="R2226" s="510"/>
      <c r="T2226" s="50"/>
      <c r="U2226" s="50"/>
      <c r="V2226" s="1257" t="s">
        <v>46</v>
      </c>
      <c r="W2226" s="153"/>
      <c r="X2226" s="153"/>
      <c r="Y2226" s="153"/>
      <c r="Z2226" s="153"/>
      <c r="AA2226" s="153"/>
      <c r="AB2226" s="153"/>
      <c r="AC2226" s="153"/>
      <c r="AD2226" s="47">
        <v>16</v>
      </c>
      <c r="AE2226" s="979">
        <v>16</v>
      </c>
      <c r="AF2226" s="253">
        <v>16</v>
      </c>
      <c r="AG2226" s="253">
        <f t="shared" si="282"/>
        <v>16</v>
      </c>
      <c r="DG2226" s="1025"/>
      <c r="DH2226" s="1265" t="str">
        <f t="shared" si="280"/>
        <v>Cooling Res ER2 10 Year EUL</v>
      </c>
      <c r="DI2226" s="946">
        <f>(INDEX('Avoided Cost Benefits'!$B$4:$B$866,MATCH(DH2226,'Avoided Cost Benefits'!$A$4:$A$866,0)))*F2226</f>
        <v>18.922991283545176</v>
      </c>
      <c r="DJ2226" s="2051">
        <f t="shared" si="281"/>
        <v>0</v>
      </c>
    </row>
    <row r="2227" spans="1:114" x14ac:dyDescent="0.25">
      <c r="A2227" s="2143" t="s">
        <v>602</v>
      </c>
      <c r="B2227" s="1318">
        <f t="shared" si="278"/>
        <v>356200</v>
      </c>
      <c r="C2227" s="425" t="s">
        <v>1305</v>
      </c>
      <c r="D2227" s="2093" t="s">
        <v>810</v>
      </c>
      <c r="E2227" s="1241" t="s">
        <v>1307</v>
      </c>
      <c r="F2227" s="208">
        <f>ROUND(((J$2285*J$2286*(1/J$2288-1/J$2291))/1000),2)</f>
        <v>112.08</v>
      </c>
      <c r="G2227" s="81" t="s">
        <v>1118</v>
      </c>
      <c r="H2227" s="66">
        <f>VLOOKUP(G2227,'CP FACTORS'!$A$3:$B$38, 2, FALSE)</f>
        <v>0</v>
      </c>
      <c r="I2227" s="961">
        <f t="shared" si="279"/>
        <v>0</v>
      </c>
      <c r="J2227" s="57">
        <f>$J$2307</f>
        <v>10</v>
      </c>
      <c r="K2227" s="159">
        <v>0</v>
      </c>
      <c r="L2227" s="967"/>
      <c r="M2227" s="221"/>
      <c r="R2227" s="510"/>
      <c r="T2227" s="50"/>
      <c r="U2227" s="50"/>
      <c r="V2227" s="1257" t="s">
        <v>46</v>
      </c>
      <c r="W2227" s="153"/>
      <c r="X2227" s="153"/>
      <c r="Y2227" s="153"/>
      <c r="Z2227" s="153"/>
      <c r="AA2227" s="153"/>
      <c r="AB2227" s="153"/>
      <c r="AC2227" s="153"/>
      <c r="AD2227" s="47">
        <v>112.08</v>
      </c>
      <c r="AE2227" s="208">
        <v>112.08</v>
      </c>
      <c r="AF2227" s="253">
        <v>112.08</v>
      </c>
      <c r="AG2227" s="253">
        <f t="shared" si="282"/>
        <v>112.08</v>
      </c>
      <c r="DG2227" s="762"/>
      <c r="DH2227" s="1241" t="str">
        <f t="shared" si="280"/>
        <v>Heating Res ER2 10 Year EUL</v>
      </c>
      <c r="DI2227" s="934">
        <f>(INDEX('Avoided Cost Benefits'!$B$4:$B$866,MATCH(DH2227,'Avoided Cost Benefits'!$A$4:$A$866,0)))*F2227</f>
        <v>34.850336771225535</v>
      </c>
      <c r="DJ2227" s="2051">
        <f t="shared" si="281"/>
        <v>0</v>
      </c>
    </row>
    <row r="2228" spans="1:114" x14ac:dyDescent="0.25">
      <c r="A2228" s="2143" t="s">
        <v>602</v>
      </c>
      <c r="B2228" s="1318">
        <f t="shared" si="278"/>
        <v>356250</v>
      </c>
      <c r="C2228" s="425" t="s">
        <v>1308</v>
      </c>
      <c r="D2228" s="2093" t="s">
        <v>810</v>
      </c>
      <c r="E2228" s="1240" t="s">
        <v>1309</v>
      </c>
      <c r="F2228" s="208">
        <f>ROUND(((J$2295*J$2296*(1/J$2298-1/J$2300))/1000),2)</f>
        <v>522.59</v>
      </c>
      <c r="G2228" s="81" t="s">
        <v>1030</v>
      </c>
      <c r="H2228" s="66">
        <f>VLOOKUP(G2228,'CP FACTORS'!$A$3:$B$38, 2, FALSE)</f>
        <v>9.4741810000000004E-4</v>
      </c>
      <c r="I2228" s="961">
        <f t="shared" si="279"/>
        <v>0.49511100000000002</v>
      </c>
      <c r="J2228" s="982">
        <f>$J$2306</f>
        <v>5</v>
      </c>
      <c r="K2228" s="983">
        <f>J$2308</f>
        <v>224.93182686576984</v>
      </c>
      <c r="L2228" s="967">
        <f>K$2285</f>
        <v>1.0111111111111111</v>
      </c>
      <c r="M2228" s="221"/>
      <c r="R2228" s="510"/>
      <c r="T2228" s="50"/>
      <c r="U2228" s="50"/>
      <c r="V2228" s="1261" t="s">
        <v>46</v>
      </c>
      <c r="W2228" s="907"/>
      <c r="X2228" s="907"/>
      <c r="Y2228" s="907"/>
      <c r="Z2228" s="907"/>
      <c r="AA2228" s="907"/>
      <c r="AB2228" s="907"/>
      <c r="AC2228" s="907"/>
      <c r="AD2228" s="965">
        <v>477.07</v>
      </c>
      <c r="AE2228" s="208">
        <v>477.07</v>
      </c>
      <c r="AF2228" s="253">
        <v>522.59</v>
      </c>
      <c r="AG2228" s="253">
        <f t="shared" si="282"/>
        <v>522.59</v>
      </c>
      <c r="DG2228" s="1024">
        <f>(DI2228+DI2229+DI2230+DI2231)/(DJ2228+DJ2229+DJ2230+DJ2231)</f>
        <v>8.3248076685992256</v>
      </c>
      <c r="DH2228" s="1240" t="str">
        <f t="shared" si="280"/>
        <v>Cooling Res 5 Year EUL</v>
      </c>
      <c r="DI2228" s="931">
        <f>(INDEX('Avoided Cost Benefits'!$B$4:$B$866,MATCH(DH2228,'Avoided Cost Benefits'!$A$4:$A$866,0)))*F2228</f>
        <v>444.02934865949379</v>
      </c>
      <c r="DJ2228" s="2051">
        <f t="shared" si="281"/>
        <v>224.93182686576984</v>
      </c>
    </row>
    <row r="2229" spans="1:114" x14ac:dyDescent="0.25">
      <c r="A2229" s="2143" t="s">
        <v>602</v>
      </c>
      <c r="B2229" s="1318">
        <f t="shared" si="278"/>
        <v>356250</v>
      </c>
      <c r="C2229" s="425" t="s">
        <v>1308</v>
      </c>
      <c r="D2229" s="2093" t="s">
        <v>810</v>
      </c>
      <c r="E2229" s="1265" t="s">
        <v>1309</v>
      </c>
      <c r="F2229" s="208">
        <f>ROUND(((J$2285*J$2286*(1/J$2289-1/J$2291))/1000),2)</f>
        <v>2610.79</v>
      </c>
      <c r="G2229" s="81" t="s">
        <v>1031</v>
      </c>
      <c r="H2229" s="66">
        <f>VLOOKUP(G2229,'CP FACTORS'!$A$3:$B$38, 2, FALSE)</f>
        <v>0</v>
      </c>
      <c r="I2229" s="961">
        <f t="shared" si="279"/>
        <v>0</v>
      </c>
      <c r="J2229" s="57">
        <f>$J$2306</f>
        <v>5</v>
      </c>
      <c r="K2229" s="159">
        <v>0</v>
      </c>
      <c r="L2229" s="967"/>
      <c r="M2229" s="221"/>
      <c r="R2229" s="510"/>
      <c r="T2229" s="50"/>
      <c r="U2229" s="50"/>
      <c r="V2229" s="1257" t="s">
        <v>46</v>
      </c>
      <c r="W2229" s="153"/>
      <c r="X2229" s="153"/>
      <c r="Y2229" s="153"/>
      <c r="Z2229" s="153"/>
      <c r="AA2229" s="153"/>
      <c r="AB2229" s="153"/>
      <c r="AC2229" s="153"/>
      <c r="AD2229" s="47">
        <v>2610.79</v>
      </c>
      <c r="AE2229" s="208">
        <v>2610.79</v>
      </c>
      <c r="AF2229" s="253">
        <v>2610.79</v>
      </c>
      <c r="AG2229" s="253">
        <f t="shared" si="282"/>
        <v>2610.79</v>
      </c>
      <c r="DG2229" s="1025"/>
      <c r="DH2229" s="1265" t="str">
        <f t="shared" si="280"/>
        <v>Heating Res 5 Year EUL</v>
      </c>
      <c r="DI2229" s="946">
        <f>(INDEX('Avoided Cost Benefits'!$B$4:$B$866,MATCH(DH2229,'Avoided Cost Benefits'!$A$4:$A$866,0)))*F2229</f>
        <v>597.75858514348977</v>
      </c>
      <c r="DJ2229" s="2051">
        <f t="shared" si="281"/>
        <v>0</v>
      </c>
    </row>
    <row r="2230" spans="1:114" x14ac:dyDescent="0.25">
      <c r="A2230" s="2143" t="s">
        <v>602</v>
      </c>
      <c r="B2230" s="1318">
        <f t="shared" si="278"/>
        <v>356250</v>
      </c>
      <c r="C2230" s="425" t="s">
        <v>1308</v>
      </c>
      <c r="D2230" s="2093" t="s">
        <v>810</v>
      </c>
      <c r="E2230" s="1265" t="s">
        <v>1310</v>
      </c>
      <c r="F2230" s="208">
        <f>ROUND(((J$2295*J$2296*(1/J$2299-1/J$2300))/1000),2)</f>
        <v>16</v>
      </c>
      <c r="G2230" s="81" t="s">
        <v>1083</v>
      </c>
      <c r="H2230" s="66">
        <f>VLOOKUP(G2230,'CP FACTORS'!$A$3:$B$38, 2, FALSE)</f>
        <v>9.4741810000000004E-4</v>
      </c>
      <c r="I2230" s="981">
        <f t="shared" si="279"/>
        <v>1.5159000000000001E-2</v>
      </c>
      <c r="J2230" s="57">
        <f>$J$2307</f>
        <v>10</v>
      </c>
      <c r="K2230" s="159">
        <v>0</v>
      </c>
      <c r="L2230" s="967"/>
      <c r="M2230" s="221"/>
      <c r="R2230" s="510"/>
      <c r="T2230" s="50"/>
      <c r="U2230" s="50"/>
      <c r="V2230" s="1257" t="s">
        <v>46</v>
      </c>
      <c r="W2230" s="153"/>
      <c r="X2230" s="153"/>
      <c r="Y2230" s="153"/>
      <c r="Z2230" s="153"/>
      <c r="AA2230" s="153"/>
      <c r="AB2230" s="153"/>
      <c r="AC2230" s="153"/>
      <c r="AD2230" s="47">
        <v>16</v>
      </c>
      <c r="AE2230" s="208">
        <v>16</v>
      </c>
      <c r="AF2230" s="253">
        <v>16</v>
      </c>
      <c r="AG2230" s="253">
        <f t="shared" si="282"/>
        <v>16</v>
      </c>
      <c r="DG2230" s="1025"/>
      <c r="DH2230" s="1265" t="str">
        <f t="shared" si="280"/>
        <v>Cooling Res ER2 10 Year EUL</v>
      </c>
      <c r="DI2230" s="946">
        <f>(INDEX('Avoided Cost Benefits'!$B$4:$B$866,MATCH(DH2230,'Avoided Cost Benefits'!$A$4:$A$866,0)))*F2230</f>
        <v>18.922991283545176</v>
      </c>
      <c r="DJ2230" s="2051">
        <f t="shared" si="281"/>
        <v>0</v>
      </c>
    </row>
    <row r="2231" spans="1:114" x14ac:dyDescent="0.25">
      <c r="A2231" s="2143" t="s">
        <v>602</v>
      </c>
      <c r="B2231" s="1318">
        <f t="shared" si="278"/>
        <v>356250</v>
      </c>
      <c r="C2231" s="425" t="s">
        <v>1308</v>
      </c>
      <c r="D2231" s="2093" t="s">
        <v>810</v>
      </c>
      <c r="E2231" s="1241" t="s">
        <v>1310</v>
      </c>
      <c r="F2231" s="208">
        <f>ROUND(((J$2285*J$2286*(1/J$2290-1/J$2291))/1000),2)</f>
        <v>2610.79</v>
      </c>
      <c r="G2231" s="81" t="s">
        <v>1118</v>
      </c>
      <c r="H2231" s="66">
        <f>VLOOKUP(G2231,'CP FACTORS'!$A$3:$B$38, 2, FALSE)</f>
        <v>0</v>
      </c>
      <c r="I2231" s="961">
        <f t="shared" si="279"/>
        <v>0</v>
      </c>
      <c r="J2231" s="57">
        <f>$J$2307</f>
        <v>10</v>
      </c>
      <c r="K2231" s="159">
        <v>0</v>
      </c>
      <c r="L2231" s="967"/>
      <c r="M2231" s="221"/>
      <c r="R2231" s="510"/>
      <c r="T2231" s="50"/>
      <c r="U2231" s="50"/>
      <c r="V2231" s="1257" t="s">
        <v>46</v>
      </c>
      <c r="W2231" s="153"/>
      <c r="X2231" s="153"/>
      <c r="Y2231" s="153"/>
      <c r="Z2231" s="153"/>
      <c r="AA2231" s="153"/>
      <c r="AB2231" s="153"/>
      <c r="AC2231" s="153"/>
      <c r="AD2231" s="47">
        <v>2610.79</v>
      </c>
      <c r="AE2231" s="208">
        <v>2610.79</v>
      </c>
      <c r="AF2231" s="253">
        <v>2610.79</v>
      </c>
      <c r="AG2231" s="253">
        <f t="shared" si="282"/>
        <v>2610.79</v>
      </c>
      <c r="DG2231" s="762"/>
      <c r="DH2231" s="1241" t="str">
        <f t="shared" si="280"/>
        <v>Heating Res ER2 10 Year EUL</v>
      </c>
      <c r="DI2231" s="934">
        <f>(INDEX('Avoided Cost Benefits'!$B$4:$B$866,MATCH(DH2231,'Avoided Cost Benefits'!$A$4:$A$866,0)))*F2231</f>
        <v>811.8032721176653</v>
      </c>
      <c r="DJ2231" s="2051">
        <f t="shared" si="281"/>
        <v>0</v>
      </c>
    </row>
    <row r="2232" spans="1:114" x14ac:dyDescent="0.25">
      <c r="A2232" s="2143" t="s">
        <v>602</v>
      </c>
      <c r="B2232" s="1318">
        <f t="shared" si="278"/>
        <v>356300</v>
      </c>
      <c r="C2232" s="425" t="s">
        <v>1311</v>
      </c>
      <c r="D2232" s="2093" t="s">
        <v>810</v>
      </c>
      <c r="E2232" s="1240" t="s">
        <v>1312</v>
      </c>
      <c r="F2232" s="208">
        <f>ROUND(((J$2295*J$2296*(1/J$2299-1/J$2300))/1000),2)</f>
        <v>16</v>
      </c>
      <c r="G2232" s="81" t="s">
        <v>1030</v>
      </c>
      <c r="H2232" s="66">
        <f>VLOOKUP(G2232,'CP FACTORS'!$A$3:$B$38, 2, FALSE)</f>
        <v>9.4741810000000004E-4</v>
      </c>
      <c r="I2232" s="961">
        <f t="shared" si="279"/>
        <v>1.5159000000000001E-2</v>
      </c>
      <c r="J2232" s="57">
        <f>$J$2305</f>
        <v>15</v>
      </c>
      <c r="K2232" s="159">
        <f>J$2309</f>
        <v>84.93</v>
      </c>
      <c r="L2232" s="967">
        <f>K$2285</f>
        <v>1.0111111111111111</v>
      </c>
      <c r="M2232" s="221"/>
      <c r="R2232" s="510"/>
      <c r="T2232" s="50"/>
      <c r="U2232" s="50"/>
      <c r="V2232" s="1257" t="s">
        <v>46</v>
      </c>
      <c r="W2232" s="153"/>
      <c r="X2232" s="153"/>
      <c r="Y2232" s="153"/>
      <c r="Z2232" s="153"/>
      <c r="AA2232" s="153"/>
      <c r="AB2232" s="153"/>
      <c r="AC2232" s="153"/>
      <c r="AD2232" s="47">
        <v>16</v>
      </c>
      <c r="AE2232" s="208">
        <v>16</v>
      </c>
      <c r="AF2232" s="253">
        <v>16</v>
      </c>
      <c r="AG2232" s="253">
        <f t="shared" si="282"/>
        <v>16</v>
      </c>
      <c r="DG2232" s="1024">
        <f>(DI2232+DI2233)/(DJ2232+DJ2233)</f>
        <v>1.0953674236290907</v>
      </c>
      <c r="DH2232" s="1240" t="str">
        <f>CONCATENATE(G2232," ",J2232," Year EUL")</f>
        <v>Cooling Res 15 Year EUL</v>
      </c>
      <c r="DI2232" s="931">
        <f>(INDEX('Avoided Cost Benefits'!$B$4:$B$866,MATCH(DH2232,'Avoided Cost Benefits'!$A$4:$A$866,0)))*F2232</f>
        <v>32.517720571422672</v>
      </c>
      <c r="DJ2232" s="2051">
        <f t="shared" si="281"/>
        <v>84.93</v>
      </c>
    </row>
    <row r="2233" spans="1:114" x14ac:dyDescent="0.25">
      <c r="A2233" s="2143" t="s">
        <v>602</v>
      </c>
      <c r="B2233" s="1318">
        <f t="shared" si="278"/>
        <v>356300</v>
      </c>
      <c r="C2233" s="425" t="s">
        <v>1311</v>
      </c>
      <c r="D2233" s="2093" t="s">
        <v>810</v>
      </c>
      <c r="E2233" s="1241" t="s">
        <v>1312</v>
      </c>
      <c r="F2233" s="208">
        <f>ROUND(((J$2285*J$2286*(1/J$2288-1/J$2291))/1000),2)</f>
        <v>112.08</v>
      </c>
      <c r="G2233" s="81" t="s">
        <v>1031</v>
      </c>
      <c r="H2233" s="66">
        <f>VLOOKUP(G2233,'CP FACTORS'!$A$3:$B$38, 2, FALSE)</f>
        <v>0</v>
      </c>
      <c r="I2233" s="961">
        <f t="shared" si="279"/>
        <v>0</v>
      </c>
      <c r="J2233" s="57">
        <f>$J$2305</f>
        <v>15</v>
      </c>
      <c r="K2233" s="159">
        <v>0</v>
      </c>
      <c r="L2233" s="967"/>
      <c r="M2233" s="221"/>
      <c r="R2233" s="510"/>
      <c r="T2233" s="50"/>
      <c r="U2233" s="50"/>
      <c r="V2233" s="1257" t="s">
        <v>46</v>
      </c>
      <c r="W2233" s="153"/>
      <c r="X2233" s="153"/>
      <c r="Y2233" s="153"/>
      <c r="Z2233" s="153"/>
      <c r="AA2233" s="153"/>
      <c r="AB2233" s="153"/>
      <c r="AC2233" s="153"/>
      <c r="AD2233" s="47">
        <v>112.08</v>
      </c>
      <c r="AE2233" s="208">
        <v>112.08</v>
      </c>
      <c r="AF2233" s="253">
        <v>112.08</v>
      </c>
      <c r="AG2233" s="253">
        <f t="shared" si="282"/>
        <v>112.08</v>
      </c>
      <c r="DG2233" s="762"/>
      <c r="DH2233" s="1241" t="str">
        <f>CONCATENATE(G2233," ",J2233," Year EUL")</f>
        <v>Heating Res 15 Year EUL</v>
      </c>
      <c r="DI2233" s="934">
        <f>(INDEX('Avoided Cost Benefits'!$B$4:$B$866,MATCH(DH2233,'Avoided Cost Benefits'!$A$4:$A$866,0)))*F2233</f>
        <v>60.511834717396013</v>
      </c>
      <c r="DJ2233" s="2051">
        <f t="shared" si="281"/>
        <v>0</v>
      </c>
    </row>
    <row r="2234" spans="1:114" x14ac:dyDescent="0.25">
      <c r="A2234" s="2143" t="s">
        <v>602</v>
      </c>
      <c r="B2234" s="1318">
        <f t="shared" si="278"/>
        <v>356350</v>
      </c>
      <c r="C2234" s="425" t="s">
        <v>1313</v>
      </c>
      <c r="D2234" s="2093" t="s">
        <v>810</v>
      </c>
      <c r="E2234" s="1240" t="s">
        <v>1314</v>
      </c>
      <c r="F2234" s="208">
        <f>ROUND(((J$2295*J$2296*(1/J$2299-1/J$2300))/1000),2)</f>
        <v>16</v>
      </c>
      <c r="G2234" s="81" t="s">
        <v>1030</v>
      </c>
      <c r="H2234" s="66">
        <f>VLOOKUP(G2234,'CP FACTORS'!$A$3:$B$38, 2, FALSE)</f>
        <v>9.4741810000000004E-4</v>
      </c>
      <c r="I2234" s="961">
        <f t="shared" si="279"/>
        <v>1.5159000000000001E-2</v>
      </c>
      <c r="J2234" s="57">
        <f>$J$2305</f>
        <v>15</v>
      </c>
      <c r="K2234" s="159">
        <f>J$2309</f>
        <v>84.93</v>
      </c>
      <c r="L2234" s="967">
        <f>K$2285</f>
        <v>1.0111111111111111</v>
      </c>
      <c r="M2234" s="221"/>
      <c r="R2234" s="510"/>
      <c r="T2234" s="50"/>
      <c r="U2234" s="50"/>
      <c r="V2234" s="1257" t="s">
        <v>46</v>
      </c>
      <c r="W2234" s="153"/>
      <c r="X2234" s="153"/>
      <c r="Y2234" s="153"/>
      <c r="Z2234" s="153"/>
      <c r="AA2234" s="153"/>
      <c r="AB2234" s="153"/>
      <c r="AC2234" s="153"/>
      <c r="AD2234" s="47">
        <v>16</v>
      </c>
      <c r="AE2234" s="208">
        <v>16</v>
      </c>
      <c r="AF2234" s="253">
        <v>16</v>
      </c>
      <c r="AG2234" s="253">
        <f t="shared" si="282"/>
        <v>16</v>
      </c>
      <c r="DG2234" s="1024">
        <f>(DI2234+DI2235)/(DJ2234+DJ2235)</f>
        <v>16.979625312993974</v>
      </c>
      <c r="DH2234" s="1240" t="str">
        <f t="shared" si="280"/>
        <v>Cooling Res 15 Year EUL</v>
      </c>
      <c r="DI2234" s="931">
        <f>(INDEX('Avoided Cost Benefits'!$B$4:$B$866,MATCH(DH2234,'Avoided Cost Benefits'!$A$4:$A$866,0)))*F2234</f>
        <v>32.517720571422672</v>
      </c>
      <c r="DJ2234" s="2051">
        <f t="shared" si="281"/>
        <v>84.93</v>
      </c>
    </row>
    <row r="2235" spans="1:114" x14ac:dyDescent="0.25">
      <c r="A2235" s="2143" t="s">
        <v>602</v>
      </c>
      <c r="B2235" s="1318">
        <f t="shared" si="278"/>
        <v>356350</v>
      </c>
      <c r="C2235" s="425" t="s">
        <v>1313</v>
      </c>
      <c r="D2235" s="2093" t="s">
        <v>810</v>
      </c>
      <c r="E2235" s="1241" t="s">
        <v>1314</v>
      </c>
      <c r="F2235" s="208">
        <f>ROUND(((J$2285*J$2286*(1/J$2290-1/J$2291))/1000),2)</f>
        <v>2610.79</v>
      </c>
      <c r="G2235" s="81" t="s">
        <v>1031</v>
      </c>
      <c r="H2235" s="66">
        <f>VLOOKUP(G2235,'CP FACTORS'!$A$3:$B$38, 2, FALSE)</f>
        <v>0</v>
      </c>
      <c r="I2235" s="961">
        <f t="shared" si="279"/>
        <v>0</v>
      </c>
      <c r="J2235" s="57">
        <f>$J$2305</f>
        <v>15</v>
      </c>
      <c r="K2235" s="159">
        <v>0</v>
      </c>
      <c r="L2235" s="967"/>
      <c r="M2235" s="221"/>
      <c r="R2235" s="510"/>
      <c r="T2235" s="50"/>
      <c r="U2235" s="50"/>
      <c r="V2235" s="1257" t="s">
        <v>46</v>
      </c>
      <c r="W2235" s="153"/>
      <c r="X2235" s="153"/>
      <c r="Y2235" s="153"/>
      <c r="Z2235" s="153"/>
      <c r="AA2235" s="153"/>
      <c r="AB2235" s="153"/>
      <c r="AC2235" s="153"/>
      <c r="AD2235" s="47">
        <v>2610.79</v>
      </c>
      <c r="AE2235" s="208">
        <v>2610.79</v>
      </c>
      <c r="AF2235" s="253">
        <v>2610.79</v>
      </c>
      <c r="AG2235" s="253">
        <f t="shared" si="282"/>
        <v>2610.79</v>
      </c>
      <c r="DG2235" s="762"/>
      <c r="DH2235" s="1241" t="str">
        <f t="shared" si="280"/>
        <v>Heating Res 15 Year EUL</v>
      </c>
      <c r="DI2235" s="934">
        <f>(INDEX('Avoided Cost Benefits'!$B$4:$B$866,MATCH(DH2235,'Avoided Cost Benefits'!$A$4:$A$866,0)))*F2235</f>
        <v>1409.5618572611556</v>
      </c>
      <c r="DJ2235" s="2051">
        <f t="shared" si="281"/>
        <v>0</v>
      </c>
    </row>
    <row r="2236" spans="1:114" x14ac:dyDescent="0.25">
      <c r="A2236" s="2143" t="s">
        <v>602</v>
      </c>
      <c r="B2236" s="1318">
        <f t="shared" si="278"/>
        <v>356400</v>
      </c>
      <c r="C2236" s="1816" t="s">
        <v>1315</v>
      </c>
      <c r="D2236" s="2093" t="s">
        <v>810</v>
      </c>
      <c r="E2236" s="1265" t="s">
        <v>1316</v>
      </c>
      <c r="F2236" s="979">
        <f>ROUND(((J$2295*J$2296*(1/J$2297-1/J$2301))/1000),2)</f>
        <v>507.53</v>
      </c>
      <c r="G2236" s="980" t="s">
        <v>1030</v>
      </c>
      <c r="H2236" s="919">
        <f>VLOOKUP(G2236,'CP FACTORS'!$A$3:$B$38, 2, FALSE)</f>
        <v>9.4741810000000004E-4</v>
      </c>
      <c r="I2236" s="981">
        <f t="shared" si="279"/>
        <v>0.48084300000000002</v>
      </c>
      <c r="J2236" s="982">
        <f>$J$2306</f>
        <v>5</v>
      </c>
      <c r="K2236" s="983">
        <f>J$2308</f>
        <v>224.93182686576984</v>
      </c>
      <c r="L2236" s="984">
        <f>K$2285</f>
        <v>1.0111111111111111</v>
      </c>
      <c r="M2236" s="221"/>
      <c r="R2236" s="510"/>
      <c r="T2236" s="50"/>
      <c r="U2236" s="50"/>
      <c r="V2236" s="1257" t="s">
        <v>46</v>
      </c>
      <c r="W2236" s="153"/>
      <c r="X2236" s="153"/>
      <c r="Y2236" s="153"/>
      <c r="Z2236" s="153"/>
      <c r="AA2236" s="153"/>
      <c r="AB2236" s="153"/>
      <c r="AC2236" s="153"/>
      <c r="AD2236" s="47">
        <v>463.89</v>
      </c>
      <c r="AE2236" s="208">
        <v>463.89</v>
      </c>
      <c r="AF2236" s="253">
        <v>507.53</v>
      </c>
      <c r="AG2236" s="253">
        <f t="shared" si="282"/>
        <v>507.53</v>
      </c>
      <c r="DG2236" s="1024">
        <f>(DI2236+DI2237+DI2238+DI2239)/(DJ2236+DJ2237+DJ2238+DJ2239)</f>
        <v>3.7048931473641917</v>
      </c>
      <c r="DH2236" s="1240" t="str">
        <f t="shared" si="280"/>
        <v>Cooling Res 5 Year EUL</v>
      </c>
      <c r="DI2236" s="931">
        <f>(INDEX('Avoided Cost Benefits'!$B$4:$B$866,MATCH(DH2236,'Avoided Cost Benefits'!$A$4:$A$866,0)))*F2236</f>
        <v>431.23330971727904</v>
      </c>
      <c r="DJ2236" s="2051">
        <f t="shared" si="281"/>
        <v>224.93182686576984</v>
      </c>
    </row>
    <row r="2237" spans="1:114" x14ac:dyDescent="0.25">
      <c r="A2237" s="2143" t="s">
        <v>602</v>
      </c>
      <c r="B2237" s="1318">
        <f t="shared" si="278"/>
        <v>356400</v>
      </c>
      <c r="C2237" s="425" t="s">
        <v>1315</v>
      </c>
      <c r="D2237" s="2093" t="s">
        <v>810</v>
      </c>
      <c r="E2237" s="1265" t="s">
        <v>1316</v>
      </c>
      <c r="F2237" s="208">
        <f>ROUND(((J$2285*J$2286*(1/J$2287-1/J$2292))/1000),2)</f>
        <v>1248.4100000000001</v>
      </c>
      <c r="G2237" s="81" t="s">
        <v>1031</v>
      </c>
      <c r="H2237" s="66">
        <f>VLOOKUP(G2237,'CP FACTORS'!$A$3:$B$38, 2, FALSE)</f>
        <v>0</v>
      </c>
      <c r="I2237" s="961">
        <f t="shared" si="279"/>
        <v>0</v>
      </c>
      <c r="J2237" s="57">
        <f>$J$2306</f>
        <v>5</v>
      </c>
      <c r="K2237" s="159">
        <v>0</v>
      </c>
      <c r="L2237" s="967"/>
      <c r="M2237" s="221"/>
      <c r="R2237" s="510"/>
      <c r="T2237" s="50"/>
      <c r="U2237" s="50"/>
      <c r="V2237" s="1257" t="s">
        <v>46</v>
      </c>
      <c r="W2237" s="153"/>
      <c r="X2237" s="153"/>
      <c r="Y2237" s="153"/>
      <c r="Z2237" s="153"/>
      <c r="AA2237" s="153"/>
      <c r="AB2237" s="153"/>
      <c r="AC2237" s="153"/>
      <c r="AD2237" s="47">
        <v>1248.4100000000001</v>
      </c>
      <c r="AE2237" s="208">
        <v>1248.4100000000001</v>
      </c>
      <c r="AF2237" s="253">
        <v>1248.4100000000001</v>
      </c>
      <c r="AG2237" s="253">
        <f t="shared" si="282"/>
        <v>1248.4100000000001</v>
      </c>
      <c r="DG2237" s="1025"/>
      <c r="DH2237" s="1265" t="str">
        <f t="shared" si="280"/>
        <v>Heating Res 5 Year EUL</v>
      </c>
      <c r="DI2237" s="946">
        <f>(INDEX('Avoided Cost Benefits'!$B$4:$B$866,MATCH(DH2237,'Avoided Cost Benefits'!$A$4:$A$866,0)))*F2237</f>
        <v>285.83217925569812</v>
      </c>
      <c r="DJ2237" s="2051">
        <f t="shared" si="281"/>
        <v>0</v>
      </c>
    </row>
    <row r="2238" spans="1:114" x14ac:dyDescent="0.25">
      <c r="A2238" s="2143" t="s">
        <v>602</v>
      </c>
      <c r="B2238" s="1318">
        <f t="shared" si="278"/>
        <v>356400</v>
      </c>
      <c r="C2238" s="425" t="s">
        <v>1315</v>
      </c>
      <c r="D2238" s="2093" t="s">
        <v>810</v>
      </c>
      <c r="E2238" s="1265" t="s">
        <v>1317</v>
      </c>
      <c r="F2238" s="979">
        <f>ROUND(((J$2295*J$2296*(1/J$2299-1/J$2301))/1000),2)</f>
        <v>63.99</v>
      </c>
      <c r="G2238" s="81" t="s">
        <v>1083</v>
      </c>
      <c r="H2238" s="66">
        <f>VLOOKUP(G2238,'CP FACTORS'!$A$3:$B$38, 2, FALSE)</f>
        <v>9.4741810000000004E-4</v>
      </c>
      <c r="I2238" s="981">
        <f t="shared" si="279"/>
        <v>6.0624999999999998E-2</v>
      </c>
      <c r="J2238" s="57">
        <f>$J$2307</f>
        <v>10</v>
      </c>
      <c r="K2238" s="159">
        <v>0</v>
      </c>
      <c r="L2238" s="967"/>
      <c r="M2238" s="221"/>
      <c r="R2238" s="510"/>
      <c r="T2238" s="50"/>
      <c r="U2238" s="50"/>
      <c r="V2238" s="1257" t="s">
        <v>46</v>
      </c>
      <c r="W2238" s="153"/>
      <c r="X2238" s="153"/>
      <c r="Y2238" s="153"/>
      <c r="Z2238" s="153"/>
      <c r="AA2238" s="153"/>
      <c r="AB2238" s="153"/>
      <c r="AC2238" s="153"/>
      <c r="AD2238" s="47">
        <v>63.99</v>
      </c>
      <c r="AE2238" s="979">
        <v>63.99</v>
      </c>
      <c r="AF2238" s="253">
        <v>63.99</v>
      </c>
      <c r="AG2238" s="253">
        <f t="shared" si="282"/>
        <v>63.99</v>
      </c>
      <c r="DG2238" s="1025"/>
      <c r="DH2238" s="1265" t="str">
        <f t="shared" si="280"/>
        <v>Cooling Res ER2 10 Year EUL</v>
      </c>
      <c r="DI2238" s="946">
        <f>(INDEX('Avoided Cost Benefits'!$B$4:$B$866,MATCH(DH2238,'Avoided Cost Benefits'!$A$4:$A$866,0)))*F2238</f>
        <v>75.680138264628496</v>
      </c>
      <c r="DJ2238" s="2051">
        <f t="shared" si="281"/>
        <v>0</v>
      </c>
    </row>
    <row r="2239" spans="1:114" x14ac:dyDescent="0.25">
      <c r="A2239" s="2143" t="s">
        <v>602</v>
      </c>
      <c r="B2239" s="1318">
        <f t="shared" si="278"/>
        <v>356400</v>
      </c>
      <c r="C2239" s="425" t="s">
        <v>1315</v>
      </c>
      <c r="D2239" s="2093" t="s">
        <v>810</v>
      </c>
      <c r="E2239" s="1241" t="s">
        <v>1317</v>
      </c>
      <c r="F2239" s="208">
        <f>ROUND(((J$2285*J$2286*(1/J$2288-1/J$2292))/1000),2)</f>
        <v>130.58000000000001</v>
      </c>
      <c r="G2239" s="81" t="s">
        <v>1118</v>
      </c>
      <c r="H2239" s="66">
        <f>VLOOKUP(G2239,'CP FACTORS'!$A$3:$B$38, 2, FALSE)</f>
        <v>0</v>
      </c>
      <c r="I2239" s="961">
        <f t="shared" si="279"/>
        <v>0</v>
      </c>
      <c r="J2239" s="57">
        <f>$J$2307</f>
        <v>10</v>
      </c>
      <c r="K2239" s="159">
        <v>0</v>
      </c>
      <c r="L2239" s="967"/>
      <c r="M2239" s="221"/>
      <c r="R2239" s="510"/>
      <c r="T2239" s="50"/>
      <c r="U2239" s="50"/>
      <c r="V2239" s="1257" t="s">
        <v>46</v>
      </c>
      <c r="W2239" s="153"/>
      <c r="X2239" s="153"/>
      <c r="Y2239" s="153"/>
      <c r="Z2239" s="153"/>
      <c r="AA2239" s="153"/>
      <c r="AB2239" s="153"/>
      <c r="AC2239" s="153"/>
      <c r="AD2239" s="47">
        <v>130.58000000000001</v>
      </c>
      <c r="AE2239" s="208">
        <v>130.58000000000001</v>
      </c>
      <c r="AF2239" s="253">
        <v>130.58000000000001</v>
      </c>
      <c r="AG2239" s="253">
        <f t="shared" si="282"/>
        <v>130.58000000000001</v>
      </c>
      <c r="DG2239" s="762"/>
      <c r="DH2239" s="1241" t="str">
        <f t="shared" si="280"/>
        <v>Heating Res ER2 10 Year EUL</v>
      </c>
      <c r="DI2239" s="934">
        <f>(INDEX('Avoided Cost Benefits'!$B$4:$B$866,MATCH(DH2239,'Avoided Cost Benefits'!$A$4:$A$866,0)))*F2239</f>
        <v>40.602756741493856</v>
      </c>
      <c r="DJ2239" s="2051">
        <f t="shared" si="281"/>
        <v>0</v>
      </c>
    </row>
    <row r="2240" spans="1:114" x14ac:dyDescent="0.25">
      <c r="A2240" s="2143" t="s">
        <v>602</v>
      </c>
      <c r="B2240" s="1318">
        <f t="shared" si="278"/>
        <v>356450</v>
      </c>
      <c r="C2240" s="425" t="s">
        <v>1318</v>
      </c>
      <c r="D2240" s="2093" t="s">
        <v>810</v>
      </c>
      <c r="E2240" s="1240" t="s">
        <v>1319</v>
      </c>
      <c r="F2240" s="208">
        <f>ROUND(((J$2295*J$2296*(1/J$2298-1/J$2301))/1000),2)</f>
        <v>570.58000000000004</v>
      </c>
      <c r="G2240" s="81" t="s">
        <v>1030</v>
      </c>
      <c r="H2240" s="66">
        <f>VLOOKUP(G2240,'CP FACTORS'!$A$3:$B$38, 2, FALSE)</f>
        <v>9.4741810000000004E-4</v>
      </c>
      <c r="I2240" s="961">
        <f t="shared" ref="I2240:I2255" si="283">ROUND(F2240*H2240,6)</f>
        <v>0.540578</v>
      </c>
      <c r="J2240" s="982">
        <f>$J$2306</f>
        <v>5</v>
      </c>
      <c r="K2240" s="983">
        <f>J$2308</f>
        <v>224.93182686576984</v>
      </c>
      <c r="L2240" s="967">
        <f>K$2285</f>
        <v>1.0111111111111111</v>
      </c>
      <c r="M2240" s="221"/>
      <c r="R2240" s="510"/>
      <c r="T2240" s="50"/>
      <c r="U2240" s="50"/>
      <c r="V2240" s="1261" t="s">
        <v>46</v>
      </c>
      <c r="W2240" s="907"/>
      <c r="X2240" s="907"/>
      <c r="Y2240" s="907"/>
      <c r="Z2240" s="907"/>
      <c r="AA2240" s="907"/>
      <c r="AB2240" s="907"/>
      <c r="AC2240" s="907"/>
      <c r="AD2240" s="965">
        <v>525.04999999999995</v>
      </c>
      <c r="AE2240" s="208">
        <v>525.04999999999995</v>
      </c>
      <c r="AF2240" s="253">
        <v>570.58000000000004</v>
      </c>
      <c r="AG2240" s="253">
        <f t="shared" si="282"/>
        <v>570.58000000000004</v>
      </c>
      <c r="DG2240" s="1024">
        <f>(DI2240+DI2241+DI2242+DI2243)/(DJ2240+DJ2241+DJ2242+DJ2243)</f>
        <v>8.8028234464282242</v>
      </c>
      <c r="DH2240" s="1240" t="str">
        <f t="shared" si="280"/>
        <v>Cooling Res 5 Year EUL</v>
      </c>
      <c r="DI2240" s="931">
        <f>(INDEX('Avoided Cost Benefits'!$B$4:$B$866,MATCH(DH2240,'Avoided Cost Benefits'!$A$4:$A$866,0)))*F2240</f>
        <v>484.80503981732136</v>
      </c>
      <c r="DJ2240" s="2051">
        <f t="shared" ref="DJ2240:DJ2255" si="284">IFERROR(K2240/((1+DiscountRate)^(CurrentYear-DiscountYear)),0)</f>
        <v>224.93182686576984</v>
      </c>
    </row>
    <row r="2241" spans="1:114" x14ac:dyDescent="0.25">
      <c r="A2241" s="2143" t="s">
        <v>602</v>
      </c>
      <c r="B2241" s="1318">
        <f t="shared" si="278"/>
        <v>356450</v>
      </c>
      <c r="C2241" s="425" t="s">
        <v>1318</v>
      </c>
      <c r="D2241" s="2093" t="s">
        <v>810</v>
      </c>
      <c r="E2241" s="1265" t="s">
        <v>1319</v>
      </c>
      <c r="F2241" s="208">
        <f>ROUND(((J$2285*J$2286*(1/J$2289-1/J$2292))/1000),2)</f>
        <v>2629.29</v>
      </c>
      <c r="G2241" s="81" t="s">
        <v>1031</v>
      </c>
      <c r="H2241" s="66">
        <f>VLOOKUP(G2241,'CP FACTORS'!$A$3:$B$38, 2, FALSE)</f>
        <v>0</v>
      </c>
      <c r="I2241" s="961">
        <f t="shared" si="283"/>
        <v>0</v>
      </c>
      <c r="J2241" s="57">
        <f>$J$2306</f>
        <v>5</v>
      </c>
      <c r="K2241" s="159">
        <v>0</v>
      </c>
      <c r="L2241" s="967"/>
      <c r="M2241" s="221"/>
      <c r="R2241" s="510"/>
      <c r="T2241" s="50"/>
      <c r="U2241" s="50"/>
      <c r="V2241" s="1257" t="s">
        <v>46</v>
      </c>
      <c r="W2241" s="153"/>
      <c r="X2241" s="153"/>
      <c r="Y2241" s="153"/>
      <c r="Z2241" s="153"/>
      <c r="AA2241" s="153"/>
      <c r="AB2241" s="153"/>
      <c r="AC2241" s="153"/>
      <c r="AD2241" s="47">
        <v>2629.29</v>
      </c>
      <c r="AE2241" s="208">
        <v>2629.29</v>
      </c>
      <c r="AF2241" s="253">
        <v>2629.29</v>
      </c>
      <c r="AG2241" s="253">
        <f t="shared" si="282"/>
        <v>2629.29</v>
      </c>
      <c r="DG2241" s="1025"/>
      <c r="DH2241" s="1265" t="str">
        <f t="shared" si="280"/>
        <v>Heating Res 5 Year EUL</v>
      </c>
      <c r="DI2241" s="946">
        <f>(INDEX('Avoided Cost Benefits'!$B$4:$B$866,MATCH(DH2241,'Avoided Cost Benefits'!$A$4:$A$866,0)))*F2241</f>
        <v>601.99428921204924</v>
      </c>
      <c r="DJ2241" s="2051">
        <f t="shared" si="284"/>
        <v>0</v>
      </c>
    </row>
    <row r="2242" spans="1:114" x14ac:dyDescent="0.25">
      <c r="A2242" s="2143" t="s">
        <v>602</v>
      </c>
      <c r="B2242" s="1318">
        <f t="shared" si="278"/>
        <v>356450</v>
      </c>
      <c r="C2242" s="425" t="s">
        <v>1318</v>
      </c>
      <c r="D2242" s="2093" t="s">
        <v>810</v>
      </c>
      <c r="E2242" s="1265" t="s">
        <v>1320</v>
      </c>
      <c r="F2242" s="208">
        <f>ROUND(((J$2295*J$2296*(1/J$2299-1/J$2301))/1000),2)</f>
        <v>63.99</v>
      </c>
      <c r="G2242" s="81" t="s">
        <v>1083</v>
      </c>
      <c r="H2242" s="66">
        <f>VLOOKUP(G2242,'CP FACTORS'!$A$3:$B$38, 2, FALSE)</f>
        <v>9.4741810000000004E-4</v>
      </c>
      <c r="I2242" s="981">
        <f t="shared" si="283"/>
        <v>6.0624999999999998E-2</v>
      </c>
      <c r="J2242" s="57">
        <f>$J$2307</f>
        <v>10</v>
      </c>
      <c r="K2242" s="159">
        <v>0</v>
      </c>
      <c r="L2242" s="967"/>
      <c r="M2242" s="221"/>
      <c r="R2242" s="510"/>
      <c r="T2242" s="50"/>
      <c r="U2242" s="50"/>
      <c r="V2242" s="1257" t="s">
        <v>46</v>
      </c>
      <c r="W2242" s="153"/>
      <c r="X2242" s="153"/>
      <c r="Y2242" s="153"/>
      <c r="Z2242" s="153"/>
      <c r="AA2242" s="153"/>
      <c r="AB2242" s="153"/>
      <c r="AC2242" s="153"/>
      <c r="AD2242" s="47">
        <v>63.99</v>
      </c>
      <c r="AE2242" s="208">
        <v>63.99</v>
      </c>
      <c r="AF2242" s="253">
        <v>63.99</v>
      </c>
      <c r="AG2242" s="253">
        <f t="shared" si="282"/>
        <v>63.99</v>
      </c>
      <c r="DG2242" s="1025"/>
      <c r="DH2242" s="1265" t="str">
        <f t="shared" si="280"/>
        <v>Cooling Res ER2 10 Year EUL</v>
      </c>
      <c r="DI2242" s="946">
        <f>(INDEX('Avoided Cost Benefits'!$B$4:$B$866,MATCH(DH2242,'Avoided Cost Benefits'!$A$4:$A$866,0)))*F2242</f>
        <v>75.680138264628496</v>
      </c>
      <c r="DJ2242" s="2051">
        <f t="shared" si="284"/>
        <v>0</v>
      </c>
    </row>
    <row r="2243" spans="1:114" x14ac:dyDescent="0.25">
      <c r="A2243" s="2143" t="s">
        <v>602</v>
      </c>
      <c r="B2243" s="1318">
        <f t="shared" si="278"/>
        <v>356450</v>
      </c>
      <c r="C2243" s="425" t="s">
        <v>1318</v>
      </c>
      <c r="D2243" s="2093" t="s">
        <v>810</v>
      </c>
      <c r="E2243" s="1241" t="s">
        <v>1320</v>
      </c>
      <c r="F2243" s="208">
        <f>ROUND(((J$2285*J$2286*(1/J$2290-1/J$2292))/1000),2)</f>
        <v>2629.29</v>
      </c>
      <c r="G2243" s="81" t="s">
        <v>1118</v>
      </c>
      <c r="H2243" s="66">
        <f>VLOOKUP(G2243,'CP FACTORS'!$A$3:$B$38, 2, FALSE)</f>
        <v>0</v>
      </c>
      <c r="I2243" s="961">
        <f t="shared" si="283"/>
        <v>0</v>
      </c>
      <c r="J2243" s="57">
        <f>$J$2307</f>
        <v>10</v>
      </c>
      <c r="K2243" s="159">
        <v>0</v>
      </c>
      <c r="L2243" s="967"/>
      <c r="M2243" s="221"/>
      <c r="R2243" s="510"/>
      <c r="T2243" s="50"/>
      <c r="U2243" s="50"/>
      <c r="V2243" s="1257" t="s">
        <v>46</v>
      </c>
      <c r="W2243" s="153"/>
      <c r="X2243" s="153"/>
      <c r="Y2243" s="153"/>
      <c r="Z2243" s="153"/>
      <c r="AA2243" s="153"/>
      <c r="AB2243" s="153"/>
      <c r="AC2243" s="153"/>
      <c r="AD2243" s="47">
        <v>2629.29</v>
      </c>
      <c r="AE2243" s="208">
        <v>2629.29</v>
      </c>
      <c r="AF2243" s="253">
        <v>2629.29</v>
      </c>
      <c r="AG2243" s="253">
        <f t="shared" si="282"/>
        <v>2629.29</v>
      </c>
      <c r="DG2243" s="762"/>
      <c r="DH2243" s="1241" t="str">
        <f t="shared" si="280"/>
        <v>Heating Res ER2 10 Year EUL</v>
      </c>
      <c r="DI2243" s="934">
        <f>(INDEX('Avoided Cost Benefits'!$B$4:$B$866,MATCH(DH2243,'Avoided Cost Benefits'!$A$4:$A$866,0)))*F2243</f>
        <v>817.55569208793361</v>
      </c>
      <c r="DJ2243" s="2051">
        <f t="shared" si="284"/>
        <v>0</v>
      </c>
    </row>
    <row r="2244" spans="1:114" x14ac:dyDescent="0.25">
      <c r="A2244" s="2143" t="s">
        <v>602</v>
      </c>
      <c r="B2244" s="1318">
        <f t="shared" si="278"/>
        <v>356500</v>
      </c>
      <c r="C2244" s="425" t="s">
        <v>1321</v>
      </c>
      <c r="D2244" s="2093" t="s">
        <v>810</v>
      </c>
      <c r="E2244" s="1240" t="s">
        <v>1322</v>
      </c>
      <c r="F2244" s="208">
        <f>ROUND(((J$2295*J$2296*(1/J$2299-1/J$2301))/1000),2)</f>
        <v>63.99</v>
      </c>
      <c r="G2244" s="81" t="s">
        <v>1030</v>
      </c>
      <c r="H2244" s="66">
        <f>VLOOKUP(G2244,'CP FACTORS'!$A$3:$B$38, 2, FALSE)</f>
        <v>9.4741810000000004E-4</v>
      </c>
      <c r="I2244" s="961">
        <f t="shared" si="283"/>
        <v>6.0624999999999998E-2</v>
      </c>
      <c r="J2244" s="57">
        <f>$J$2305</f>
        <v>15</v>
      </c>
      <c r="K2244" s="159">
        <f>J$2309</f>
        <v>84.93</v>
      </c>
      <c r="L2244" s="967">
        <f>K$2285</f>
        <v>1.0111111111111111</v>
      </c>
      <c r="M2244" s="221"/>
      <c r="R2244" s="510"/>
      <c r="T2244" s="50"/>
      <c r="U2244" s="50"/>
      <c r="V2244" s="1257" t="s">
        <v>46</v>
      </c>
      <c r="W2244" s="153"/>
      <c r="X2244" s="153"/>
      <c r="Y2244" s="153"/>
      <c r="Z2244" s="153"/>
      <c r="AA2244" s="153"/>
      <c r="AB2244" s="153"/>
      <c r="AC2244" s="153"/>
      <c r="AD2244" s="47">
        <v>63.99</v>
      </c>
      <c r="AE2244" s="208">
        <v>63.99</v>
      </c>
      <c r="AF2244" s="253">
        <v>63.99</v>
      </c>
      <c r="AG2244" s="253">
        <f t="shared" si="282"/>
        <v>63.99</v>
      </c>
      <c r="DG2244" s="1024">
        <f>(DI2244+DI2245)/(DJ2244+DJ2245)</f>
        <v>2.3613625040216344</v>
      </c>
      <c r="DH2244" s="1240" t="str">
        <f>CONCATENATE(G2244," ",J2244," Year EUL")</f>
        <v>Cooling Res 15 Year EUL</v>
      </c>
      <c r="DI2244" s="931">
        <f>(INDEX('Avoided Cost Benefits'!$B$4:$B$866,MATCH(DH2244,'Avoided Cost Benefits'!$A$4:$A$866,0)))*F2244</f>
        <v>130.05055871033355</v>
      </c>
      <c r="DJ2244" s="2051">
        <f t="shared" si="284"/>
        <v>84.93</v>
      </c>
    </row>
    <row r="2245" spans="1:114" x14ac:dyDescent="0.25">
      <c r="A2245" s="2143" t="s">
        <v>602</v>
      </c>
      <c r="B2245" s="1318">
        <f t="shared" si="278"/>
        <v>356500</v>
      </c>
      <c r="C2245" s="425" t="s">
        <v>1321</v>
      </c>
      <c r="D2245" s="2093" t="s">
        <v>810</v>
      </c>
      <c r="E2245" s="1241" t="s">
        <v>1322</v>
      </c>
      <c r="F2245" s="208">
        <f>ROUND(((J$2285*J$2286*(1/J$2288-1/J$2292))/1000),2)</f>
        <v>130.58000000000001</v>
      </c>
      <c r="G2245" s="81" t="s">
        <v>1031</v>
      </c>
      <c r="H2245" s="66">
        <f>VLOOKUP(G2245,'CP FACTORS'!$A$3:$B$38, 2, FALSE)</f>
        <v>0</v>
      </c>
      <c r="I2245" s="961">
        <f t="shared" si="283"/>
        <v>0</v>
      </c>
      <c r="J2245" s="57">
        <f>$J$2305</f>
        <v>15</v>
      </c>
      <c r="K2245" s="159">
        <v>0</v>
      </c>
      <c r="L2245" s="967"/>
      <c r="M2245" s="221"/>
      <c r="R2245" s="510"/>
      <c r="T2245" s="50"/>
      <c r="U2245" s="50"/>
      <c r="V2245" s="1257" t="s">
        <v>46</v>
      </c>
      <c r="W2245" s="153"/>
      <c r="X2245" s="153"/>
      <c r="Y2245" s="153"/>
      <c r="Z2245" s="153"/>
      <c r="AA2245" s="153"/>
      <c r="AB2245" s="153"/>
      <c r="AC2245" s="153"/>
      <c r="AD2245" s="47">
        <v>130.58000000000001</v>
      </c>
      <c r="AE2245" s="208">
        <v>130.58000000000001</v>
      </c>
      <c r="AF2245" s="253">
        <v>130.58000000000001</v>
      </c>
      <c r="AG2245" s="253">
        <f t="shared" si="282"/>
        <v>130.58000000000001</v>
      </c>
      <c r="DG2245" s="762"/>
      <c r="DH2245" s="1241" t="str">
        <f>CONCATENATE(G2245," ",J2245," Year EUL")</f>
        <v>Heating Res 15 Year EUL</v>
      </c>
      <c r="DI2245" s="934">
        <f>(INDEX('Avoided Cost Benefits'!$B$4:$B$866,MATCH(DH2245,'Avoided Cost Benefits'!$A$4:$A$866,0)))*F2245</f>
        <v>70.499958756223876</v>
      </c>
      <c r="DJ2245" s="2051">
        <f t="shared" si="284"/>
        <v>0</v>
      </c>
    </row>
    <row r="2246" spans="1:114" x14ac:dyDescent="0.25">
      <c r="A2246" s="2143" t="s">
        <v>602</v>
      </c>
      <c r="B2246" s="1318">
        <f t="shared" si="278"/>
        <v>356550</v>
      </c>
      <c r="C2246" s="425" t="s">
        <v>1323</v>
      </c>
      <c r="D2246" s="2093" t="s">
        <v>810</v>
      </c>
      <c r="E2246" s="1240" t="s">
        <v>1324</v>
      </c>
      <c r="F2246" s="208">
        <f>ROUND(((J$2295*J$2296*(1/J$2299-1/J$2301))/1000),2)</f>
        <v>63.99</v>
      </c>
      <c r="G2246" s="81" t="s">
        <v>1030</v>
      </c>
      <c r="H2246" s="66">
        <f>VLOOKUP(G2246,'CP FACTORS'!$A$3:$B$38, 2, FALSE)</f>
        <v>9.4741810000000004E-4</v>
      </c>
      <c r="I2246" s="961">
        <f t="shared" si="283"/>
        <v>6.0624999999999998E-2</v>
      </c>
      <c r="J2246" s="57">
        <f>$J$2305</f>
        <v>15</v>
      </c>
      <c r="K2246" s="159">
        <f>J$2309</f>
        <v>84.93</v>
      </c>
      <c r="L2246" s="967">
        <f>K$2285</f>
        <v>1.0111111111111111</v>
      </c>
      <c r="M2246" s="221"/>
      <c r="R2246" s="510"/>
      <c r="T2246" s="50"/>
      <c r="U2246" s="50"/>
      <c r="V2246" s="1257" t="s">
        <v>46</v>
      </c>
      <c r="W2246" s="153"/>
      <c r="X2246" s="153"/>
      <c r="Y2246" s="153"/>
      <c r="Z2246" s="153"/>
      <c r="AA2246" s="153"/>
      <c r="AB2246" s="153"/>
      <c r="AC2246" s="153"/>
      <c r="AD2246" s="47">
        <v>63.99</v>
      </c>
      <c r="AE2246" s="208">
        <v>63.99</v>
      </c>
      <c r="AF2246" s="253">
        <v>63.99</v>
      </c>
      <c r="AG2246" s="253">
        <f t="shared" si="282"/>
        <v>63.99</v>
      </c>
      <c r="DG2246" s="1024">
        <f>(DI2246+DI2247)/(DJ2246+DJ2247)</f>
        <v>18.245620393386517</v>
      </c>
      <c r="DH2246" s="1240" t="str">
        <f t="shared" ref="DH2246:DH2271" si="285">CONCATENATE(G2246," ",J2246," Year EUL")</f>
        <v>Cooling Res 15 Year EUL</v>
      </c>
      <c r="DI2246" s="931">
        <f>(INDEX('Avoided Cost Benefits'!$B$4:$B$866,MATCH(DH2246,'Avoided Cost Benefits'!$A$4:$A$866,0)))*F2246</f>
        <v>130.05055871033355</v>
      </c>
      <c r="DJ2246" s="2051">
        <f t="shared" si="284"/>
        <v>84.93</v>
      </c>
    </row>
    <row r="2247" spans="1:114" x14ac:dyDescent="0.25">
      <c r="A2247" s="2143" t="s">
        <v>602</v>
      </c>
      <c r="B2247" s="1318">
        <f t="shared" si="278"/>
        <v>356550</v>
      </c>
      <c r="C2247" s="425" t="s">
        <v>1323</v>
      </c>
      <c r="D2247" s="2093" t="s">
        <v>810</v>
      </c>
      <c r="E2247" s="1241" t="s">
        <v>1324</v>
      </c>
      <c r="F2247" s="208">
        <f>ROUND(((J$2285*J$2286*(1/J$2290-1/J$2292))/1000),2)</f>
        <v>2629.29</v>
      </c>
      <c r="G2247" s="81" t="s">
        <v>1031</v>
      </c>
      <c r="H2247" s="66">
        <f>VLOOKUP(G2247,'CP FACTORS'!$A$3:$B$38, 2, FALSE)</f>
        <v>0</v>
      </c>
      <c r="I2247" s="961">
        <f t="shared" si="283"/>
        <v>0</v>
      </c>
      <c r="J2247" s="57">
        <f>$J$2305</f>
        <v>15</v>
      </c>
      <c r="K2247" s="159">
        <v>0</v>
      </c>
      <c r="L2247" s="967"/>
      <c r="M2247" s="221"/>
      <c r="R2247" s="510"/>
      <c r="T2247" s="50"/>
      <c r="U2247" s="50"/>
      <c r="V2247" s="1257" t="s">
        <v>46</v>
      </c>
      <c r="W2247" s="153"/>
      <c r="X2247" s="153"/>
      <c r="Y2247" s="153"/>
      <c r="Z2247" s="153"/>
      <c r="AA2247" s="153"/>
      <c r="AB2247" s="153"/>
      <c r="AC2247" s="153"/>
      <c r="AD2247" s="47">
        <v>2629.29</v>
      </c>
      <c r="AE2247" s="208">
        <v>2629.29</v>
      </c>
      <c r="AF2247" s="253">
        <v>2629.29</v>
      </c>
      <c r="AG2247" s="253">
        <f t="shared" si="282"/>
        <v>2629.29</v>
      </c>
      <c r="DG2247" s="762"/>
      <c r="DH2247" s="1241" t="str">
        <f t="shared" si="285"/>
        <v>Heating Res 15 Year EUL</v>
      </c>
      <c r="DI2247" s="934">
        <f>(INDEX('Avoided Cost Benefits'!$B$4:$B$866,MATCH(DH2247,'Avoided Cost Benefits'!$A$4:$A$866,0)))*F2247</f>
        <v>1419.5499812999835</v>
      </c>
      <c r="DJ2247" s="2051">
        <f t="shared" si="284"/>
        <v>0</v>
      </c>
    </row>
    <row r="2248" spans="1:114" x14ac:dyDescent="0.25">
      <c r="A2248" s="2143" t="s">
        <v>602</v>
      </c>
      <c r="B2248" s="1318">
        <f t="shared" si="278"/>
        <v>356600</v>
      </c>
      <c r="C2248" s="1816" t="s">
        <v>1325</v>
      </c>
      <c r="D2248" s="2093" t="s">
        <v>810</v>
      </c>
      <c r="E2248" s="1265" t="s">
        <v>1326</v>
      </c>
      <c r="F2248" s="979">
        <f>ROUND(((J$2295*J$2296*(1/J$2297-1/J$2302))/1000),2)</f>
        <v>548.66</v>
      </c>
      <c r="G2248" s="980" t="s">
        <v>1030</v>
      </c>
      <c r="H2248" s="919">
        <f>VLOOKUP(G2248,'CP FACTORS'!$A$3:$B$38, 2, FALSE)</f>
        <v>9.4741810000000004E-4</v>
      </c>
      <c r="I2248" s="981">
        <f t="shared" si="283"/>
        <v>0.51980999999999999</v>
      </c>
      <c r="J2248" s="982">
        <f>$J$2306</f>
        <v>5</v>
      </c>
      <c r="K2248" s="983">
        <f>J$2308</f>
        <v>224.93182686576984</v>
      </c>
      <c r="L2248" s="984">
        <f>K$2285</f>
        <v>1.0111111111111111</v>
      </c>
      <c r="M2248" s="221"/>
      <c r="R2248" s="510"/>
      <c r="T2248" s="50"/>
      <c r="U2248" s="50"/>
      <c r="V2248" s="1257" t="s">
        <v>46</v>
      </c>
      <c r="W2248" s="153"/>
      <c r="X2248" s="153"/>
      <c r="Y2248" s="153"/>
      <c r="Z2248" s="153"/>
      <c r="AA2248" s="153"/>
      <c r="AB2248" s="153"/>
      <c r="AC2248" s="153"/>
      <c r="AD2248" s="47">
        <v>505.03</v>
      </c>
      <c r="AE2248" s="208">
        <v>505.03</v>
      </c>
      <c r="AF2248" s="253">
        <v>548.66</v>
      </c>
      <c r="AG2248" s="253">
        <f t="shared" si="282"/>
        <v>548.66</v>
      </c>
      <c r="DG2248" s="1024">
        <f>(DI2248+DI2249+DI2250+DI2251)/(DJ2248+DJ2249+DJ2250+DJ2251)</f>
        <v>4.1731558401739761</v>
      </c>
      <c r="DH2248" s="1240" t="str">
        <f t="shared" si="285"/>
        <v>Cooling Res 5 Year EUL</v>
      </c>
      <c r="DI2248" s="931">
        <f>(INDEX('Avoided Cost Benefits'!$B$4:$B$866,MATCH(DH2248,'Avoided Cost Benefits'!$A$4:$A$866,0)))*F2248</f>
        <v>466.18026069292915</v>
      </c>
      <c r="DJ2248" s="2051">
        <f t="shared" si="284"/>
        <v>224.93182686576984</v>
      </c>
    </row>
    <row r="2249" spans="1:114" x14ac:dyDescent="0.25">
      <c r="A2249" s="2143" t="s">
        <v>602</v>
      </c>
      <c r="B2249" s="1318">
        <f t="shared" si="278"/>
        <v>356600</v>
      </c>
      <c r="C2249" s="425" t="s">
        <v>1325</v>
      </c>
      <c r="D2249" s="2093" t="s">
        <v>810</v>
      </c>
      <c r="E2249" s="1265" t="s">
        <v>1326</v>
      </c>
      <c r="F2249" s="208">
        <f>ROUND(((J$2285*J$2286*(1/J$2287-1/J$2293))/1000),2)</f>
        <v>1288.67</v>
      </c>
      <c r="G2249" s="81" t="s">
        <v>1031</v>
      </c>
      <c r="H2249" s="66">
        <f>VLOOKUP(G2249,'CP FACTORS'!$A$3:$B$38, 2, FALSE)</f>
        <v>0</v>
      </c>
      <c r="I2249" s="961">
        <f t="shared" si="283"/>
        <v>0</v>
      </c>
      <c r="J2249" s="57">
        <f>$J$2306</f>
        <v>5</v>
      </c>
      <c r="K2249" s="159">
        <v>0</v>
      </c>
      <c r="L2249" s="967"/>
      <c r="M2249" s="221"/>
      <c r="R2249" s="510"/>
      <c r="T2249" s="50"/>
      <c r="U2249" s="50"/>
      <c r="V2249" s="1257" t="s">
        <v>46</v>
      </c>
      <c r="W2249" s="153"/>
      <c r="X2249" s="153"/>
      <c r="Y2249" s="153"/>
      <c r="Z2249" s="153"/>
      <c r="AA2249" s="153"/>
      <c r="AB2249" s="153"/>
      <c r="AC2249" s="153"/>
      <c r="AD2249" s="47">
        <v>1288.67</v>
      </c>
      <c r="AE2249" s="208">
        <v>1288.67</v>
      </c>
      <c r="AF2249" s="253">
        <v>1288.67</v>
      </c>
      <c r="AG2249" s="253">
        <f t="shared" si="282"/>
        <v>1288.67</v>
      </c>
      <c r="DG2249" s="1025"/>
      <c r="DH2249" s="1265" t="str">
        <f t="shared" si="285"/>
        <v>Heating Res 5 Year EUL</v>
      </c>
      <c r="DI2249" s="946">
        <f>(INDEX('Avoided Cost Benefits'!$B$4:$B$866,MATCH(DH2249,'Avoided Cost Benefits'!$A$4:$A$866,0)))*F2249</f>
        <v>295.04998713679038</v>
      </c>
      <c r="DJ2249" s="2051">
        <f t="shared" si="284"/>
        <v>0</v>
      </c>
    </row>
    <row r="2250" spans="1:114" x14ac:dyDescent="0.25">
      <c r="A2250" s="2143" t="s">
        <v>602</v>
      </c>
      <c r="B2250" s="1318">
        <f t="shared" si="278"/>
        <v>356600</v>
      </c>
      <c r="C2250" s="425" t="s">
        <v>1325</v>
      </c>
      <c r="D2250" s="2093" t="s">
        <v>810</v>
      </c>
      <c r="E2250" s="1265" t="s">
        <v>1327</v>
      </c>
      <c r="F2250" s="979">
        <f>ROUND(((J$2295*J$2296*(1/J$2299-1/J$2302))/1000),2)</f>
        <v>105.12</v>
      </c>
      <c r="G2250" s="81" t="s">
        <v>1083</v>
      </c>
      <c r="H2250" s="66">
        <f>VLOOKUP(G2250,'CP FACTORS'!$A$3:$B$38, 2, FALSE)</f>
        <v>9.4741810000000004E-4</v>
      </c>
      <c r="I2250" s="981">
        <f t="shared" si="283"/>
        <v>9.9593000000000001E-2</v>
      </c>
      <c r="J2250" s="57">
        <f>$J$2307</f>
        <v>10</v>
      </c>
      <c r="K2250" s="159">
        <v>0</v>
      </c>
      <c r="L2250" s="967"/>
      <c r="M2250" s="221"/>
      <c r="R2250" s="510"/>
      <c r="T2250" s="50"/>
      <c r="U2250" s="50"/>
      <c r="V2250" s="1257" t="s">
        <v>46</v>
      </c>
      <c r="W2250" s="153"/>
      <c r="X2250" s="153"/>
      <c r="Y2250" s="153"/>
      <c r="Z2250" s="153"/>
      <c r="AA2250" s="153"/>
      <c r="AB2250" s="153"/>
      <c r="AC2250" s="153"/>
      <c r="AD2250" s="47">
        <v>105.12</v>
      </c>
      <c r="AE2250" s="208">
        <v>105.12</v>
      </c>
      <c r="AF2250" s="253">
        <v>105.12</v>
      </c>
      <c r="AG2250" s="253">
        <f t="shared" si="282"/>
        <v>105.12</v>
      </c>
      <c r="DG2250" s="1025"/>
      <c r="DH2250" s="1265" t="str">
        <f t="shared" si="285"/>
        <v>Cooling Res ER2 10 Year EUL</v>
      </c>
      <c r="DI2250" s="946">
        <f>(INDEX('Avoided Cost Benefits'!$B$4:$B$866,MATCH(DH2250,'Avoided Cost Benefits'!$A$4:$A$866,0)))*F2250</f>
        <v>124.32405273289181</v>
      </c>
      <c r="DJ2250" s="2051">
        <f t="shared" si="284"/>
        <v>0</v>
      </c>
    </row>
    <row r="2251" spans="1:114" x14ac:dyDescent="0.25">
      <c r="A2251" s="2143" t="s">
        <v>602</v>
      </c>
      <c r="B2251" s="1318">
        <f t="shared" si="278"/>
        <v>356600</v>
      </c>
      <c r="C2251" s="425" t="s">
        <v>1325</v>
      </c>
      <c r="D2251" s="2093" t="s">
        <v>810</v>
      </c>
      <c r="E2251" s="1241" t="s">
        <v>1327</v>
      </c>
      <c r="F2251" s="208">
        <f>ROUND(((J$2285*J$2286*(1/J$2288-1/J$2293))/1000),2)</f>
        <v>170.84</v>
      </c>
      <c r="G2251" s="81" t="s">
        <v>1118</v>
      </c>
      <c r="H2251" s="66">
        <f>VLOOKUP(G2251,'CP FACTORS'!$A$3:$B$38, 2, FALSE)</f>
        <v>0</v>
      </c>
      <c r="I2251" s="961">
        <f t="shared" si="283"/>
        <v>0</v>
      </c>
      <c r="J2251" s="57">
        <f>$J$2307</f>
        <v>10</v>
      </c>
      <c r="K2251" s="159">
        <v>0</v>
      </c>
      <c r="L2251" s="967"/>
      <c r="M2251" s="221"/>
      <c r="R2251" s="510"/>
      <c r="T2251" s="50"/>
      <c r="U2251" s="50"/>
      <c r="V2251" s="1257" t="s">
        <v>46</v>
      </c>
      <c r="W2251" s="153"/>
      <c r="X2251" s="153"/>
      <c r="Y2251" s="153"/>
      <c r="Z2251" s="153"/>
      <c r="AA2251" s="153"/>
      <c r="AB2251" s="153"/>
      <c r="AC2251" s="153"/>
      <c r="AD2251" s="47">
        <v>170.84</v>
      </c>
      <c r="AE2251" s="208">
        <v>170.84</v>
      </c>
      <c r="AF2251" s="253">
        <v>170.84</v>
      </c>
      <c r="AG2251" s="253">
        <f t="shared" si="282"/>
        <v>170.84</v>
      </c>
      <c r="DG2251" s="762"/>
      <c r="DH2251" s="1241" t="str">
        <f t="shared" si="285"/>
        <v>Heating Res ER2 10 Year EUL</v>
      </c>
      <c r="DI2251" s="934">
        <f>(INDEX('Avoided Cost Benefits'!$B$4:$B$866,MATCH(DH2251,'Avoided Cost Benefits'!$A$4:$A$866,0)))*F2251</f>
        <v>53.121266363277755</v>
      </c>
      <c r="DJ2251" s="2051">
        <f t="shared" si="284"/>
        <v>0</v>
      </c>
    </row>
    <row r="2252" spans="1:114" x14ac:dyDescent="0.25">
      <c r="A2252" s="2143" t="s">
        <v>602</v>
      </c>
      <c r="B2252" s="1318">
        <f t="shared" si="278"/>
        <v>356650</v>
      </c>
      <c r="C2252" s="425" t="s">
        <v>1328</v>
      </c>
      <c r="D2252" s="2093" t="s">
        <v>810</v>
      </c>
      <c r="E2252" s="1240" t="s">
        <v>1329</v>
      </c>
      <c r="F2252" s="208">
        <f>ROUND(((J$2295*J$2296*(1/J$2298-1/J$2302))/1000),2)</f>
        <v>611.71</v>
      </c>
      <c r="G2252" s="81" t="s">
        <v>1030</v>
      </c>
      <c r="H2252" s="66">
        <f>VLOOKUP(G2252,'CP FACTORS'!$A$3:$B$38, 2, FALSE)</f>
        <v>9.4741810000000004E-4</v>
      </c>
      <c r="I2252" s="961">
        <f t="shared" si="283"/>
        <v>0.57954499999999998</v>
      </c>
      <c r="J2252" s="982">
        <f>$J$2306</f>
        <v>5</v>
      </c>
      <c r="K2252" s="983">
        <f>J$2308</f>
        <v>224.93182686576984</v>
      </c>
      <c r="L2252" s="967">
        <f>K$2285</f>
        <v>1.0111111111111111</v>
      </c>
      <c r="M2252" s="221"/>
      <c r="R2252" s="510"/>
      <c r="T2252" s="50"/>
      <c r="U2252" s="50"/>
      <c r="V2252" s="1257" t="s">
        <v>46</v>
      </c>
      <c r="W2252" s="153"/>
      <c r="X2252" s="153"/>
      <c r="Y2252" s="153"/>
      <c r="Z2252" s="153"/>
      <c r="AA2252" s="153"/>
      <c r="AB2252" s="153"/>
      <c r="AC2252" s="153"/>
      <c r="AD2252" s="47">
        <v>566.19000000000005</v>
      </c>
      <c r="AE2252" s="208">
        <v>566.19000000000005</v>
      </c>
      <c r="AF2252" s="253">
        <v>611.71</v>
      </c>
      <c r="AG2252" s="253">
        <f t="shared" si="282"/>
        <v>611.71</v>
      </c>
      <c r="DG2252" s="1024">
        <f>(DI2252+DI2253+DI2254+DI2255)/(DJ2252+DJ2253+DJ2254+DJ2255)</f>
        <v>9.2710861392380099</v>
      </c>
      <c r="DH2252" s="1240" t="str">
        <f t="shared" si="285"/>
        <v>Cooling Res 5 Year EUL</v>
      </c>
      <c r="DI2252" s="931">
        <f>(INDEX('Avoided Cost Benefits'!$B$4:$B$866,MATCH(DH2252,'Avoided Cost Benefits'!$A$4:$A$866,0)))*F2252</f>
        <v>519.75199079297147</v>
      </c>
      <c r="DJ2252" s="2051">
        <f t="shared" si="284"/>
        <v>224.93182686576984</v>
      </c>
    </row>
    <row r="2253" spans="1:114" x14ac:dyDescent="0.25">
      <c r="A2253" s="2143" t="s">
        <v>602</v>
      </c>
      <c r="B2253" s="1318">
        <f t="shared" si="278"/>
        <v>356650</v>
      </c>
      <c r="C2253" s="425" t="s">
        <v>1328</v>
      </c>
      <c r="D2253" s="2093" t="s">
        <v>810</v>
      </c>
      <c r="E2253" s="1265" t="s">
        <v>1329</v>
      </c>
      <c r="F2253" s="208">
        <f>ROUND(((J$2285*J$2286*(1/J$2289-1/J$2293))/1000),2)</f>
        <v>2669.55</v>
      </c>
      <c r="G2253" s="81" t="s">
        <v>1031</v>
      </c>
      <c r="H2253" s="66">
        <f>VLOOKUP(G2253,'CP FACTORS'!$A$3:$B$38, 2, FALSE)</f>
        <v>0</v>
      </c>
      <c r="I2253" s="961">
        <f t="shared" si="283"/>
        <v>0</v>
      </c>
      <c r="J2253" s="57">
        <f>$J$2306</f>
        <v>5</v>
      </c>
      <c r="K2253" s="159">
        <v>0</v>
      </c>
      <c r="L2253" s="967"/>
      <c r="M2253" s="221"/>
      <c r="R2253" s="510"/>
      <c r="T2253" s="50"/>
      <c r="U2253" s="50"/>
      <c r="V2253" s="1257" t="s">
        <v>46</v>
      </c>
      <c r="W2253" s="153"/>
      <c r="X2253" s="153"/>
      <c r="Y2253" s="153"/>
      <c r="Z2253" s="153"/>
      <c r="AA2253" s="153"/>
      <c r="AB2253" s="153"/>
      <c r="AC2253" s="153"/>
      <c r="AD2253" s="47">
        <v>2669.55</v>
      </c>
      <c r="AE2253" s="208">
        <v>2669.55</v>
      </c>
      <c r="AF2253" s="253">
        <v>2669.55</v>
      </c>
      <c r="AG2253" s="253">
        <f t="shared" si="282"/>
        <v>2669.55</v>
      </c>
      <c r="DG2253" s="1025"/>
      <c r="DH2253" s="1265" t="str">
        <f t="shared" si="285"/>
        <v>Heating Res 5 Year EUL</v>
      </c>
      <c r="DI2253" s="946">
        <f>(INDEX('Avoided Cost Benefits'!$B$4:$B$866,MATCH(DH2253,'Avoided Cost Benefits'!$A$4:$A$866,0)))*F2253</f>
        <v>611.21209709314155</v>
      </c>
      <c r="DJ2253" s="2051">
        <f t="shared" si="284"/>
        <v>0</v>
      </c>
    </row>
    <row r="2254" spans="1:114" x14ac:dyDescent="0.25">
      <c r="A2254" s="2143" t="s">
        <v>602</v>
      </c>
      <c r="B2254" s="1318">
        <f t="shared" si="278"/>
        <v>356650</v>
      </c>
      <c r="C2254" s="425" t="s">
        <v>1328</v>
      </c>
      <c r="D2254" s="2093" t="s">
        <v>810</v>
      </c>
      <c r="E2254" s="1265" t="s">
        <v>1330</v>
      </c>
      <c r="F2254" s="208">
        <f>ROUND(((J$2295*J$2296*(1/J$2299-1/J$2302))/1000),2)</f>
        <v>105.12</v>
      </c>
      <c r="G2254" s="81" t="s">
        <v>1083</v>
      </c>
      <c r="H2254" s="66">
        <f>VLOOKUP(G2254,'CP FACTORS'!$A$3:$B$38, 2, FALSE)</f>
        <v>9.4741810000000004E-4</v>
      </c>
      <c r="I2254" s="981">
        <f t="shared" si="283"/>
        <v>9.9593000000000001E-2</v>
      </c>
      <c r="J2254" s="57">
        <f>$J$2307</f>
        <v>10</v>
      </c>
      <c r="K2254" s="159">
        <v>0</v>
      </c>
      <c r="L2254" s="967"/>
      <c r="M2254" s="221"/>
      <c r="R2254" s="510"/>
      <c r="T2254" s="50"/>
      <c r="U2254" s="50"/>
      <c r="V2254" s="1257" t="s">
        <v>46</v>
      </c>
      <c r="W2254" s="153"/>
      <c r="X2254" s="153"/>
      <c r="Y2254" s="153"/>
      <c r="Z2254" s="153"/>
      <c r="AA2254" s="153"/>
      <c r="AB2254" s="153"/>
      <c r="AC2254" s="153"/>
      <c r="AD2254" s="47">
        <v>105.12</v>
      </c>
      <c r="AE2254" s="208">
        <v>105.12</v>
      </c>
      <c r="AF2254" s="253">
        <v>105.12</v>
      </c>
      <c r="AG2254" s="253">
        <f t="shared" si="282"/>
        <v>105.12</v>
      </c>
      <c r="DG2254" s="1025"/>
      <c r="DH2254" s="1265" t="str">
        <f t="shared" si="285"/>
        <v>Cooling Res ER2 10 Year EUL</v>
      </c>
      <c r="DI2254" s="946">
        <f>(INDEX('Avoided Cost Benefits'!$B$4:$B$866,MATCH(DH2254,'Avoided Cost Benefits'!$A$4:$A$866,0)))*F2254</f>
        <v>124.32405273289181</v>
      </c>
      <c r="DJ2254" s="2051">
        <f t="shared" si="284"/>
        <v>0</v>
      </c>
    </row>
    <row r="2255" spans="1:114" x14ac:dyDescent="0.25">
      <c r="A2255" s="2143" t="s">
        <v>602</v>
      </c>
      <c r="B2255" s="1318">
        <f t="shared" si="278"/>
        <v>356650</v>
      </c>
      <c r="C2255" s="425" t="s">
        <v>1328</v>
      </c>
      <c r="D2255" s="2093" t="s">
        <v>810</v>
      </c>
      <c r="E2255" s="1241" t="s">
        <v>1330</v>
      </c>
      <c r="F2255" s="208">
        <f>ROUND(((J$2285*J$2286*(1/J$2290-1/J$2293))/1000),2)</f>
        <v>2669.55</v>
      </c>
      <c r="G2255" s="81" t="s">
        <v>1118</v>
      </c>
      <c r="H2255" s="66">
        <f>VLOOKUP(G2255,'CP FACTORS'!$A$3:$B$38, 2, FALSE)</f>
        <v>0</v>
      </c>
      <c r="I2255" s="961">
        <f t="shared" si="283"/>
        <v>0</v>
      </c>
      <c r="J2255" s="57">
        <f>$J$2307</f>
        <v>10</v>
      </c>
      <c r="K2255" s="159">
        <v>0</v>
      </c>
      <c r="L2255" s="967"/>
      <c r="M2255" s="221"/>
      <c r="R2255" s="510"/>
      <c r="T2255" s="50"/>
      <c r="U2255" s="50"/>
      <c r="V2255" s="1257" t="s">
        <v>46</v>
      </c>
      <c r="W2255" s="153"/>
      <c r="X2255" s="153"/>
      <c r="Y2255" s="153"/>
      <c r="Z2255" s="153"/>
      <c r="AA2255" s="153"/>
      <c r="AB2255" s="153"/>
      <c r="AC2255" s="153"/>
      <c r="AD2255" s="47">
        <v>2669.55</v>
      </c>
      <c r="AE2255" s="208">
        <v>2669.55</v>
      </c>
      <c r="AF2255" s="253">
        <v>2669.55</v>
      </c>
      <c r="AG2255" s="253">
        <f t="shared" si="282"/>
        <v>2669.55</v>
      </c>
      <c r="DG2255" s="762"/>
      <c r="DH2255" s="1241" t="str">
        <f t="shared" si="285"/>
        <v>Heating Res ER2 10 Year EUL</v>
      </c>
      <c r="DI2255" s="934">
        <f>(INDEX('Avoided Cost Benefits'!$B$4:$B$866,MATCH(DH2255,'Avoided Cost Benefits'!$A$4:$A$866,0)))*F2255</f>
        <v>830.0742017097175</v>
      </c>
      <c r="DJ2255" s="2051">
        <f t="shared" si="284"/>
        <v>0</v>
      </c>
    </row>
    <row r="2256" spans="1:114" x14ac:dyDescent="0.25">
      <c r="A2256" s="2143" t="s">
        <v>602</v>
      </c>
      <c r="B2256" s="1318">
        <f t="shared" ref="B2256:B2271" si="286">VALUE(LEFT(C2256,6))</f>
        <v>356700</v>
      </c>
      <c r="C2256" s="425" t="s">
        <v>1331</v>
      </c>
      <c r="D2256" s="2093" t="s">
        <v>810</v>
      </c>
      <c r="E2256" s="1240" t="s">
        <v>1332</v>
      </c>
      <c r="F2256" s="208">
        <f>ROUND(((J$2295*J$2296*(1/J$2299-1/J$2302))/1000),2)</f>
        <v>105.12</v>
      </c>
      <c r="G2256" s="81" t="s">
        <v>1030</v>
      </c>
      <c r="H2256" s="66">
        <f>VLOOKUP(G2256,'CP FACTORS'!$A$3:$B$38, 2, FALSE)</f>
        <v>9.4741810000000004E-4</v>
      </c>
      <c r="I2256" s="961">
        <f t="shared" ref="I2256:I2271" si="287">ROUND(F2256*H2256,6)</f>
        <v>9.9593000000000001E-2</v>
      </c>
      <c r="J2256" s="57">
        <f>$J$2305</f>
        <v>15</v>
      </c>
      <c r="K2256" s="159">
        <f>J$2309</f>
        <v>84.93</v>
      </c>
      <c r="L2256" s="967">
        <f>K$2285</f>
        <v>1.0111111111111111</v>
      </c>
      <c r="M2256" s="221"/>
      <c r="R2256" s="510"/>
      <c r="T2256" s="50"/>
      <c r="U2256" s="50"/>
      <c r="V2256" s="1257" t="s">
        <v>46</v>
      </c>
      <c r="W2256" s="153"/>
      <c r="X2256" s="153"/>
      <c r="Y2256" s="153"/>
      <c r="Z2256" s="153"/>
      <c r="AA2256" s="153"/>
      <c r="AB2256" s="153"/>
      <c r="AC2256" s="153"/>
      <c r="AD2256" s="47">
        <v>105.12</v>
      </c>
      <c r="AE2256" s="208">
        <v>105.12</v>
      </c>
      <c r="AF2256" s="253">
        <v>105.12</v>
      </c>
      <c r="AG2256" s="253">
        <f t="shared" si="282"/>
        <v>105.12</v>
      </c>
      <c r="DG2256" s="1024">
        <f>(DI2256+DI2257)/(DJ2256+DJ2257)</f>
        <v>3.6015271448645594</v>
      </c>
      <c r="DH2256" s="1240" t="str">
        <f t="shared" si="285"/>
        <v>Cooling Res 15 Year EUL</v>
      </c>
      <c r="DI2256" s="931">
        <f>(INDEX('Avoided Cost Benefits'!$B$4:$B$866,MATCH(DH2256,'Avoided Cost Benefits'!$A$4:$A$866,0)))*F2256</f>
        <v>213.64142415424695</v>
      </c>
      <c r="DJ2256" s="2051">
        <f t="shared" ref="DJ2256:DJ2271" si="288">IFERROR(K2256/((1+DiscountRate)^(CurrentYear-DiscountYear)),0)</f>
        <v>84.93</v>
      </c>
    </row>
    <row r="2257" spans="1:114" x14ac:dyDescent="0.25">
      <c r="A2257" s="2143" t="s">
        <v>602</v>
      </c>
      <c r="B2257" s="1318">
        <f t="shared" si="286"/>
        <v>356700</v>
      </c>
      <c r="C2257" s="425" t="s">
        <v>1331</v>
      </c>
      <c r="D2257" s="2093" t="s">
        <v>810</v>
      </c>
      <c r="E2257" s="1241" t="s">
        <v>1332</v>
      </c>
      <c r="F2257" s="208">
        <f>ROUND(((J$2285*J$2286*(1/J$2288-1/J$2293))/1000),2)</f>
        <v>170.84</v>
      </c>
      <c r="G2257" s="81" t="s">
        <v>1031</v>
      </c>
      <c r="H2257" s="66">
        <f>VLOOKUP(G2257,'CP FACTORS'!$A$3:$B$38, 2, FALSE)</f>
        <v>0</v>
      </c>
      <c r="I2257" s="961">
        <f t="shared" si="287"/>
        <v>0</v>
      </c>
      <c r="J2257" s="57">
        <f>$J$2305</f>
        <v>15</v>
      </c>
      <c r="K2257" s="159">
        <v>0</v>
      </c>
      <c r="L2257" s="967"/>
      <c r="M2257" s="221"/>
      <c r="R2257" s="510"/>
      <c r="T2257" s="50"/>
      <c r="U2257" s="50"/>
      <c r="V2257" s="1257" t="s">
        <v>46</v>
      </c>
      <c r="W2257" s="153"/>
      <c r="X2257" s="153"/>
      <c r="Y2257" s="153"/>
      <c r="Z2257" s="153"/>
      <c r="AA2257" s="153"/>
      <c r="AB2257" s="153"/>
      <c r="AC2257" s="153"/>
      <c r="AD2257" s="47">
        <v>170.84</v>
      </c>
      <c r="AE2257" s="208">
        <v>170.84</v>
      </c>
      <c r="AF2257" s="253">
        <v>170.84</v>
      </c>
      <c r="AG2257" s="253">
        <f t="shared" si="282"/>
        <v>170.84</v>
      </c>
      <c r="DG2257" s="762"/>
      <c r="DH2257" s="1241" t="str">
        <f t="shared" si="285"/>
        <v>Heating Res 15 Year EUL</v>
      </c>
      <c r="DI2257" s="934">
        <f>(INDEX('Avoided Cost Benefits'!$B$4:$B$866,MATCH(DH2257,'Avoided Cost Benefits'!$A$4:$A$866,0)))*F2257</f>
        <v>92.236276259100066</v>
      </c>
      <c r="DJ2257" s="2051">
        <f t="shared" si="288"/>
        <v>0</v>
      </c>
    </row>
    <row r="2258" spans="1:114" x14ac:dyDescent="0.25">
      <c r="A2258" s="2143" t="s">
        <v>602</v>
      </c>
      <c r="B2258" s="1318">
        <f t="shared" si="286"/>
        <v>356750</v>
      </c>
      <c r="C2258" s="425" t="s">
        <v>1333</v>
      </c>
      <c r="D2258" s="2093" t="s">
        <v>810</v>
      </c>
      <c r="E2258" s="1240" t="s">
        <v>1334</v>
      </c>
      <c r="F2258" s="208">
        <f>ROUND(((J$2295*J$2296*(1/J$2299-1/J$2302))/1000),2)</f>
        <v>105.12</v>
      </c>
      <c r="G2258" s="81" t="s">
        <v>1030</v>
      </c>
      <c r="H2258" s="66">
        <f>VLOOKUP(G2258,'CP FACTORS'!$A$3:$B$38, 2, FALSE)</f>
        <v>9.4741810000000004E-4</v>
      </c>
      <c r="I2258" s="961">
        <f t="shared" si="287"/>
        <v>9.9593000000000001E-2</v>
      </c>
      <c r="J2258" s="57">
        <f>$J$2305</f>
        <v>15</v>
      </c>
      <c r="K2258" s="159">
        <f>J$2309</f>
        <v>84.93</v>
      </c>
      <c r="L2258" s="967">
        <f>K$2285</f>
        <v>1.0111111111111111</v>
      </c>
      <c r="M2258" s="221"/>
      <c r="R2258" s="510"/>
      <c r="T2258" s="50"/>
      <c r="U2258" s="50"/>
      <c r="V2258" s="1257" t="s">
        <v>46</v>
      </c>
      <c r="W2258" s="153"/>
      <c r="X2258" s="153"/>
      <c r="Y2258" s="153"/>
      <c r="Z2258" s="153"/>
      <c r="AA2258" s="153"/>
      <c r="AB2258" s="153"/>
      <c r="AC2258" s="153"/>
      <c r="AD2258" s="47">
        <v>105.12</v>
      </c>
      <c r="AE2258" s="208">
        <v>105.12</v>
      </c>
      <c r="AF2258" s="253">
        <v>105.12</v>
      </c>
      <c r="AG2258" s="253">
        <f t="shared" si="282"/>
        <v>105.12</v>
      </c>
      <c r="DG2258" s="1024">
        <f>(DI2258+DI2259)/(DJ2258+DJ2259)</f>
        <v>19.485785034229444</v>
      </c>
      <c r="DH2258" s="1240" t="str">
        <f t="shared" si="285"/>
        <v>Cooling Res 15 Year EUL</v>
      </c>
      <c r="DI2258" s="931">
        <f>(INDEX('Avoided Cost Benefits'!$B$4:$B$866,MATCH(DH2258,'Avoided Cost Benefits'!$A$4:$A$866,0)))*F2258</f>
        <v>213.64142415424695</v>
      </c>
      <c r="DJ2258" s="2051">
        <f t="shared" si="288"/>
        <v>84.93</v>
      </c>
    </row>
    <row r="2259" spans="1:114" x14ac:dyDescent="0.25">
      <c r="A2259" s="2143" t="s">
        <v>602</v>
      </c>
      <c r="B2259" s="1318">
        <f t="shared" si="286"/>
        <v>356750</v>
      </c>
      <c r="C2259" s="425" t="s">
        <v>1333</v>
      </c>
      <c r="D2259" s="2093" t="s">
        <v>810</v>
      </c>
      <c r="E2259" s="1241" t="s">
        <v>1334</v>
      </c>
      <c r="F2259" s="208">
        <f>ROUND(((J$2285*J$2286*(1/J$2290-1/J$2293))/1000),2)</f>
        <v>2669.55</v>
      </c>
      <c r="G2259" s="81" t="s">
        <v>1031</v>
      </c>
      <c r="H2259" s="66">
        <f>VLOOKUP(G2259,'CP FACTORS'!$A$3:$B$38, 2, FALSE)</f>
        <v>0</v>
      </c>
      <c r="I2259" s="961">
        <f t="shared" si="287"/>
        <v>0</v>
      </c>
      <c r="J2259" s="57">
        <f>$J$2305</f>
        <v>15</v>
      </c>
      <c r="K2259" s="159">
        <v>0</v>
      </c>
      <c r="L2259" s="967"/>
      <c r="M2259" s="221"/>
      <c r="R2259" s="510"/>
      <c r="T2259" s="50"/>
      <c r="U2259" s="50"/>
      <c r="V2259" s="1257" t="s">
        <v>46</v>
      </c>
      <c r="W2259" s="153"/>
      <c r="X2259" s="153"/>
      <c r="Y2259" s="153"/>
      <c r="Z2259" s="153"/>
      <c r="AA2259" s="153"/>
      <c r="AB2259" s="153"/>
      <c r="AC2259" s="153"/>
      <c r="AD2259" s="47">
        <v>2669.55</v>
      </c>
      <c r="AE2259" s="208">
        <v>2669.55</v>
      </c>
      <c r="AF2259" s="253">
        <v>2669.55</v>
      </c>
      <c r="AG2259" s="253">
        <f t="shared" si="282"/>
        <v>2669.55</v>
      </c>
      <c r="DG2259" s="762"/>
      <c r="DH2259" s="1241" t="str">
        <f t="shared" si="285"/>
        <v>Heating Res 15 Year EUL</v>
      </c>
      <c r="DI2259" s="934">
        <f>(INDEX('Avoided Cost Benefits'!$B$4:$B$866,MATCH(DH2259,'Avoided Cost Benefits'!$A$4:$A$866,0)))*F2259</f>
        <v>1441.2862988028598</v>
      </c>
      <c r="DJ2259" s="2051">
        <f t="shared" si="288"/>
        <v>0</v>
      </c>
    </row>
    <row r="2260" spans="1:114" x14ac:dyDescent="0.25">
      <c r="A2260" s="2143" t="s">
        <v>602</v>
      </c>
      <c r="B2260" s="1318">
        <f t="shared" si="286"/>
        <v>356800</v>
      </c>
      <c r="C2260" s="1816" t="s">
        <v>1335</v>
      </c>
      <c r="D2260" s="2093" t="s">
        <v>810</v>
      </c>
      <c r="E2260" s="1265" t="s">
        <v>1336</v>
      </c>
      <c r="F2260" s="979">
        <f>ROUND(((J$2295*J$2296*(1/J$2297-1/J$2303))/1000),2)</f>
        <v>584.30999999999995</v>
      </c>
      <c r="G2260" s="980" t="s">
        <v>1030</v>
      </c>
      <c r="H2260" s="919">
        <f>VLOOKUP(G2260,'CP FACTORS'!$A$3:$B$38, 2, FALSE)</f>
        <v>9.4741810000000004E-4</v>
      </c>
      <c r="I2260" s="981">
        <f t="shared" si="287"/>
        <v>0.55358600000000002</v>
      </c>
      <c r="J2260" s="982">
        <f>$J$2306</f>
        <v>5</v>
      </c>
      <c r="K2260" s="983">
        <f>J$2308</f>
        <v>224.93182686576984</v>
      </c>
      <c r="L2260" s="984">
        <f>K$2285</f>
        <v>1.0111111111111111</v>
      </c>
      <c r="M2260" s="221"/>
      <c r="R2260" s="510"/>
      <c r="T2260" s="50"/>
      <c r="U2260" s="50"/>
      <c r="V2260" s="1257" t="s">
        <v>46</v>
      </c>
      <c r="W2260" s="153"/>
      <c r="X2260" s="153"/>
      <c r="Y2260" s="153"/>
      <c r="Z2260" s="153"/>
      <c r="AA2260" s="153"/>
      <c r="AB2260" s="153"/>
      <c r="AC2260" s="153"/>
      <c r="AD2260" s="47">
        <v>540.66999999999996</v>
      </c>
      <c r="AE2260" s="208">
        <v>540.66999999999996</v>
      </c>
      <c r="AF2260" s="253">
        <v>584.30999999999995</v>
      </c>
      <c r="AG2260" s="253">
        <f t="shared" si="282"/>
        <v>584.30999999999995</v>
      </c>
      <c r="DG2260" s="1024">
        <f>(DI2260+DI2261+DI2262+DI2263)/(DJ2260+DJ2261+DJ2262+DJ2263)</f>
        <v>4.5905121733042673</v>
      </c>
      <c r="DH2260" s="1240" t="str">
        <f t="shared" si="285"/>
        <v>Cooling Res 5 Year EUL</v>
      </c>
      <c r="DI2260" s="931">
        <f>(INDEX('Avoided Cost Benefits'!$B$4:$B$866,MATCH(DH2260,'Avoided Cost Benefits'!$A$4:$A$866,0)))*F2260</f>
        <v>496.47101688748114</v>
      </c>
      <c r="DJ2260" s="2051">
        <f t="shared" si="288"/>
        <v>224.93182686576984</v>
      </c>
    </row>
    <row r="2261" spans="1:114" x14ac:dyDescent="0.25">
      <c r="A2261" s="2143" t="s">
        <v>602</v>
      </c>
      <c r="B2261" s="1318">
        <f t="shared" si="286"/>
        <v>356800</v>
      </c>
      <c r="C2261" s="425" t="s">
        <v>1335</v>
      </c>
      <c r="D2261" s="2093" t="s">
        <v>810</v>
      </c>
      <c r="E2261" s="1265" t="s">
        <v>1336</v>
      </c>
      <c r="F2261" s="208">
        <f>ROUND(((J$2285*J$2286*(1/J$2287-1/J$2294))/1000),2)</f>
        <v>1328.35</v>
      </c>
      <c r="G2261" s="81" t="s">
        <v>1031</v>
      </c>
      <c r="H2261" s="66">
        <f>VLOOKUP(G2261,'CP FACTORS'!$A$3:$B$38, 2, FALSE)</f>
        <v>0</v>
      </c>
      <c r="I2261" s="961">
        <f t="shared" si="287"/>
        <v>0</v>
      </c>
      <c r="J2261" s="57">
        <f>$J$2306</f>
        <v>5</v>
      </c>
      <c r="K2261" s="159">
        <v>0</v>
      </c>
      <c r="L2261" s="967"/>
      <c r="M2261" s="221"/>
      <c r="R2261" s="510"/>
      <c r="T2261" s="50"/>
      <c r="U2261" s="50"/>
      <c r="V2261" s="1257" t="s">
        <v>46</v>
      </c>
      <c r="W2261" s="153"/>
      <c r="X2261" s="153"/>
      <c r="Y2261" s="153"/>
      <c r="Z2261" s="153"/>
      <c r="AA2261" s="153"/>
      <c r="AB2261" s="153"/>
      <c r="AC2261" s="153"/>
      <c r="AD2261" s="47">
        <v>1328.35</v>
      </c>
      <c r="AE2261" s="208">
        <v>1328.35</v>
      </c>
      <c r="AF2261" s="253">
        <v>1328.35</v>
      </c>
      <c r="AG2261" s="253">
        <f t="shared" si="282"/>
        <v>1328.35</v>
      </c>
      <c r="DG2261" s="1025"/>
      <c r="DH2261" s="1265" t="str">
        <f t="shared" si="285"/>
        <v>Heating Res 5 Year EUL</v>
      </c>
      <c r="DI2261" s="946">
        <f>(INDEX('Avoided Cost Benefits'!$B$4:$B$866,MATCH(DH2261,'Avoided Cost Benefits'!$A$4:$A$866,0)))*F2261</f>
        <v>304.13499997140889</v>
      </c>
      <c r="DJ2261" s="2051">
        <f t="shared" si="288"/>
        <v>0</v>
      </c>
    </row>
    <row r="2262" spans="1:114" x14ac:dyDescent="0.25">
      <c r="A2262" s="2143" t="s">
        <v>602</v>
      </c>
      <c r="B2262" s="1318">
        <f t="shared" si="286"/>
        <v>356800</v>
      </c>
      <c r="C2262" s="425" t="s">
        <v>1335</v>
      </c>
      <c r="D2262" s="2093" t="s">
        <v>810</v>
      </c>
      <c r="E2262" s="1265" t="s">
        <v>1337</v>
      </c>
      <c r="F2262" s="979">
        <f>ROUND(((J$2295*J$2296*(1/J$2299-1/J$2303))/1000),2)</f>
        <v>140.77000000000001</v>
      </c>
      <c r="G2262" s="81" t="s">
        <v>1083</v>
      </c>
      <c r="H2262" s="66">
        <f>VLOOKUP(G2262,'CP FACTORS'!$A$3:$B$38, 2, FALSE)</f>
        <v>9.4741810000000004E-4</v>
      </c>
      <c r="I2262" s="981">
        <f t="shared" si="287"/>
        <v>0.13336799999999999</v>
      </c>
      <c r="J2262" s="57">
        <f>$J$2307</f>
        <v>10</v>
      </c>
      <c r="K2262" s="159">
        <v>0</v>
      </c>
      <c r="L2262" s="967"/>
      <c r="M2262" s="221"/>
      <c r="R2262" s="510"/>
      <c r="T2262" s="50"/>
      <c r="U2262" s="50"/>
      <c r="V2262" s="1257" t="s">
        <v>46</v>
      </c>
      <c r="W2262" s="153"/>
      <c r="X2262" s="153"/>
      <c r="Y2262" s="153"/>
      <c r="Z2262" s="153"/>
      <c r="AA2262" s="153"/>
      <c r="AB2262" s="153"/>
      <c r="AC2262" s="153"/>
      <c r="AD2262" s="47">
        <v>140.77000000000001</v>
      </c>
      <c r="AE2262" s="208">
        <v>140.77000000000001</v>
      </c>
      <c r="AF2262" s="253">
        <v>140.77000000000001</v>
      </c>
      <c r="AG2262" s="253">
        <f t="shared" si="282"/>
        <v>140.77000000000001</v>
      </c>
      <c r="DG2262" s="1025"/>
      <c r="DH2262" s="1265" t="str">
        <f t="shared" si="285"/>
        <v>Cooling Res ER2 10 Year EUL</v>
      </c>
      <c r="DI2262" s="946">
        <f>(INDEX('Avoided Cost Benefits'!$B$4:$B$866,MATCH(DH2262,'Avoided Cost Benefits'!$A$4:$A$866,0)))*F2262</f>
        <v>166.48684268654091</v>
      </c>
      <c r="DJ2262" s="2051">
        <f t="shared" si="288"/>
        <v>0</v>
      </c>
    </row>
    <row r="2263" spans="1:114" x14ac:dyDescent="0.25">
      <c r="A2263" s="2143" t="s">
        <v>602</v>
      </c>
      <c r="B2263" s="1318">
        <f t="shared" si="286"/>
        <v>356800</v>
      </c>
      <c r="C2263" s="425" t="s">
        <v>1335</v>
      </c>
      <c r="D2263" s="2093" t="s">
        <v>810</v>
      </c>
      <c r="E2263" s="1241" t="s">
        <v>1337</v>
      </c>
      <c r="F2263" s="208">
        <f>ROUND(((J$2285*J$2286*(1/J$2288-1/J$2294))/1000),2)</f>
        <v>210.52</v>
      </c>
      <c r="G2263" s="81" t="s">
        <v>1118</v>
      </c>
      <c r="H2263" s="66">
        <f>VLOOKUP(G2263,'CP FACTORS'!$A$3:$B$38, 2, FALSE)</f>
        <v>0</v>
      </c>
      <c r="I2263" s="961">
        <f t="shared" si="287"/>
        <v>0</v>
      </c>
      <c r="J2263" s="57">
        <f>$J$2307</f>
        <v>10</v>
      </c>
      <c r="K2263" s="159">
        <v>0</v>
      </c>
      <c r="L2263" s="967"/>
      <c r="M2263" s="221"/>
      <c r="R2263" s="510"/>
      <c r="T2263" s="50"/>
      <c r="U2263" s="50"/>
      <c r="V2263" s="1257" t="s">
        <v>46</v>
      </c>
      <c r="W2263" s="153"/>
      <c r="X2263" s="153"/>
      <c r="Y2263" s="153"/>
      <c r="Z2263" s="153"/>
      <c r="AA2263" s="153"/>
      <c r="AB2263" s="153"/>
      <c r="AC2263" s="153"/>
      <c r="AD2263" s="47">
        <v>210.52</v>
      </c>
      <c r="AE2263" s="208">
        <v>210.52</v>
      </c>
      <c r="AF2263" s="253">
        <v>210.52</v>
      </c>
      <c r="AG2263" s="253">
        <f t="shared" si="282"/>
        <v>210.52</v>
      </c>
      <c r="DG2263" s="762"/>
      <c r="DH2263" s="1241" t="str">
        <f t="shared" si="285"/>
        <v>Heating Res ER2 10 Year EUL</v>
      </c>
      <c r="DI2263" s="934">
        <f>(INDEX('Avoided Cost Benefits'!$B$4:$B$866,MATCH(DH2263,'Avoided Cost Benefits'!$A$4:$A$866,0)))*F2263</f>
        <v>65.459429845453258</v>
      </c>
      <c r="DJ2263" s="2051">
        <f t="shared" si="288"/>
        <v>0</v>
      </c>
    </row>
    <row r="2264" spans="1:114" x14ac:dyDescent="0.25">
      <c r="A2264" s="2143" t="s">
        <v>602</v>
      </c>
      <c r="B2264" s="1318">
        <f t="shared" si="286"/>
        <v>356850</v>
      </c>
      <c r="C2264" s="425" t="s">
        <v>1338</v>
      </c>
      <c r="D2264" s="2093" t="s">
        <v>810</v>
      </c>
      <c r="E2264" s="1240" t="s">
        <v>1339</v>
      </c>
      <c r="F2264" s="208">
        <f>ROUND(((J$2295*J$2296*(1/J$2298-1/J$2303))/1000),2)</f>
        <v>647.36</v>
      </c>
      <c r="G2264" s="81" t="s">
        <v>1030</v>
      </c>
      <c r="H2264" s="66">
        <f>VLOOKUP(G2264,'CP FACTORS'!$A$3:$B$38, 2, FALSE)</f>
        <v>9.4741810000000004E-4</v>
      </c>
      <c r="I2264" s="961">
        <f t="shared" si="287"/>
        <v>0.61332100000000001</v>
      </c>
      <c r="J2264" s="982">
        <f>$J$2306</f>
        <v>5</v>
      </c>
      <c r="K2264" s="983">
        <f>J$2308</f>
        <v>224.93182686576984</v>
      </c>
      <c r="L2264" s="967">
        <f>K$2285</f>
        <v>1.0111111111111111</v>
      </c>
      <c r="M2264" s="221"/>
      <c r="R2264" s="510"/>
      <c r="T2264" s="50"/>
      <c r="U2264" s="50"/>
      <c r="V2264" s="1257" t="s">
        <v>46</v>
      </c>
      <c r="W2264" s="153"/>
      <c r="X2264" s="153"/>
      <c r="Y2264" s="153"/>
      <c r="Z2264" s="153"/>
      <c r="AA2264" s="153"/>
      <c r="AB2264" s="153"/>
      <c r="AC2264" s="153"/>
      <c r="AD2264" s="47">
        <v>601.84</v>
      </c>
      <c r="AE2264" s="208">
        <v>601.84</v>
      </c>
      <c r="AF2264" s="253">
        <v>647.36</v>
      </c>
      <c r="AG2264" s="253">
        <f t="shared" si="282"/>
        <v>647.36</v>
      </c>
      <c r="DG2264" s="1024">
        <f>(DI2264+DI2265+DI2266+DI2267)/(DJ2264+DJ2265+DJ2266+DJ2267)</f>
        <v>9.6884424723683011</v>
      </c>
      <c r="DH2264" s="1240" t="str">
        <f t="shared" si="285"/>
        <v>Cooling Res 5 Year EUL</v>
      </c>
      <c r="DI2264" s="931">
        <f>(INDEX('Avoided Cost Benefits'!$B$4:$B$866,MATCH(DH2264,'Avoided Cost Benefits'!$A$4:$A$866,0)))*F2264</f>
        <v>550.04274698752351</v>
      </c>
      <c r="DJ2264" s="2051">
        <f t="shared" si="288"/>
        <v>224.93182686576984</v>
      </c>
    </row>
    <row r="2265" spans="1:114" x14ac:dyDescent="0.25">
      <c r="A2265" s="2143" t="s">
        <v>602</v>
      </c>
      <c r="B2265" s="1318">
        <f t="shared" si="286"/>
        <v>356850</v>
      </c>
      <c r="C2265" s="425" t="s">
        <v>1338</v>
      </c>
      <c r="D2265" s="2093" t="s">
        <v>810</v>
      </c>
      <c r="E2265" s="1265" t="s">
        <v>1339</v>
      </c>
      <c r="F2265" s="167">
        <f>ROUND(((J$2285*J$2286*(1/J$2289-1/J$2294))/1000),2)</f>
        <v>2709.23</v>
      </c>
      <c r="G2265" s="81" t="s">
        <v>1031</v>
      </c>
      <c r="H2265" s="66">
        <f>VLOOKUP(G2265,'CP FACTORS'!$A$3:$B$38, 2, FALSE)</f>
        <v>0</v>
      </c>
      <c r="I2265" s="961">
        <f t="shared" si="287"/>
        <v>0</v>
      </c>
      <c r="J2265" s="57">
        <f>$J$2306</f>
        <v>5</v>
      </c>
      <c r="K2265" s="159">
        <v>0</v>
      </c>
      <c r="L2265" s="967"/>
      <c r="M2265" s="221"/>
      <c r="R2265" s="510"/>
      <c r="T2265" s="50"/>
      <c r="U2265" s="50"/>
      <c r="V2265" s="1257" t="s">
        <v>46</v>
      </c>
      <c r="W2265" s="153"/>
      <c r="X2265" s="153"/>
      <c r="Y2265" s="153"/>
      <c r="Z2265" s="153"/>
      <c r="AA2265" s="153"/>
      <c r="AB2265" s="153"/>
      <c r="AC2265" s="153"/>
      <c r="AD2265" s="47">
        <v>2709.23</v>
      </c>
      <c r="AE2265" s="208">
        <v>2709.23</v>
      </c>
      <c r="AF2265" s="253">
        <v>2709.23</v>
      </c>
      <c r="AG2265" s="253">
        <f t="shared" si="282"/>
        <v>2709.23</v>
      </c>
      <c r="DG2265" s="1025"/>
      <c r="DH2265" s="1265" t="str">
        <f t="shared" si="285"/>
        <v>Heating Res 5 Year EUL</v>
      </c>
      <c r="DI2265" s="946">
        <f>(INDEX('Avoided Cost Benefits'!$B$4:$B$866,MATCH(DH2265,'Avoided Cost Benefits'!$A$4:$A$866,0)))*F2265</f>
        <v>620.29710992776006</v>
      </c>
      <c r="DJ2265" s="2051">
        <f t="shared" si="288"/>
        <v>0</v>
      </c>
    </row>
    <row r="2266" spans="1:114" x14ac:dyDescent="0.25">
      <c r="A2266" s="2143" t="s">
        <v>602</v>
      </c>
      <c r="B2266" s="1318">
        <f t="shared" si="286"/>
        <v>356850</v>
      </c>
      <c r="C2266" s="425" t="s">
        <v>1338</v>
      </c>
      <c r="D2266" s="2093" t="s">
        <v>810</v>
      </c>
      <c r="E2266" s="1265" t="s">
        <v>1340</v>
      </c>
      <c r="F2266" s="208">
        <f>ROUND(((J$2295*J$2296*(1/J$2299-1/J$2303))/1000),2)</f>
        <v>140.77000000000001</v>
      </c>
      <c r="G2266" s="81" t="s">
        <v>1083</v>
      </c>
      <c r="H2266" s="66">
        <f>VLOOKUP(G2266,'CP FACTORS'!$A$3:$B$38, 2, FALSE)</f>
        <v>9.4741810000000004E-4</v>
      </c>
      <c r="I2266" s="981">
        <f t="shared" si="287"/>
        <v>0.13336799999999999</v>
      </c>
      <c r="J2266" s="57">
        <f>$J$2307</f>
        <v>10</v>
      </c>
      <c r="K2266" s="159">
        <v>0</v>
      </c>
      <c r="L2266" s="967"/>
      <c r="M2266" s="221"/>
      <c r="R2266" s="510"/>
      <c r="T2266" s="50"/>
      <c r="U2266" s="50"/>
      <c r="V2266" s="1257" t="s">
        <v>46</v>
      </c>
      <c r="W2266" s="153"/>
      <c r="X2266" s="153"/>
      <c r="Y2266" s="153"/>
      <c r="Z2266" s="153"/>
      <c r="AA2266" s="153"/>
      <c r="AB2266" s="153"/>
      <c r="AC2266" s="153"/>
      <c r="AD2266" s="47">
        <v>140.77000000000001</v>
      </c>
      <c r="AE2266" s="208">
        <v>140.77000000000001</v>
      </c>
      <c r="AF2266" s="253">
        <v>140.77000000000001</v>
      </c>
      <c r="AG2266" s="253">
        <f t="shared" si="282"/>
        <v>140.77000000000001</v>
      </c>
      <c r="DG2266" s="1025"/>
      <c r="DH2266" s="1265" t="str">
        <f t="shared" si="285"/>
        <v>Cooling Res ER2 10 Year EUL</v>
      </c>
      <c r="DI2266" s="946">
        <f>(INDEX('Avoided Cost Benefits'!$B$4:$B$866,MATCH(DH2266,'Avoided Cost Benefits'!$A$4:$A$866,0)))*F2266</f>
        <v>166.48684268654091</v>
      </c>
      <c r="DJ2266" s="2051">
        <f t="shared" si="288"/>
        <v>0</v>
      </c>
    </row>
    <row r="2267" spans="1:114" x14ac:dyDescent="0.25">
      <c r="A2267" s="2143" t="s">
        <v>602</v>
      </c>
      <c r="B2267" s="1318">
        <f t="shared" si="286"/>
        <v>356850</v>
      </c>
      <c r="C2267" s="425" t="s">
        <v>1338</v>
      </c>
      <c r="D2267" s="2093" t="s">
        <v>810</v>
      </c>
      <c r="E2267" s="1241" t="s">
        <v>1340</v>
      </c>
      <c r="F2267" s="208">
        <f>ROUND(((J$2285*J$2286*(1/J$2290-1/J$2294))/1000),2)</f>
        <v>2709.23</v>
      </c>
      <c r="G2267" s="81" t="s">
        <v>1118</v>
      </c>
      <c r="H2267" s="66">
        <f>VLOOKUP(G2267,'CP FACTORS'!$A$3:$B$38, 2, FALSE)</f>
        <v>0</v>
      </c>
      <c r="I2267" s="961">
        <f t="shared" si="287"/>
        <v>0</v>
      </c>
      <c r="J2267" s="57">
        <f>$J$2307</f>
        <v>10</v>
      </c>
      <c r="K2267" s="159">
        <v>0</v>
      </c>
      <c r="L2267" s="967"/>
      <c r="M2267" s="221"/>
      <c r="R2267" s="510"/>
      <c r="T2267" s="50"/>
      <c r="U2267" s="50"/>
      <c r="V2267" s="1257" t="s">
        <v>46</v>
      </c>
      <c r="W2267" s="153"/>
      <c r="X2267" s="153"/>
      <c r="Y2267" s="153"/>
      <c r="Z2267" s="153"/>
      <c r="AA2267" s="153"/>
      <c r="AB2267" s="153"/>
      <c r="AC2267" s="153"/>
      <c r="AD2267" s="47">
        <v>2709.23</v>
      </c>
      <c r="AE2267" s="208">
        <v>2709.23</v>
      </c>
      <c r="AF2267" s="253">
        <v>2709.23</v>
      </c>
      <c r="AG2267" s="253">
        <f t="shared" si="282"/>
        <v>2709.23</v>
      </c>
      <c r="DG2267" s="762"/>
      <c r="DH2267" s="1241" t="str">
        <f t="shared" si="285"/>
        <v>Heating Res ER2 10 Year EUL</v>
      </c>
      <c r="DI2267" s="934">
        <f>(INDEX('Avoided Cost Benefits'!$B$4:$B$866,MATCH(DH2267,'Avoided Cost Benefits'!$A$4:$A$866,0)))*F2267</f>
        <v>842.41236519189295</v>
      </c>
      <c r="DJ2267" s="2051">
        <f t="shared" si="288"/>
        <v>0</v>
      </c>
    </row>
    <row r="2268" spans="1:114" x14ac:dyDescent="0.25">
      <c r="A2268" s="2143" t="s">
        <v>602</v>
      </c>
      <c r="B2268" s="1318">
        <f t="shared" si="286"/>
        <v>356900</v>
      </c>
      <c r="C2268" s="425" t="s">
        <v>1341</v>
      </c>
      <c r="D2268" s="2093" t="s">
        <v>810</v>
      </c>
      <c r="E2268" s="1240" t="s">
        <v>1342</v>
      </c>
      <c r="F2268" s="208">
        <f>ROUND(((J$2295*J$2296*(1/J$2299-1/J$2303))/1000),2)</f>
        <v>140.77000000000001</v>
      </c>
      <c r="G2268" s="81" t="s">
        <v>1030</v>
      </c>
      <c r="H2268" s="66">
        <f>VLOOKUP(G2268,'CP FACTORS'!$A$3:$B$38, 2, FALSE)</f>
        <v>9.4741810000000004E-4</v>
      </c>
      <c r="I2268" s="961">
        <f t="shared" si="287"/>
        <v>0.13336799999999999</v>
      </c>
      <c r="J2268" s="57">
        <f>$J$2305</f>
        <v>15</v>
      </c>
      <c r="K2268" s="159">
        <f>J$2309</f>
        <v>84.93</v>
      </c>
      <c r="L2268" s="967">
        <f>K$2285</f>
        <v>1.0111111111111111</v>
      </c>
      <c r="M2268" s="221"/>
      <c r="R2268" s="510"/>
      <c r="T2268" s="50"/>
      <c r="U2268" s="50"/>
      <c r="V2268" s="1257" t="s">
        <v>46</v>
      </c>
      <c r="W2268" s="153"/>
      <c r="X2268" s="153"/>
      <c r="Y2268" s="153"/>
      <c r="Z2268" s="153"/>
      <c r="AA2268" s="153"/>
      <c r="AB2268" s="153"/>
      <c r="AC2268" s="153"/>
      <c r="AD2268" s="47">
        <v>140.77000000000001</v>
      </c>
      <c r="AE2268" s="208">
        <v>140.77000000000001</v>
      </c>
      <c r="AF2268" s="253">
        <v>140.77000000000001</v>
      </c>
      <c r="AG2268" s="253">
        <f t="shared" si="282"/>
        <v>140.77000000000001</v>
      </c>
      <c r="DG2268" s="1024">
        <f>(DI2268+DI2269)/(DJ2268+DJ2269)</f>
        <v>4.706869455767599</v>
      </c>
      <c r="DH2268" s="1240" t="str">
        <f t="shared" si="285"/>
        <v>Cooling Res 15 Year EUL</v>
      </c>
      <c r="DI2268" s="931">
        <f>(INDEX('Avoided Cost Benefits'!$B$4:$B$866,MATCH(DH2268,'Avoided Cost Benefits'!$A$4:$A$866,0)))*F2268</f>
        <v>286.09497030244813</v>
      </c>
      <c r="DJ2268" s="2051">
        <f t="shared" si="288"/>
        <v>84.93</v>
      </c>
    </row>
    <row r="2269" spans="1:114" x14ac:dyDescent="0.25">
      <c r="A2269" s="2143" t="s">
        <v>602</v>
      </c>
      <c r="B2269" s="1318">
        <f t="shared" si="286"/>
        <v>356900</v>
      </c>
      <c r="C2269" s="425" t="s">
        <v>1341</v>
      </c>
      <c r="D2269" s="2093" t="s">
        <v>810</v>
      </c>
      <c r="E2269" s="1241" t="s">
        <v>1342</v>
      </c>
      <c r="F2269" s="208">
        <f>ROUND(((J$2285*J$2286*(1/J$2288-1/J$2294))/1000),2)</f>
        <v>210.52</v>
      </c>
      <c r="G2269" s="81" t="s">
        <v>1031</v>
      </c>
      <c r="H2269" s="66">
        <f>VLOOKUP(G2269,'CP FACTORS'!$A$3:$B$38, 2, FALSE)</f>
        <v>0</v>
      </c>
      <c r="I2269" s="961">
        <f t="shared" si="287"/>
        <v>0</v>
      </c>
      <c r="J2269" s="57">
        <f>$J$2305</f>
        <v>15</v>
      </c>
      <c r="K2269" s="159">
        <v>0</v>
      </c>
      <c r="L2269" s="967"/>
      <c r="M2269" s="221"/>
      <c r="R2269" s="510"/>
      <c r="T2269" s="50"/>
      <c r="U2269" s="50"/>
      <c r="V2269" s="1257" t="s">
        <v>46</v>
      </c>
      <c r="W2269" s="153"/>
      <c r="X2269" s="153"/>
      <c r="Y2269" s="153"/>
      <c r="Z2269" s="153"/>
      <c r="AA2269" s="153"/>
      <c r="AB2269" s="153"/>
      <c r="AC2269" s="153"/>
      <c r="AD2269" s="47">
        <v>210.52</v>
      </c>
      <c r="AE2269" s="208">
        <v>210.52</v>
      </c>
      <c r="AF2269" s="253">
        <v>210.52</v>
      </c>
      <c r="AG2269" s="253">
        <f t="shared" si="282"/>
        <v>210.52</v>
      </c>
      <c r="DG2269" s="762"/>
      <c r="DH2269" s="1241" t="str">
        <f t="shared" si="285"/>
        <v>Heating Res 15 Year EUL</v>
      </c>
      <c r="DI2269" s="934">
        <f>(INDEX('Avoided Cost Benefits'!$B$4:$B$866,MATCH(DH2269,'Avoided Cost Benefits'!$A$4:$A$866,0)))*F2269</f>
        <v>113.65945257589408</v>
      </c>
      <c r="DJ2269" s="2051">
        <f t="shared" si="288"/>
        <v>0</v>
      </c>
    </row>
    <row r="2270" spans="1:114" x14ac:dyDescent="0.25">
      <c r="A2270" s="2143" t="s">
        <v>602</v>
      </c>
      <c r="B2270" s="1318">
        <f t="shared" si="286"/>
        <v>356950</v>
      </c>
      <c r="C2270" s="425" t="s">
        <v>1343</v>
      </c>
      <c r="D2270" s="2093" t="s">
        <v>810</v>
      </c>
      <c r="E2270" s="1240" t="s">
        <v>1344</v>
      </c>
      <c r="F2270" s="208">
        <f>ROUND(((J$2295*J$2296*(1/J$2299-1/J$2303))/1000),2)</f>
        <v>140.77000000000001</v>
      </c>
      <c r="G2270" s="81" t="s">
        <v>1030</v>
      </c>
      <c r="H2270" s="66">
        <f>VLOOKUP(G2270,'CP FACTORS'!$A$3:$B$38, 2, FALSE)</f>
        <v>9.4741810000000004E-4</v>
      </c>
      <c r="I2270" s="961">
        <f t="shared" si="287"/>
        <v>0.13336799999999999</v>
      </c>
      <c r="J2270" s="57">
        <f>$J$2305</f>
        <v>15</v>
      </c>
      <c r="K2270" s="159">
        <f>J$2309</f>
        <v>84.93</v>
      </c>
      <c r="L2270" s="967">
        <f>K$2285</f>
        <v>1.0111111111111111</v>
      </c>
      <c r="M2270" s="221"/>
      <c r="R2270" s="510"/>
      <c r="T2270" s="50"/>
      <c r="U2270" s="50"/>
      <c r="V2270" s="1257" t="s">
        <v>46</v>
      </c>
      <c r="W2270" s="153"/>
      <c r="X2270" s="153"/>
      <c r="Y2270" s="153"/>
      <c r="Z2270" s="153"/>
      <c r="AA2270" s="153"/>
      <c r="AB2270" s="153"/>
      <c r="AC2270" s="153"/>
      <c r="AD2270" s="47">
        <v>140.77000000000001</v>
      </c>
      <c r="AE2270" s="208">
        <v>140.77000000000001</v>
      </c>
      <c r="AF2270" s="253">
        <v>140.77000000000001</v>
      </c>
      <c r="AG2270" s="253">
        <f t="shared" si="282"/>
        <v>140.77000000000001</v>
      </c>
      <c r="DG2270" s="1024">
        <f>(DI2270+DI2271)/(DJ2270+DJ2271)</f>
        <v>20.591127345132485</v>
      </c>
      <c r="DH2270" s="1240" t="str">
        <f t="shared" si="285"/>
        <v>Cooling Res 15 Year EUL</v>
      </c>
      <c r="DI2270" s="931">
        <f>(INDEX('Avoided Cost Benefits'!$B$4:$B$866,MATCH(DH2270,'Avoided Cost Benefits'!$A$4:$A$866,0)))*F2270</f>
        <v>286.09497030244813</v>
      </c>
      <c r="DJ2270" s="2051">
        <f t="shared" si="288"/>
        <v>84.93</v>
      </c>
    </row>
    <row r="2271" spans="1:114" x14ac:dyDescent="0.25">
      <c r="A2271" s="2143" t="s">
        <v>602</v>
      </c>
      <c r="B2271" s="1318">
        <f t="shared" si="286"/>
        <v>356950</v>
      </c>
      <c r="C2271" s="425" t="s">
        <v>1343</v>
      </c>
      <c r="D2271" s="2093" t="s">
        <v>810</v>
      </c>
      <c r="E2271" s="1241" t="s">
        <v>1344</v>
      </c>
      <c r="F2271" s="208">
        <f>ROUND(((J$2285*J$2286*(1/J$2290-1/J$2294))/1000),2)</f>
        <v>2709.23</v>
      </c>
      <c r="G2271" s="81" t="s">
        <v>1031</v>
      </c>
      <c r="H2271" s="66">
        <f>VLOOKUP(G2271,'CP FACTORS'!$A$3:$B$38, 2, FALSE)</f>
        <v>0</v>
      </c>
      <c r="I2271" s="961">
        <f t="shared" si="287"/>
        <v>0</v>
      </c>
      <c r="J2271" s="57">
        <f>$J$2305</f>
        <v>15</v>
      </c>
      <c r="K2271" s="159">
        <v>0</v>
      </c>
      <c r="L2271" s="967"/>
      <c r="M2271" s="221"/>
      <c r="R2271" s="510"/>
      <c r="T2271" s="50"/>
      <c r="U2271" s="50"/>
      <c r="V2271" s="1257" t="s">
        <v>46</v>
      </c>
      <c r="W2271" s="153"/>
      <c r="X2271" s="153"/>
      <c r="Y2271" s="153"/>
      <c r="Z2271" s="153"/>
      <c r="AA2271" s="153"/>
      <c r="AB2271" s="153"/>
      <c r="AC2271" s="153"/>
      <c r="AD2271" s="47">
        <v>2709.23</v>
      </c>
      <c r="AE2271" s="208">
        <v>2709.23</v>
      </c>
      <c r="AF2271" s="253">
        <v>2709.23</v>
      </c>
      <c r="AG2271" s="253">
        <f t="shared" si="282"/>
        <v>2709.23</v>
      </c>
      <c r="DG2271" s="762"/>
      <c r="DH2271" s="1241" t="str">
        <f t="shared" si="285"/>
        <v>Heating Res 15 Year EUL</v>
      </c>
      <c r="DI2271" s="934">
        <f>(INDEX('Avoided Cost Benefits'!$B$4:$B$866,MATCH(DH2271,'Avoided Cost Benefits'!$A$4:$A$866,0)))*F2271</f>
        <v>1462.7094751196539</v>
      </c>
      <c r="DJ2271" s="2051">
        <f t="shared" si="288"/>
        <v>0</v>
      </c>
    </row>
    <row r="2272" spans="1:114" outlineLevel="1" x14ac:dyDescent="0.25">
      <c r="A2272" s="2145"/>
      <c r="C2272" s="49"/>
      <c r="D2272" s="74" t="s">
        <v>95</v>
      </c>
      <c r="E2272" s="265" t="s">
        <v>1345</v>
      </c>
      <c r="F2272" s="519"/>
      <c r="G2272" s="539"/>
      <c r="H2272" s="49"/>
      <c r="I2272" s="100" t="s">
        <v>1346</v>
      </c>
      <c r="J2272" s="49"/>
      <c r="K2272" s="49"/>
      <c r="L2272" s="49"/>
      <c r="M2272" s="49"/>
      <c r="Q2272" s="100"/>
      <c r="T2272" s="50"/>
      <c r="U2272" s="50"/>
      <c r="V2272" s="50"/>
      <c r="DG2272" s="543"/>
      <c r="DH2272" s="543"/>
      <c r="DI2272" s="1020"/>
      <c r="DJ2272" s="2045"/>
    </row>
    <row r="2273" spans="1:114" outlineLevel="1" x14ac:dyDescent="0.25">
      <c r="A2273" s="2145"/>
      <c r="C2273" s="49"/>
      <c r="D2273" s="71" t="s">
        <v>609</v>
      </c>
      <c r="E2273" s="50" t="s">
        <v>1038</v>
      </c>
      <c r="G2273" s="100"/>
      <c r="I2273" s="100"/>
      <c r="T2273" s="50"/>
      <c r="U2273" s="50"/>
      <c r="V2273" s="50"/>
      <c r="DG2273" s="543"/>
      <c r="DH2273" s="543"/>
      <c r="DI2273" s="1020"/>
      <c r="DJ2273" s="2045"/>
    </row>
    <row r="2274" spans="1:114" outlineLevel="1" x14ac:dyDescent="0.25">
      <c r="A2274" s="2145"/>
      <c r="C2274" s="49"/>
      <c r="D2274" s="71"/>
      <c r="E2274" s="50" t="s">
        <v>1039</v>
      </c>
      <c r="G2274" s="100"/>
      <c r="H2274" s="49"/>
      <c r="T2274" s="50"/>
      <c r="U2274" s="50"/>
      <c r="V2274" s="50"/>
      <c r="W2274" s="50"/>
      <c r="X2274" s="50"/>
      <c r="Y2274" s="50"/>
      <c r="Z2274" s="50"/>
      <c r="AA2274" s="50"/>
      <c r="AB2274" s="50"/>
      <c r="AC2274" s="50"/>
      <c r="AD2274" s="50"/>
      <c r="AE2274" s="50"/>
      <c r="DG2274" s="543"/>
      <c r="DH2274" s="543"/>
      <c r="DI2274" s="1020"/>
      <c r="DJ2274" s="2045"/>
    </row>
    <row r="2275" spans="1:114" outlineLevel="1" x14ac:dyDescent="0.25">
      <c r="A2275" s="2145"/>
      <c r="C2275" s="49"/>
      <c r="D2275" s="100"/>
      <c r="E2275" s="100"/>
      <c r="G2275" s="100"/>
      <c r="H2275" s="49"/>
      <c r="T2275" s="50"/>
      <c r="U2275" s="50"/>
      <c r="V2275" s="50"/>
      <c r="W2275" s="50"/>
      <c r="X2275" s="50"/>
      <c r="Y2275" s="50"/>
      <c r="Z2275" s="50"/>
      <c r="AA2275" s="50"/>
      <c r="AB2275" s="50"/>
      <c r="AC2275" s="50"/>
      <c r="AD2275" s="50"/>
      <c r="AE2275" s="50"/>
      <c r="DG2275" s="543"/>
      <c r="DH2275" s="543"/>
      <c r="DI2275" s="1020"/>
      <c r="DJ2275" s="2045"/>
    </row>
    <row r="2276" spans="1:114" outlineLevel="1" x14ac:dyDescent="0.25">
      <c r="A2276" s="2145"/>
      <c r="C2276" s="49"/>
      <c r="D2276" s="100"/>
      <c r="E2276" s="100" t="s">
        <v>1347</v>
      </c>
      <c r="G2276" s="100"/>
      <c r="H2276" s="49"/>
      <c r="T2276" s="50"/>
      <c r="U2276" s="50"/>
      <c r="V2276" s="50"/>
      <c r="W2276" s="50"/>
      <c r="X2276" s="50"/>
      <c r="Y2276" s="50"/>
      <c r="Z2276" s="50"/>
      <c r="AA2276" s="50"/>
      <c r="AB2276" s="50"/>
      <c r="AC2276" s="50"/>
      <c r="AD2276" s="50"/>
      <c r="AE2276" s="50"/>
      <c r="DG2276" s="543"/>
      <c r="DH2276" s="543"/>
      <c r="DI2276" s="1020"/>
      <c r="DJ2276" s="2045"/>
    </row>
    <row r="2277" spans="1:114" outlineLevel="1" x14ac:dyDescent="0.25">
      <c r="A2277" s="2145"/>
      <c r="C2277" s="49"/>
      <c r="D2277" s="100"/>
      <c r="E2277" s="100" t="s">
        <v>1348</v>
      </c>
      <c r="G2277" s="100"/>
      <c r="H2277" s="49"/>
      <c r="T2277" s="50"/>
      <c r="U2277" s="50"/>
      <c r="V2277" s="50"/>
      <c r="W2277" s="50"/>
      <c r="X2277" s="50"/>
      <c r="Y2277" s="50"/>
      <c r="Z2277" s="50"/>
      <c r="AA2277" s="50"/>
      <c r="AB2277" s="50"/>
      <c r="AC2277" s="50"/>
      <c r="AD2277" s="50"/>
      <c r="AE2277" s="50"/>
      <c r="DG2277" s="543"/>
      <c r="DH2277" s="543"/>
      <c r="DI2277" s="1020"/>
      <c r="DJ2277" s="2045"/>
    </row>
    <row r="2278" spans="1:114" outlineLevel="1" x14ac:dyDescent="0.25">
      <c r="A2278" s="2145"/>
      <c r="C2278" s="49"/>
      <c r="D2278" s="100"/>
      <c r="E2278" s="100" t="s">
        <v>1349</v>
      </c>
      <c r="G2278" s="100"/>
      <c r="H2278" s="49"/>
      <c r="T2278" s="50"/>
      <c r="U2278" s="50"/>
      <c r="V2278" s="50"/>
      <c r="W2278" s="50"/>
      <c r="X2278" s="50"/>
      <c r="Y2278" s="50"/>
      <c r="Z2278" s="50"/>
      <c r="AA2278" s="50"/>
      <c r="AB2278" s="50"/>
      <c r="AC2278" s="50"/>
      <c r="AD2278" s="50"/>
      <c r="AE2278" s="50"/>
      <c r="DG2278" s="543"/>
      <c r="DH2278" s="543"/>
      <c r="DI2278" s="1020"/>
      <c r="DJ2278" s="2045"/>
    </row>
    <row r="2279" spans="1:114" outlineLevel="1" x14ac:dyDescent="0.25">
      <c r="A2279" s="2145"/>
      <c r="C2279" s="49"/>
      <c r="E2279" s="100" t="s">
        <v>1350</v>
      </c>
      <c r="G2279" s="100"/>
      <c r="H2279" s="49"/>
      <c r="T2279" s="50"/>
      <c r="U2279" s="50"/>
      <c r="V2279" s="50"/>
      <c r="W2279" s="50"/>
      <c r="X2279" s="50"/>
      <c r="Y2279" s="50"/>
      <c r="Z2279" s="50"/>
      <c r="AA2279" s="50"/>
      <c r="AB2279" s="50"/>
      <c r="AC2279" s="50"/>
      <c r="AD2279" s="50"/>
      <c r="AE2279" s="50"/>
      <c r="DG2279" s="543"/>
      <c r="DH2279" s="543"/>
      <c r="DI2279" s="1020"/>
      <c r="DJ2279" s="2045"/>
    </row>
    <row r="2280" spans="1:114" outlineLevel="1" x14ac:dyDescent="0.25">
      <c r="A2280" s="2145"/>
      <c r="C2280" s="49"/>
      <c r="D2280" s="100"/>
      <c r="E2280" s="50" t="s">
        <v>1047</v>
      </c>
      <c r="G2280" s="100"/>
      <c r="H2280" s="49"/>
      <c r="T2280" s="50"/>
      <c r="U2280" s="50"/>
      <c r="V2280" s="50"/>
      <c r="W2280" s="50"/>
      <c r="X2280" s="50"/>
      <c r="Y2280" s="50"/>
      <c r="Z2280" s="50"/>
      <c r="AA2280" s="50"/>
      <c r="AB2280" s="50"/>
      <c r="AC2280" s="50"/>
      <c r="AD2280" s="50"/>
      <c r="AE2280" s="50"/>
      <c r="DG2280" s="543"/>
      <c r="DH2280" s="543"/>
      <c r="DI2280" s="1020"/>
      <c r="DJ2280" s="2045"/>
    </row>
    <row r="2281" spans="1:114" outlineLevel="1" x14ac:dyDescent="0.25">
      <c r="A2281" s="2145"/>
      <c r="C2281" s="49"/>
      <c r="D2281" s="100"/>
      <c r="G2281" s="100"/>
      <c r="H2281" s="49"/>
      <c r="T2281" s="50"/>
      <c r="U2281" s="50"/>
      <c r="V2281" s="50"/>
      <c r="W2281" s="50"/>
      <c r="X2281" s="50"/>
      <c r="Y2281" s="50"/>
      <c r="Z2281" s="50"/>
      <c r="AA2281" s="50"/>
      <c r="AB2281" s="50"/>
      <c r="AC2281" s="50"/>
      <c r="AD2281" s="50"/>
      <c r="AE2281" s="50"/>
      <c r="DG2281" s="543"/>
      <c r="DH2281" s="543"/>
      <c r="DI2281" s="1020"/>
      <c r="DJ2281" s="2045"/>
    </row>
    <row r="2282" spans="1:114" outlineLevel="1" x14ac:dyDescent="0.25">
      <c r="A2282" s="2145"/>
      <c r="C2282" s="49"/>
      <c r="D2282" s="100"/>
      <c r="E2282" s="50" t="s">
        <v>717</v>
      </c>
      <c r="G2282" s="100"/>
      <c r="H2282" s="49"/>
      <c r="T2282" s="50"/>
      <c r="U2282" s="50"/>
      <c r="V2282" s="50"/>
      <c r="W2282" s="50"/>
      <c r="X2282" s="50"/>
      <c r="Y2282" s="50"/>
      <c r="Z2282" s="50"/>
      <c r="AA2282" s="50"/>
      <c r="AB2282" s="50"/>
      <c r="AC2282" s="50"/>
      <c r="AD2282" s="50"/>
      <c r="AE2282" s="50"/>
      <c r="DG2282" s="543"/>
      <c r="DH2282" s="543"/>
      <c r="DI2282" s="1020"/>
      <c r="DJ2282" s="2045"/>
    </row>
    <row r="2283" spans="1:114" outlineLevel="1" x14ac:dyDescent="0.25">
      <c r="A2283" s="2145"/>
      <c r="C2283" s="49"/>
      <c r="D2283" s="100"/>
      <c r="E2283" s="100"/>
      <c r="G2283" s="100"/>
      <c r="H2283" s="49"/>
      <c r="I2283" s="49"/>
      <c r="J2283" s="49"/>
      <c r="K2283" s="49"/>
      <c r="L2283" s="49"/>
      <c r="M2283" s="49"/>
      <c r="T2283" s="50"/>
      <c r="U2283" s="50"/>
      <c r="V2283" s="50"/>
      <c r="DG2283" s="543"/>
      <c r="DH2283" s="543"/>
      <c r="DI2283" s="1020"/>
    </row>
    <row r="2284" spans="1:114" ht="30" outlineLevel="1" x14ac:dyDescent="0.25">
      <c r="A2284" s="2145"/>
      <c r="C2284" s="49"/>
      <c r="D2284" s="1309" t="s">
        <v>720</v>
      </c>
      <c r="E2284" s="1309" t="s">
        <v>613</v>
      </c>
      <c r="F2284" s="2378" t="s">
        <v>614</v>
      </c>
      <c r="G2284" s="2378"/>
      <c r="H2284" s="2378"/>
      <c r="I2284" s="1242" t="s">
        <v>43</v>
      </c>
      <c r="J2284" s="1242" t="s">
        <v>615</v>
      </c>
      <c r="K2284" s="1242" t="s">
        <v>909</v>
      </c>
      <c r="L2284" s="1242" t="s">
        <v>910</v>
      </c>
      <c r="T2284" s="50"/>
      <c r="U2284" s="50"/>
      <c r="V2284" s="162" t="s">
        <v>53</v>
      </c>
      <c r="W2284" s="637">
        <f>W$7</f>
        <v>43252</v>
      </c>
      <c r="X2284" s="637">
        <f t="shared" ref="X2284:AG2284" si="289">X$7</f>
        <v>43800</v>
      </c>
      <c r="Y2284" s="637">
        <f t="shared" si="289"/>
        <v>43800</v>
      </c>
      <c r="Z2284" s="637">
        <f t="shared" si="289"/>
        <v>43862</v>
      </c>
      <c r="AA2284" s="637">
        <f t="shared" si="289"/>
        <v>44013</v>
      </c>
      <c r="AB2284" s="637">
        <f t="shared" si="289"/>
        <v>44166</v>
      </c>
      <c r="AC2284" s="637">
        <f t="shared" si="289"/>
        <v>44531</v>
      </c>
      <c r="AD2284" s="637">
        <f t="shared" si="289"/>
        <v>44774</v>
      </c>
      <c r="AE2284" s="637">
        <f t="shared" si="289"/>
        <v>45139</v>
      </c>
      <c r="AF2284" s="637">
        <f t="shared" si="289"/>
        <v>45672</v>
      </c>
      <c r="AG2284" s="110">
        <f t="shared" si="289"/>
        <v>45931</v>
      </c>
      <c r="DG2284" s="543"/>
      <c r="DH2284" s="543"/>
      <c r="DI2284" s="1020"/>
    </row>
    <row r="2285" spans="1:114" ht="30" outlineLevel="1" x14ac:dyDescent="0.25">
      <c r="A2285" s="2145"/>
      <c r="C2285" s="49"/>
      <c r="D2285" s="1257" t="s">
        <v>1049</v>
      </c>
      <c r="E2285" s="1239" t="s">
        <v>1351</v>
      </c>
      <c r="F2285" s="2404" t="s">
        <v>1352</v>
      </c>
      <c r="G2285" s="2404"/>
      <c r="H2285" s="2404"/>
      <c r="I2285" s="1268"/>
      <c r="J2285" s="1533">
        <f>AVERAGE(9400, 12000,15000)</f>
        <v>12133.333333333334</v>
      </c>
      <c r="K2285" s="45">
        <f>J2285/12000</f>
        <v>1.0111111111111111</v>
      </c>
      <c r="L2285" s="871" t="s">
        <v>1353</v>
      </c>
      <c r="T2285" s="50"/>
      <c r="U2285" s="50"/>
      <c r="V2285" s="1239" t="s">
        <v>1049</v>
      </c>
      <c r="W2285" s="1526"/>
      <c r="X2285" s="1526"/>
      <c r="Y2285" s="1526"/>
      <c r="Z2285" s="1526"/>
      <c r="AA2285" s="1526"/>
      <c r="AB2285" s="1526"/>
      <c r="AC2285" s="1526"/>
      <c r="AD2285" s="1572">
        <v>12133.333333333334</v>
      </c>
      <c r="AE2285" s="1526">
        <v>12133.333333333334</v>
      </c>
      <c r="AF2285" s="253">
        <v>12133.333333333334</v>
      </c>
      <c r="AG2285" s="253">
        <f>IF(J2285&lt;&gt;"",J2285,"")</f>
        <v>12133.333333333334</v>
      </c>
      <c r="DG2285" s="543"/>
      <c r="DH2285" s="543"/>
      <c r="DI2285" s="1020"/>
    </row>
    <row r="2286" spans="1:114" ht="15" customHeight="1" outlineLevel="1" x14ac:dyDescent="0.25">
      <c r="A2286" s="2145"/>
      <c r="C2286" s="49"/>
      <c r="D2286" s="1257" t="s">
        <v>1052</v>
      </c>
      <c r="E2286" s="1239" t="s">
        <v>1053</v>
      </c>
      <c r="F2286" s="2429"/>
      <c r="G2286" s="2429"/>
      <c r="H2286" s="2429"/>
      <c r="I2286" s="1268"/>
      <c r="J2286" s="1534">
        <v>1040</v>
      </c>
      <c r="K2286" s="1307"/>
      <c r="L2286" s="871" t="s">
        <v>1354</v>
      </c>
      <c r="T2286" s="50"/>
      <c r="U2286" s="50"/>
      <c r="V2286" s="1239" t="s">
        <v>1052</v>
      </c>
      <c r="W2286" s="1268"/>
      <c r="X2286" s="1268"/>
      <c r="Y2286" s="1268"/>
      <c r="Z2286" s="1268"/>
      <c r="AA2286" s="1268"/>
      <c r="AB2286" s="1268"/>
      <c r="AC2286" s="1268"/>
      <c r="AD2286" s="779">
        <v>1040</v>
      </c>
      <c r="AE2286" s="1268">
        <v>1040</v>
      </c>
      <c r="AF2286" s="253">
        <v>1040</v>
      </c>
      <c r="AG2286" s="253">
        <f t="shared" ref="AG2286:AG2309" si="290">IF(J2286&lt;&gt;"",J2286,"")</f>
        <v>1040</v>
      </c>
      <c r="DG2286" s="543"/>
      <c r="DH2286" s="543"/>
      <c r="DI2286" s="1020"/>
    </row>
    <row r="2287" spans="1:114" ht="14.65" customHeight="1" outlineLevel="1" x14ac:dyDescent="0.25">
      <c r="A2287" s="2145"/>
      <c r="C2287" s="49"/>
      <c r="D2287" s="2428" t="s">
        <v>1055</v>
      </c>
      <c r="E2287" s="2419" t="s">
        <v>1056</v>
      </c>
      <c r="F2287" s="2404" t="s">
        <v>1355</v>
      </c>
      <c r="G2287" s="2404"/>
      <c r="H2287" s="2404"/>
      <c r="I2287" s="1268"/>
      <c r="J2287" s="1448">
        <v>5.44</v>
      </c>
      <c r="K2287" s="1307"/>
      <c r="L2287" s="871" t="s">
        <v>1354</v>
      </c>
      <c r="T2287" s="50"/>
      <c r="U2287" s="50"/>
      <c r="V2287" s="2419" t="s">
        <v>1057</v>
      </c>
      <c r="W2287" s="1268"/>
      <c r="X2287" s="1268"/>
      <c r="Y2287" s="1268"/>
      <c r="Z2287" s="1268"/>
      <c r="AA2287" s="1268"/>
      <c r="AB2287" s="1268"/>
      <c r="AC2287" s="1268"/>
      <c r="AD2287" s="779">
        <v>5.44</v>
      </c>
      <c r="AE2287" s="1268">
        <v>5.44</v>
      </c>
      <c r="AF2287" s="253">
        <v>5.44</v>
      </c>
      <c r="AG2287" s="253">
        <f t="shared" si="290"/>
        <v>5.44</v>
      </c>
      <c r="DG2287" s="543"/>
      <c r="DH2287" s="543"/>
      <c r="DI2287" s="1020"/>
    </row>
    <row r="2288" spans="1:114" outlineLevel="1" x14ac:dyDescent="0.25">
      <c r="A2288" s="2145"/>
      <c r="C2288" s="49"/>
      <c r="D2288" s="2428"/>
      <c r="E2288" s="2419"/>
      <c r="F2288" s="2404" t="s">
        <v>1356</v>
      </c>
      <c r="G2288" s="2404"/>
      <c r="H2288" s="2404"/>
      <c r="I2288" s="1268"/>
      <c r="J2288" s="1523">
        <v>10.5</v>
      </c>
      <c r="K2288" s="1307"/>
      <c r="L2288" s="871" t="s">
        <v>1357</v>
      </c>
      <c r="T2288" s="50"/>
      <c r="U2288" s="50"/>
      <c r="V2288" s="2419"/>
      <c r="W2288" s="1268"/>
      <c r="X2288" s="1268"/>
      <c r="Y2288" s="1268"/>
      <c r="Z2288" s="1268"/>
      <c r="AA2288" s="1268"/>
      <c r="AB2288" s="1268"/>
      <c r="AC2288" s="1268"/>
      <c r="AD2288" s="779">
        <v>10.5</v>
      </c>
      <c r="AE2288" s="1268">
        <v>10.5</v>
      </c>
      <c r="AF2288" s="253">
        <v>10.5</v>
      </c>
      <c r="AG2288" s="253">
        <f t="shared" si="290"/>
        <v>10.5</v>
      </c>
      <c r="DG2288" s="543"/>
      <c r="DH2288" s="543"/>
      <c r="DI2288" s="1020"/>
    </row>
    <row r="2289" spans="1:115" outlineLevel="1" x14ac:dyDescent="0.25">
      <c r="A2289" s="2145"/>
      <c r="C2289" s="49"/>
      <c r="D2289" s="2428"/>
      <c r="E2289" s="2419"/>
      <c r="F2289" s="2404" t="s">
        <v>1358</v>
      </c>
      <c r="G2289" s="2404"/>
      <c r="H2289" s="2404"/>
      <c r="I2289" s="1268"/>
      <c r="J2289" s="1534">
        <v>3.41</v>
      </c>
      <c r="K2289" s="1307"/>
      <c r="L2289" s="871" t="s">
        <v>1359</v>
      </c>
      <c r="T2289" s="50"/>
      <c r="U2289" s="50"/>
      <c r="V2289" s="2419"/>
      <c r="W2289" s="1268"/>
      <c r="X2289" s="1268"/>
      <c r="Y2289" s="1268"/>
      <c r="Z2289" s="1268"/>
      <c r="AA2289" s="1268"/>
      <c r="AB2289" s="1268"/>
      <c r="AC2289" s="1268"/>
      <c r="AD2289" s="779">
        <v>3.41</v>
      </c>
      <c r="AE2289" s="1268">
        <v>3.41</v>
      </c>
      <c r="AF2289" s="253">
        <v>3.41</v>
      </c>
      <c r="AG2289" s="253">
        <f t="shared" si="290"/>
        <v>3.41</v>
      </c>
      <c r="DG2289" s="543"/>
      <c r="DH2289" s="543"/>
      <c r="DI2289" s="1020"/>
    </row>
    <row r="2290" spans="1:115" outlineLevel="1" x14ac:dyDescent="0.25">
      <c r="A2290" s="2145"/>
      <c r="C2290" s="49"/>
      <c r="D2290" s="2428"/>
      <c r="E2290" s="2419"/>
      <c r="F2290" s="2404" t="s">
        <v>1360</v>
      </c>
      <c r="G2290" s="2404"/>
      <c r="H2290" s="2404"/>
      <c r="I2290" s="1268"/>
      <c r="J2290" s="1534">
        <v>3.41</v>
      </c>
      <c r="K2290" s="1307"/>
      <c r="L2290" s="871" t="s">
        <v>1359</v>
      </c>
      <c r="T2290" s="50"/>
      <c r="U2290" s="50"/>
      <c r="V2290" s="2419"/>
      <c r="W2290" s="1268"/>
      <c r="X2290" s="1268"/>
      <c r="Y2290" s="1268"/>
      <c r="Z2290" s="1268"/>
      <c r="AA2290" s="1268"/>
      <c r="AB2290" s="1268"/>
      <c r="AC2290" s="1268"/>
      <c r="AD2290" s="779">
        <v>3.41</v>
      </c>
      <c r="AE2290" s="1268">
        <v>3.41</v>
      </c>
      <c r="AF2290" s="253">
        <v>3.41</v>
      </c>
      <c r="AG2290" s="253">
        <f t="shared" si="290"/>
        <v>3.41</v>
      </c>
      <c r="DG2290" s="543"/>
      <c r="DH2290" s="543"/>
      <c r="DI2290" s="1020"/>
    </row>
    <row r="2291" spans="1:115" ht="15" customHeight="1" outlineLevel="1" x14ac:dyDescent="0.25">
      <c r="A2291" s="2145"/>
      <c r="C2291" s="49"/>
      <c r="D2291" s="2428"/>
      <c r="E2291" s="2419"/>
      <c r="F2291" s="2404" t="s">
        <v>1361</v>
      </c>
      <c r="G2291" s="2404"/>
      <c r="H2291" s="2404"/>
      <c r="I2291" s="1268"/>
      <c r="J2291" s="1523">
        <v>11.58</v>
      </c>
      <c r="K2291" s="1307"/>
      <c r="L2291" s="871" t="s">
        <v>1362</v>
      </c>
      <c r="T2291" s="50"/>
      <c r="U2291" s="50"/>
      <c r="V2291" s="2419"/>
      <c r="W2291" s="1268"/>
      <c r="X2291" s="1268"/>
      <c r="Y2291" s="1268"/>
      <c r="Z2291" s="1268"/>
      <c r="AA2291" s="1268"/>
      <c r="AB2291" s="1268"/>
      <c r="AC2291" s="1268"/>
      <c r="AD2291" s="779">
        <v>11.58</v>
      </c>
      <c r="AE2291" s="1268">
        <v>11.58</v>
      </c>
      <c r="AF2291" s="253">
        <v>11.58</v>
      </c>
      <c r="AG2291" s="253">
        <f t="shared" si="290"/>
        <v>11.58</v>
      </c>
      <c r="DG2291" s="543"/>
      <c r="DH2291" s="543"/>
      <c r="DI2291" s="1020"/>
    </row>
    <row r="2292" spans="1:115" ht="15" customHeight="1" outlineLevel="1" x14ac:dyDescent="0.25">
      <c r="A2292" s="2145"/>
      <c r="C2292" s="49"/>
      <c r="D2292" s="2428"/>
      <c r="E2292" s="2419"/>
      <c r="F2292" s="2404" t="s">
        <v>1363</v>
      </c>
      <c r="G2292" s="2404"/>
      <c r="H2292" s="2404"/>
      <c r="I2292" s="1268"/>
      <c r="J2292" s="1523">
        <v>11.78</v>
      </c>
      <c r="K2292" s="1307"/>
      <c r="L2292" s="871" t="s">
        <v>1362</v>
      </c>
      <c r="T2292" s="50"/>
      <c r="U2292" s="50"/>
      <c r="V2292" s="2419"/>
      <c r="W2292" s="1268"/>
      <c r="X2292" s="1268"/>
      <c r="Y2292" s="1268"/>
      <c r="Z2292" s="1268"/>
      <c r="AA2292" s="1268"/>
      <c r="AB2292" s="1268"/>
      <c r="AC2292" s="1268"/>
      <c r="AD2292" s="779">
        <v>11.78</v>
      </c>
      <c r="AE2292" s="1268">
        <v>11.78</v>
      </c>
      <c r="AF2292" s="253">
        <v>11.78</v>
      </c>
      <c r="AG2292" s="253">
        <f t="shared" si="290"/>
        <v>11.78</v>
      </c>
      <c r="DG2292" s="543"/>
      <c r="DH2292" s="543"/>
      <c r="DI2292" s="1020"/>
    </row>
    <row r="2293" spans="1:115" ht="15" customHeight="1" outlineLevel="1" x14ac:dyDescent="0.25">
      <c r="A2293" s="2145"/>
      <c r="C2293" s="49"/>
      <c r="D2293" s="2428"/>
      <c r="E2293" s="2419"/>
      <c r="F2293" s="2404" t="s">
        <v>1364</v>
      </c>
      <c r="G2293" s="2404"/>
      <c r="H2293" s="2404"/>
      <c r="I2293" s="1268"/>
      <c r="J2293" s="1523">
        <v>12.24</v>
      </c>
      <c r="K2293" s="1307"/>
      <c r="L2293" s="871" t="s">
        <v>1362</v>
      </c>
      <c r="T2293" s="50"/>
      <c r="U2293" s="50"/>
      <c r="V2293" s="2419"/>
      <c r="W2293" s="1268"/>
      <c r="X2293" s="1268"/>
      <c r="Y2293" s="1268"/>
      <c r="Z2293" s="1268"/>
      <c r="AA2293" s="1268"/>
      <c r="AB2293" s="1268"/>
      <c r="AC2293" s="1268"/>
      <c r="AD2293" s="779">
        <v>12.24</v>
      </c>
      <c r="AE2293" s="1268">
        <v>12.24</v>
      </c>
      <c r="AF2293" s="253">
        <v>12.24</v>
      </c>
      <c r="AG2293" s="253">
        <f t="shared" si="290"/>
        <v>12.24</v>
      </c>
      <c r="DG2293" s="543"/>
      <c r="DH2293" s="543"/>
      <c r="DI2293" s="1020"/>
    </row>
    <row r="2294" spans="1:115" ht="15" customHeight="1" outlineLevel="1" x14ac:dyDescent="0.25">
      <c r="A2294" s="2145"/>
      <c r="C2294" s="49"/>
      <c r="D2294" s="2428"/>
      <c r="E2294" s="2419"/>
      <c r="F2294" s="2404" t="s">
        <v>1365</v>
      </c>
      <c r="G2294" s="2404"/>
      <c r="H2294" s="2404"/>
      <c r="I2294" s="1268"/>
      <c r="J2294" s="1523">
        <v>12.73</v>
      </c>
      <c r="K2294" s="1307"/>
      <c r="L2294" s="871" t="s">
        <v>1362</v>
      </c>
      <c r="T2294" s="50"/>
      <c r="U2294" s="50"/>
      <c r="V2294" s="2419"/>
      <c r="W2294" s="1268"/>
      <c r="X2294" s="1268"/>
      <c r="Y2294" s="1268"/>
      <c r="Z2294" s="1268"/>
      <c r="AA2294" s="1268"/>
      <c r="AB2294" s="1268"/>
      <c r="AC2294" s="1268"/>
      <c r="AD2294" s="779">
        <v>12.73</v>
      </c>
      <c r="AE2294" s="1268">
        <v>12.73</v>
      </c>
      <c r="AF2294" s="253">
        <v>12.73</v>
      </c>
      <c r="AG2294" s="253">
        <f t="shared" si="290"/>
        <v>12.73</v>
      </c>
      <c r="DG2294" s="543"/>
      <c r="DH2294" s="543"/>
      <c r="DI2294" s="1020"/>
    </row>
    <row r="2295" spans="1:115" ht="30" outlineLevel="1" x14ac:dyDescent="0.25">
      <c r="A2295" s="2145"/>
      <c r="C2295" s="49"/>
      <c r="D2295" s="1257" t="s">
        <v>1064</v>
      </c>
      <c r="E2295" s="1239" t="s">
        <v>1366</v>
      </c>
      <c r="F2295" s="2404" t="s">
        <v>1352</v>
      </c>
      <c r="G2295" s="2404"/>
      <c r="H2295" s="2404"/>
      <c r="I2295" s="1268"/>
      <c r="J2295" s="1533">
        <f>AVERAGE(9400, 12000,15000)</f>
        <v>12133.333333333334</v>
      </c>
      <c r="K2295" s="45">
        <f>J2295/12000</f>
        <v>1.0111111111111111</v>
      </c>
      <c r="L2295" s="871" t="s">
        <v>1353</v>
      </c>
      <c r="T2295" s="50"/>
      <c r="U2295" s="50"/>
      <c r="V2295" s="1239" t="s">
        <v>1064</v>
      </c>
      <c r="W2295" s="1526"/>
      <c r="X2295" s="1526"/>
      <c r="Y2295" s="1526"/>
      <c r="Z2295" s="1526"/>
      <c r="AA2295" s="1526"/>
      <c r="AB2295" s="1526"/>
      <c r="AC2295" s="1526"/>
      <c r="AD2295" s="1572">
        <v>12133.333333333334</v>
      </c>
      <c r="AE2295" s="1526">
        <v>12133.333333333334</v>
      </c>
      <c r="AF2295" s="253">
        <v>12133.333333333334</v>
      </c>
      <c r="AG2295" s="253">
        <f t="shared" si="290"/>
        <v>12133.333333333334</v>
      </c>
      <c r="DG2295" s="543"/>
      <c r="DH2295" s="543"/>
      <c r="DI2295" s="1020"/>
    </row>
    <row r="2296" spans="1:115" outlineLevel="1" x14ac:dyDescent="0.25">
      <c r="A2296" s="2145"/>
      <c r="C2296" s="49"/>
      <c r="D2296" s="628" t="s">
        <v>1066</v>
      </c>
      <c r="E2296" s="1881" t="s">
        <v>1067</v>
      </c>
      <c r="F2296" s="2429"/>
      <c r="G2296" s="2429"/>
      <c r="H2296" s="2429"/>
      <c r="I2296" s="871"/>
      <c r="J2296" s="1539">
        <v>617</v>
      </c>
      <c r="K2296" s="1307"/>
      <c r="L2296" s="871" t="s">
        <v>1354</v>
      </c>
      <c r="T2296" s="50"/>
      <c r="U2296" s="50"/>
      <c r="V2296" s="1881" t="s">
        <v>1066</v>
      </c>
      <c r="W2296" s="871"/>
      <c r="X2296" s="871"/>
      <c r="Y2296" s="871"/>
      <c r="Z2296" s="871"/>
      <c r="AA2296" s="871"/>
      <c r="AB2296" s="871"/>
      <c r="AC2296" s="871"/>
      <c r="AD2296" s="1425">
        <v>617</v>
      </c>
      <c r="AE2296" s="871">
        <v>617</v>
      </c>
      <c r="AF2296" s="253">
        <v>617</v>
      </c>
      <c r="AG2296" s="253">
        <f t="shared" si="290"/>
        <v>617</v>
      </c>
      <c r="DG2296" s="543"/>
      <c r="DH2296" s="543"/>
      <c r="DI2296" s="1020"/>
    </row>
    <row r="2297" spans="1:115" ht="14.65" customHeight="1" outlineLevel="1" x14ac:dyDescent="0.25">
      <c r="A2297" s="2145"/>
      <c r="C2297" s="49"/>
      <c r="D2297" s="2428" t="s">
        <v>1068</v>
      </c>
      <c r="E2297" s="2419" t="s">
        <v>1069</v>
      </c>
      <c r="F2297" s="2404" t="s">
        <v>1367</v>
      </c>
      <c r="G2297" s="2404"/>
      <c r="H2297" s="2404"/>
      <c r="I2297" s="1268"/>
      <c r="J2297" s="1448">
        <v>6.91</v>
      </c>
      <c r="K2297" s="1307"/>
      <c r="L2297" s="871" t="s">
        <v>1354</v>
      </c>
      <c r="T2297" s="50"/>
      <c r="U2297" s="50"/>
      <c r="V2297" s="2419" t="s">
        <v>1070</v>
      </c>
      <c r="W2297" s="1268"/>
      <c r="X2297" s="1268"/>
      <c r="Y2297" s="1268"/>
      <c r="Z2297" s="1268"/>
      <c r="AA2297" s="1268"/>
      <c r="AB2297" s="1268"/>
      <c r="AC2297" s="1268"/>
      <c r="AD2297" s="779">
        <v>7.2</v>
      </c>
      <c r="AE2297" s="1268">
        <v>7.2</v>
      </c>
      <c r="AF2297" s="253">
        <v>6.91</v>
      </c>
      <c r="AG2297" s="253">
        <f t="shared" si="290"/>
        <v>6.91</v>
      </c>
      <c r="DG2297" s="543"/>
      <c r="DH2297" s="543"/>
      <c r="DI2297" s="1020"/>
    </row>
    <row r="2298" spans="1:115" outlineLevel="1" x14ac:dyDescent="0.25">
      <c r="A2298" s="2145"/>
      <c r="C2298" s="49"/>
      <c r="D2298" s="2428"/>
      <c r="E2298" s="2419"/>
      <c r="F2298" s="2404" t="s">
        <v>1368</v>
      </c>
      <c r="G2298" s="2404"/>
      <c r="H2298" s="2404"/>
      <c r="I2298" s="1268"/>
      <c r="J2298" s="1448">
        <v>6.53</v>
      </c>
      <c r="K2298" s="1307"/>
      <c r="L2298" s="871" t="s">
        <v>1354</v>
      </c>
      <c r="T2298" s="50"/>
      <c r="U2298" s="50"/>
      <c r="V2298" s="2419"/>
      <c r="W2298" s="1268"/>
      <c r="X2298" s="1268"/>
      <c r="Y2298" s="1268"/>
      <c r="Z2298" s="1268"/>
      <c r="AA2298" s="1268"/>
      <c r="AB2298" s="1268"/>
      <c r="AC2298" s="1268"/>
      <c r="AD2298" s="779">
        <v>6.8</v>
      </c>
      <c r="AE2298" s="1268">
        <v>6.8</v>
      </c>
      <c r="AF2298" s="253">
        <v>6.53</v>
      </c>
      <c r="AG2298" s="253">
        <f t="shared" si="290"/>
        <v>6.53</v>
      </c>
      <c r="DG2298" s="543"/>
      <c r="DH2298" s="543"/>
      <c r="DI2298" s="1020"/>
    </row>
    <row r="2299" spans="1:115" outlineLevel="1" x14ac:dyDescent="0.25">
      <c r="A2299" s="2145"/>
      <c r="C2299" s="49"/>
      <c r="D2299" s="2428"/>
      <c r="E2299" s="2419"/>
      <c r="F2299" s="2404" t="s">
        <v>1356</v>
      </c>
      <c r="G2299" s="2404"/>
      <c r="H2299" s="2404"/>
      <c r="I2299" s="1268"/>
      <c r="J2299" s="1523">
        <v>11.7</v>
      </c>
      <c r="K2299" s="1307"/>
      <c r="L2299" s="871" t="s">
        <v>1357</v>
      </c>
      <c r="T2299" s="50"/>
      <c r="U2299" s="50"/>
      <c r="V2299" s="2419"/>
      <c r="W2299" s="1268"/>
      <c r="X2299" s="1268"/>
      <c r="Y2299" s="1268"/>
      <c r="Z2299" s="1268"/>
      <c r="AA2299" s="1268"/>
      <c r="AB2299" s="1268"/>
      <c r="AC2299" s="1268"/>
      <c r="AD2299" s="779">
        <v>11.7</v>
      </c>
      <c r="AE2299" s="1268">
        <v>11.7</v>
      </c>
      <c r="AF2299" s="253">
        <v>11.7</v>
      </c>
      <c r="AG2299" s="253">
        <f t="shared" si="290"/>
        <v>11.7</v>
      </c>
      <c r="DG2299" s="543"/>
      <c r="DH2299" s="543"/>
      <c r="DI2299" s="1020"/>
    </row>
    <row r="2300" spans="1:115" outlineLevel="1" x14ac:dyDescent="0.25">
      <c r="A2300" s="2145"/>
      <c r="C2300" s="49"/>
      <c r="D2300" s="2428"/>
      <c r="E2300" s="2419"/>
      <c r="F2300" s="2404" t="s">
        <v>1361</v>
      </c>
      <c r="G2300" s="2404"/>
      <c r="H2300" s="2404"/>
      <c r="I2300" s="1268"/>
      <c r="J2300" s="1523">
        <v>12</v>
      </c>
      <c r="K2300" s="1307"/>
      <c r="L2300" s="871" t="s">
        <v>1369</v>
      </c>
      <c r="T2300" s="50"/>
      <c r="U2300" s="50"/>
      <c r="V2300" s="2419"/>
      <c r="W2300" s="1268"/>
      <c r="X2300" s="1268"/>
      <c r="Y2300" s="1268"/>
      <c r="Z2300" s="1268"/>
      <c r="AA2300" s="1268"/>
      <c r="AB2300" s="1268"/>
      <c r="AC2300" s="1268"/>
      <c r="AD2300" s="779">
        <v>12</v>
      </c>
      <c r="AE2300" s="1268">
        <v>12</v>
      </c>
      <c r="AF2300" s="253">
        <v>12</v>
      </c>
      <c r="AG2300" s="253">
        <f t="shared" si="290"/>
        <v>12</v>
      </c>
      <c r="DG2300" s="543"/>
      <c r="DH2300" s="543"/>
      <c r="DI2300" s="1020"/>
    </row>
    <row r="2301" spans="1:115" outlineLevel="1" x14ac:dyDescent="0.25">
      <c r="A2301" s="2145"/>
      <c r="C2301" s="49"/>
      <c r="D2301" s="2428"/>
      <c r="E2301" s="2419"/>
      <c r="F2301" s="2404" t="s">
        <v>1363</v>
      </c>
      <c r="G2301" s="2404"/>
      <c r="H2301" s="2404"/>
      <c r="I2301" s="1268"/>
      <c r="J2301" s="1523">
        <v>13</v>
      </c>
      <c r="K2301" s="1307"/>
      <c r="L2301" s="871" t="s">
        <v>1073</v>
      </c>
      <c r="T2301" s="50"/>
      <c r="U2301" s="50"/>
      <c r="V2301" s="2419"/>
      <c r="W2301" s="1268"/>
      <c r="X2301" s="1268"/>
      <c r="Y2301" s="1268"/>
      <c r="Z2301" s="1268"/>
      <c r="AA2301" s="1268"/>
      <c r="AB2301" s="1268"/>
      <c r="AC2301" s="1268"/>
      <c r="AD2301" s="779">
        <v>13</v>
      </c>
      <c r="AE2301" s="1268">
        <v>13</v>
      </c>
      <c r="AF2301" s="253">
        <v>13</v>
      </c>
      <c r="AG2301" s="253">
        <f t="shared" si="290"/>
        <v>13</v>
      </c>
      <c r="DG2301" s="543"/>
      <c r="DH2301" s="543"/>
      <c r="DI2301" s="1020"/>
    </row>
    <row r="2302" spans="1:115" outlineLevel="1" x14ac:dyDescent="0.25">
      <c r="A2302" s="2145"/>
      <c r="C2302" s="49"/>
      <c r="D2302" s="2428"/>
      <c r="E2302" s="2419"/>
      <c r="F2302" s="2404" t="s">
        <v>1364</v>
      </c>
      <c r="G2302" s="2404"/>
      <c r="H2302" s="2404"/>
      <c r="I2302" s="1268"/>
      <c r="J2302" s="1523">
        <v>14</v>
      </c>
      <c r="K2302" s="1307"/>
      <c r="L2302" s="871" t="s">
        <v>1073</v>
      </c>
      <c r="T2302" s="50"/>
      <c r="U2302" s="50"/>
      <c r="V2302" s="2419"/>
      <c r="W2302" s="1268"/>
      <c r="X2302" s="1268"/>
      <c r="Y2302" s="1268"/>
      <c r="Z2302" s="1268"/>
      <c r="AA2302" s="1268"/>
      <c r="AB2302" s="1268"/>
      <c r="AC2302" s="1268"/>
      <c r="AD2302" s="779">
        <v>14</v>
      </c>
      <c r="AE2302" s="1268">
        <v>14</v>
      </c>
      <c r="AF2302" s="253">
        <v>14</v>
      </c>
      <c r="AG2302" s="253">
        <f t="shared" si="290"/>
        <v>14</v>
      </c>
      <c r="DG2302" s="543"/>
      <c r="DH2302" s="543"/>
      <c r="DI2302" s="1020"/>
    </row>
    <row r="2303" spans="1:115" outlineLevel="1" x14ac:dyDescent="0.25">
      <c r="A2303" s="2145"/>
      <c r="C2303" s="49"/>
      <c r="D2303" s="2428"/>
      <c r="E2303" s="2419"/>
      <c r="F2303" s="2404" t="s">
        <v>1365</v>
      </c>
      <c r="G2303" s="2404"/>
      <c r="H2303" s="2404"/>
      <c r="I2303" s="1268"/>
      <c r="J2303" s="1523">
        <v>15</v>
      </c>
      <c r="K2303" s="1307"/>
      <c r="L2303" s="871" t="s">
        <v>1073</v>
      </c>
      <c r="T2303" s="50"/>
      <c r="U2303" s="50"/>
      <c r="V2303" s="2419"/>
      <c r="W2303" s="1268"/>
      <c r="X2303" s="1268"/>
      <c r="Y2303" s="1268"/>
      <c r="Z2303" s="1268"/>
      <c r="AA2303" s="1268"/>
      <c r="AB2303" s="1268"/>
      <c r="AC2303" s="1268"/>
      <c r="AD2303" s="779">
        <v>15</v>
      </c>
      <c r="AE2303" s="1268">
        <v>15</v>
      </c>
      <c r="AF2303" s="253">
        <v>15</v>
      </c>
      <c r="AG2303" s="253">
        <f t="shared" si="290"/>
        <v>15</v>
      </c>
      <c r="DG2303" s="543"/>
      <c r="DH2303" s="543"/>
      <c r="DI2303" s="1020"/>
    </row>
    <row r="2304" spans="1:115" outlineLevel="1" x14ac:dyDescent="0.25">
      <c r="A2304" s="2145"/>
      <c r="C2304" s="49"/>
      <c r="D2304" s="1257" t="s">
        <v>105</v>
      </c>
      <c r="E2304" s="1239" t="s">
        <v>944</v>
      </c>
      <c r="F2304" s="2404" t="s">
        <v>742</v>
      </c>
      <c r="G2304" s="2404"/>
      <c r="H2304" s="2404"/>
      <c r="I2304" s="962"/>
      <c r="J2304" s="1446">
        <v>1</v>
      </c>
      <c r="K2304" s="223"/>
      <c r="L2304" s="1307" t="s">
        <v>945</v>
      </c>
      <c r="T2304" s="143"/>
      <c r="U2304" s="39"/>
      <c r="V2304" s="1239" t="s">
        <v>105</v>
      </c>
      <c r="W2304" s="223"/>
      <c r="X2304" s="223"/>
      <c r="Y2304" s="223"/>
      <c r="Z2304" s="223"/>
      <c r="AA2304" s="223"/>
      <c r="AB2304" s="223"/>
      <c r="AC2304" s="223"/>
      <c r="AD2304" s="222">
        <v>1</v>
      </c>
      <c r="AE2304" s="223">
        <v>1</v>
      </c>
      <c r="AF2304" s="253">
        <v>1</v>
      </c>
      <c r="AG2304" s="253">
        <f t="shared" si="290"/>
        <v>1</v>
      </c>
      <c r="AH2304" s="39"/>
      <c r="AI2304" s="39"/>
      <c r="AJ2304" s="39"/>
      <c r="AK2304" s="39"/>
      <c r="AL2304" s="39"/>
      <c r="AM2304" s="39"/>
      <c r="AN2304" s="39"/>
      <c r="AO2304" s="39"/>
      <c r="AP2304" s="39"/>
      <c r="AQ2304" s="39"/>
      <c r="AR2304" s="39"/>
      <c r="AS2304" s="39"/>
      <c r="AT2304" s="39"/>
      <c r="AU2304" s="39"/>
      <c r="AV2304" s="39"/>
      <c r="AW2304" s="39"/>
      <c r="AX2304" s="39"/>
      <c r="AY2304" s="39"/>
      <c r="AZ2304" s="39"/>
      <c r="BA2304" s="39"/>
      <c r="BB2304" s="39"/>
      <c r="BC2304" s="39"/>
      <c r="BD2304" s="39"/>
      <c r="BE2304" s="39"/>
      <c r="BF2304" s="39"/>
      <c r="BG2304" s="39"/>
      <c r="BH2304" s="39"/>
      <c r="BI2304" s="39"/>
      <c r="BJ2304" s="39"/>
      <c r="BK2304" s="39"/>
      <c r="BL2304" s="39"/>
      <c r="BM2304" s="39"/>
      <c r="BN2304" s="39"/>
      <c r="BO2304" s="39"/>
      <c r="BP2304" s="39"/>
      <c r="BQ2304" s="39"/>
      <c r="BR2304" s="39"/>
      <c r="BS2304" s="39"/>
      <c r="BT2304" s="39"/>
      <c r="BU2304" s="39"/>
      <c r="BV2304" s="39"/>
      <c r="BW2304" s="39"/>
      <c r="BX2304" s="39"/>
      <c r="BY2304" s="39"/>
      <c r="BZ2304" s="39"/>
      <c r="CA2304" s="39"/>
      <c r="CB2304" s="39"/>
      <c r="CC2304" s="39"/>
      <c r="CD2304" s="39"/>
      <c r="CE2304" s="39"/>
      <c r="CF2304" s="39"/>
      <c r="CG2304" s="39"/>
      <c r="CH2304" s="39"/>
      <c r="CI2304" s="39"/>
      <c r="CJ2304" s="39"/>
      <c r="CK2304" s="39"/>
      <c r="CL2304" s="39"/>
      <c r="CM2304" s="39"/>
      <c r="CN2304" s="39"/>
      <c r="CO2304" s="39"/>
      <c r="CP2304" s="39"/>
      <c r="CQ2304" s="39"/>
      <c r="CR2304" s="39"/>
      <c r="CS2304" s="39"/>
      <c r="CT2304" s="39"/>
      <c r="CU2304" s="39"/>
      <c r="CV2304" s="39"/>
      <c r="CW2304" s="39"/>
      <c r="CX2304" s="39"/>
      <c r="CY2304" s="39"/>
      <c r="CZ2304" s="39"/>
      <c r="DA2304" s="39"/>
      <c r="DB2304" s="39"/>
      <c r="DC2304" s="39"/>
      <c r="DD2304" s="39"/>
      <c r="DE2304" s="39"/>
      <c r="DF2304" s="39"/>
      <c r="DG2304" s="1015"/>
      <c r="DH2304" s="543"/>
      <c r="DI2304" s="1020"/>
      <c r="DJ2304" s="2045"/>
      <c r="DK2304" s="39"/>
    </row>
    <row r="2305" spans="1:113" outlineLevel="1" x14ac:dyDescent="0.25">
      <c r="A2305" s="2145"/>
      <c r="C2305" s="49"/>
      <c r="D2305" s="2428" t="s">
        <v>1370</v>
      </c>
      <c r="E2305" s="2419" t="s">
        <v>801</v>
      </c>
      <c r="F2305" s="2404" t="s">
        <v>1356</v>
      </c>
      <c r="G2305" s="2404"/>
      <c r="H2305" s="2404"/>
      <c r="I2305" s="1268"/>
      <c r="J2305" s="1534">
        <v>15</v>
      </c>
      <c r="K2305" s="1307"/>
      <c r="L2305" s="871" t="s">
        <v>1354</v>
      </c>
      <c r="T2305" s="50"/>
      <c r="U2305" s="50"/>
      <c r="V2305" s="2419" t="s">
        <v>50</v>
      </c>
      <c r="W2305" s="1268"/>
      <c r="X2305" s="1268"/>
      <c r="Y2305" s="1268"/>
      <c r="Z2305" s="1268"/>
      <c r="AA2305" s="1268"/>
      <c r="AB2305" s="1268"/>
      <c r="AC2305" s="1268"/>
      <c r="AD2305" s="779">
        <v>15</v>
      </c>
      <c r="AE2305" s="1268">
        <v>15</v>
      </c>
      <c r="AF2305" s="253">
        <v>15</v>
      </c>
      <c r="AG2305" s="253">
        <f t="shared" si="290"/>
        <v>15</v>
      </c>
      <c r="DG2305" s="543"/>
      <c r="DH2305" s="543"/>
      <c r="DI2305" s="1020"/>
    </row>
    <row r="2306" spans="1:113" outlineLevel="1" x14ac:dyDescent="0.25">
      <c r="A2306" s="2145"/>
      <c r="C2306" s="49"/>
      <c r="D2306" s="2428"/>
      <c r="E2306" s="2419"/>
      <c r="F2306" s="2404" t="s">
        <v>1371</v>
      </c>
      <c r="G2306" s="2404"/>
      <c r="H2306" s="2404"/>
      <c r="I2306" s="1268"/>
      <c r="J2306" s="1534">
        <v>5</v>
      </c>
      <c r="K2306" s="1307"/>
      <c r="L2306" s="871" t="s">
        <v>1354</v>
      </c>
      <c r="T2306" s="50"/>
      <c r="U2306" s="50"/>
      <c r="V2306" s="2419"/>
      <c r="W2306" s="1268"/>
      <c r="X2306" s="1268"/>
      <c r="Y2306" s="1268"/>
      <c r="Z2306" s="1268"/>
      <c r="AA2306" s="1268"/>
      <c r="AB2306" s="1268"/>
      <c r="AC2306" s="1268"/>
      <c r="AD2306" s="779">
        <v>5</v>
      </c>
      <c r="AE2306" s="1268">
        <v>5</v>
      </c>
      <c r="AF2306" s="253">
        <v>5</v>
      </c>
      <c r="AG2306" s="253">
        <f t="shared" si="290"/>
        <v>5</v>
      </c>
      <c r="DG2306" s="543"/>
      <c r="DH2306" s="543"/>
      <c r="DI2306" s="1020"/>
    </row>
    <row r="2307" spans="1:113" outlineLevel="1" x14ac:dyDescent="0.25">
      <c r="A2307" s="2145"/>
      <c r="C2307" s="49"/>
      <c r="D2307" s="2428"/>
      <c r="E2307" s="2419"/>
      <c r="F2307" s="2404" t="s">
        <v>1372</v>
      </c>
      <c r="G2307" s="2404"/>
      <c r="H2307" s="2404"/>
      <c r="I2307" s="1268"/>
      <c r="J2307" s="1534">
        <v>10</v>
      </c>
      <c r="K2307" s="1307"/>
      <c r="L2307" s="871" t="s">
        <v>1354</v>
      </c>
      <c r="T2307" s="50"/>
      <c r="U2307" s="50"/>
      <c r="V2307" s="2419"/>
      <c r="W2307" s="1268"/>
      <c r="X2307" s="1268"/>
      <c r="Y2307" s="1268"/>
      <c r="Z2307" s="1268"/>
      <c r="AA2307" s="1268"/>
      <c r="AB2307" s="1268"/>
      <c r="AC2307" s="1268"/>
      <c r="AD2307" s="779">
        <v>10</v>
      </c>
      <c r="AE2307" s="1268">
        <v>10</v>
      </c>
      <c r="AF2307" s="253">
        <v>10</v>
      </c>
      <c r="AG2307" s="253">
        <f t="shared" si="290"/>
        <v>10</v>
      </c>
      <c r="DG2307" s="543"/>
      <c r="DH2307" s="543"/>
      <c r="DI2307" s="1020"/>
    </row>
    <row r="2308" spans="1:113" ht="15" customHeight="1" outlineLevel="1" x14ac:dyDescent="0.25">
      <c r="A2308" s="2145"/>
      <c r="C2308" s="49"/>
      <c r="D2308" s="2428" t="s">
        <v>51</v>
      </c>
      <c r="E2308" s="2419" t="s">
        <v>835</v>
      </c>
      <c r="F2308" s="2404" t="s">
        <v>1355</v>
      </c>
      <c r="G2308" s="2404"/>
      <c r="H2308" s="2404"/>
      <c r="I2308" s="1268"/>
      <c r="J2308" s="1531">
        <f>1047*K2295-1039*K2295/(1+0.0595)^(5-1)</f>
        <v>224.93182686576984</v>
      </c>
      <c r="K2308" s="1307"/>
      <c r="L2308" s="871" t="s">
        <v>1354</v>
      </c>
      <c r="T2308" s="50"/>
      <c r="U2308" s="50"/>
      <c r="V2308" s="2419" t="s">
        <v>51</v>
      </c>
      <c r="W2308" s="226"/>
      <c r="X2308" s="226"/>
      <c r="Y2308" s="226"/>
      <c r="Z2308" s="226"/>
      <c r="AA2308" s="226"/>
      <c r="AB2308" s="226"/>
      <c r="AC2308" s="226"/>
      <c r="AD2308" s="225">
        <v>224.93182686576984</v>
      </c>
      <c r="AE2308" s="226">
        <v>224.93182686576984</v>
      </c>
      <c r="AF2308" s="253">
        <v>224.93182686576984</v>
      </c>
      <c r="AG2308" s="253">
        <f t="shared" si="290"/>
        <v>224.93182686576984</v>
      </c>
      <c r="DG2308" s="543"/>
      <c r="DH2308" s="543"/>
      <c r="DI2308" s="1020"/>
    </row>
    <row r="2309" spans="1:113" ht="15" customHeight="1" outlineLevel="1" x14ac:dyDescent="0.25">
      <c r="A2309" s="2145"/>
      <c r="C2309" s="49"/>
      <c r="D2309" s="2428"/>
      <c r="E2309" s="2419"/>
      <c r="F2309" s="2404" t="s">
        <v>1356</v>
      </c>
      <c r="G2309" s="2404"/>
      <c r="H2309" s="2404"/>
      <c r="I2309" s="1268"/>
      <c r="J2309" s="1531">
        <f>ROUND(84*K2295, 2)</f>
        <v>84.93</v>
      </c>
      <c r="K2309" s="1307"/>
      <c r="L2309" s="871" t="s">
        <v>1354</v>
      </c>
      <c r="T2309" s="50"/>
      <c r="U2309" s="50"/>
      <c r="V2309" s="2419"/>
      <c r="W2309" s="226"/>
      <c r="X2309" s="226"/>
      <c r="Y2309" s="226"/>
      <c r="Z2309" s="226"/>
      <c r="AA2309" s="226"/>
      <c r="AB2309" s="226"/>
      <c r="AC2309" s="226"/>
      <c r="AD2309" s="225">
        <v>84.93</v>
      </c>
      <c r="AE2309" s="226">
        <v>84.93</v>
      </c>
      <c r="AF2309" s="253">
        <v>84.93</v>
      </c>
      <c r="AG2309" s="253">
        <f t="shared" si="290"/>
        <v>84.93</v>
      </c>
      <c r="DG2309" s="543"/>
      <c r="DH2309" s="543"/>
      <c r="DI2309" s="1020"/>
    </row>
    <row r="2310" spans="1:113" x14ac:dyDescent="0.25">
      <c r="A2310" s="2145"/>
      <c r="C2310" s="49"/>
      <c r="D2310" s="388"/>
      <c r="E2310" s="388"/>
      <c r="F2310" s="1303"/>
      <c r="G2310" s="1303"/>
      <c r="H2310" s="1303"/>
      <c r="I2310" s="1303"/>
      <c r="J2310" s="869"/>
      <c r="K2310" s="534"/>
      <c r="L2310" s="1303"/>
      <c r="T2310" s="50"/>
      <c r="U2310" s="50"/>
      <c r="V2310" s="50"/>
      <c r="DH2310" s="543"/>
    </row>
    <row r="2311" spans="1:113" x14ac:dyDescent="0.25">
      <c r="A2311" s="2145"/>
      <c r="DH2311" s="543"/>
    </row>
    <row r="2312" spans="1:113" x14ac:dyDescent="0.25">
      <c r="A2312" s="2145"/>
    </row>
    <row r="2313" spans="1:113" x14ac:dyDescent="0.25">
      <c r="A2313" s="2145"/>
    </row>
    <row r="2314" spans="1:113" x14ac:dyDescent="0.25">
      <c r="A2314" s="2145"/>
    </row>
    <row r="2315" spans="1:113" x14ac:dyDescent="0.25">
      <c r="A2315" s="2145"/>
    </row>
    <row r="2316" spans="1:113" x14ac:dyDescent="0.25">
      <c r="A2316" s="2145"/>
    </row>
    <row r="2317" spans="1:113" x14ac:dyDescent="0.25">
      <c r="A2317" s="2145"/>
    </row>
    <row r="2318" spans="1:113" x14ac:dyDescent="0.25">
      <c r="A2318" s="2145"/>
    </row>
    <row r="2319" spans="1:113" x14ac:dyDescent="0.25">
      <c r="A2319" s="2145"/>
    </row>
    <row r="2320" spans="1:113" x14ac:dyDescent="0.25">
      <c r="A2320" s="2145"/>
    </row>
    <row r="2321" spans="1:1" x14ac:dyDescent="0.25">
      <c r="A2321" s="2145"/>
    </row>
    <row r="2322" spans="1:1" x14ac:dyDescent="0.25">
      <c r="A2322" s="2145"/>
    </row>
    <row r="2323" spans="1:1" x14ac:dyDescent="0.25">
      <c r="A2323" s="2145"/>
    </row>
    <row r="2324" spans="1:1" x14ac:dyDescent="0.25">
      <c r="A2324" s="2145"/>
    </row>
    <row r="2325" spans="1:1" x14ac:dyDescent="0.25">
      <c r="A2325" s="2145"/>
    </row>
    <row r="2326" spans="1:1" x14ac:dyDescent="0.25">
      <c r="A2326" s="2145"/>
    </row>
    <row r="2327" spans="1:1" x14ac:dyDescent="0.25">
      <c r="A2327" s="2145"/>
    </row>
    <row r="2328" spans="1:1" x14ac:dyDescent="0.25">
      <c r="A2328" s="2145"/>
    </row>
    <row r="2329" spans="1:1" x14ac:dyDescent="0.25">
      <c r="A2329" s="2145"/>
    </row>
    <row r="2330" spans="1:1" x14ac:dyDescent="0.25">
      <c r="A2330" s="2145"/>
    </row>
    <row r="2331" spans="1:1" x14ac:dyDescent="0.25">
      <c r="A2331" s="2145"/>
    </row>
    <row r="2332" spans="1:1" x14ac:dyDescent="0.25">
      <c r="A2332" s="2145"/>
    </row>
    <row r="2333" spans="1:1" x14ac:dyDescent="0.25">
      <c r="A2333" s="2145"/>
    </row>
    <row r="2334" spans="1:1" x14ac:dyDescent="0.25">
      <c r="A2334" s="2145"/>
    </row>
    <row r="2335" spans="1:1" x14ac:dyDescent="0.25">
      <c r="A2335" s="2145"/>
    </row>
    <row r="2336" spans="1:1" x14ac:dyDescent="0.25">
      <c r="A2336" s="2145"/>
    </row>
    <row r="2337" spans="1:1" x14ac:dyDescent="0.25">
      <c r="A2337" s="2145"/>
    </row>
    <row r="2338" spans="1:1" x14ac:dyDescent="0.25">
      <c r="A2338" s="2145"/>
    </row>
    <row r="2339" spans="1:1" x14ac:dyDescent="0.25">
      <c r="A2339" s="2145"/>
    </row>
    <row r="2340" spans="1:1" x14ac:dyDescent="0.25">
      <c r="A2340" s="2145"/>
    </row>
    <row r="2341" spans="1:1" x14ac:dyDescent="0.25">
      <c r="A2341" s="2145"/>
    </row>
    <row r="2342" spans="1:1" x14ac:dyDescent="0.25">
      <c r="A2342" s="2145"/>
    </row>
    <row r="2343" spans="1:1" x14ac:dyDescent="0.25">
      <c r="A2343" s="2145"/>
    </row>
    <row r="2344" spans="1:1" x14ac:dyDescent="0.25">
      <c r="A2344" s="2145"/>
    </row>
    <row r="2345" spans="1:1" x14ac:dyDescent="0.25">
      <c r="A2345" s="2145"/>
    </row>
    <row r="2346" spans="1:1" x14ac:dyDescent="0.25">
      <c r="A2346" s="2145"/>
    </row>
    <row r="2347" spans="1:1" x14ac:dyDescent="0.25">
      <c r="A2347" s="2145"/>
    </row>
    <row r="2348" spans="1:1" x14ac:dyDescent="0.25">
      <c r="A2348" s="2145"/>
    </row>
    <row r="2349" spans="1:1" x14ac:dyDescent="0.25">
      <c r="A2349" s="2145"/>
    </row>
    <row r="2350" spans="1:1" x14ac:dyDescent="0.25">
      <c r="A2350" s="2145"/>
    </row>
    <row r="2351" spans="1:1" x14ac:dyDescent="0.25">
      <c r="A2351" s="2145"/>
    </row>
    <row r="2352" spans="1:1" x14ac:dyDescent="0.25">
      <c r="A2352" s="2145"/>
    </row>
    <row r="2353" spans="1:1" x14ac:dyDescent="0.25">
      <c r="A2353" s="2145"/>
    </row>
    <row r="2354" spans="1:1" x14ac:dyDescent="0.25">
      <c r="A2354" s="2145"/>
    </row>
    <row r="2355" spans="1:1" x14ac:dyDescent="0.25">
      <c r="A2355" s="2145"/>
    </row>
    <row r="2356" spans="1:1" x14ac:dyDescent="0.25">
      <c r="A2356" s="2145"/>
    </row>
    <row r="2357" spans="1:1" x14ac:dyDescent="0.25">
      <c r="A2357" s="2145"/>
    </row>
    <row r="2358" spans="1:1" x14ac:dyDescent="0.25">
      <c r="A2358" s="2145"/>
    </row>
    <row r="2359" spans="1:1" x14ac:dyDescent="0.25">
      <c r="A2359" s="2145"/>
    </row>
    <row r="2360" spans="1:1" x14ac:dyDescent="0.25">
      <c r="A2360" s="2145"/>
    </row>
    <row r="2361" spans="1:1" x14ac:dyDescent="0.25">
      <c r="A2361" s="2145"/>
    </row>
    <row r="2362" spans="1:1" x14ac:dyDescent="0.25">
      <c r="A2362" s="2145"/>
    </row>
    <row r="2363" spans="1:1" x14ac:dyDescent="0.25">
      <c r="A2363" s="2145"/>
    </row>
    <row r="2364" spans="1:1" x14ac:dyDescent="0.25">
      <c r="A2364" s="2145"/>
    </row>
    <row r="2365" spans="1:1" x14ac:dyDescent="0.25">
      <c r="A2365" s="2145"/>
    </row>
    <row r="2366" spans="1:1" x14ac:dyDescent="0.25">
      <c r="A2366" s="2145"/>
    </row>
    <row r="2367" spans="1:1" x14ac:dyDescent="0.25">
      <c r="A2367" s="2145"/>
    </row>
    <row r="2368" spans="1:1" x14ac:dyDescent="0.25">
      <c r="A2368" s="2145"/>
    </row>
    <row r="2369" spans="1:1" x14ac:dyDescent="0.25">
      <c r="A2369" s="2145"/>
    </row>
    <row r="2370" spans="1:1" x14ac:dyDescent="0.25">
      <c r="A2370" s="2145"/>
    </row>
    <row r="2371" spans="1:1" x14ac:dyDescent="0.25">
      <c r="A2371" s="2145"/>
    </row>
    <row r="2372" spans="1:1" x14ac:dyDescent="0.25">
      <c r="A2372" s="2145"/>
    </row>
    <row r="2373" spans="1:1" x14ac:dyDescent="0.25">
      <c r="A2373" s="2145"/>
    </row>
    <row r="2374" spans="1:1" x14ac:dyDescent="0.25">
      <c r="A2374" s="2145"/>
    </row>
    <row r="2375" spans="1:1" x14ac:dyDescent="0.25">
      <c r="A2375" s="2145"/>
    </row>
    <row r="2376" spans="1:1" x14ac:dyDescent="0.25">
      <c r="A2376" s="2145"/>
    </row>
    <row r="2377" spans="1:1" x14ac:dyDescent="0.25">
      <c r="A2377" s="2145"/>
    </row>
    <row r="2378" spans="1:1" x14ac:dyDescent="0.25">
      <c r="A2378" s="2145"/>
    </row>
    <row r="2379" spans="1:1" x14ac:dyDescent="0.25">
      <c r="A2379" s="2145"/>
    </row>
    <row r="2380" spans="1:1" x14ac:dyDescent="0.25">
      <c r="A2380" s="2145"/>
    </row>
    <row r="2381" spans="1:1" x14ac:dyDescent="0.25">
      <c r="A2381" s="2145"/>
    </row>
    <row r="2382" spans="1:1" x14ac:dyDescent="0.25">
      <c r="A2382" s="2145"/>
    </row>
    <row r="2383" spans="1:1" x14ac:dyDescent="0.25">
      <c r="A2383" s="2145"/>
    </row>
    <row r="2384" spans="1:1" x14ac:dyDescent="0.25">
      <c r="A2384" s="2145"/>
    </row>
    <row r="2385" spans="1:1" x14ac:dyDescent="0.25">
      <c r="A2385" s="2145"/>
    </row>
    <row r="2386" spans="1:1" x14ac:dyDescent="0.25">
      <c r="A2386" s="2145"/>
    </row>
    <row r="2387" spans="1:1" x14ac:dyDescent="0.25">
      <c r="A2387" s="2145"/>
    </row>
    <row r="2388" spans="1:1" x14ac:dyDescent="0.25">
      <c r="A2388" s="2145"/>
    </row>
    <row r="2389" spans="1:1" x14ac:dyDescent="0.25">
      <c r="A2389" s="2145"/>
    </row>
    <row r="2390" spans="1:1" x14ac:dyDescent="0.25">
      <c r="A2390" s="2145"/>
    </row>
    <row r="2391" spans="1:1" x14ac:dyDescent="0.25">
      <c r="A2391" s="2145"/>
    </row>
    <row r="2392" spans="1:1" x14ac:dyDescent="0.25">
      <c r="A2392" s="2145"/>
    </row>
    <row r="2393" spans="1:1" x14ac:dyDescent="0.25">
      <c r="A2393" s="2145"/>
    </row>
    <row r="2394" spans="1:1" x14ac:dyDescent="0.25">
      <c r="A2394" s="2145"/>
    </row>
    <row r="2395" spans="1:1" x14ac:dyDescent="0.25">
      <c r="A2395" s="2145"/>
    </row>
    <row r="2396" spans="1:1" x14ac:dyDescent="0.25">
      <c r="A2396" s="2145"/>
    </row>
    <row r="2397" spans="1:1" x14ac:dyDescent="0.25">
      <c r="A2397" s="2145"/>
    </row>
    <row r="2398" spans="1:1" x14ac:dyDescent="0.25">
      <c r="A2398" s="2145"/>
    </row>
    <row r="2399" spans="1:1" x14ac:dyDescent="0.25">
      <c r="A2399" s="2145"/>
    </row>
    <row r="2400" spans="1:1" x14ac:dyDescent="0.25">
      <c r="A2400" s="2145"/>
    </row>
    <row r="2401" spans="1:1" x14ac:dyDescent="0.25">
      <c r="A2401" s="2145"/>
    </row>
    <row r="2402" spans="1:1" x14ac:dyDescent="0.25">
      <c r="A2402" s="2145"/>
    </row>
    <row r="2403" spans="1:1" x14ac:dyDescent="0.25">
      <c r="A2403" s="2145"/>
    </row>
    <row r="2404" spans="1:1" x14ac:dyDescent="0.25">
      <c r="A2404" s="2145"/>
    </row>
    <row r="2405" spans="1:1" x14ac:dyDescent="0.25">
      <c r="A2405" s="2145"/>
    </row>
    <row r="2406" spans="1:1" x14ac:dyDescent="0.25">
      <c r="A2406" s="2145"/>
    </row>
    <row r="2407" spans="1:1" x14ac:dyDescent="0.25">
      <c r="A2407" s="2145"/>
    </row>
    <row r="2408" spans="1:1" x14ac:dyDescent="0.25">
      <c r="A2408" s="2145"/>
    </row>
    <row r="2409" spans="1:1" x14ac:dyDescent="0.25">
      <c r="A2409" s="2145"/>
    </row>
    <row r="2410" spans="1:1" x14ac:dyDescent="0.25">
      <c r="A2410" s="2145"/>
    </row>
    <row r="2411" spans="1:1" x14ac:dyDescent="0.25">
      <c r="A2411" s="2145"/>
    </row>
    <row r="2412" spans="1:1" x14ac:dyDescent="0.25">
      <c r="A2412" s="2145"/>
    </row>
    <row r="2413" spans="1:1" x14ac:dyDescent="0.25">
      <c r="A2413" s="2145"/>
    </row>
    <row r="2414" spans="1:1" x14ac:dyDescent="0.25">
      <c r="A2414" s="2145"/>
    </row>
    <row r="2415" spans="1:1" x14ac:dyDescent="0.25">
      <c r="A2415" s="2145"/>
    </row>
    <row r="2416" spans="1:1" x14ac:dyDescent="0.25">
      <c r="A2416" s="2145"/>
    </row>
    <row r="2417" spans="1:1" x14ac:dyDescent="0.25">
      <c r="A2417" s="2145"/>
    </row>
    <row r="2418" spans="1:1" x14ac:dyDescent="0.25">
      <c r="A2418" s="2145"/>
    </row>
    <row r="2419" spans="1:1" x14ac:dyDescent="0.25">
      <c r="A2419" s="2145"/>
    </row>
    <row r="2420" spans="1:1" x14ac:dyDescent="0.25">
      <c r="A2420" s="2145"/>
    </row>
    <row r="2421" spans="1:1" x14ac:dyDescent="0.25">
      <c r="A2421" s="2145"/>
    </row>
    <row r="2422" spans="1:1" x14ac:dyDescent="0.25">
      <c r="A2422" s="2145"/>
    </row>
    <row r="2423" spans="1:1" x14ac:dyDescent="0.25">
      <c r="A2423" s="2145"/>
    </row>
    <row r="2424" spans="1:1" x14ac:dyDescent="0.25">
      <c r="A2424" s="2145"/>
    </row>
    <row r="2425" spans="1:1" x14ac:dyDescent="0.25">
      <c r="A2425" s="2145"/>
    </row>
    <row r="2426" spans="1:1" x14ac:dyDescent="0.25">
      <c r="A2426" s="2145"/>
    </row>
    <row r="2427" spans="1:1" x14ac:dyDescent="0.25">
      <c r="A2427" s="2145"/>
    </row>
    <row r="2428" spans="1:1" x14ac:dyDescent="0.25">
      <c r="A2428" s="2145"/>
    </row>
    <row r="2429" spans="1:1" x14ac:dyDescent="0.25">
      <c r="A2429" s="2145"/>
    </row>
    <row r="2430" spans="1:1" x14ac:dyDescent="0.25">
      <c r="A2430" s="2145"/>
    </row>
    <row r="2431" spans="1:1" x14ac:dyDescent="0.25">
      <c r="A2431" s="2145"/>
    </row>
    <row r="2432" spans="1:1" x14ac:dyDescent="0.25">
      <c r="A2432" s="2145"/>
    </row>
    <row r="2433" spans="1:1" x14ac:dyDescent="0.25">
      <c r="A2433" s="2145"/>
    </row>
    <row r="2434" spans="1:1" x14ac:dyDescent="0.25">
      <c r="A2434" s="2145"/>
    </row>
    <row r="2435" spans="1:1" x14ac:dyDescent="0.25">
      <c r="A2435" s="2145"/>
    </row>
    <row r="2436" spans="1:1" x14ac:dyDescent="0.25">
      <c r="A2436" s="2145"/>
    </row>
    <row r="2437" spans="1:1" x14ac:dyDescent="0.25">
      <c r="A2437" s="2145"/>
    </row>
    <row r="2438" spans="1:1" x14ac:dyDescent="0.25">
      <c r="A2438" s="2145"/>
    </row>
    <row r="2439" spans="1:1" x14ac:dyDescent="0.25">
      <c r="A2439" s="2145"/>
    </row>
    <row r="2440" spans="1:1" x14ac:dyDescent="0.25">
      <c r="A2440" s="2145"/>
    </row>
    <row r="2441" spans="1:1" x14ac:dyDescent="0.25">
      <c r="A2441" s="2145"/>
    </row>
    <row r="2442" spans="1:1" x14ac:dyDescent="0.25">
      <c r="A2442" s="2145"/>
    </row>
    <row r="2443" spans="1:1" x14ac:dyDescent="0.25">
      <c r="A2443" s="2145"/>
    </row>
    <row r="2444" spans="1:1" x14ac:dyDescent="0.25">
      <c r="A2444" s="2145"/>
    </row>
    <row r="2445" spans="1:1" x14ac:dyDescent="0.25">
      <c r="A2445" s="2145"/>
    </row>
    <row r="2446" spans="1:1" x14ac:dyDescent="0.25">
      <c r="A2446" s="2145"/>
    </row>
    <row r="2447" spans="1:1" x14ac:dyDescent="0.25">
      <c r="A2447" s="2145"/>
    </row>
    <row r="2448" spans="1:1" x14ac:dyDescent="0.25">
      <c r="A2448" s="2145"/>
    </row>
    <row r="2449" spans="1:1" x14ac:dyDescent="0.25">
      <c r="A2449" s="2145"/>
    </row>
    <row r="2450" spans="1:1" x14ac:dyDescent="0.25">
      <c r="A2450" s="2145"/>
    </row>
    <row r="2451" spans="1:1" x14ac:dyDescent="0.25">
      <c r="A2451" s="2145"/>
    </row>
    <row r="2452" spans="1:1" x14ac:dyDescent="0.25">
      <c r="A2452" s="2145"/>
    </row>
    <row r="2453" spans="1:1" x14ac:dyDescent="0.25">
      <c r="A2453" s="2145"/>
    </row>
    <row r="2454" spans="1:1" x14ac:dyDescent="0.25">
      <c r="A2454" s="2145"/>
    </row>
    <row r="2455" spans="1:1" x14ac:dyDescent="0.25">
      <c r="A2455" s="2145"/>
    </row>
    <row r="2456" spans="1:1" x14ac:dyDescent="0.25">
      <c r="A2456" s="2145"/>
    </row>
    <row r="2457" spans="1:1" x14ac:dyDescent="0.25">
      <c r="A2457" s="2145"/>
    </row>
    <row r="2458" spans="1:1" x14ac:dyDescent="0.25">
      <c r="A2458" s="2145"/>
    </row>
    <row r="2459" spans="1:1" x14ac:dyDescent="0.25">
      <c r="A2459" s="2145"/>
    </row>
    <row r="2460" spans="1:1" x14ac:dyDescent="0.25">
      <c r="A2460" s="2145"/>
    </row>
    <row r="2461" spans="1:1" x14ac:dyDescent="0.25">
      <c r="A2461" s="2145"/>
    </row>
    <row r="2462" spans="1:1" x14ac:dyDescent="0.25">
      <c r="A2462" s="2145"/>
    </row>
    <row r="2463" spans="1:1" x14ac:dyDescent="0.25">
      <c r="A2463" s="2145"/>
    </row>
    <row r="2464" spans="1:1" x14ac:dyDescent="0.25">
      <c r="A2464" s="2145"/>
    </row>
    <row r="2465" spans="1:1" x14ac:dyDescent="0.25">
      <c r="A2465" s="2145"/>
    </row>
    <row r="2466" spans="1:1" x14ac:dyDescent="0.25">
      <c r="A2466" s="2145"/>
    </row>
    <row r="2467" spans="1:1" x14ac:dyDescent="0.25">
      <c r="A2467" s="2145"/>
    </row>
    <row r="2468" spans="1:1" x14ac:dyDescent="0.25">
      <c r="A2468" s="2145"/>
    </row>
    <row r="2469" spans="1:1" x14ac:dyDescent="0.25">
      <c r="A2469" s="2145"/>
    </row>
    <row r="2470" spans="1:1" x14ac:dyDescent="0.25">
      <c r="A2470" s="2145"/>
    </row>
    <row r="2471" spans="1:1" x14ac:dyDescent="0.25">
      <c r="A2471" s="2145"/>
    </row>
    <row r="2472" spans="1:1" x14ac:dyDescent="0.25">
      <c r="A2472" s="2145"/>
    </row>
    <row r="2473" spans="1:1" x14ac:dyDescent="0.25">
      <c r="A2473" s="2145"/>
    </row>
    <row r="2474" spans="1:1" x14ac:dyDescent="0.25">
      <c r="A2474" s="2145"/>
    </row>
    <row r="2475" spans="1:1" x14ac:dyDescent="0.25">
      <c r="A2475" s="2145"/>
    </row>
    <row r="2476" spans="1:1" x14ac:dyDescent="0.25">
      <c r="A2476" s="2145"/>
    </row>
    <row r="2477" spans="1:1" x14ac:dyDescent="0.25">
      <c r="A2477" s="2145"/>
    </row>
    <row r="2478" spans="1:1" x14ac:dyDescent="0.25">
      <c r="A2478" s="2145"/>
    </row>
    <row r="2479" spans="1:1" x14ac:dyDescent="0.25">
      <c r="A2479" s="2145"/>
    </row>
    <row r="2480" spans="1:1" x14ac:dyDescent="0.25">
      <c r="A2480" s="2145"/>
    </row>
    <row r="2481" spans="1:1" x14ac:dyDescent="0.25">
      <c r="A2481" s="2145"/>
    </row>
    <row r="2482" spans="1:1" x14ac:dyDescent="0.25">
      <c r="A2482" s="2145"/>
    </row>
    <row r="2483" spans="1:1" x14ac:dyDescent="0.25">
      <c r="A2483" s="2145"/>
    </row>
    <row r="2484" spans="1:1" x14ac:dyDescent="0.25">
      <c r="A2484" s="2145"/>
    </row>
    <row r="2485" spans="1:1" x14ac:dyDescent="0.25">
      <c r="A2485" s="2145"/>
    </row>
    <row r="2486" spans="1:1" x14ac:dyDescent="0.25">
      <c r="A2486" s="2145"/>
    </row>
    <row r="2487" spans="1:1" x14ac:dyDescent="0.25">
      <c r="A2487" s="2145"/>
    </row>
    <row r="2488" spans="1:1" x14ac:dyDescent="0.25">
      <c r="A2488" s="2145"/>
    </row>
    <row r="2489" spans="1:1" x14ac:dyDescent="0.25">
      <c r="A2489" s="2145"/>
    </row>
    <row r="2490" spans="1:1" x14ac:dyDescent="0.25">
      <c r="A2490" s="2145"/>
    </row>
    <row r="2491" spans="1:1" x14ac:dyDescent="0.25">
      <c r="A2491" s="2145"/>
    </row>
    <row r="2492" spans="1:1" x14ac:dyDescent="0.25">
      <c r="A2492" s="2145"/>
    </row>
    <row r="2493" spans="1:1" x14ac:dyDescent="0.25">
      <c r="A2493" s="2145"/>
    </row>
    <row r="2494" spans="1:1" x14ac:dyDescent="0.25">
      <c r="A2494" s="2145"/>
    </row>
    <row r="2495" spans="1:1" x14ac:dyDescent="0.25">
      <c r="A2495" s="2145"/>
    </row>
    <row r="2496" spans="1:1" x14ac:dyDescent="0.25">
      <c r="A2496" s="2145"/>
    </row>
    <row r="2497" spans="1:1" x14ac:dyDescent="0.25">
      <c r="A2497" s="2145"/>
    </row>
    <row r="2498" spans="1:1" x14ac:dyDescent="0.25">
      <c r="A2498" s="2145"/>
    </row>
    <row r="2499" spans="1:1" x14ac:dyDescent="0.25">
      <c r="A2499" s="2145"/>
    </row>
    <row r="2500" spans="1:1" x14ac:dyDescent="0.25">
      <c r="A2500" s="2145"/>
    </row>
    <row r="2501" spans="1:1" x14ac:dyDescent="0.25">
      <c r="A2501" s="2145"/>
    </row>
    <row r="2502" spans="1:1" x14ac:dyDescent="0.25">
      <c r="A2502" s="2145"/>
    </row>
    <row r="2503" spans="1:1" x14ac:dyDescent="0.25">
      <c r="A2503" s="2145"/>
    </row>
    <row r="2504" spans="1:1" x14ac:dyDescent="0.25">
      <c r="A2504" s="2145"/>
    </row>
    <row r="2505" spans="1:1" x14ac:dyDescent="0.25">
      <c r="A2505" s="2145"/>
    </row>
    <row r="2506" spans="1:1" x14ac:dyDescent="0.25">
      <c r="A2506" s="2145"/>
    </row>
    <row r="2507" spans="1:1" x14ac:dyDescent="0.25">
      <c r="A2507" s="2145"/>
    </row>
    <row r="2508" spans="1:1" x14ac:dyDescent="0.25">
      <c r="A2508" s="2145"/>
    </row>
    <row r="2509" spans="1:1" x14ac:dyDescent="0.25">
      <c r="A2509" s="2145"/>
    </row>
    <row r="2510" spans="1:1" x14ac:dyDescent="0.25">
      <c r="A2510" s="2145"/>
    </row>
    <row r="2511" spans="1:1" x14ac:dyDescent="0.25">
      <c r="A2511" s="2145"/>
    </row>
    <row r="2512" spans="1:1" x14ac:dyDescent="0.25">
      <c r="A2512" s="2145"/>
    </row>
    <row r="2513" spans="1:1" x14ac:dyDescent="0.25">
      <c r="A2513" s="2145"/>
    </row>
    <row r="2514" spans="1:1" x14ac:dyDescent="0.25">
      <c r="A2514" s="2145"/>
    </row>
    <row r="2515" spans="1:1" x14ac:dyDescent="0.25">
      <c r="A2515" s="2145"/>
    </row>
    <row r="2516" spans="1:1" x14ac:dyDescent="0.25">
      <c r="A2516" s="2145"/>
    </row>
    <row r="2517" spans="1:1" x14ac:dyDescent="0.25">
      <c r="A2517" s="2145"/>
    </row>
    <row r="2518" spans="1:1" x14ac:dyDescent="0.25">
      <c r="A2518" s="2145"/>
    </row>
    <row r="2519" spans="1:1" x14ac:dyDescent="0.25">
      <c r="A2519" s="2145"/>
    </row>
    <row r="2520" spans="1:1" x14ac:dyDescent="0.25">
      <c r="A2520" s="2145"/>
    </row>
    <row r="2521" spans="1:1" x14ac:dyDescent="0.25">
      <c r="A2521" s="2145"/>
    </row>
    <row r="2522" spans="1:1" x14ac:dyDescent="0.25">
      <c r="A2522" s="2145"/>
    </row>
    <row r="2523" spans="1:1" x14ac:dyDescent="0.25">
      <c r="A2523" s="2145"/>
    </row>
    <row r="2524" spans="1:1" x14ac:dyDescent="0.25">
      <c r="A2524" s="2145"/>
    </row>
    <row r="2525" spans="1:1" x14ac:dyDescent="0.25">
      <c r="A2525" s="2145"/>
    </row>
    <row r="2526" spans="1:1" x14ac:dyDescent="0.25">
      <c r="A2526" s="2145"/>
    </row>
    <row r="2527" spans="1:1" x14ac:dyDescent="0.25">
      <c r="A2527" s="2145"/>
    </row>
    <row r="2528" spans="1:1" x14ac:dyDescent="0.25">
      <c r="A2528" s="2145"/>
    </row>
    <row r="2529" spans="1:1" x14ac:dyDescent="0.25">
      <c r="A2529" s="2145"/>
    </row>
    <row r="2530" spans="1:1" x14ac:dyDescent="0.25">
      <c r="A2530" s="2145"/>
    </row>
    <row r="2531" spans="1:1" x14ac:dyDescent="0.25">
      <c r="A2531" s="2145"/>
    </row>
    <row r="2532" spans="1:1" x14ac:dyDescent="0.25">
      <c r="A2532" s="2145"/>
    </row>
    <row r="2533" spans="1:1" x14ac:dyDescent="0.25">
      <c r="A2533" s="2145"/>
    </row>
    <row r="2534" spans="1:1" x14ac:dyDescent="0.25">
      <c r="A2534" s="2145"/>
    </row>
    <row r="2535" spans="1:1" x14ac:dyDescent="0.25">
      <c r="A2535" s="2145"/>
    </row>
    <row r="2536" spans="1:1" x14ac:dyDescent="0.25">
      <c r="A2536" s="2145"/>
    </row>
    <row r="2537" spans="1:1" x14ac:dyDescent="0.25">
      <c r="A2537" s="2145"/>
    </row>
    <row r="2538" spans="1:1" x14ac:dyDescent="0.25">
      <c r="A2538" s="2145"/>
    </row>
    <row r="2539" spans="1:1" x14ac:dyDescent="0.25">
      <c r="A2539" s="2145"/>
    </row>
    <row r="2540" spans="1:1" x14ac:dyDescent="0.25">
      <c r="A2540" s="2145"/>
    </row>
    <row r="2541" spans="1:1" x14ac:dyDescent="0.25">
      <c r="A2541" s="2145"/>
    </row>
    <row r="2542" spans="1:1" x14ac:dyDescent="0.25">
      <c r="A2542" s="2145"/>
    </row>
    <row r="2543" spans="1:1" x14ac:dyDescent="0.25">
      <c r="A2543" s="2145"/>
    </row>
    <row r="2544" spans="1:1" x14ac:dyDescent="0.25">
      <c r="A2544" s="2145"/>
    </row>
    <row r="2545" spans="1:1" x14ac:dyDescent="0.25">
      <c r="A2545" s="2145"/>
    </row>
    <row r="2546" spans="1:1" x14ac:dyDescent="0.25">
      <c r="A2546" s="2145"/>
    </row>
    <row r="2547" spans="1:1" x14ac:dyDescent="0.25">
      <c r="A2547" s="2145"/>
    </row>
    <row r="2548" spans="1:1" x14ac:dyDescent="0.25">
      <c r="A2548" s="2145"/>
    </row>
    <row r="2549" spans="1:1" x14ac:dyDescent="0.25">
      <c r="A2549" s="2145"/>
    </row>
    <row r="2550" spans="1:1" x14ac:dyDescent="0.25">
      <c r="A2550" s="2145"/>
    </row>
    <row r="2551" spans="1:1" x14ac:dyDescent="0.25">
      <c r="A2551" s="2145"/>
    </row>
    <row r="2552" spans="1:1" x14ac:dyDescent="0.25">
      <c r="A2552" s="2145"/>
    </row>
    <row r="2553" spans="1:1" x14ac:dyDescent="0.25">
      <c r="A2553" s="2145"/>
    </row>
    <row r="2554" spans="1:1" x14ac:dyDescent="0.25">
      <c r="A2554" s="2145"/>
    </row>
    <row r="2555" spans="1:1" x14ac:dyDescent="0.25">
      <c r="A2555" s="2145"/>
    </row>
    <row r="2556" spans="1:1" x14ac:dyDescent="0.25">
      <c r="A2556" s="2145"/>
    </row>
    <row r="2557" spans="1:1" x14ac:dyDescent="0.25">
      <c r="A2557" s="2145"/>
    </row>
    <row r="2558" spans="1:1" x14ac:dyDescent="0.25">
      <c r="A2558" s="2145"/>
    </row>
    <row r="2559" spans="1:1" x14ac:dyDescent="0.25">
      <c r="A2559" s="2145"/>
    </row>
    <row r="2560" spans="1:1" x14ac:dyDescent="0.25">
      <c r="A2560" s="2145"/>
    </row>
    <row r="2561" spans="1:1" x14ac:dyDescent="0.25">
      <c r="A2561" s="2145"/>
    </row>
    <row r="2562" spans="1:1" x14ac:dyDescent="0.25">
      <c r="A2562" s="2145"/>
    </row>
    <row r="2563" spans="1:1" x14ac:dyDescent="0.25">
      <c r="A2563" s="2145"/>
    </row>
    <row r="2564" spans="1:1" x14ac:dyDescent="0.25">
      <c r="A2564" s="2145"/>
    </row>
    <row r="2565" spans="1:1" x14ac:dyDescent="0.25">
      <c r="A2565" s="2145"/>
    </row>
    <row r="2566" spans="1:1" x14ac:dyDescent="0.25">
      <c r="A2566" s="2145"/>
    </row>
    <row r="2567" spans="1:1" x14ac:dyDescent="0.25">
      <c r="A2567" s="2145"/>
    </row>
    <row r="2568" spans="1:1" x14ac:dyDescent="0.25">
      <c r="A2568" s="2145"/>
    </row>
    <row r="2569" spans="1:1" x14ac:dyDescent="0.25">
      <c r="A2569" s="2145"/>
    </row>
    <row r="2570" spans="1:1" x14ac:dyDescent="0.25">
      <c r="A2570" s="2145"/>
    </row>
    <row r="2571" spans="1:1" x14ac:dyDescent="0.25">
      <c r="A2571" s="2145"/>
    </row>
    <row r="2572" spans="1:1" x14ac:dyDescent="0.25">
      <c r="A2572" s="2145"/>
    </row>
    <row r="2573" spans="1:1" x14ac:dyDescent="0.25">
      <c r="A2573" s="2145"/>
    </row>
    <row r="2574" spans="1:1" x14ac:dyDescent="0.25">
      <c r="A2574" s="2145"/>
    </row>
    <row r="2575" spans="1:1" x14ac:dyDescent="0.25">
      <c r="A2575" s="2145"/>
    </row>
    <row r="2576" spans="1:1" x14ac:dyDescent="0.25">
      <c r="A2576" s="2145"/>
    </row>
    <row r="2577" spans="1:1" x14ac:dyDescent="0.25">
      <c r="A2577" s="2145"/>
    </row>
    <row r="2578" spans="1:1" x14ac:dyDescent="0.25">
      <c r="A2578" s="2145"/>
    </row>
    <row r="2579" spans="1:1" x14ac:dyDescent="0.25">
      <c r="A2579" s="2145"/>
    </row>
    <row r="2580" spans="1:1" x14ac:dyDescent="0.25">
      <c r="A2580" s="2145"/>
    </row>
    <row r="2581" spans="1:1" x14ac:dyDescent="0.25">
      <c r="A2581" s="2145"/>
    </row>
    <row r="2582" spans="1:1" x14ac:dyDescent="0.25">
      <c r="A2582" s="2145"/>
    </row>
    <row r="2583" spans="1:1" x14ac:dyDescent="0.25">
      <c r="A2583" s="2145"/>
    </row>
    <row r="2584" spans="1:1" x14ac:dyDescent="0.25">
      <c r="A2584" s="2145"/>
    </row>
    <row r="2585" spans="1:1" x14ac:dyDescent="0.25">
      <c r="A2585" s="2145"/>
    </row>
    <row r="2586" spans="1:1" x14ac:dyDescent="0.25">
      <c r="A2586" s="2145"/>
    </row>
    <row r="2587" spans="1:1" x14ac:dyDescent="0.25">
      <c r="A2587" s="2145"/>
    </row>
    <row r="2588" spans="1:1" x14ac:dyDescent="0.25">
      <c r="A2588" s="2145"/>
    </row>
    <row r="2589" spans="1:1" x14ac:dyDescent="0.25">
      <c r="A2589" s="2145"/>
    </row>
    <row r="2590" spans="1:1" x14ac:dyDescent="0.25">
      <c r="A2590" s="2145"/>
    </row>
    <row r="2591" spans="1:1" x14ac:dyDescent="0.25">
      <c r="A2591" s="2145"/>
    </row>
    <row r="2592" spans="1:1" x14ac:dyDescent="0.25">
      <c r="A2592" s="2145"/>
    </row>
    <row r="2593" spans="1:1" x14ac:dyDescent="0.25">
      <c r="A2593" s="2145"/>
    </row>
    <row r="2594" spans="1:1" x14ac:dyDescent="0.25">
      <c r="A2594" s="2145"/>
    </row>
    <row r="2595" spans="1:1" x14ac:dyDescent="0.25">
      <c r="A2595" s="2145"/>
    </row>
    <row r="2596" spans="1:1" x14ac:dyDescent="0.25">
      <c r="A2596" s="2145"/>
    </row>
    <row r="2597" spans="1:1" x14ac:dyDescent="0.25">
      <c r="A2597" s="2145"/>
    </row>
    <row r="2598" spans="1:1" x14ac:dyDescent="0.25">
      <c r="A2598" s="2145"/>
    </row>
    <row r="2599" spans="1:1" x14ac:dyDescent="0.25">
      <c r="A2599" s="2145"/>
    </row>
    <row r="2600" spans="1:1" x14ac:dyDescent="0.25">
      <c r="A2600" s="2145"/>
    </row>
    <row r="2601" spans="1:1" x14ac:dyDescent="0.25">
      <c r="A2601" s="2145"/>
    </row>
    <row r="2602" spans="1:1" x14ac:dyDescent="0.25">
      <c r="A2602" s="2145"/>
    </row>
    <row r="2603" spans="1:1" x14ac:dyDescent="0.25">
      <c r="A2603" s="2145"/>
    </row>
    <row r="2604" spans="1:1" x14ac:dyDescent="0.25">
      <c r="A2604" s="2145"/>
    </row>
    <row r="2605" spans="1:1" x14ac:dyDescent="0.25">
      <c r="A2605" s="2145"/>
    </row>
    <row r="2606" spans="1:1" x14ac:dyDescent="0.25">
      <c r="A2606" s="2145"/>
    </row>
    <row r="2607" spans="1:1" x14ac:dyDescent="0.25">
      <c r="A2607" s="2145"/>
    </row>
    <row r="2608" spans="1:1" x14ac:dyDescent="0.25">
      <c r="A2608" s="2145"/>
    </row>
    <row r="2609" spans="1:1" x14ac:dyDescent="0.25">
      <c r="A2609" s="2145"/>
    </row>
    <row r="2610" spans="1:1" x14ac:dyDescent="0.25">
      <c r="A2610" s="2145"/>
    </row>
    <row r="2611" spans="1:1" x14ac:dyDescent="0.25">
      <c r="A2611" s="2145"/>
    </row>
    <row r="2612" spans="1:1" x14ac:dyDescent="0.25">
      <c r="A2612" s="2145"/>
    </row>
    <row r="2613" spans="1:1" x14ac:dyDescent="0.25">
      <c r="A2613" s="2145"/>
    </row>
    <row r="2614" spans="1:1" x14ac:dyDescent="0.25">
      <c r="A2614" s="2145"/>
    </row>
    <row r="2615" spans="1:1" x14ac:dyDescent="0.25">
      <c r="A2615" s="2145"/>
    </row>
    <row r="2616" spans="1:1" x14ac:dyDescent="0.25">
      <c r="A2616" s="2145"/>
    </row>
    <row r="2617" spans="1:1" x14ac:dyDescent="0.25">
      <c r="A2617" s="2145"/>
    </row>
    <row r="2618" spans="1:1" x14ac:dyDescent="0.25">
      <c r="A2618" s="2145"/>
    </row>
    <row r="2619" spans="1:1" x14ac:dyDescent="0.25">
      <c r="A2619" s="2145"/>
    </row>
    <row r="2620" spans="1:1" x14ac:dyDescent="0.25">
      <c r="A2620" s="2145"/>
    </row>
    <row r="2621" spans="1:1" x14ac:dyDescent="0.25">
      <c r="A2621" s="2145"/>
    </row>
    <row r="2622" spans="1:1" x14ac:dyDescent="0.25">
      <c r="A2622" s="2145"/>
    </row>
    <row r="2623" spans="1:1" x14ac:dyDescent="0.25">
      <c r="A2623" s="2145"/>
    </row>
    <row r="2624" spans="1:1" x14ac:dyDescent="0.25">
      <c r="A2624" s="2145"/>
    </row>
    <row r="2625" spans="1:1" x14ac:dyDescent="0.25">
      <c r="A2625" s="2145"/>
    </row>
    <row r="2626" spans="1:1" x14ac:dyDescent="0.25">
      <c r="A2626" s="2145"/>
    </row>
    <row r="2627" spans="1:1" x14ac:dyDescent="0.25">
      <c r="A2627" s="2145"/>
    </row>
    <row r="2628" spans="1:1" x14ac:dyDescent="0.25">
      <c r="A2628" s="2145"/>
    </row>
    <row r="2629" spans="1:1" x14ac:dyDescent="0.25">
      <c r="A2629" s="2145"/>
    </row>
    <row r="2630" spans="1:1" x14ac:dyDescent="0.25">
      <c r="A2630" s="2145"/>
    </row>
    <row r="2631" spans="1:1" x14ac:dyDescent="0.25">
      <c r="A2631" s="2145"/>
    </row>
    <row r="2632" spans="1:1" x14ac:dyDescent="0.25">
      <c r="A2632" s="2145"/>
    </row>
    <row r="2633" spans="1:1" x14ac:dyDescent="0.25">
      <c r="A2633" s="2145"/>
    </row>
    <row r="2634" spans="1:1" x14ac:dyDescent="0.25">
      <c r="A2634" s="2145"/>
    </row>
    <row r="2635" spans="1:1" x14ac:dyDescent="0.25">
      <c r="A2635" s="2145"/>
    </row>
    <row r="2636" spans="1:1" x14ac:dyDescent="0.25">
      <c r="A2636" s="2145"/>
    </row>
    <row r="2637" spans="1:1" x14ac:dyDescent="0.25">
      <c r="A2637" s="2145"/>
    </row>
    <row r="2638" spans="1:1" x14ac:dyDescent="0.25">
      <c r="A2638" s="2145"/>
    </row>
    <row r="2639" spans="1:1" x14ac:dyDescent="0.25">
      <c r="A2639" s="2145"/>
    </row>
    <row r="2640" spans="1:1" x14ac:dyDescent="0.25">
      <c r="A2640" s="2145"/>
    </row>
    <row r="2641" spans="1:1" x14ac:dyDescent="0.25">
      <c r="A2641" s="2145"/>
    </row>
    <row r="2642" spans="1:1" x14ac:dyDescent="0.25">
      <c r="A2642" s="2145"/>
    </row>
    <row r="2643" spans="1:1" x14ac:dyDescent="0.25">
      <c r="A2643" s="2145"/>
    </row>
    <row r="2644" spans="1:1" x14ac:dyDescent="0.25">
      <c r="A2644" s="2145"/>
    </row>
    <row r="2645" spans="1:1" x14ac:dyDescent="0.25">
      <c r="A2645" s="2145"/>
    </row>
    <row r="2646" spans="1:1" x14ac:dyDescent="0.25">
      <c r="A2646" s="2145"/>
    </row>
    <row r="2647" spans="1:1" x14ac:dyDescent="0.25">
      <c r="A2647" s="2145"/>
    </row>
    <row r="2648" spans="1:1" x14ac:dyDescent="0.25">
      <c r="A2648" s="2145"/>
    </row>
    <row r="2649" spans="1:1" x14ac:dyDescent="0.25">
      <c r="A2649" s="2145"/>
    </row>
    <row r="2650" spans="1:1" x14ac:dyDescent="0.25">
      <c r="A2650" s="2145"/>
    </row>
    <row r="2651" spans="1:1" x14ac:dyDescent="0.25">
      <c r="A2651" s="2145"/>
    </row>
    <row r="2652" spans="1:1" x14ac:dyDescent="0.25">
      <c r="A2652" s="2145"/>
    </row>
    <row r="2653" spans="1:1" x14ac:dyDescent="0.25">
      <c r="A2653" s="2145"/>
    </row>
    <row r="2654" spans="1:1" x14ac:dyDescent="0.25">
      <c r="A2654" s="2145"/>
    </row>
    <row r="2655" spans="1:1" x14ac:dyDescent="0.25">
      <c r="A2655" s="2145"/>
    </row>
    <row r="2656" spans="1:1" x14ac:dyDescent="0.25">
      <c r="A2656" s="2145"/>
    </row>
    <row r="2657" spans="1:1" x14ac:dyDescent="0.25">
      <c r="A2657" s="2145"/>
    </row>
    <row r="2658" spans="1:1" x14ac:dyDescent="0.25">
      <c r="A2658" s="2145"/>
    </row>
    <row r="2659" spans="1:1" x14ac:dyDescent="0.25">
      <c r="A2659" s="2145"/>
    </row>
    <row r="2660" spans="1:1" x14ac:dyDescent="0.25">
      <c r="A2660" s="2145"/>
    </row>
    <row r="2661" spans="1:1" x14ac:dyDescent="0.25">
      <c r="A2661" s="2145"/>
    </row>
    <row r="2662" spans="1:1" x14ac:dyDescent="0.25">
      <c r="A2662" s="2145"/>
    </row>
    <row r="2663" spans="1:1" x14ac:dyDescent="0.25">
      <c r="A2663" s="2145"/>
    </row>
    <row r="2664" spans="1:1" x14ac:dyDescent="0.25">
      <c r="A2664" s="2145"/>
    </row>
    <row r="2665" spans="1:1" x14ac:dyDescent="0.25">
      <c r="A2665" s="2145"/>
    </row>
    <row r="2666" spans="1:1" x14ac:dyDescent="0.25">
      <c r="A2666" s="2145"/>
    </row>
    <row r="2667" spans="1:1" x14ac:dyDescent="0.25">
      <c r="A2667" s="2145"/>
    </row>
    <row r="2668" spans="1:1" x14ac:dyDescent="0.25">
      <c r="A2668" s="2145"/>
    </row>
    <row r="2669" spans="1:1" x14ac:dyDescent="0.25">
      <c r="A2669" s="2145"/>
    </row>
    <row r="2670" spans="1:1" x14ac:dyDescent="0.25">
      <c r="A2670" s="2145"/>
    </row>
    <row r="2671" spans="1:1" x14ac:dyDescent="0.25">
      <c r="A2671" s="2145"/>
    </row>
    <row r="2672" spans="1:1" x14ac:dyDescent="0.25">
      <c r="A2672" s="2145"/>
    </row>
    <row r="2673" spans="1:1" x14ac:dyDescent="0.25">
      <c r="A2673" s="2145"/>
    </row>
    <row r="2674" spans="1:1" x14ac:dyDescent="0.25">
      <c r="A2674" s="2145"/>
    </row>
    <row r="2675" spans="1:1" x14ac:dyDescent="0.25">
      <c r="A2675" s="2145"/>
    </row>
    <row r="2676" spans="1:1" x14ac:dyDescent="0.25">
      <c r="A2676" s="2145"/>
    </row>
    <row r="2677" spans="1:1" x14ac:dyDescent="0.25">
      <c r="A2677" s="2145"/>
    </row>
    <row r="2678" spans="1:1" x14ac:dyDescent="0.25">
      <c r="A2678" s="2145"/>
    </row>
    <row r="2679" spans="1:1" x14ac:dyDescent="0.25">
      <c r="A2679" s="2145"/>
    </row>
    <row r="2680" spans="1:1" x14ac:dyDescent="0.25">
      <c r="A2680" s="2145"/>
    </row>
    <row r="2681" spans="1:1" x14ac:dyDescent="0.25">
      <c r="A2681" s="2145"/>
    </row>
    <row r="2682" spans="1:1" x14ac:dyDescent="0.25">
      <c r="A2682" s="2145"/>
    </row>
    <row r="2683" spans="1:1" x14ac:dyDescent="0.25">
      <c r="A2683" s="2145"/>
    </row>
    <row r="2684" spans="1:1" x14ac:dyDescent="0.25">
      <c r="A2684" s="2145"/>
    </row>
    <row r="2685" spans="1:1" x14ac:dyDescent="0.25">
      <c r="A2685" s="2145"/>
    </row>
    <row r="2686" spans="1:1" x14ac:dyDescent="0.25">
      <c r="A2686" s="2145"/>
    </row>
    <row r="2687" spans="1:1" x14ac:dyDescent="0.25">
      <c r="A2687" s="2145"/>
    </row>
    <row r="2688" spans="1:1" x14ac:dyDescent="0.25">
      <c r="A2688" s="2145"/>
    </row>
    <row r="2689" spans="1:1" x14ac:dyDescent="0.25">
      <c r="A2689" s="2145"/>
    </row>
    <row r="2690" spans="1:1" x14ac:dyDescent="0.25">
      <c r="A2690" s="2145"/>
    </row>
    <row r="2691" spans="1:1" x14ac:dyDescent="0.25">
      <c r="A2691" s="2145"/>
    </row>
    <row r="2692" spans="1:1" x14ac:dyDescent="0.25">
      <c r="A2692" s="2145"/>
    </row>
    <row r="2693" spans="1:1" x14ac:dyDescent="0.25">
      <c r="A2693" s="2145"/>
    </row>
    <row r="2694" spans="1:1" x14ac:dyDescent="0.25">
      <c r="A2694" s="2145"/>
    </row>
    <row r="2695" spans="1:1" x14ac:dyDescent="0.25">
      <c r="A2695" s="2145"/>
    </row>
    <row r="2696" spans="1:1" x14ac:dyDescent="0.25">
      <c r="A2696" s="2145"/>
    </row>
    <row r="2697" spans="1:1" x14ac:dyDescent="0.25">
      <c r="A2697" s="2145"/>
    </row>
    <row r="2698" spans="1:1" x14ac:dyDescent="0.25">
      <c r="A2698" s="2145"/>
    </row>
    <row r="2699" spans="1:1" x14ac:dyDescent="0.25">
      <c r="A2699" s="2145"/>
    </row>
    <row r="2700" spans="1:1" x14ac:dyDescent="0.25">
      <c r="A2700" s="2145"/>
    </row>
    <row r="2701" spans="1:1" x14ac:dyDescent="0.25">
      <c r="A2701" s="2145"/>
    </row>
    <row r="2702" spans="1:1" x14ac:dyDescent="0.25">
      <c r="A2702" s="2145"/>
    </row>
    <row r="2703" spans="1:1" x14ac:dyDescent="0.25">
      <c r="A2703" s="2145"/>
    </row>
    <row r="2704" spans="1:1" x14ac:dyDescent="0.25">
      <c r="A2704" s="2145"/>
    </row>
    <row r="2705" spans="1:1" x14ac:dyDescent="0.25">
      <c r="A2705" s="2145"/>
    </row>
    <row r="2706" spans="1:1" x14ac:dyDescent="0.25">
      <c r="A2706" s="2145"/>
    </row>
    <row r="2707" spans="1:1" x14ac:dyDescent="0.25">
      <c r="A2707" s="2145"/>
    </row>
    <row r="2708" spans="1:1" x14ac:dyDescent="0.25">
      <c r="A2708" s="2145"/>
    </row>
    <row r="2709" spans="1:1" x14ac:dyDescent="0.25">
      <c r="A2709" s="2145"/>
    </row>
    <row r="2710" spans="1:1" x14ac:dyDescent="0.25">
      <c r="A2710" s="2145"/>
    </row>
    <row r="2711" spans="1:1" x14ac:dyDescent="0.25">
      <c r="A2711" s="2145"/>
    </row>
    <row r="2712" spans="1:1" x14ac:dyDescent="0.25">
      <c r="A2712" s="2145"/>
    </row>
    <row r="2713" spans="1:1" x14ac:dyDescent="0.25">
      <c r="A2713" s="2145"/>
    </row>
    <row r="2714" spans="1:1" x14ac:dyDescent="0.25">
      <c r="A2714" s="2145"/>
    </row>
    <row r="2715" spans="1:1" x14ac:dyDescent="0.25">
      <c r="A2715" s="2145"/>
    </row>
    <row r="2716" spans="1:1" x14ac:dyDescent="0.25">
      <c r="A2716" s="2145"/>
    </row>
    <row r="2717" spans="1:1" x14ac:dyDescent="0.25">
      <c r="A2717" s="2145"/>
    </row>
    <row r="2718" spans="1:1" x14ac:dyDescent="0.25">
      <c r="A2718" s="2145"/>
    </row>
    <row r="2719" spans="1:1" x14ac:dyDescent="0.25">
      <c r="A2719" s="2145"/>
    </row>
    <row r="2720" spans="1:1" x14ac:dyDescent="0.25">
      <c r="A2720" s="2145"/>
    </row>
    <row r="2721" spans="1:1" x14ac:dyDescent="0.25">
      <c r="A2721" s="2145"/>
    </row>
    <row r="2722" spans="1:1" x14ac:dyDescent="0.25">
      <c r="A2722" s="2145"/>
    </row>
    <row r="2723" spans="1:1" x14ac:dyDescent="0.25">
      <c r="A2723" s="2145"/>
    </row>
    <row r="2724" spans="1:1" x14ac:dyDescent="0.25">
      <c r="A2724" s="2145"/>
    </row>
    <row r="2725" spans="1:1" x14ac:dyDescent="0.25">
      <c r="A2725" s="2145"/>
    </row>
    <row r="2726" spans="1:1" x14ac:dyDescent="0.25">
      <c r="A2726" s="2145"/>
    </row>
    <row r="2727" spans="1:1" x14ac:dyDescent="0.25">
      <c r="A2727" s="2145"/>
    </row>
    <row r="2728" spans="1:1" x14ac:dyDescent="0.25">
      <c r="A2728" s="2145"/>
    </row>
    <row r="2729" spans="1:1" x14ac:dyDescent="0.25">
      <c r="A2729" s="2145"/>
    </row>
    <row r="2730" spans="1:1" x14ac:dyDescent="0.25">
      <c r="A2730" s="2145"/>
    </row>
    <row r="2731" spans="1:1" x14ac:dyDescent="0.25">
      <c r="A2731" s="2145"/>
    </row>
    <row r="2732" spans="1:1" x14ac:dyDescent="0.25">
      <c r="A2732" s="2145"/>
    </row>
    <row r="2733" spans="1:1" x14ac:dyDescent="0.25">
      <c r="A2733" s="2145"/>
    </row>
    <row r="2734" spans="1:1" x14ac:dyDescent="0.25">
      <c r="A2734" s="2145"/>
    </row>
    <row r="2735" spans="1:1" x14ac:dyDescent="0.25">
      <c r="A2735" s="2145"/>
    </row>
    <row r="2736" spans="1:1" x14ac:dyDescent="0.25">
      <c r="A2736" s="2145"/>
    </row>
    <row r="2737" spans="1:1" x14ac:dyDescent="0.25">
      <c r="A2737" s="2145"/>
    </row>
    <row r="2738" spans="1:1" x14ac:dyDescent="0.25">
      <c r="A2738" s="2145"/>
    </row>
    <row r="2739" spans="1:1" x14ac:dyDescent="0.25">
      <c r="A2739" s="2145"/>
    </row>
    <row r="2740" spans="1:1" x14ac:dyDescent="0.25">
      <c r="A2740" s="2145"/>
    </row>
    <row r="2741" spans="1:1" x14ac:dyDescent="0.25">
      <c r="A2741" s="2145"/>
    </row>
    <row r="2742" spans="1:1" x14ac:dyDescent="0.25">
      <c r="A2742" s="2145"/>
    </row>
    <row r="2743" spans="1:1" x14ac:dyDescent="0.25">
      <c r="A2743" s="2145"/>
    </row>
    <row r="2744" spans="1:1" x14ac:dyDescent="0.25">
      <c r="A2744" s="2145"/>
    </row>
    <row r="2745" spans="1:1" x14ac:dyDescent="0.25">
      <c r="A2745" s="2145"/>
    </row>
    <row r="2746" spans="1:1" x14ac:dyDescent="0.25">
      <c r="A2746" s="2145"/>
    </row>
    <row r="2747" spans="1:1" x14ac:dyDescent="0.25">
      <c r="A2747" s="2145"/>
    </row>
    <row r="2748" spans="1:1" x14ac:dyDescent="0.25">
      <c r="A2748" s="2145"/>
    </row>
    <row r="2749" spans="1:1" x14ac:dyDescent="0.25">
      <c r="A2749" s="2145"/>
    </row>
    <row r="2750" spans="1:1" x14ac:dyDescent="0.25">
      <c r="A2750" s="2145"/>
    </row>
    <row r="2751" spans="1:1" x14ac:dyDescent="0.25">
      <c r="A2751" s="2145"/>
    </row>
    <row r="2752" spans="1:1" x14ac:dyDescent="0.25">
      <c r="A2752" s="2145"/>
    </row>
    <row r="2753" spans="1:1" x14ac:dyDescent="0.25">
      <c r="A2753" s="2145"/>
    </row>
    <row r="2754" spans="1:1" x14ac:dyDescent="0.25">
      <c r="A2754" s="2145"/>
    </row>
    <row r="2755" spans="1:1" x14ac:dyDescent="0.25">
      <c r="A2755" s="2145"/>
    </row>
    <row r="2756" spans="1:1" x14ac:dyDescent="0.25">
      <c r="A2756" s="2145"/>
    </row>
    <row r="2757" spans="1:1" x14ac:dyDescent="0.25">
      <c r="A2757" s="2145"/>
    </row>
    <row r="2758" spans="1:1" x14ac:dyDescent="0.25">
      <c r="A2758" s="2145"/>
    </row>
    <row r="2759" spans="1:1" x14ac:dyDescent="0.25">
      <c r="A2759" s="2145"/>
    </row>
    <row r="2760" spans="1:1" x14ac:dyDescent="0.25">
      <c r="A2760" s="2145"/>
    </row>
    <row r="2761" spans="1:1" x14ac:dyDescent="0.25">
      <c r="A2761" s="2145"/>
    </row>
    <row r="2762" spans="1:1" x14ac:dyDescent="0.25">
      <c r="A2762" s="2145"/>
    </row>
    <row r="2763" spans="1:1" x14ac:dyDescent="0.25">
      <c r="A2763" s="2145"/>
    </row>
    <row r="2764" spans="1:1" x14ac:dyDescent="0.25">
      <c r="A2764" s="2145"/>
    </row>
    <row r="2765" spans="1:1" x14ac:dyDescent="0.25">
      <c r="A2765" s="2145"/>
    </row>
    <row r="2766" spans="1:1" x14ac:dyDescent="0.25">
      <c r="A2766" s="2145"/>
    </row>
    <row r="2767" spans="1:1" x14ac:dyDescent="0.25">
      <c r="A2767" s="2145"/>
    </row>
    <row r="2768" spans="1:1" x14ac:dyDescent="0.25">
      <c r="A2768" s="2145"/>
    </row>
    <row r="2769" spans="1:1" x14ac:dyDescent="0.25">
      <c r="A2769" s="2145"/>
    </row>
    <row r="2770" spans="1:1" x14ac:dyDescent="0.25">
      <c r="A2770" s="2145"/>
    </row>
    <row r="2771" spans="1:1" x14ac:dyDescent="0.25">
      <c r="A2771" s="2145"/>
    </row>
    <row r="2772" spans="1:1" x14ac:dyDescent="0.25">
      <c r="A2772" s="2145"/>
    </row>
    <row r="2773" spans="1:1" x14ac:dyDescent="0.25">
      <c r="A2773" s="2145"/>
    </row>
    <row r="2774" spans="1:1" x14ac:dyDescent="0.25">
      <c r="A2774" s="2145"/>
    </row>
    <row r="2775" spans="1:1" x14ac:dyDescent="0.25">
      <c r="A2775" s="2145"/>
    </row>
    <row r="2776" spans="1:1" x14ac:dyDescent="0.25">
      <c r="A2776" s="2145"/>
    </row>
    <row r="2777" spans="1:1" x14ac:dyDescent="0.25">
      <c r="A2777" s="2145"/>
    </row>
    <row r="2778" spans="1:1" x14ac:dyDescent="0.25">
      <c r="A2778" s="2145"/>
    </row>
    <row r="2779" spans="1:1" x14ac:dyDescent="0.25">
      <c r="A2779" s="2145"/>
    </row>
    <row r="2780" spans="1:1" x14ac:dyDescent="0.25">
      <c r="A2780" s="2145"/>
    </row>
    <row r="2781" spans="1:1" x14ac:dyDescent="0.25">
      <c r="A2781" s="2145"/>
    </row>
    <row r="2782" spans="1:1" x14ac:dyDescent="0.25">
      <c r="A2782" s="2145"/>
    </row>
    <row r="2783" spans="1:1" x14ac:dyDescent="0.25">
      <c r="A2783" s="2145"/>
    </row>
    <row r="2784" spans="1:1" x14ac:dyDescent="0.25">
      <c r="A2784" s="2145"/>
    </row>
    <row r="2785" spans="1:1" x14ac:dyDescent="0.25">
      <c r="A2785" s="2145"/>
    </row>
    <row r="2786" spans="1:1" x14ac:dyDescent="0.25">
      <c r="A2786" s="2145"/>
    </row>
    <row r="2787" spans="1:1" x14ac:dyDescent="0.25">
      <c r="A2787" s="2145"/>
    </row>
    <row r="2788" spans="1:1" x14ac:dyDescent="0.25">
      <c r="A2788" s="2145"/>
    </row>
    <row r="2789" spans="1:1" x14ac:dyDescent="0.25">
      <c r="A2789" s="2145"/>
    </row>
    <row r="2790" spans="1:1" x14ac:dyDescent="0.25">
      <c r="A2790" s="2145"/>
    </row>
    <row r="2791" spans="1:1" x14ac:dyDescent="0.25">
      <c r="A2791" s="2145"/>
    </row>
    <row r="2792" spans="1:1" x14ac:dyDescent="0.25">
      <c r="A2792" s="2145"/>
    </row>
    <row r="2793" spans="1:1" x14ac:dyDescent="0.25">
      <c r="A2793" s="2145"/>
    </row>
    <row r="2794" spans="1:1" x14ac:dyDescent="0.25">
      <c r="A2794" s="2145"/>
    </row>
    <row r="2795" spans="1:1" x14ac:dyDescent="0.25">
      <c r="A2795" s="2145"/>
    </row>
    <row r="2796" spans="1:1" x14ac:dyDescent="0.25">
      <c r="A2796" s="2145"/>
    </row>
    <row r="2797" spans="1:1" x14ac:dyDescent="0.25">
      <c r="A2797" s="2145"/>
    </row>
    <row r="2798" spans="1:1" x14ac:dyDescent="0.25">
      <c r="A2798" s="2145"/>
    </row>
    <row r="2799" spans="1:1" x14ac:dyDescent="0.25">
      <c r="A2799" s="2145"/>
    </row>
    <row r="2800" spans="1:1" x14ac:dyDescent="0.25">
      <c r="A2800" s="2145"/>
    </row>
    <row r="2801" spans="1:1" x14ac:dyDescent="0.25">
      <c r="A2801" s="2145"/>
    </row>
    <row r="2802" spans="1:1" x14ac:dyDescent="0.25">
      <c r="A2802" s="2145"/>
    </row>
    <row r="2803" spans="1:1" x14ac:dyDescent="0.25">
      <c r="A2803" s="2145"/>
    </row>
    <row r="2804" spans="1:1" x14ac:dyDescent="0.25">
      <c r="A2804" s="2145"/>
    </row>
    <row r="2805" spans="1:1" x14ac:dyDescent="0.25">
      <c r="A2805" s="2145"/>
    </row>
    <row r="2806" spans="1:1" x14ac:dyDescent="0.25">
      <c r="A2806" s="2145"/>
    </row>
    <row r="2807" spans="1:1" x14ac:dyDescent="0.25">
      <c r="A2807" s="2145"/>
    </row>
    <row r="2808" spans="1:1" x14ac:dyDescent="0.25">
      <c r="A2808" s="2145"/>
    </row>
    <row r="2809" spans="1:1" x14ac:dyDescent="0.25">
      <c r="A2809" s="2145"/>
    </row>
    <row r="2810" spans="1:1" x14ac:dyDescent="0.25">
      <c r="A2810" s="2145"/>
    </row>
    <row r="2811" spans="1:1" x14ac:dyDescent="0.25">
      <c r="A2811" s="2145"/>
    </row>
    <row r="2812" spans="1:1" x14ac:dyDescent="0.25">
      <c r="A2812" s="2145"/>
    </row>
    <row r="2813" spans="1:1" x14ac:dyDescent="0.25">
      <c r="A2813" s="2145"/>
    </row>
    <row r="2814" spans="1:1" x14ac:dyDescent="0.25">
      <c r="A2814" s="2145"/>
    </row>
    <row r="2815" spans="1:1" x14ac:dyDescent="0.25">
      <c r="A2815" s="2145"/>
    </row>
    <row r="2816" spans="1:1" x14ac:dyDescent="0.25">
      <c r="A2816" s="2145"/>
    </row>
    <row r="2817" spans="1:1" x14ac:dyDescent="0.25">
      <c r="A2817" s="2145"/>
    </row>
    <row r="2818" spans="1:1" x14ac:dyDescent="0.25">
      <c r="A2818" s="2145"/>
    </row>
    <row r="2819" spans="1:1" x14ac:dyDescent="0.25">
      <c r="A2819" s="2145"/>
    </row>
    <row r="2820" spans="1:1" x14ac:dyDescent="0.25">
      <c r="A2820" s="2145"/>
    </row>
    <row r="2821" spans="1:1" x14ac:dyDescent="0.25">
      <c r="A2821" s="2145"/>
    </row>
    <row r="2822" spans="1:1" x14ac:dyDescent="0.25">
      <c r="A2822" s="2145"/>
    </row>
    <row r="2823" spans="1:1" x14ac:dyDescent="0.25">
      <c r="A2823" s="2145"/>
    </row>
    <row r="2824" spans="1:1" x14ac:dyDescent="0.25">
      <c r="A2824" s="2145"/>
    </row>
    <row r="2825" spans="1:1" x14ac:dyDescent="0.25">
      <c r="A2825" s="2145"/>
    </row>
    <row r="2826" spans="1:1" x14ac:dyDescent="0.25">
      <c r="A2826" s="2145"/>
    </row>
    <row r="2827" spans="1:1" x14ac:dyDescent="0.25">
      <c r="A2827" s="2145"/>
    </row>
    <row r="2828" spans="1:1" x14ac:dyDescent="0.25">
      <c r="A2828" s="2145"/>
    </row>
    <row r="2829" spans="1:1" x14ac:dyDescent="0.25">
      <c r="A2829" s="2145"/>
    </row>
    <row r="2830" spans="1:1" x14ac:dyDescent="0.25">
      <c r="A2830" s="2145"/>
    </row>
    <row r="2831" spans="1:1" x14ac:dyDescent="0.25">
      <c r="A2831" s="2145"/>
    </row>
    <row r="2832" spans="1:1" x14ac:dyDescent="0.25">
      <c r="A2832" s="2145"/>
    </row>
    <row r="2833" spans="1:1" x14ac:dyDescent="0.25">
      <c r="A2833" s="2145"/>
    </row>
    <row r="2834" spans="1:1" x14ac:dyDescent="0.25">
      <c r="A2834" s="2145"/>
    </row>
    <row r="2835" spans="1:1" x14ac:dyDescent="0.25">
      <c r="A2835" s="2145"/>
    </row>
    <row r="2836" spans="1:1" x14ac:dyDescent="0.25">
      <c r="A2836" s="2145"/>
    </row>
    <row r="2837" spans="1:1" x14ac:dyDescent="0.25">
      <c r="A2837" s="2145"/>
    </row>
    <row r="2838" spans="1:1" x14ac:dyDescent="0.25">
      <c r="A2838" s="2145"/>
    </row>
    <row r="2839" spans="1:1" x14ac:dyDescent="0.25">
      <c r="A2839" s="2145"/>
    </row>
    <row r="2840" spans="1:1" x14ac:dyDescent="0.25">
      <c r="A2840" s="2145"/>
    </row>
    <row r="2841" spans="1:1" x14ac:dyDescent="0.25">
      <c r="A2841" s="2145"/>
    </row>
    <row r="2842" spans="1:1" x14ac:dyDescent="0.25">
      <c r="A2842" s="2145"/>
    </row>
    <row r="2843" spans="1:1" x14ac:dyDescent="0.25">
      <c r="A2843" s="2145"/>
    </row>
    <row r="2844" spans="1:1" x14ac:dyDescent="0.25">
      <c r="A2844" s="2145"/>
    </row>
    <row r="2845" spans="1:1" x14ac:dyDescent="0.25">
      <c r="A2845" s="2145"/>
    </row>
    <row r="2846" spans="1:1" x14ac:dyDescent="0.25">
      <c r="A2846" s="2145"/>
    </row>
    <row r="2847" spans="1:1" x14ac:dyDescent="0.25">
      <c r="A2847" s="2145"/>
    </row>
    <row r="2848" spans="1:1" x14ac:dyDescent="0.25">
      <c r="A2848" s="2145"/>
    </row>
    <row r="2849" spans="1:1" x14ac:dyDescent="0.25">
      <c r="A2849" s="2145"/>
    </row>
    <row r="2850" spans="1:1" x14ac:dyDescent="0.25">
      <c r="A2850" s="2145"/>
    </row>
    <row r="2851" spans="1:1" x14ac:dyDescent="0.25">
      <c r="A2851" s="2145"/>
    </row>
    <row r="2852" spans="1:1" x14ac:dyDescent="0.25">
      <c r="A2852" s="2145"/>
    </row>
    <row r="2853" spans="1:1" x14ac:dyDescent="0.25">
      <c r="A2853" s="2145"/>
    </row>
    <row r="2854" spans="1:1" x14ac:dyDescent="0.25">
      <c r="A2854" s="2145"/>
    </row>
    <row r="2855" spans="1:1" x14ac:dyDescent="0.25">
      <c r="A2855" s="2145"/>
    </row>
    <row r="2856" spans="1:1" x14ac:dyDescent="0.25">
      <c r="A2856" s="2145"/>
    </row>
    <row r="2857" spans="1:1" x14ac:dyDescent="0.25">
      <c r="A2857" s="2145"/>
    </row>
    <row r="2858" spans="1:1" x14ac:dyDescent="0.25">
      <c r="A2858" s="2145"/>
    </row>
    <row r="2859" spans="1:1" x14ac:dyDescent="0.25">
      <c r="A2859" s="2145"/>
    </row>
    <row r="2860" spans="1:1" x14ac:dyDescent="0.25">
      <c r="A2860" s="2145"/>
    </row>
    <row r="2861" spans="1:1" x14ac:dyDescent="0.25">
      <c r="A2861" s="2145"/>
    </row>
    <row r="2862" spans="1:1" x14ac:dyDescent="0.25">
      <c r="A2862" s="2145"/>
    </row>
    <row r="2863" spans="1:1" x14ac:dyDescent="0.25">
      <c r="A2863" s="2145"/>
    </row>
    <row r="2864" spans="1:1" x14ac:dyDescent="0.25">
      <c r="A2864" s="2145"/>
    </row>
    <row r="2865" spans="1:1" x14ac:dyDescent="0.25">
      <c r="A2865" s="2145"/>
    </row>
    <row r="2866" spans="1:1" x14ac:dyDescent="0.25">
      <c r="A2866" s="2145"/>
    </row>
    <row r="2867" spans="1:1" x14ac:dyDescent="0.25">
      <c r="A2867" s="2145"/>
    </row>
    <row r="2868" spans="1:1" x14ac:dyDescent="0.25">
      <c r="A2868" s="2145"/>
    </row>
    <row r="2869" spans="1:1" x14ac:dyDescent="0.25">
      <c r="A2869" s="2145"/>
    </row>
    <row r="2870" spans="1:1" x14ac:dyDescent="0.25">
      <c r="A2870" s="2145"/>
    </row>
    <row r="2871" spans="1:1" x14ac:dyDescent="0.25">
      <c r="A2871" s="2145"/>
    </row>
    <row r="2872" spans="1:1" x14ac:dyDescent="0.25">
      <c r="A2872" s="2145"/>
    </row>
    <row r="2873" spans="1:1" x14ac:dyDescent="0.25">
      <c r="A2873" s="2145"/>
    </row>
    <row r="2874" spans="1:1" x14ac:dyDescent="0.25">
      <c r="A2874" s="2145"/>
    </row>
    <row r="2875" spans="1:1" x14ac:dyDescent="0.25">
      <c r="A2875" s="2145"/>
    </row>
    <row r="2876" spans="1:1" x14ac:dyDescent="0.25">
      <c r="A2876" s="2145"/>
    </row>
    <row r="2877" spans="1:1" x14ac:dyDescent="0.25">
      <c r="A2877" s="2145"/>
    </row>
    <row r="2878" spans="1:1" x14ac:dyDescent="0.25">
      <c r="A2878" s="2145"/>
    </row>
    <row r="2879" spans="1:1" x14ac:dyDescent="0.25">
      <c r="A2879" s="2145"/>
    </row>
    <row r="2880" spans="1:1" x14ac:dyDescent="0.25">
      <c r="A2880" s="2145"/>
    </row>
    <row r="2881" spans="1:1" x14ac:dyDescent="0.25">
      <c r="A2881" s="2145"/>
    </row>
    <row r="2882" spans="1:1" x14ac:dyDescent="0.25">
      <c r="A2882" s="2145"/>
    </row>
    <row r="2883" spans="1:1" x14ac:dyDescent="0.25">
      <c r="A2883" s="2145"/>
    </row>
    <row r="2884" spans="1:1" x14ac:dyDescent="0.25">
      <c r="A2884" s="2145"/>
    </row>
    <row r="2885" spans="1:1" x14ac:dyDescent="0.25">
      <c r="A2885" s="2145"/>
    </row>
    <row r="2886" spans="1:1" x14ac:dyDescent="0.25">
      <c r="A2886" s="2145"/>
    </row>
    <row r="2887" spans="1:1" x14ac:dyDescent="0.25">
      <c r="A2887" s="2145"/>
    </row>
    <row r="2888" spans="1:1" x14ac:dyDescent="0.25">
      <c r="A2888" s="2145"/>
    </row>
    <row r="2889" spans="1:1" x14ac:dyDescent="0.25">
      <c r="A2889" s="2145"/>
    </row>
    <row r="2890" spans="1:1" x14ac:dyDescent="0.25">
      <c r="A2890" s="2145"/>
    </row>
    <row r="2891" spans="1:1" x14ac:dyDescent="0.25">
      <c r="A2891" s="2145"/>
    </row>
    <row r="2892" spans="1:1" x14ac:dyDescent="0.25">
      <c r="A2892" s="2145"/>
    </row>
    <row r="2893" spans="1:1" x14ac:dyDescent="0.25">
      <c r="A2893" s="2145"/>
    </row>
    <row r="2894" spans="1:1" x14ac:dyDescent="0.25">
      <c r="A2894" s="2145"/>
    </row>
    <row r="2895" spans="1:1" x14ac:dyDescent="0.25">
      <c r="A2895" s="2145"/>
    </row>
    <row r="2896" spans="1:1" x14ac:dyDescent="0.25">
      <c r="A2896" s="2145"/>
    </row>
    <row r="2897" spans="1:1" x14ac:dyDescent="0.25">
      <c r="A2897" s="2145"/>
    </row>
    <row r="2898" spans="1:1" x14ac:dyDescent="0.25">
      <c r="A2898" s="2145"/>
    </row>
    <row r="2899" spans="1:1" x14ac:dyDescent="0.25">
      <c r="A2899" s="2145"/>
    </row>
    <row r="2900" spans="1:1" x14ac:dyDescent="0.25">
      <c r="A2900" s="2145"/>
    </row>
    <row r="2901" spans="1:1" x14ac:dyDescent="0.25">
      <c r="A2901" s="2145"/>
    </row>
    <row r="2902" spans="1:1" x14ac:dyDescent="0.25">
      <c r="A2902" s="2145"/>
    </row>
    <row r="2903" spans="1:1" x14ac:dyDescent="0.25">
      <c r="A2903" s="2145"/>
    </row>
    <row r="2904" spans="1:1" x14ac:dyDescent="0.25">
      <c r="A2904" s="2145"/>
    </row>
    <row r="2905" spans="1:1" x14ac:dyDescent="0.25">
      <c r="A2905" s="2145"/>
    </row>
    <row r="2906" spans="1:1" x14ac:dyDescent="0.25">
      <c r="A2906" s="2145"/>
    </row>
    <row r="2907" spans="1:1" x14ac:dyDescent="0.25">
      <c r="A2907" s="2145"/>
    </row>
    <row r="2908" spans="1:1" x14ac:dyDescent="0.25">
      <c r="A2908" s="2145"/>
    </row>
    <row r="2909" spans="1:1" x14ac:dyDescent="0.25">
      <c r="A2909" s="2145"/>
    </row>
    <row r="2910" spans="1:1" x14ac:dyDescent="0.25">
      <c r="A2910" s="2145"/>
    </row>
    <row r="2911" spans="1:1" x14ac:dyDescent="0.25">
      <c r="A2911" s="2145"/>
    </row>
    <row r="2912" spans="1:1" x14ac:dyDescent="0.25">
      <c r="A2912" s="2145"/>
    </row>
    <row r="2913" spans="1:1" x14ac:dyDescent="0.25">
      <c r="A2913" s="2145"/>
    </row>
    <row r="2914" spans="1:1" x14ac:dyDescent="0.25">
      <c r="A2914" s="2145"/>
    </row>
    <row r="2915" spans="1:1" x14ac:dyDescent="0.25">
      <c r="A2915" s="2145"/>
    </row>
    <row r="2916" spans="1:1" x14ac:dyDescent="0.25">
      <c r="A2916" s="2145"/>
    </row>
    <row r="2917" spans="1:1" x14ac:dyDescent="0.25">
      <c r="A2917" s="2145"/>
    </row>
    <row r="2918" spans="1:1" x14ac:dyDescent="0.25">
      <c r="A2918" s="2145"/>
    </row>
    <row r="2919" spans="1:1" x14ac:dyDescent="0.25">
      <c r="A2919" s="2145"/>
    </row>
    <row r="2920" spans="1:1" x14ac:dyDescent="0.25">
      <c r="A2920" s="2145"/>
    </row>
    <row r="2921" spans="1:1" x14ac:dyDescent="0.25">
      <c r="A2921" s="2145"/>
    </row>
    <row r="2922" spans="1:1" x14ac:dyDescent="0.25">
      <c r="A2922" s="2145"/>
    </row>
    <row r="2923" spans="1:1" x14ac:dyDescent="0.25">
      <c r="A2923" s="2145"/>
    </row>
    <row r="2924" spans="1:1" x14ac:dyDescent="0.25">
      <c r="A2924" s="2145"/>
    </row>
    <row r="2925" spans="1:1" x14ac:dyDescent="0.25">
      <c r="A2925" s="2145"/>
    </row>
    <row r="2926" spans="1:1" x14ac:dyDescent="0.25">
      <c r="A2926" s="2145"/>
    </row>
    <row r="2927" spans="1:1" x14ac:dyDescent="0.25">
      <c r="A2927" s="2145"/>
    </row>
    <row r="2928" spans="1:1" x14ac:dyDescent="0.25">
      <c r="A2928" s="2145"/>
    </row>
    <row r="2929" spans="1:1" x14ac:dyDescent="0.25">
      <c r="A2929" s="2145"/>
    </row>
    <row r="2930" spans="1:1" x14ac:dyDescent="0.25">
      <c r="A2930" s="2145"/>
    </row>
    <row r="2931" spans="1:1" x14ac:dyDescent="0.25">
      <c r="A2931" s="2145"/>
    </row>
    <row r="2932" spans="1:1" x14ac:dyDescent="0.25">
      <c r="A2932" s="2145"/>
    </row>
    <row r="2933" spans="1:1" x14ac:dyDescent="0.25">
      <c r="A2933" s="2145"/>
    </row>
    <row r="2934" spans="1:1" x14ac:dyDescent="0.25">
      <c r="A2934" s="2145"/>
    </row>
    <row r="2935" spans="1:1" x14ac:dyDescent="0.25">
      <c r="A2935" s="2145"/>
    </row>
    <row r="2936" spans="1:1" x14ac:dyDescent="0.25">
      <c r="A2936" s="2145"/>
    </row>
    <row r="2937" spans="1:1" x14ac:dyDescent="0.25">
      <c r="A2937" s="2145"/>
    </row>
    <row r="2938" spans="1:1" x14ac:dyDescent="0.25">
      <c r="A2938" s="2145"/>
    </row>
    <row r="2939" spans="1:1" x14ac:dyDescent="0.25">
      <c r="A2939" s="2145"/>
    </row>
    <row r="2940" spans="1:1" x14ac:dyDescent="0.25">
      <c r="A2940" s="2145"/>
    </row>
    <row r="2941" spans="1:1" x14ac:dyDescent="0.25">
      <c r="A2941" s="2145"/>
    </row>
    <row r="2942" spans="1:1" x14ac:dyDescent="0.25">
      <c r="A2942" s="2145"/>
    </row>
    <row r="2943" spans="1:1" x14ac:dyDescent="0.25">
      <c r="A2943" s="2145"/>
    </row>
    <row r="2944" spans="1:1" x14ac:dyDescent="0.25">
      <c r="A2944" s="2145"/>
    </row>
    <row r="2945" spans="1:1" x14ac:dyDescent="0.25">
      <c r="A2945" s="2145"/>
    </row>
    <row r="2946" spans="1:1" x14ac:dyDescent="0.25">
      <c r="A2946" s="2145"/>
    </row>
    <row r="2947" spans="1:1" x14ac:dyDescent="0.25">
      <c r="A2947" s="2145"/>
    </row>
    <row r="2948" spans="1:1" x14ac:dyDescent="0.25">
      <c r="A2948" s="2145"/>
    </row>
    <row r="2949" spans="1:1" x14ac:dyDescent="0.25">
      <c r="A2949" s="2145"/>
    </row>
    <row r="2950" spans="1:1" x14ac:dyDescent="0.25">
      <c r="A2950" s="2145"/>
    </row>
    <row r="2951" spans="1:1" x14ac:dyDescent="0.25">
      <c r="A2951" s="2145"/>
    </row>
    <row r="2952" spans="1:1" x14ac:dyDescent="0.25">
      <c r="A2952" s="2145"/>
    </row>
    <row r="2953" spans="1:1" x14ac:dyDescent="0.25">
      <c r="A2953" s="2145"/>
    </row>
    <row r="2954" spans="1:1" x14ac:dyDescent="0.25">
      <c r="A2954" s="2145"/>
    </row>
    <row r="2955" spans="1:1" x14ac:dyDescent="0.25">
      <c r="A2955" s="2145"/>
    </row>
    <row r="2956" spans="1:1" x14ac:dyDescent="0.25">
      <c r="A2956" s="2145"/>
    </row>
    <row r="2957" spans="1:1" x14ac:dyDescent="0.25">
      <c r="A2957" s="2145"/>
    </row>
    <row r="2958" spans="1:1" x14ac:dyDescent="0.25">
      <c r="A2958" s="2145"/>
    </row>
    <row r="2959" spans="1:1" x14ac:dyDescent="0.25">
      <c r="A2959" s="2145"/>
    </row>
    <row r="2960" spans="1:1" x14ac:dyDescent="0.25">
      <c r="A2960" s="2145"/>
    </row>
    <row r="2961" spans="1:1" x14ac:dyDescent="0.25">
      <c r="A2961" s="2145"/>
    </row>
    <row r="2962" spans="1:1" x14ac:dyDescent="0.25">
      <c r="A2962" s="2145"/>
    </row>
    <row r="2963" spans="1:1" x14ac:dyDescent="0.25">
      <c r="A2963" s="2145"/>
    </row>
    <row r="2964" spans="1:1" x14ac:dyDescent="0.25">
      <c r="A2964" s="2145"/>
    </row>
    <row r="2965" spans="1:1" x14ac:dyDescent="0.25">
      <c r="A2965" s="2145"/>
    </row>
    <row r="2966" spans="1:1" x14ac:dyDescent="0.25">
      <c r="A2966" s="2145"/>
    </row>
    <row r="2967" spans="1:1" x14ac:dyDescent="0.25">
      <c r="A2967" s="2145"/>
    </row>
    <row r="2968" spans="1:1" x14ac:dyDescent="0.25">
      <c r="A2968" s="2145"/>
    </row>
    <row r="2969" spans="1:1" x14ac:dyDescent="0.25">
      <c r="A2969" s="2145"/>
    </row>
    <row r="2970" spans="1:1" x14ac:dyDescent="0.25">
      <c r="A2970" s="2145"/>
    </row>
    <row r="2971" spans="1:1" x14ac:dyDescent="0.25">
      <c r="A2971" s="2145"/>
    </row>
    <row r="2972" spans="1:1" x14ac:dyDescent="0.25">
      <c r="A2972" s="2145"/>
    </row>
    <row r="2973" spans="1:1" x14ac:dyDescent="0.25">
      <c r="A2973" s="2145"/>
    </row>
    <row r="2974" spans="1:1" x14ac:dyDescent="0.25">
      <c r="A2974" s="2145"/>
    </row>
    <row r="2975" spans="1:1" x14ac:dyDescent="0.25">
      <c r="A2975" s="2145"/>
    </row>
    <row r="2976" spans="1:1" x14ac:dyDescent="0.25">
      <c r="A2976" s="2145"/>
    </row>
    <row r="2977" spans="1:1" x14ac:dyDescent="0.25">
      <c r="A2977" s="2145"/>
    </row>
    <row r="2978" spans="1:1" x14ac:dyDescent="0.25">
      <c r="A2978" s="2145"/>
    </row>
    <row r="2979" spans="1:1" x14ac:dyDescent="0.25">
      <c r="A2979" s="2145"/>
    </row>
    <row r="2980" spans="1:1" x14ac:dyDescent="0.25">
      <c r="A2980" s="2145"/>
    </row>
    <row r="2981" spans="1:1" x14ac:dyDescent="0.25">
      <c r="A2981" s="2145"/>
    </row>
    <row r="2982" spans="1:1" x14ac:dyDescent="0.25">
      <c r="A2982" s="2145"/>
    </row>
    <row r="2983" spans="1:1" x14ac:dyDescent="0.25">
      <c r="A2983" s="2145"/>
    </row>
  </sheetData>
  <mergeCells count="1923">
    <mergeCell ref="D1594:D1696"/>
    <mergeCell ref="E1594:E1696"/>
    <mergeCell ref="V1594:V1696"/>
    <mergeCell ref="E1697:E1799"/>
    <mergeCell ref="D1697:D1799"/>
    <mergeCell ref="V1697:V1799"/>
    <mergeCell ref="E1801:E2006"/>
    <mergeCell ref="D1801:D2006"/>
    <mergeCell ref="V1801:V2006"/>
    <mergeCell ref="E2007:E2199"/>
    <mergeCell ref="D2007:D2199"/>
    <mergeCell ref="D873:D974"/>
    <mergeCell ref="E873:E974"/>
    <mergeCell ref="V873:V974"/>
    <mergeCell ref="F997:I997"/>
    <mergeCell ref="F998:I998"/>
    <mergeCell ref="D976:D1078"/>
    <mergeCell ref="M1182:M1284"/>
    <mergeCell ref="F1449:I1449"/>
    <mergeCell ref="F1450:I1450"/>
    <mergeCell ref="F1453:I1453"/>
    <mergeCell ref="F1454:I1454"/>
    <mergeCell ref="F1409:I1409"/>
    <mergeCell ref="F1399:I1399"/>
    <mergeCell ref="F1400:I1400"/>
    <mergeCell ref="F1401:I1401"/>
    <mergeCell ref="F1402:I1402"/>
    <mergeCell ref="F1405:I1405"/>
    <mergeCell ref="F1406:I1406"/>
    <mergeCell ref="F1407:I1407"/>
    <mergeCell ref="F1388:I1388"/>
    <mergeCell ref="F1389:I1389"/>
    <mergeCell ref="V1491:V1593"/>
    <mergeCell ref="D1491:D1593"/>
    <mergeCell ref="E1491:E1593"/>
    <mergeCell ref="E976:E1078"/>
    <mergeCell ref="E1079:E1181"/>
    <mergeCell ref="V1079:V1181"/>
    <mergeCell ref="V976:V1078"/>
    <mergeCell ref="D1079:D1181"/>
    <mergeCell ref="D1182:D1284"/>
    <mergeCell ref="E1182:E1284"/>
    <mergeCell ref="V1182:V1284"/>
    <mergeCell ref="E1285:E1387"/>
    <mergeCell ref="D1285:D1387"/>
    <mergeCell ref="D1388:D1490"/>
    <mergeCell ref="E1388:E1490"/>
    <mergeCell ref="V1388:V1490"/>
    <mergeCell ref="V1285:V1387"/>
    <mergeCell ref="F1022:I1022"/>
    <mergeCell ref="F1023:I1023"/>
    <mergeCell ref="F1024:I1024"/>
    <mergeCell ref="F1015:I1015"/>
    <mergeCell ref="F1018:I1018"/>
    <mergeCell ref="F1019:I1019"/>
    <mergeCell ref="F1020:I1020"/>
    <mergeCell ref="F1021:I1021"/>
    <mergeCell ref="F1031:I1031"/>
    <mergeCell ref="F1032:I1032"/>
    <mergeCell ref="F1017:I1017"/>
    <mergeCell ref="F1025:I1025"/>
    <mergeCell ref="F1033:I1033"/>
    <mergeCell ref="F1271:I1271"/>
    <mergeCell ref="F1034:I1034"/>
    <mergeCell ref="S40:T40"/>
    <mergeCell ref="S473:T473"/>
    <mergeCell ref="S556:T556"/>
    <mergeCell ref="F2212:I2212"/>
    <mergeCell ref="F2213:I2213"/>
    <mergeCell ref="F2207:I2207"/>
    <mergeCell ref="F2208:I2208"/>
    <mergeCell ref="F2210:I2210"/>
    <mergeCell ref="F2211:I2211"/>
    <mergeCell ref="S872:T872"/>
    <mergeCell ref="S880:T880"/>
    <mergeCell ref="F2200:I2200"/>
    <mergeCell ref="F2201:I2201"/>
    <mergeCell ref="F2202:I2202"/>
    <mergeCell ref="F2204:I2204"/>
    <mergeCell ref="F2205:I2205"/>
    <mergeCell ref="F2206:I2206"/>
    <mergeCell ref="F572:H572"/>
    <mergeCell ref="F586:H586"/>
    <mergeCell ref="F574:H574"/>
    <mergeCell ref="L557:L564"/>
    <mergeCell ref="F563:H563"/>
    <mergeCell ref="F568:H568"/>
    <mergeCell ref="F583:H583"/>
    <mergeCell ref="F584:H584"/>
    <mergeCell ref="F575:H575"/>
    <mergeCell ref="F573:H573"/>
    <mergeCell ref="F577:H577"/>
    <mergeCell ref="S264:T264"/>
    <mergeCell ref="S272:T272"/>
    <mergeCell ref="F116:H116"/>
    <mergeCell ref="F87:H87"/>
    <mergeCell ref="F90:H90"/>
    <mergeCell ref="F64:H64"/>
    <mergeCell ref="F65:H65"/>
    <mergeCell ref="F66:H66"/>
    <mergeCell ref="F78:H78"/>
    <mergeCell ref="F79:H79"/>
    <mergeCell ref="F81:H81"/>
    <mergeCell ref="F82:H82"/>
    <mergeCell ref="F83:H83"/>
    <mergeCell ref="F72:H72"/>
    <mergeCell ref="F73:H73"/>
    <mergeCell ref="F74:H74"/>
    <mergeCell ref="F75:H75"/>
    <mergeCell ref="F76:H76"/>
    <mergeCell ref="F77:H77"/>
    <mergeCell ref="F67:H67"/>
    <mergeCell ref="F68:H68"/>
    <mergeCell ref="F69:H69"/>
    <mergeCell ref="F70:H70"/>
    <mergeCell ref="F71:H71"/>
    <mergeCell ref="F88:H88"/>
    <mergeCell ref="F89:H89"/>
    <mergeCell ref="F95:H95"/>
    <mergeCell ref="F578:H578"/>
    <mergeCell ref="F560:H560"/>
    <mergeCell ref="F561:H561"/>
    <mergeCell ref="E565:E572"/>
    <mergeCell ref="E573:E580"/>
    <mergeCell ref="E557:E564"/>
    <mergeCell ref="F162:H162"/>
    <mergeCell ref="F96:H96"/>
    <mergeCell ref="F97:H97"/>
    <mergeCell ref="F91:H91"/>
    <mergeCell ref="F92:H92"/>
    <mergeCell ref="F93:H93"/>
    <mergeCell ref="F94:H94"/>
    <mergeCell ref="F107:H107"/>
    <mergeCell ref="F108:H108"/>
    <mergeCell ref="F149:H149"/>
    <mergeCell ref="F140:H140"/>
    <mergeCell ref="F142:H142"/>
    <mergeCell ref="F143:H143"/>
    <mergeCell ref="F144:H144"/>
    <mergeCell ref="F145:H145"/>
    <mergeCell ref="F136:H136"/>
    <mergeCell ref="F137:H137"/>
    <mergeCell ref="F138:H138"/>
    <mergeCell ref="F139:H139"/>
    <mergeCell ref="F104:H104"/>
    <mergeCell ref="F105:H105"/>
    <mergeCell ref="F106:H106"/>
    <mergeCell ref="F98:H98"/>
    <mergeCell ref="F99:H99"/>
    <mergeCell ref="F100:H100"/>
    <mergeCell ref="F101:H101"/>
    <mergeCell ref="F102:H102"/>
    <mergeCell ref="F103:H103"/>
    <mergeCell ref="F124:H124"/>
    <mergeCell ref="F125:H125"/>
    <mergeCell ref="F126:H126"/>
    <mergeCell ref="F127:H127"/>
    <mergeCell ref="F176:H176"/>
    <mergeCell ref="F177:H177"/>
    <mergeCell ref="F178:H178"/>
    <mergeCell ref="F167:H167"/>
    <mergeCell ref="F168:H168"/>
    <mergeCell ref="F170:H170"/>
    <mergeCell ref="F171:H171"/>
    <mergeCell ref="F172:H172"/>
    <mergeCell ref="F109:H109"/>
    <mergeCell ref="F122:H122"/>
    <mergeCell ref="F123:H123"/>
    <mergeCell ref="F118:H118"/>
    <mergeCell ref="F119:H119"/>
    <mergeCell ref="F120:H120"/>
    <mergeCell ref="F114:H114"/>
    <mergeCell ref="F115:H115"/>
    <mergeCell ref="F179:H179"/>
    <mergeCell ref="F173:H173"/>
    <mergeCell ref="F174:H174"/>
    <mergeCell ref="F175:H175"/>
    <mergeCell ref="F169:H169"/>
    <mergeCell ref="F163:H163"/>
    <mergeCell ref="F164:H164"/>
    <mergeCell ref="F165:H165"/>
    <mergeCell ref="F166:H166"/>
    <mergeCell ref="F215:H215"/>
    <mergeCell ref="F216:H216"/>
    <mergeCell ref="F217:H217"/>
    <mergeCell ref="F218:H218"/>
    <mergeCell ref="F219:H219"/>
    <mergeCell ref="F220:H220"/>
    <mergeCell ref="F221:H221"/>
    <mergeCell ref="F201:H201"/>
    <mergeCell ref="F202:H202"/>
    <mergeCell ref="F194:H194"/>
    <mergeCell ref="F195:H195"/>
    <mergeCell ref="F196:H196"/>
    <mergeCell ref="F197:H197"/>
    <mergeCell ref="F198:H198"/>
    <mergeCell ref="F199:H199"/>
    <mergeCell ref="F189:H189"/>
    <mergeCell ref="F190:H190"/>
    <mergeCell ref="F180:H180"/>
    <mergeCell ref="F181:H181"/>
    <mergeCell ref="F182:H182"/>
    <mergeCell ref="F183:H183"/>
    <mergeCell ref="F184:H184"/>
    <mergeCell ref="F185:H185"/>
    <mergeCell ref="F225:H225"/>
    <mergeCell ref="F186:H186"/>
    <mergeCell ref="F187:H187"/>
    <mergeCell ref="F188:H188"/>
    <mergeCell ref="F191:H191"/>
    <mergeCell ref="F192:H192"/>
    <mergeCell ref="F193:H193"/>
    <mergeCell ref="F214:H214"/>
    <mergeCell ref="F200:H200"/>
    <mergeCell ref="F203:H203"/>
    <mergeCell ref="F204:H204"/>
    <mergeCell ref="F205:H205"/>
    <mergeCell ref="F206:H206"/>
    <mergeCell ref="F207:H207"/>
    <mergeCell ref="F208:H208"/>
    <mergeCell ref="F212:H212"/>
    <mergeCell ref="F213:H213"/>
    <mergeCell ref="F211:H211"/>
    <mergeCell ref="F313:H31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22:H222"/>
    <mergeCell ref="F223:H223"/>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79:H279"/>
    <mergeCell ref="F224:H224"/>
    <mergeCell ref="F614:H614"/>
    <mergeCell ref="F504:H504"/>
    <mergeCell ref="F499:H499"/>
    <mergeCell ref="F598:H598"/>
    <mergeCell ref="F605:H605"/>
    <mergeCell ref="F607:H607"/>
    <mergeCell ref="F608:H608"/>
    <mergeCell ref="F610:H610"/>
    <mergeCell ref="F597:H597"/>
    <mergeCell ref="F407:H407"/>
    <mergeCell ref="F398:H398"/>
    <mergeCell ref="F399:H399"/>
    <mergeCell ref="F400:H400"/>
    <mergeCell ref="F401:H401"/>
    <mergeCell ref="F327:H327"/>
    <mergeCell ref="F328:H328"/>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D2291:D2294"/>
    <mergeCell ref="E2291:E2294"/>
    <mergeCell ref="F613:H613"/>
    <mergeCell ref="F886:I886"/>
    <mergeCell ref="F887:I887"/>
    <mergeCell ref="F890:I890"/>
    <mergeCell ref="F891:I891"/>
    <mergeCell ref="F892:I892"/>
    <mergeCell ref="D614:D627"/>
    <mergeCell ref="D628:D641"/>
    <mergeCell ref="E581:E588"/>
    <mergeCell ref="D2287:D2290"/>
    <mergeCell ref="E2287:E2290"/>
    <mergeCell ref="F2287:H2287"/>
    <mergeCell ref="V2287:V2290"/>
    <mergeCell ref="F2288:H2288"/>
    <mergeCell ref="V644:AH644"/>
    <mergeCell ref="F874:I874"/>
    <mergeCell ref="F628:H628"/>
    <mergeCell ref="F638:H638"/>
    <mergeCell ref="F639:H639"/>
    <mergeCell ref="F875:I875"/>
    <mergeCell ref="F876:I876"/>
    <mergeCell ref="F877:I877"/>
    <mergeCell ref="F878:I878"/>
    <mergeCell ref="F884:I884"/>
    <mergeCell ref="F885:I885"/>
    <mergeCell ref="F1492:I1492"/>
    <mergeCell ref="F895:I895"/>
    <mergeCell ref="F879:I879"/>
    <mergeCell ref="F634:H634"/>
    <mergeCell ref="F602:H602"/>
    <mergeCell ref="F2289:H2289"/>
    <mergeCell ref="F2290:H2290"/>
    <mergeCell ref="F640:H640"/>
    <mergeCell ref="F641:H641"/>
    <mergeCell ref="F626:H626"/>
    <mergeCell ref="F627:H627"/>
    <mergeCell ref="F611:H611"/>
    <mergeCell ref="F612:H612"/>
    <mergeCell ref="F603:H603"/>
    <mergeCell ref="F622:H622"/>
    <mergeCell ref="F623:H623"/>
    <mergeCell ref="F624:H624"/>
    <mergeCell ref="F625:H625"/>
    <mergeCell ref="F873:I873"/>
    <mergeCell ref="F2284:H2284"/>
    <mergeCell ref="F2285:H2285"/>
    <mergeCell ref="F2286:H2286"/>
    <mergeCell ref="F2215:I2215"/>
    <mergeCell ref="F604:H604"/>
    <mergeCell ref="F918:I918"/>
    <mergeCell ref="F637:H637"/>
    <mergeCell ref="F629:H629"/>
    <mergeCell ref="F630:H630"/>
    <mergeCell ref="F631:H631"/>
    <mergeCell ref="F894:I894"/>
    <mergeCell ref="F897:I897"/>
    <mergeCell ref="F632:H632"/>
    <mergeCell ref="F621:H621"/>
    <mergeCell ref="F903:I903"/>
    <mergeCell ref="F905:I905"/>
    <mergeCell ref="F914:I914"/>
    <mergeCell ref="F915:I915"/>
    <mergeCell ref="V2297:V2299"/>
    <mergeCell ref="F2299:H2299"/>
    <mergeCell ref="F2298:H2298"/>
    <mergeCell ref="F2295:H2295"/>
    <mergeCell ref="F2304:H2304"/>
    <mergeCell ref="F2305:H2305"/>
    <mergeCell ref="D2308:D2309"/>
    <mergeCell ref="E2308:E2309"/>
    <mergeCell ref="F2308:H2308"/>
    <mergeCell ref="V2308:V2309"/>
    <mergeCell ref="F2309:H2309"/>
    <mergeCell ref="D2300:D2303"/>
    <mergeCell ref="E2300:E2303"/>
    <mergeCell ref="V2300:V2303"/>
    <mergeCell ref="F2300:H2300"/>
    <mergeCell ref="F2301:H2301"/>
    <mergeCell ref="F2302:H2302"/>
    <mergeCell ref="F2303:H2303"/>
    <mergeCell ref="D2305:D2307"/>
    <mergeCell ref="E2305:E2307"/>
    <mergeCell ref="F2307:H2307"/>
    <mergeCell ref="F2306:H2306"/>
    <mergeCell ref="V2305:V2307"/>
    <mergeCell ref="F2296:H2296"/>
    <mergeCell ref="D2297:D2299"/>
    <mergeCell ref="E2297:E2299"/>
    <mergeCell ref="F2297:H2297"/>
    <mergeCell ref="A1:O1"/>
    <mergeCell ref="P1:R1"/>
    <mergeCell ref="D2:J2"/>
    <mergeCell ref="V2291:V2294"/>
    <mergeCell ref="F2291:H2291"/>
    <mergeCell ref="F2292:H2292"/>
    <mergeCell ref="F2293:H2293"/>
    <mergeCell ref="F2294:H2294"/>
    <mergeCell ref="F980:I980"/>
    <mergeCell ref="F981:I981"/>
    <mergeCell ref="F982:I982"/>
    <mergeCell ref="F983:I983"/>
    <mergeCell ref="F989:I989"/>
    <mergeCell ref="F990:I990"/>
    <mergeCell ref="F993:I993"/>
    <mergeCell ref="F994:I994"/>
    <mergeCell ref="F2214:I2214"/>
    <mergeCell ref="F1498:I1498"/>
    <mergeCell ref="F1502:I1502"/>
    <mergeCell ref="F1503:I1503"/>
    <mergeCell ref="F1504:I1504"/>
    <mergeCell ref="F995:I995"/>
    <mergeCell ref="F987:I987"/>
    <mergeCell ref="F988:I988"/>
    <mergeCell ref="F1002:I1002"/>
    <mergeCell ref="F1000:I1000"/>
    <mergeCell ref="F1493:I1493"/>
    <mergeCell ref="F1494:I1494"/>
    <mergeCell ref="F1495:I1495"/>
    <mergeCell ref="V2221:AH2221"/>
    <mergeCell ref="F40:H40"/>
    <mergeCell ref="F45:H45"/>
    <mergeCell ref="B5:Q5"/>
    <mergeCell ref="F62:H62"/>
    <mergeCell ref="F63:H63"/>
    <mergeCell ref="F53:H53"/>
    <mergeCell ref="V5:AH5"/>
    <mergeCell ref="D285:D294"/>
    <mergeCell ref="E285:E294"/>
    <mergeCell ref="F43:H43"/>
    <mergeCell ref="F42:H42"/>
    <mergeCell ref="F54:H54"/>
    <mergeCell ref="F55:H55"/>
    <mergeCell ref="F56:H56"/>
    <mergeCell ref="F57:H57"/>
    <mergeCell ref="F58:H58"/>
    <mergeCell ref="F49:H49"/>
    <mergeCell ref="F50:H50"/>
    <mergeCell ref="F51:H51"/>
    <mergeCell ref="F61:H61"/>
    <mergeCell ref="D203:D225"/>
    <mergeCell ref="E203:E225"/>
    <mergeCell ref="E41:E63"/>
    <mergeCell ref="D41:D63"/>
    <mergeCell ref="L41:L63"/>
    <mergeCell ref="D64:D86"/>
    <mergeCell ref="E64:E86"/>
    <mergeCell ref="D87:D109"/>
    <mergeCell ref="E87:E109"/>
    <mergeCell ref="F281:H281"/>
    <mergeCell ref="F282:H282"/>
    <mergeCell ref="F283:H283"/>
    <mergeCell ref="D275:D284"/>
    <mergeCell ref="E275:E284"/>
    <mergeCell ref="V315:V324"/>
    <mergeCell ref="L325:L334"/>
    <mergeCell ref="F264:H264"/>
    <mergeCell ref="V265:V274"/>
    <mergeCell ref="V228:AH228"/>
    <mergeCell ref="V295:V304"/>
    <mergeCell ref="V275:V284"/>
    <mergeCell ref="V285:V294"/>
    <mergeCell ref="L275:L284"/>
    <mergeCell ref="V64:V86"/>
    <mergeCell ref="V41:V63"/>
    <mergeCell ref="V87:V109"/>
    <mergeCell ref="V110:V132"/>
    <mergeCell ref="V133:V155"/>
    <mergeCell ref="V156:V178"/>
    <mergeCell ref="V180:V202"/>
    <mergeCell ref="V203:V225"/>
    <mergeCell ref="F59:H59"/>
    <mergeCell ref="F60:H60"/>
    <mergeCell ref="F44:H44"/>
    <mergeCell ref="F41:H41"/>
    <mergeCell ref="F315:H315"/>
    <mergeCell ref="F316:H316"/>
    <mergeCell ref="F317:H317"/>
    <mergeCell ref="F318:H318"/>
    <mergeCell ref="F319:H319"/>
    <mergeCell ref="F329:H329"/>
    <mergeCell ref="F330:H330"/>
    <mergeCell ref="F331:H331"/>
    <mergeCell ref="L287:L288"/>
    <mergeCell ref="F314:H314"/>
    <mergeCell ref="F280:H280"/>
    <mergeCell ref="V475:V477"/>
    <mergeCell ref="F476:H476"/>
    <mergeCell ref="V496:V498"/>
    <mergeCell ref="F497:H497"/>
    <mergeCell ref="F490:H490"/>
    <mergeCell ref="V490:V492"/>
    <mergeCell ref="F492:H492"/>
    <mergeCell ref="F496:H496"/>
    <mergeCell ref="V505:V507"/>
    <mergeCell ref="V502:V504"/>
    <mergeCell ref="F503:H503"/>
    <mergeCell ref="V484:V486"/>
    <mergeCell ref="V499:V501"/>
    <mergeCell ref="V487:V489"/>
    <mergeCell ref="F488:H488"/>
    <mergeCell ref="F489:H489"/>
    <mergeCell ref="F491:H491"/>
    <mergeCell ref="F484:H484"/>
    <mergeCell ref="F506:H506"/>
    <mergeCell ref="F507:H507"/>
    <mergeCell ref="F481:H481"/>
    <mergeCell ref="F482:H482"/>
    <mergeCell ref="F479:H479"/>
    <mergeCell ref="V493:V495"/>
    <mergeCell ref="F494:H494"/>
    <mergeCell ref="F495:H495"/>
    <mergeCell ref="L502:L504"/>
    <mergeCell ref="F498:H498"/>
    <mergeCell ref="F493:H493"/>
    <mergeCell ref="F505:H505"/>
    <mergeCell ref="F502:H502"/>
    <mergeCell ref="F480:H480"/>
    <mergeCell ref="V549:V556"/>
    <mergeCell ref="F635:H635"/>
    <mergeCell ref="F636:H636"/>
    <mergeCell ref="F615:H615"/>
    <mergeCell ref="F616:H616"/>
    <mergeCell ref="F617:H617"/>
    <mergeCell ref="F618:H618"/>
    <mergeCell ref="F619:H619"/>
    <mergeCell ref="F620:H620"/>
    <mergeCell ref="F590:H590"/>
    <mergeCell ref="F591:H591"/>
    <mergeCell ref="F592:H592"/>
    <mergeCell ref="F594:H594"/>
    <mergeCell ref="F606:H606"/>
    <mergeCell ref="V510:AH510"/>
    <mergeCell ref="F548:H548"/>
    <mergeCell ref="F550:H550"/>
    <mergeCell ref="F551:H551"/>
    <mergeCell ref="F558:H558"/>
    <mergeCell ref="V557:V564"/>
    <mergeCell ref="V565:V572"/>
    <mergeCell ref="V573:V580"/>
    <mergeCell ref="V581:V588"/>
    <mergeCell ref="V589:V596"/>
    <mergeCell ref="V597:V604"/>
    <mergeCell ref="V605:V612"/>
    <mergeCell ref="V628:V641"/>
    <mergeCell ref="L589:L596"/>
    <mergeCell ref="V614:V627"/>
    <mergeCell ref="L565:L572"/>
    <mergeCell ref="F599:H599"/>
    <mergeCell ref="F600:H600"/>
    <mergeCell ref="L614:L627"/>
    <mergeCell ref="F898:I898"/>
    <mergeCell ref="F902:I902"/>
    <mergeCell ref="F904:I904"/>
    <mergeCell ref="F899:I899"/>
    <mergeCell ref="F901:I901"/>
    <mergeCell ref="D335:D344"/>
    <mergeCell ref="E487:E489"/>
    <mergeCell ref="D487:D489"/>
    <mergeCell ref="E484:E486"/>
    <mergeCell ref="D416:D440"/>
    <mergeCell ref="D484:D486"/>
    <mergeCell ref="D345:D354"/>
    <mergeCell ref="E345:E354"/>
    <mergeCell ref="F416:H416"/>
    <mergeCell ref="F417:H417"/>
    <mergeCell ref="F418:H418"/>
    <mergeCell ref="F419:H419"/>
    <mergeCell ref="F420:H420"/>
    <mergeCell ref="F421:H421"/>
    <mergeCell ref="F422:H422"/>
    <mergeCell ref="F423:H423"/>
    <mergeCell ref="F424:H424"/>
    <mergeCell ref="F425:H425"/>
    <mergeCell ref="F426:H426"/>
    <mergeCell ref="F395:H395"/>
    <mergeCell ref="F396:H396"/>
    <mergeCell ref="F397:H397"/>
    <mergeCell ref="F403:H403"/>
    <mergeCell ref="F404:H404"/>
    <mergeCell ref="F405:H405"/>
    <mergeCell ref="F392:H392"/>
    <mergeCell ref="E605:E612"/>
    <mergeCell ref="E614:E627"/>
    <mergeCell ref="E628:E641"/>
    <mergeCell ref="E481:E483"/>
    <mergeCell ref="D481:D483"/>
    <mergeCell ref="E478:E480"/>
    <mergeCell ref="D478:D480"/>
    <mergeCell ref="E475:E477"/>
    <mergeCell ref="D475:D477"/>
    <mergeCell ref="E502:E504"/>
    <mergeCell ref="D502:D504"/>
    <mergeCell ref="E499:E501"/>
    <mergeCell ref="D499:D501"/>
    <mergeCell ref="E496:E498"/>
    <mergeCell ref="D496:D498"/>
    <mergeCell ref="E493:E495"/>
    <mergeCell ref="D493:D495"/>
    <mergeCell ref="E505:E507"/>
    <mergeCell ref="D505:D507"/>
    <mergeCell ref="D549:D556"/>
    <mergeCell ref="E549:E556"/>
    <mergeCell ref="D565:D572"/>
    <mergeCell ref="D573:D580"/>
    <mergeCell ref="D581:D588"/>
    <mergeCell ref="D605:D612"/>
    <mergeCell ref="D557:D564"/>
    <mergeCell ref="D597:D604"/>
    <mergeCell ref="E597:E604"/>
    <mergeCell ref="D490:D492"/>
    <mergeCell ref="E325:E334"/>
    <mergeCell ref="E355:E364"/>
    <mergeCell ref="E335:E344"/>
    <mergeCell ref="F369:H369"/>
    <mergeCell ref="F370:H370"/>
    <mergeCell ref="F371:H371"/>
    <mergeCell ref="F372:H372"/>
    <mergeCell ref="F373:H373"/>
    <mergeCell ref="F374:H374"/>
    <mergeCell ref="F562:H562"/>
    <mergeCell ref="F564:H564"/>
    <mergeCell ref="F350:H350"/>
    <mergeCell ref="F351:H351"/>
    <mergeCell ref="F390:H390"/>
    <mergeCell ref="F391:H391"/>
    <mergeCell ref="F406:H406"/>
    <mergeCell ref="F340:H340"/>
    <mergeCell ref="F341:H341"/>
    <mergeCell ref="F342:H342"/>
    <mergeCell ref="F343:H343"/>
    <mergeCell ref="F344:H344"/>
    <mergeCell ref="F355:H355"/>
    <mergeCell ref="F356:H356"/>
    <mergeCell ref="F357:H357"/>
    <mergeCell ref="F358:H358"/>
    <mergeCell ref="F359:H359"/>
    <mergeCell ref="F549:H549"/>
    <mergeCell ref="F553:H553"/>
    <mergeCell ref="F554:H554"/>
    <mergeCell ref="E391:E415"/>
    <mergeCell ref="F409:H409"/>
    <mergeCell ref="F410:H410"/>
    <mergeCell ref="F346:H346"/>
    <mergeCell ref="F347:H347"/>
    <mergeCell ref="F348:H348"/>
    <mergeCell ref="F349:H349"/>
    <mergeCell ref="D589:D596"/>
    <mergeCell ref="F411:H411"/>
    <mergeCell ref="F412:H412"/>
    <mergeCell ref="F413:H413"/>
    <mergeCell ref="F414:H414"/>
    <mergeCell ref="F415:H415"/>
    <mergeCell ref="F595:H595"/>
    <mergeCell ref="F596:H596"/>
    <mergeCell ref="E416:E440"/>
    <mergeCell ref="F440:H440"/>
    <mergeCell ref="F473:H473"/>
    <mergeCell ref="F475:H475"/>
    <mergeCell ref="F483:H483"/>
    <mergeCell ref="E490:E492"/>
    <mergeCell ref="F567:H567"/>
    <mergeCell ref="F565:H565"/>
    <mergeCell ref="F569:H569"/>
    <mergeCell ref="F570:H570"/>
    <mergeCell ref="F587:H587"/>
    <mergeCell ref="F588:H588"/>
    <mergeCell ref="F579:H579"/>
    <mergeCell ref="F580:H580"/>
    <mergeCell ref="F571:H571"/>
    <mergeCell ref="D391:D415"/>
    <mergeCell ref="D441:D442"/>
    <mergeCell ref="E441:E442"/>
    <mergeCell ref="F441:H441"/>
    <mergeCell ref="F442:H442"/>
    <mergeCell ref="F439:H439"/>
    <mergeCell ref="D365:D389"/>
    <mergeCell ref="E365:E389"/>
    <mergeCell ref="F486:H486"/>
    <mergeCell ref="F487:H487"/>
    <mergeCell ref="F477:H477"/>
    <mergeCell ref="F438:H438"/>
    <mergeCell ref="E589:E596"/>
    <mergeCell ref="F428:H428"/>
    <mergeCell ref="F429:H429"/>
    <mergeCell ref="F430:H430"/>
    <mergeCell ref="F431:H431"/>
    <mergeCell ref="F432:H432"/>
    <mergeCell ref="F386:H386"/>
    <mergeCell ref="F387:H387"/>
    <mergeCell ref="F388:H388"/>
    <mergeCell ref="F389:H389"/>
    <mergeCell ref="F402:H402"/>
    <mergeCell ref="D265:D274"/>
    <mergeCell ref="E265:E274"/>
    <mergeCell ref="D295:D304"/>
    <mergeCell ref="E295:E304"/>
    <mergeCell ref="D315:D324"/>
    <mergeCell ref="F320:H320"/>
    <mergeCell ref="F321:H321"/>
    <mergeCell ref="F322:H322"/>
    <mergeCell ref="F323:H323"/>
    <mergeCell ref="F324:H324"/>
    <mergeCell ref="D305:D314"/>
    <mergeCell ref="E305:E314"/>
    <mergeCell ref="D355:D364"/>
    <mergeCell ref="F345:H345"/>
    <mergeCell ref="F335:H335"/>
    <mergeCell ref="F336:H336"/>
    <mergeCell ref="F337:H337"/>
    <mergeCell ref="F338:H338"/>
    <mergeCell ref="F339:H339"/>
    <mergeCell ref="F334:H334"/>
    <mergeCell ref="E315:E324"/>
    <mergeCell ref="F352:H352"/>
    <mergeCell ref="F353:H353"/>
    <mergeCell ref="F354:H354"/>
    <mergeCell ref="F361:H361"/>
    <mergeCell ref="F362:H362"/>
    <mergeCell ref="F363:H363"/>
    <mergeCell ref="F364:H364"/>
    <mergeCell ref="F325:H325"/>
    <mergeCell ref="F326:H326"/>
    <mergeCell ref="D325:D334"/>
    <mergeCell ref="F360:H360"/>
    <mergeCell ref="V445:AH445"/>
    <mergeCell ref="V416:V440"/>
    <mergeCell ref="V481:V483"/>
    <mergeCell ref="V478:V480"/>
    <mergeCell ref="L365:L387"/>
    <mergeCell ref="L388:L389"/>
    <mergeCell ref="V391:V415"/>
    <mergeCell ref="V365:V389"/>
    <mergeCell ref="V325:V334"/>
    <mergeCell ref="V335:V344"/>
    <mergeCell ref="V345:V354"/>
    <mergeCell ref="V355:V364"/>
    <mergeCell ref="V305:V314"/>
    <mergeCell ref="F557:H557"/>
    <mergeCell ref="L180:L202"/>
    <mergeCell ref="F365:H365"/>
    <mergeCell ref="F366:H366"/>
    <mergeCell ref="F367:H367"/>
    <mergeCell ref="F368:H368"/>
    <mergeCell ref="F209:H209"/>
    <mergeCell ref="F210:H210"/>
    <mergeCell ref="F332:H332"/>
    <mergeCell ref="F333:H333"/>
    <mergeCell ref="F433:H433"/>
    <mergeCell ref="F434:H434"/>
    <mergeCell ref="F435:H435"/>
    <mergeCell ref="F436:H436"/>
    <mergeCell ref="F437:H437"/>
    <mergeCell ref="F500:H500"/>
    <mergeCell ref="F501:H501"/>
    <mergeCell ref="F478:H478"/>
    <mergeCell ref="F485:H485"/>
    <mergeCell ref="L391:L415"/>
    <mergeCell ref="F880:I880"/>
    <mergeCell ref="F633:H633"/>
    <mergeCell ref="L549:L556"/>
    <mergeCell ref="F393:H393"/>
    <mergeCell ref="F394:H394"/>
    <mergeCell ref="F375:H375"/>
    <mergeCell ref="F376:H376"/>
    <mergeCell ref="F377:H377"/>
    <mergeCell ref="F378:H378"/>
    <mergeCell ref="F379:H379"/>
    <mergeCell ref="F380:H380"/>
    <mergeCell ref="F381:H381"/>
    <mergeCell ref="F382:H382"/>
    <mergeCell ref="F383:H383"/>
    <mergeCell ref="F384:H384"/>
    <mergeCell ref="F408:H408"/>
    <mergeCell ref="F385:H385"/>
    <mergeCell ref="F552:H552"/>
    <mergeCell ref="F576:H576"/>
    <mergeCell ref="F585:H585"/>
    <mergeCell ref="F593:H593"/>
    <mergeCell ref="F601:H601"/>
    <mergeCell ref="F609:H609"/>
    <mergeCell ref="F589:H589"/>
    <mergeCell ref="F566:H566"/>
    <mergeCell ref="F582:H582"/>
    <mergeCell ref="F559:H559"/>
    <mergeCell ref="F556:H556"/>
    <mergeCell ref="F555:H555"/>
    <mergeCell ref="F581:H581"/>
    <mergeCell ref="F427:H427"/>
    <mergeCell ref="F919:I919"/>
    <mergeCell ref="F906:I906"/>
    <mergeCell ref="F907:I907"/>
    <mergeCell ref="F908:I908"/>
    <mergeCell ref="F909:I909"/>
    <mergeCell ref="F912:I912"/>
    <mergeCell ref="F913:I913"/>
    <mergeCell ref="F922:I922"/>
    <mergeCell ref="F923:I923"/>
    <mergeCell ref="F924:I924"/>
    <mergeCell ref="F925:I925"/>
    <mergeCell ref="F926:I926"/>
    <mergeCell ref="F927:I927"/>
    <mergeCell ref="F928:I928"/>
    <mergeCell ref="F920:I920"/>
    <mergeCell ref="F921:I921"/>
    <mergeCell ref="F939:I939"/>
    <mergeCell ref="F916:I916"/>
    <mergeCell ref="F917:I917"/>
    <mergeCell ref="F940:I940"/>
    <mergeCell ref="F929:I929"/>
    <mergeCell ref="F930:I930"/>
    <mergeCell ref="F931:I931"/>
    <mergeCell ref="F932:I932"/>
    <mergeCell ref="F933:I933"/>
    <mergeCell ref="F934:I934"/>
    <mergeCell ref="F937:I937"/>
    <mergeCell ref="F938:I938"/>
    <mergeCell ref="F947:I947"/>
    <mergeCell ref="F948:I948"/>
    <mergeCell ref="F949:I949"/>
    <mergeCell ref="F950:I950"/>
    <mergeCell ref="F941:I941"/>
    <mergeCell ref="F942:I942"/>
    <mergeCell ref="F943:I943"/>
    <mergeCell ref="F944:I944"/>
    <mergeCell ref="F945:I945"/>
    <mergeCell ref="F946:I946"/>
    <mergeCell ref="F955:I955"/>
    <mergeCell ref="F956:I956"/>
    <mergeCell ref="F957:I957"/>
    <mergeCell ref="F958:I958"/>
    <mergeCell ref="F959:I959"/>
    <mergeCell ref="F960:I960"/>
    <mergeCell ref="F951:I951"/>
    <mergeCell ref="F952:I952"/>
    <mergeCell ref="F953:I953"/>
    <mergeCell ref="F954:I954"/>
    <mergeCell ref="F964:I964"/>
    <mergeCell ref="F965:I965"/>
    <mergeCell ref="F966:I966"/>
    <mergeCell ref="F967:I967"/>
    <mergeCell ref="F961:I961"/>
    <mergeCell ref="F962:I962"/>
    <mergeCell ref="F963:I963"/>
    <mergeCell ref="F973:I973"/>
    <mergeCell ref="F974:I974"/>
    <mergeCell ref="F976:I976"/>
    <mergeCell ref="F977:I977"/>
    <mergeCell ref="F978:I978"/>
    <mergeCell ref="F979:I979"/>
    <mergeCell ref="F968:I968"/>
    <mergeCell ref="F969:I969"/>
    <mergeCell ref="F970:I970"/>
    <mergeCell ref="F971:I971"/>
    <mergeCell ref="F972:I972"/>
    <mergeCell ref="F1001:I1001"/>
    <mergeCell ref="F1007:I1007"/>
    <mergeCell ref="F1009:I1009"/>
    <mergeCell ref="F1010:I1010"/>
    <mergeCell ref="F1011:I1011"/>
    <mergeCell ref="F1012:I1012"/>
    <mergeCell ref="F1005:I1005"/>
    <mergeCell ref="F1006:I1006"/>
    <mergeCell ref="F1008:I1008"/>
    <mergeCell ref="F1004:I1004"/>
    <mergeCell ref="F1035:I1035"/>
    <mergeCell ref="F1036:I1036"/>
    <mergeCell ref="F1037:I1037"/>
    <mergeCell ref="F1038:I1038"/>
    <mergeCell ref="F1041:I1041"/>
    <mergeCell ref="F1026:I1026"/>
    <mergeCell ref="F1027:I1027"/>
    <mergeCell ref="F1028:I1028"/>
    <mergeCell ref="F1029:I1029"/>
    <mergeCell ref="F1030:I1030"/>
    <mergeCell ref="F1050:I1050"/>
    <mergeCell ref="F1042:I1042"/>
    <mergeCell ref="F1043:I1043"/>
    <mergeCell ref="F1044:I1044"/>
    <mergeCell ref="F1059:I1059"/>
    <mergeCell ref="F1060:I1060"/>
    <mergeCell ref="F1053:I1053"/>
    <mergeCell ref="F1051:I1051"/>
    <mergeCell ref="F1052:I1052"/>
    <mergeCell ref="F1045:I1045"/>
    <mergeCell ref="F1046:I1046"/>
    <mergeCell ref="F1047:I1047"/>
    <mergeCell ref="F1048:I1048"/>
    <mergeCell ref="F1049:I1049"/>
    <mergeCell ref="F1061:I1061"/>
    <mergeCell ref="F1062:I1062"/>
    <mergeCell ref="F1054:I1054"/>
    <mergeCell ref="F1055:I1055"/>
    <mergeCell ref="F1056:I1056"/>
    <mergeCell ref="F1057:I1057"/>
    <mergeCell ref="F1058:I1058"/>
    <mergeCell ref="F1066:I1066"/>
    <mergeCell ref="F1067:I1067"/>
    <mergeCell ref="F1068:I1068"/>
    <mergeCell ref="F1069:I1069"/>
    <mergeCell ref="F1070:I1070"/>
    <mergeCell ref="F1071:I1071"/>
    <mergeCell ref="F1063:I1063"/>
    <mergeCell ref="F1064:I1064"/>
    <mergeCell ref="F1065:I1065"/>
    <mergeCell ref="F1076:I1076"/>
    <mergeCell ref="F1077:I1077"/>
    <mergeCell ref="F1078:I1078"/>
    <mergeCell ref="F1079:I1079"/>
    <mergeCell ref="F1080:I1080"/>
    <mergeCell ref="F1072:I1072"/>
    <mergeCell ref="F1073:I1073"/>
    <mergeCell ref="F1074:I1074"/>
    <mergeCell ref="F1075:I1075"/>
    <mergeCell ref="F1092:I1092"/>
    <mergeCell ref="F1093:I1093"/>
    <mergeCell ref="F1096:I1096"/>
    <mergeCell ref="F1097:I1097"/>
    <mergeCell ref="F1098:I1098"/>
    <mergeCell ref="F1101:I1101"/>
    <mergeCell ref="F1100:I1100"/>
    <mergeCell ref="F1081:I1081"/>
    <mergeCell ref="F1082:I1082"/>
    <mergeCell ref="F1083:I1083"/>
    <mergeCell ref="F1084:I1084"/>
    <mergeCell ref="F1085:I1085"/>
    <mergeCell ref="F1086:I1086"/>
    <mergeCell ref="F1090:I1090"/>
    <mergeCell ref="F1091:I1091"/>
    <mergeCell ref="F1105:I1105"/>
    <mergeCell ref="F1103:I1103"/>
    <mergeCell ref="F1104:I1104"/>
    <mergeCell ref="F1112:I1112"/>
    <mergeCell ref="F1113:I1113"/>
    <mergeCell ref="F1114:I1114"/>
    <mergeCell ref="F1115:I1115"/>
    <mergeCell ref="F1118:I1118"/>
    <mergeCell ref="F1108:I1108"/>
    <mergeCell ref="F1110:I1110"/>
    <mergeCell ref="F1127:I1127"/>
    <mergeCell ref="F1121:I1121"/>
    <mergeCell ref="F1122:I1122"/>
    <mergeCell ref="F1123:I1123"/>
    <mergeCell ref="F1124:I1124"/>
    <mergeCell ref="F1125:I1125"/>
    <mergeCell ref="F1126:I1126"/>
    <mergeCell ref="F1136:I1136"/>
    <mergeCell ref="F1137:I1137"/>
    <mergeCell ref="F1138:I1138"/>
    <mergeCell ref="F1109:I1109"/>
    <mergeCell ref="F1111:I1111"/>
    <mergeCell ref="F1120:I1120"/>
    <mergeCell ref="F1128:I1128"/>
    <mergeCell ref="F1139:I1139"/>
    <mergeCell ref="F1140:I1140"/>
    <mergeCell ref="F1141:I1141"/>
    <mergeCell ref="F1144:I1144"/>
    <mergeCell ref="F1145:I1145"/>
    <mergeCell ref="F1129:I1129"/>
    <mergeCell ref="F1130:I1130"/>
    <mergeCell ref="F1131:I1131"/>
    <mergeCell ref="F1132:I1132"/>
    <mergeCell ref="F1133:I1133"/>
    <mergeCell ref="F1134:I1134"/>
    <mergeCell ref="F1135:I1135"/>
    <mergeCell ref="F1148:I1148"/>
    <mergeCell ref="F1149:I1149"/>
    <mergeCell ref="F1150:I1150"/>
    <mergeCell ref="F1151:I1151"/>
    <mergeCell ref="F1152:I1152"/>
    <mergeCell ref="F1153:I1153"/>
    <mergeCell ref="F1146:I1146"/>
    <mergeCell ref="F1147:I1147"/>
    <mergeCell ref="F1158:I1158"/>
    <mergeCell ref="F1159:I1159"/>
    <mergeCell ref="F1160:I1160"/>
    <mergeCell ref="F1161:I1161"/>
    <mergeCell ref="F1154:I1154"/>
    <mergeCell ref="F1155:I1155"/>
    <mergeCell ref="F1156:I1156"/>
    <mergeCell ref="F1157:I1157"/>
    <mergeCell ref="F1168:I1168"/>
    <mergeCell ref="F1169:I1169"/>
    <mergeCell ref="F1170:I1170"/>
    <mergeCell ref="F1162:I1162"/>
    <mergeCell ref="F1163:I1163"/>
    <mergeCell ref="F1164:I1164"/>
    <mergeCell ref="F1165:I1165"/>
    <mergeCell ref="F1166:I1166"/>
    <mergeCell ref="F1167:I1167"/>
    <mergeCell ref="F1175:I1175"/>
    <mergeCell ref="F1176:I1176"/>
    <mergeCell ref="F1177:I1177"/>
    <mergeCell ref="F1178:I1178"/>
    <mergeCell ref="F1179:I1179"/>
    <mergeCell ref="F1171:I1171"/>
    <mergeCell ref="F1172:I1172"/>
    <mergeCell ref="F1173:I1173"/>
    <mergeCell ref="F1174:I1174"/>
    <mergeCell ref="F1186:I1186"/>
    <mergeCell ref="F1187:I1187"/>
    <mergeCell ref="F1188:I1188"/>
    <mergeCell ref="F1189:I1189"/>
    <mergeCell ref="F1193:I1193"/>
    <mergeCell ref="F1194:I1194"/>
    <mergeCell ref="F1195:I1195"/>
    <mergeCell ref="F1196:I1196"/>
    <mergeCell ref="F1235:I1235"/>
    <mergeCell ref="F1236:I1236"/>
    <mergeCell ref="F1237:I1237"/>
    <mergeCell ref="F1238:I1238"/>
    <mergeCell ref="F1203:I1203"/>
    <mergeCell ref="F1180:I1180"/>
    <mergeCell ref="F1181:I1181"/>
    <mergeCell ref="F1182:I1182"/>
    <mergeCell ref="F1183:I1183"/>
    <mergeCell ref="F1184:I1184"/>
    <mergeCell ref="F1185:I1185"/>
    <mergeCell ref="F1199:I1199"/>
    <mergeCell ref="F1200:I1200"/>
    <mergeCell ref="F1201:I1201"/>
    <mergeCell ref="F1204:I1204"/>
    <mergeCell ref="F1206:I1206"/>
    <mergeCell ref="F1207:I1207"/>
    <mergeCell ref="F1211:I1211"/>
    <mergeCell ref="F1213:I1213"/>
    <mergeCell ref="F1208:I1208"/>
    <mergeCell ref="F1224:I1224"/>
    <mergeCell ref="F1221:I1221"/>
    <mergeCell ref="F1210:I1210"/>
    <mergeCell ref="F1212:I1212"/>
    <mergeCell ref="F1214:I1214"/>
    <mergeCell ref="F1223:I1223"/>
    <mergeCell ref="F1231:I1231"/>
    <mergeCell ref="F1215:I1215"/>
    <mergeCell ref="F1216:I1216"/>
    <mergeCell ref="F1217:I1217"/>
    <mergeCell ref="F1218:I1218"/>
    <mergeCell ref="F1225:I1225"/>
    <mergeCell ref="F1304:I1304"/>
    <mergeCell ref="F1287:I1287"/>
    <mergeCell ref="F1288:I1288"/>
    <mergeCell ref="F1289:I1289"/>
    <mergeCell ref="F1290:I1290"/>
    <mergeCell ref="F1263:I1263"/>
    <mergeCell ref="F1264:I1264"/>
    <mergeCell ref="F1265:I1265"/>
    <mergeCell ref="F1267:I1267"/>
    <mergeCell ref="F1268:I1268"/>
    <mergeCell ref="F1269:I1269"/>
    <mergeCell ref="F1270:I1270"/>
    <mergeCell ref="F1239:I1239"/>
    <mergeCell ref="F1240:I1240"/>
    <mergeCell ref="F1230:I1230"/>
    <mergeCell ref="F1249:I1249"/>
    <mergeCell ref="F1250:I1250"/>
    <mergeCell ref="F1251:I1251"/>
    <mergeCell ref="F1252:I1252"/>
    <mergeCell ref="F1241:I1241"/>
    <mergeCell ref="F1242:I1242"/>
    <mergeCell ref="F1243:I1243"/>
    <mergeCell ref="F1244:I1244"/>
    <mergeCell ref="F1247:I1247"/>
    <mergeCell ref="F1248:I1248"/>
    <mergeCell ref="F1257:I1257"/>
    <mergeCell ref="F1258:I1258"/>
    <mergeCell ref="F1259:I1259"/>
    <mergeCell ref="F1260:I1260"/>
    <mergeCell ref="F1232:I1232"/>
    <mergeCell ref="F1233:I1233"/>
    <mergeCell ref="F1234:I1234"/>
    <mergeCell ref="F1311:I1311"/>
    <mergeCell ref="F1314:I1314"/>
    <mergeCell ref="F1309:I1309"/>
    <mergeCell ref="F1317:I1317"/>
    <mergeCell ref="F1315:I1315"/>
    <mergeCell ref="F1313:I1313"/>
    <mergeCell ref="F1319:I1319"/>
    <mergeCell ref="F1320:I1320"/>
    <mergeCell ref="F1321:I1321"/>
    <mergeCell ref="F1256:I1256"/>
    <mergeCell ref="F1277:I1277"/>
    <mergeCell ref="F1324:I1324"/>
    <mergeCell ref="F1327:I1327"/>
    <mergeCell ref="F1326:I1326"/>
    <mergeCell ref="F1316:I1316"/>
    <mergeCell ref="F1318:I1318"/>
    <mergeCell ref="F1333:I1333"/>
    <mergeCell ref="F1335:I1335"/>
    <mergeCell ref="F1336:I1336"/>
    <mergeCell ref="F1334:I1334"/>
    <mergeCell ref="F1328:I1328"/>
    <mergeCell ref="F1329:I1329"/>
    <mergeCell ref="F1330:I1330"/>
    <mergeCell ref="F1331:I1331"/>
    <mergeCell ref="F1332:I1332"/>
    <mergeCell ref="F1346:I1346"/>
    <mergeCell ref="F1347:I1347"/>
    <mergeCell ref="F1350:I1350"/>
    <mergeCell ref="F1351:I1351"/>
    <mergeCell ref="F1337:I1337"/>
    <mergeCell ref="F1338:I1338"/>
    <mergeCell ref="F1339:I1339"/>
    <mergeCell ref="F1340:I1340"/>
    <mergeCell ref="F1341:I1341"/>
    <mergeCell ref="F1342:I1342"/>
    <mergeCell ref="F1343:I1343"/>
    <mergeCell ref="F1344:I1344"/>
    <mergeCell ref="F1345:I1345"/>
    <mergeCell ref="F1358:I1358"/>
    <mergeCell ref="F1359:I1359"/>
    <mergeCell ref="F1360:I1360"/>
    <mergeCell ref="F1352:I1352"/>
    <mergeCell ref="F1353:I1353"/>
    <mergeCell ref="F1354:I1354"/>
    <mergeCell ref="F1355:I1355"/>
    <mergeCell ref="F1356:I1356"/>
    <mergeCell ref="F1357:I1357"/>
    <mergeCell ref="F1368:I1368"/>
    <mergeCell ref="F1369:I1369"/>
    <mergeCell ref="F1361:I1361"/>
    <mergeCell ref="F1362:I1362"/>
    <mergeCell ref="F1363:I1363"/>
    <mergeCell ref="F1364:I1364"/>
    <mergeCell ref="F1365:I1365"/>
    <mergeCell ref="F1366:I1366"/>
    <mergeCell ref="F1367:I1367"/>
    <mergeCell ref="F1375:I1375"/>
    <mergeCell ref="F1376:I1376"/>
    <mergeCell ref="F1377:I1377"/>
    <mergeCell ref="F1378:I1378"/>
    <mergeCell ref="F1370:I1370"/>
    <mergeCell ref="F1371:I1371"/>
    <mergeCell ref="F1372:I1372"/>
    <mergeCell ref="F1373:I1373"/>
    <mergeCell ref="F1374:I1374"/>
    <mergeCell ref="F1383:I1383"/>
    <mergeCell ref="F1384:I1384"/>
    <mergeCell ref="F1385:I1385"/>
    <mergeCell ref="F1386:I1386"/>
    <mergeCell ref="F1387:I1387"/>
    <mergeCell ref="F1379:I1379"/>
    <mergeCell ref="F1380:I1380"/>
    <mergeCell ref="F1381:I1381"/>
    <mergeCell ref="F1382:I1382"/>
    <mergeCell ref="F1413:I1413"/>
    <mergeCell ref="F1416:I1416"/>
    <mergeCell ref="F1410:I1410"/>
    <mergeCell ref="F1417:I1417"/>
    <mergeCell ref="F1419:I1419"/>
    <mergeCell ref="F1420:I1420"/>
    <mergeCell ref="F1421:I1421"/>
    <mergeCell ref="F1418:I1418"/>
    <mergeCell ref="F1390:I1390"/>
    <mergeCell ref="F1391:I1391"/>
    <mergeCell ref="F1392:I1392"/>
    <mergeCell ref="F1393:I1393"/>
    <mergeCell ref="F1394:I1394"/>
    <mergeCell ref="F1395:I1395"/>
    <mergeCell ref="F1424:I1424"/>
    <mergeCell ref="F1412:I1412"/>
    <mergeCell ref="F1414:I1414"/>
    <mergeCell ref="F1431:I1431"/>
    <mergeCell ref="F1432:I1432"/>
    <mergeCell ref="F1433:I1433"/>
    <mergeCell ref="F1435:I1435"/>
    <mergeCell ref="F1422:I1422"/>
    <mergeCell ref="F1423:I1423"/>
    <mergeCell ref="F1427:I1427"/>
    <mergeCell ref="F1429:I1429"/>
    <mergeCell ref="F1430:I1430"/>
    <mergeCell ref="F1440:I1440"/>
    <mergeCell ref="F1441:I1441"/>
    <mergeCell ref="F1442:I1442"/>
    <mergeCell ref="F1443:I1443"/>
    <mergeCell ref="F1444:I1444"/>
    <mergeCell ref="F1445:I1445"/>
    <mergeCell ref="F1446:I1446"/>
    <mergeCell ref="F1447:I1447"/>
    <mergeCell ref="F1448:I1448"/>
    <mergeCell ref="F1434:I1434"/>
    <mergeCell ref="F1436:I1436"/>
    <mergeCell ref="F1437:I1437"/>
    <mergeCell ref="F1438:I1438"/>
    <mergeCell ref="F1439:I1439"/>
    <mergeCell ref="F1456:I1456"/>
    <mergeCell ref="F1457:I1457"/>
    <mergeCell ref="F1458:I1458"/>
    <mergeCell ref="F1459:I1459"/>
    <mergeCell ref="F1460:I1460"/>
    <mergeCell ref="F1461:I1461"/>
    <mergeCell ref="F1462:I1462"/>
    <mergeCell ref="F1455:I1455"/>
    <mergeCell ref="F1465:I1465"/>
    <mergeCell ref="F1466:I1466"/>
    <mergeCell ref="F1467:I1467"/>
    <mergeCell ref="F1468:I1468"/>
    <mergeCell ref="F1469:I1469"/>
    <mergeCell ref="F1470:I1470"/>
    <mergeCell ref="F1463:I1463"/>
    <mergeCell ref="F1464:I1464"/>
    <mergeCell ref="F1474:I1474"/>
    <mergeCell ref="F1475:I1475"/>
    <mergeCell ref="F1476:I1476"/>
    <mergeCell ref="F1477:I1477"/>
    <mergeCell ref="F1471:I1471"/>
    <mergeCell ref="F1472:I1472"/>
    <mergeCell ref="F1473:I1473"/>
    <mergeCell ref="F1478:I1478"/>
    <mergeCell ref="F1479:I1479"/>
    <mergeCell ref="F1480:I1480"/>
    <mergeCell ref="F1481:I1481"/>
    <mergeCell ref="F1482:I1482"/>
    <mergeCell ref="F1483:I1483"/>
    <mergeCell ref="F1487:I1487"/>
    <mergeCell ref="F1488:I1488"/>
    <mergeCell ref="F1489:I1489"/>
    <mergeCell ref="F1490:I1490"/>
    <mergeCell ref="F1513:I1513"/>
    <mergeCell ref="F1515:I1515"/>
    <mergeCell ref="F1484:I1484"/>
    <mergeCell ref="F1485:I1485"/>
    <mergeCell ref="F1486:I1486"/>
    <mergeCell ref="F1509:I1509"/>
    <mergeCell ref="F1510:I1510"/>
    <mergeCell ref="F1491:I1491"/>
    <mergeCell ref="F1505:I1505"/>
    <mergeCell ref="F1508:I1508"/>
    <mergeCell ref="F1496:I1496"/>
    <mergeCell ref="F1497:I1497"/>
    <mergeCell ref="F1512:I1512"/>
    <mergeCell ref="F1521:I1521"/>
    <mergeCell ref="F1523:I1523"/>
    <mergeCell ref="F1516:I1516"/>
    <mergeCell ref="F1526:I1526"/>
    <mergeCell ref="F1527:I1527"/>
    <mergeCell ref="F1530:I1530"/>
    <mergeCell ref="F1533:I1533"/>
    <mergeCell ref="F1534:I1534"/>
    <mergeCell ref="F1532:I1532"/>
    <mergeCell ref="F1522:I1522"/>
    <mergeCell ref="F1524:I1524"/>
    <mergeCell ref="F1525:I1525"/>
    <mergeCell ref="F1517:I1517"/>
    <mergeCell ref="F1520:I1520"/>
    <mergeCell ref="F1519:I1519"/>
    <mergeCell ref="F1539:I1539"/>
    <mergeCell ref="F1541:I1541"/>
    <mergeCell ref="F1542:I1542"/>
    <mergeCell ref="F1543:I1543"/>
    <mergeCell ref="F1540:I1540"/>
    <mergeCell ref="F1535:I1535"/>
    <mergeCell ref="F1536:I1536"/>
    <mergeCell ref="F1537:I1537"/>
    <mergeCell ref="F1538:I1538"/>
    <mergeCell ref="F1553:I1553"/>
    <mergeCell ref="F1556:I1556"/>
    <mergeCell ref="F1557:I1557"/>
    <mergeCell ref="F1544:I1544"/>
    <mergeCell ref="F1545:I1545"/>
    <mergeCell ref="F1546:I1546"/>
    <mergeCell ref="F1547:I1547"/>
    <mergeCell ref="F1548:I1548"/>
    <mergeCell ref="F1549:I1549"/>
    <mergeCell ref="F1550:I1550"/>
    <mergeCell ref="F1551:I1551"/>
    <mergeCell ref="F1552:I1552"/>
    <mergeCell ref="F1565:I1565"/>
    <mergeCell ref="F1566:I1566"/>
    <mergeCell ref="F1567:I1567"/>
    <mergeCell ref="F1558:I1558"/>
    <mergeCell ref="F1559:I1559"/>
    <mergeCell ref="F1560:I1560"/>
    <mergeCell ref="F1561:I1561"/>
    <mergeCell ref="F1562:I1562"/>
    <mergeCell ref="F1563:I1563"/>
    <mergeCell ref="F1564:I1564"/>
    <mergeCell ref="F1574:I1574"/>
    <mergeCell ref="F1575:I1575"/>
    <mergeCell ref="F1568:I1568"/>
    <mergeCell ref="F1569:I1569"/>
    <mergeCell ref="F1570:I1570"/>
    <mergeCell ref="F1571:I1571"/>
    <mergeCell ref="F1572:I1572"/>
    <mergeCell ref="F1573:I1573"/>
    <mergeCell ref="F1581:I1581"/>
    <mergeCell ref="F1582:I1582"/>
    <mergeCell ref="F1583:I1583"/>
    <mergeCell ref="F1584:I1584"/>
    <mergeCell ref="F1585:I1585"/>
    <mergeCell ref="F1576:I1576"/>
    <mergeCell ref="F1577:I1577"/>
    <mergeCell ref="F1578:I1578"/>
    <mergeCell ref="F1579:I1579"/>
    <mergeCell ref="F1580:I1580"/>
    <mergeCell ref="F1590:I1590"/>
    <mergeCell ref="F1591:I1591"/>
    <mergeCell ref="F1592:I1592"/>
    <mergeCell ref="F1593:I1593"/>
    <mergeCell ref="F1586:I1586"/>
    <mergeCell ref="F1587:I1587"/>
    <mergeCell ref="F1588:I1588"/>
    <mergeCell ref="F1589:I1589"/>
    <mergeCell ref="F1605:I1605"/>
    <mergeCell ref="F1606:I1606"/>
    <mergeCell ref="F1607:I1607"/>
    <mergeCell ref="F1608:I1608"/>
    <mergeCell ref="F1611:I1611"/>
    <mergeCell ref="F1612:I1612"/>
    <mergeCell ref="F1613:I1613"/>
    <mergeCell ref="F1616:I1616"/>
    <mergeCell ref="F1594:I1594"/>
    <mergeCell ref="F1595:I1595"/>
    <mergeCell ref="F1596:I1596"/>
    <mergeCell ref="F1597:I1597"/>
    <mergeCell ref="F1598:I1598"/>
    <mergeCell ref="F1599:I1599"/>
    <mergeCell ref="F1600:I1600"/>
    <mergeCell ref="F1601:I1601"/>
    <mergeCell ref="F1615:I1615"/>
    <mergeCell ref="F1620:I1620"/>
    <mergeCell ref="F1622:I1622"/>
    <mergeCell ref="F1624:I1624"/>
    <mergeCell ref="F1618:I1618"/>
    <mergeCell ref="F1619:I1619"/>
    <mergeCell ref="F1625:I1625"/>
    <mergeCell ref="F1627:I1627"/>
    <mergeCell ref="F1628:I1628"/>
    <mergeCell ref="F1629:I1629"/>
    <mergeCell ref="F1630:I1630"/>
    <mergeCell ref="F1626:I1626"/>
    <mergeCell ref="F1635:I1635"/>
    <mergeCell ref="F1623:I1623"/>
    <mergeCell ref="F1640:I1640"/>
    <mergeCell ref="F1641:I1641"/>
    <mergeCell ref="F1642:I1642"/>
    <mergeCell ref="F1643:I1643"/>
    <mergeCell ref="F1633:I1633"/>
    <mergeCell ref="F1636:I1636"/>
    <mergeCell ref="F1637:I1637"/>
    <mergeCell ref="F1638:I1638"/>
    <mergeCell ref="F1639:I1639"/>
    <mergeCell ref="F1649:I1649"/>
    <mergeCell ref="F1650:I1650"/>
    <mergeCell ref="F1651:I1651"/>
    <mergeCell ref="F1652:I1652"/>
    <mergeCell ref="F1653:I1653"/>
    <mergeCell ref="F1654:I1654"/>
    <mergeCell ref="F1655:I1655"/>
    <mergeCell ref="F1656:I1656"/>
    <mergeCell ref="F1659:I1659"/>
    <mergeCell ref="F1644:I1644"/>
    <mergeCell ref="F1645:I1645"/>
    <mergeCell ref="F1646:I1646"/>
    <mergeCell ref="F1647:I1647"/>
    <mergeCell ref="F1648:I1648"/>
    <mergeCell ref="F1663:I1663"/>
    <mergeCell ref="F1664:I1664"/>
    <mergeCell ref="F1665:I1665"/>
    <mergeCell ref="F1666:I1666"/>
    <mergeCell ref="F1667:I1667"/>
    <mergeCell ref="F1668:I1668"/>
    <mergeCell ref="F1660:I1660"/>
    <mergeCell ref="F1661:I1661"/>
    <mergeCell ref="F1662:I1662"/>
    <mergeCell ref="F1671:I1671"/>
    <mergeCell ref="F1672:I1672"/>
    <mergeCell ref="F1673:I1673"/>
    <mergeCell ref="F1674:I1674"/>
    <mergeCell ref="F1675:I1675"/>
    <mergeCell ref="F1676:I1676"/>
    <mergeCell ref="F1669:I1669"/>
    <mergeCell ref="F1670:I1670"/>
    <mergeCell ref="F1681:I1681"/>
    <mergeCell ref="F1682:I1682"/>
    <mergeCell ref="F1683:I1683"/>
    <mergeCell ref="F1677:I1677"/>
    <mergeCell ref="F1678:I1678"/>
    <mergeCell ref="F1679:I1679"/>
    <mergeCell ref="F1680:I1680"/>
    <mergeCell ref="F1690:I1690"/>
    <mergeCell ref="F1691:I1691"/>
    <mergeCell ref="F1692:I1692"/>
    <mergeCell ref="F1693:I1693"/>
    <mergeCell ref="F1684:I1684"/>
    <mergeCell ref="F1685:I1685"/>
    <mergeCell ref="F1686:I1686"/>
    <mergeCell ref="F1687:I1687"/>
    <mergeCell ref="F1688:I1688"/>
    <mergeCell ref="F1689:I1689"/>
    <mergeCell ref="F1699:I1699"/>
    <mergeCell ref="F1700:I1700"/>
    <mergeCell ref="F1701:I1701"/>
    <mergeCell ref="F1702:I1702"/>
    <mergeCell ref="F1703:I1703"/>
    <mergeCell ref="F1704:I1704"/>
    <mergeCell ref="F1708:I1708"/>
    <mergeCell ref="F1709:I1709"/>
    <mergeCell ref="F1694:I1694"/>
    <mergeCell ref="F1695:I1695"/>
    <mergeCell ref="F1696:I1696"/>
    <mergeCell ref="F1697:I1697"/>
    <mergeCell ref="F1698:I1698"/>
    <mergeCell ref="F1710:I1710"/>
    <mergeCell ref="F1711:I1711"/>
    <mergeCell ref="F1714:I1714"/>
    <mergeCell ref="F1715:I1715"/>
    <mergeCell ref="F1716:I1716"/>
    <mergeCell ref="F1719:I1719"/>
    <mergeCell ref="F1718:I1718"/>
    <mergeCell ref="F1721:I1721"/>
    <mergeCell ref="F1722:I1722"/>
    <mergeCell ref="F1725:I1725"/>
    <mergeCell ref="F1726:I1726"/>
    <mergeCell ref="F1728:I1728"/>
    <mergeCell ref="F1727:I1727"/>
    <mergeCell ref="F1729:I1729"/>
    <mergeCell ref="F1738:I1738"/>
    <mergeCell ref="F1723:I1723"/>
    <mergeCell ref="F1739:I1739"/>
    <mergeCell ref="F1740:I1740"/>
    <mergeCell ref="F1741:I1741"/>
    <mergeCell ref="F1742:I1742"/>
    <mergeCell ref="F1743:I1743"/>
    <mergeCell ref="F1744:I1744"/>
    <mergeCell ref="F1746:I1746"/>
    <mergeCell ref="F1730:I1730"/>
    <mergeCell ref="F1731:I1731"/>
    <mergeCell ref="F1732:I1732"/>
    <mergeCell ref="F1733:I1733"/>
    <mergeCell ref="F1736:I1736"/>
    <mergeCell ref="F1747:I1747"/>
    <mergeCell ref="F1748:I1748"/>
    <mergeCell ref="F1749:I1749"/>
    <mergeCell ref="F1750:I1750"/>
    <mergeCell ref="F1751:I1751"/>
    <mergeCell ref="F1752:I1752"/>
    <mergeCell ref="F1753:I1753"/>
    <mergeCell ref="F1745:I1745"/>
    <mergeCell ref="F1764:I1764"/>
    <mergeCell ref="F1765:I1765"/>
    <mergeCell ref="F1754:I1754"/>
    <mergeCell ref="F1755:I1755"/>
    <mergeCell ref="F1756:I1756"/>
    <mergeCell ref="F1757:I1757"/>
    <mergeCell ref="F1758:I1758"/>
    <mergeCell ref="F1759:I1759"/>
    <mergeCell ref="F1762:I1762"/>
    <mergeCell ref="F1763:I1763"/>
    <mergeCell ref="F1772:I1772"/>
    <mergeCell ref="F1773:I1773"/>
    <mergeCell ref="F1774:I1774"/>
    <mergeCell ref="F1775:I1775"/>
    <mergeCell ref="F1766:I1766"/>
    <mergeCell ref="F1767:I1767"/>
    <mergeCell ref="F1768:I1768"/>
    <mergeCell ref="F1769:I1769"/>
    <mergeCell ref="F1770:I1770"/>
    <mergeCell ref="F1771:I1771"/>
    <mergeCell ref="F1787:I1787"/>
    <mergeCell ref="F1788:I1788"/>
    <mergeCell ref="F1780:I1780"/>
    <mergeCell ref="F1781:I1781"/>
    <mergeCell ref="F1782:I1782"/>
    <mergeCell ref="F1783:I1783"/>
    <mergeCell ref="F1784:I1784"/>
    <mergeCell ref="F1785:I1785"/>
    <mergeCell ref="F1776:I1776"/>
    <mergeCell ref="F1777:I1777"/>
    <mergeCell ref="F1778:I1778"/>
    <mergeCell ref="F1779:I1779"/>
    <mergeCell ref="F1798:I1798"/>
    <mergeCell ref="F1799:I1799"/>
    <mergeCell ref="F872:I872"/>
    <mergeCell ref="F1800:I1800"/>
    <mergeCell ref="F1801:I1801"/>
    <mergeCell ref="F1802:I1802"/>
    <mergeCell ref="F1793:I1793"/>
    <mergeCell ref="F1794:I1794"/>
    <mergeCell ref="F1795:I1795"/>
    <mergeCell ref="F1796:I1796"/>
    <mergeCell ref="F1797:I1797"/>
    <mergeCell ref="F1789:I1789"/>
    <mergeCell ref="F1790:I1790"/>
    <mergeCell ref="F1791:I1791"/>
    <mergeCell ref="F1792:I1792"/>
    <mergeCell ref="F1786:I1786"/>
    <mergeCell ref="F1812:I1812"/>
    <mergeCell ref="F1272:I1272"/>
    <mergeCell ref="F1273:I1273"/>
    <mergeCell ref="F1306:I1306"/>
    <mergeCell ref="F1291:I1291"/>
    <mergeCell ref="F1292:I1292"/>
    <mergeCell ref="F1296:I1296"/>
    <mergeCell ref="F1297:I1297"/>
    <mergeCell ref="F1298:I1298"/>
    <mergeCell ref="F1299:I1299"/>
    <mergeCell ref="F1302:I1302"/>
    <mergeCell ref="F1303:I1303"/>
    <mergeCell ref="F1283:I1283"/>
    <mergeCell ref="F1274:I1274"/>
    <mergeCell ref="F1275:I1275"/>
    <mergeCell ref="F1276:I1276"/>
    <mergeCell ref="F1813:I1813"/>
    <mergeCell ref="F1814:I1814"/>
    <mergeCell ref="F1815:I1815"/>
    <mergeCell ref="F1816:I1816"/>
    <mergeCell ref="F1823:I1823"/>
    <mergeCell ref="F1824:I1824"/>
    <mergeCell ref="F1803:I1803"/>
    <mergeCell ref="F1804:I1804"/>
    <mergeCell ref="F1805:I1805"/>
    <mergeCell ref="F1806:I1806"/>
    <mergeCell ref="F1807:I1807"/>
    <mergeCell ref="F1808:I1808"/>
    <mergeCell ref="F1809:I1809"/>
    <mergeCell ref="F1810:I1810"/>
    <mergeCell ref="F1811:I1811"/>
    <mergeCell ref="F1838:I1838"/>
    <mergeCell ref="F1839:I1839"/>
    <mergeCell ref="F1840:I1840"/>
    <mergeCell ref="F1845:I1845"/>
    <mergeCell ref="F1846:I1846"/>
    <mergeCell ref="F1825:I1825"/>
    <mergeCell ref="F1826:I1826"/>
    <mergeCell ref="F1827:I1827"/>
    <mergeCell ref="F1828:I1828"/>
    <mergeCell ref="F1829:I1829"/>
    <mergeCell ref="F1830:I1830"/>
    <mergeCell ref="F1835:I1835"/>
    <mergeCell ref="F1836:I1836"/>
    <mergeCell ref="F1837:I1837"/>
    <mergeCell ref="F1843:I1843"/>
    <mergeCell ref="F1844:I1844"/>
    <mergeCell ref="F1849:I1849"/>
    <mergeCell ref="F1850:I1850"/>
    <mergeCell ref="F1851:I1851"/>
    <mergeCell ref="F1852:I1852"/>
    <mergeCell ref="F1853:I1853"/>
    <mergeCell ref="F1854:I1854"/>
    <mergeCell ref="F1857:I1857"/>
    <mergeCell ref="F1858:I1858"/>
    <mergeCell ref="F1861:I1861"/>
    <mergeCell ref="F1862:I1862"/>
    <mergeCell ref="F1863:I1863"/>
    <mergeCell ref="F1864:I1864"/>
    <mergeCell ref="F1865:I1865"/>
    <mergeCell ref="F1866:I1866"/>
    <mergeCell ref="F1859:I1859"/>
    <mergeCell ref="F1860:I1860"/>
    <mergeCell ref="F1868:I1868"/>
    <mergeCell ref="F1869:I1869"/>
    <mergeCell ref="F1870:I1870"/>
    <mergeCell ref="F1871:I1871"/>
    <mergeCell ref="F1872:I1872"/>
    <mergeCell ref="F1873:I1873"/>
    <mergeCell ref="F1878:I1878"/>
    <mergeCell ref="F1879:I1879"/>
    <mergeCell ref="F1880:I1880"/>
    <mergeCell ref="F1883:I1883"/>
    <mergeCell ref="F1884:I1884"/>
    <mergeCell ref="F1867:I1867"/>
    <mergeCell ref="F1886:I1886"/>
    <mergeCell ref="F1887:I1887"/>
    <mergeCell ref="F1888:I1888"/>
    <mergeCell ref="F1889:I1889"/>
    <mergeCell ref="F1890:I1890"/>
    <mergeCell ref="F1891:I1891"/>
    <mergeCell ref="F1892:I1892"/>
    <mergeCell ref="F1893:I1893"/>
    <mergeCell ref="F1894:I1894"/>
    <mergeCell ref="F1885:I1885"/>
    <mergeCell ref="F1897:I1897"/>
    <mergeCell ref="F1898:I1898"/>
    <mergeCell ref="F1899:I1899"/>
    <mergeCell ref="F1900:I1900"/>
    <mergeCell ref="F1895:I1895"/>
    <mergeCell ref="F1896:I1896"/>
    <mergeCell ref="F1904:I1904"/>
    <mergeCell ref="F1905:I1905"/>
    <mergeCell ref="F1906:I1906"/>
    <mergeCell ref="F1907:I1907"/>
    <mergeCell ref="F1908:I1908"/>
    <mergeCell ref="F1909:I1909"/>
    <mergeCell ref="F1910:I1910"/>
    <mergeCell ref="F1911:I1911"/>
    <mergeCell ref="F1912:I1912"/>
    <mergeCell ref="F1901:I1901"/>
    <mergeCell ref="F1902:I1902"/>
    <mergeCell ref="F1903:I1903"/>
    <mergeCell ref="F1922:I1922"/>
    <mergeCell ref="F1923:I1923"/>
    <mergeCell ref="F1924:I1924"/>
    <mergeCell ref="F1925:I1925"/>
    <mergeCell ref="F1926:I1926"/>
    <mergeCell ref="F1931:I1931"/>
    <mergeCell ref="F1932:I1932"/>
    <mergeCell ref="F1933:I1933"/>
    <mergeCell ref="F1934:I1934"/>
    <mergeCell ref="F1913:I1913"/>
    <mergeCell ref="F1914:I1914"/>
    <mergeCell ref="F1915:I1915"/>
    <mergeCell ref="F1916:I1916"/>
    <mergeCell ref="F1917:I1917"/>
    <mergeCell ref="F1918:I1918"/>
    <mergeCell ref="F1919:I1919"/>
    <mergeCell ref="F1920:I1920"/>
    <mergeCell ref="F1921:I1921"/>
    <mergeCell ref="F1935:I1935"/>
    <mergeCell ref="F1936:I1936"/>
    <mergeCell ref="F1937:I1937"/>
    <mergeCell ref="F1938:I1938"/>
    <mergeCell ref="F1946:I1946"/>
    <mergeCell ref="F1947:I1947"/>
    <mergeCell ref="F1948:I1948"/>
    <mergeCell ref="F1949:I1949"/>
    <mergeCell ref="F1950:I1950"/>
    <mergeCell ref="F1939:I1939"/>
    <mergeCell ref="F1940:I1940"/>
    <mergeCell ref="F1941:I1941"/>
    <mergeCell ref="F1942:I1942"/>
    <mergeCell ref="F1943:I1943"/>
    <mergeCell ref="F1944:I1944"/>
    <mergeCell ref="F1945:I1945"/>
    <mergeCell ref="F1952:I1952"/>
    <mergeCell ref="F1995:I1995"/>
    <mergeCell ref="F1996:I1996"/>
    <mergeCell ref="F2000:I2000"/>
    <mergeCell ref="F1998:I1998"/>
    <mergeCell ref="F1999:I1999"/>
    <mergeCell ref="F1989:I1989"/>
    <mergeCell ref="F1990:I1990"/>
    <mergeCell ref="F1953:I1953"/>
    <mergeCell ref="F1954:I1954"/>
    <mergeCell ref="F1955:I1955"/>
    <mergeCell ref="F1956:I1956"/>
    <mergeCell ref="F1951:I1951"/>
    <mergeCell ref="F1966:I1966"/>
    <mergeCell ref="F1957:I1957"/>
    <mergeCell ref="F1958:I1958"/>
    <mergeCell ref="F1959:I1959"/>
    <mergeCell ref="F1960:I1960"/>
    <mergeCell ref="F1961:I1961"/>
    <mergeCell ref="F1962:I1962"/>
    <mergeCell ref="F1963:I1963"/>
    <mergeCell ref="F1964:I1964"/>
    <mergeCell ref="F1965:I1965"/>
    <mergeCell ref="F1971:I1971"/>
    <mergeCell ref="F1972:I1972"/>
    <mergeCell ref="F1978:I1978"/>
    <mergeCell ref="F1979:I1979"/>
    <mergeCell ref="F2046:I2046"/>
    <mergeCell ref="F2051:I2051"/>
    <mergeCell ref="F2057:I2057"/>
    <mergeCell ref="F2071:I2071"/>
    <mergeCell ref="F2072:I2072"/>
    <mergeCell ref="F2013:I2013"/>
    <mergeCell ref="F2014:I2014"/>
    <mergeCell ref="F2015:I2015"/>
    <mergeCell ref="F2016:I2016"/>
    <mergeCell ref="F2017:I2017"/>
    <mergeCell ref="F2018:I2018"/>
    <mergeCell ref="F2019:I2019"/>
    <mergeCell ref="F2020:I2020"/>
    <mergeCell ref="F2021:I2021"/>
    <mergeCell ref="F2006:I2006"/>
    <mergeCell ref="F2007:I2007"/>
    <mergeCell ref="F2008:I2008"/>
    <mergeCell ref="F2009:I2009"/>
    <mergeCell ref="F2010:I2010"/>
    <mergeCell ref="F2011:I2011"/>
    <mergeCell ref="F2012:I2012"/>
    <mergeCell ref="F2022:I2022"/>
    <mergeCell ref="F2026:I2026"/>
    <mergeCell ref="F2027:I2027"/>
    <mergeCell ref="F2028:I2028"/>
    <mergeCell ref="F2029:I2029"/>
    <mergeCell ref="F2030:I2030"/>
    <mergeCell ref="F2031:I2031"/>
    <mergeCell ref="F2032:I2032"/>
    <mergeCell ref="F2033:I2033"/>
    <mergeCell ref="F2036:I2036"/>
    <mergeCell ref="F2037:I2037"/>
    <mergeCell ref="F2038:I2038"/>
    <mergeCell ref="F2039:I2039"/>
    <mergeCell ref="F2040:I2040"/>
    <mergeCell ref="F2041:I2041"/>
    <mergeCell ref="F2045:I2045"/>
    <mergeCell ref="F2043:I2043"/>
    <mergeCell ref="F2044:I2044"/>
    <mergeCell ref="F2111:I2111"/>
    <mergeCell ref="F2098:I2098"/>
    <mergeCell ref="F2099:I2099"/>
    <mergeCell ref="F2113:I2113"/>
    <mergeCell ref="F2114:I2114"/>
    <mergeCell ref="F2115:I2115"/>
    <mergeCell ref="F2116:I2116"/>
    <mergeCell ref="F2117:I2117"/>
    <mergeCell ref="F2118:I2118"/>
    <mergeCell ref="F2119:I2119"/>
    <mergeCell ref="F2100:I2100"/>
    <mergeCell ref="F2101:I2101"/>
    <mergeCell ref="F2056:I2056"/>
    <mergeCell ref="F2059:I2059"/>
    <mergeCell ref="F2060:I2060"/>
    <mergeCell ref="F2065:I2065"/>
    <mergeCell ref="F2066:I2066"/>
    <mergeCell ref="F2067:I2067"/>
    <mergeCell ref="F2068:I2068"/>
    <mergeCell ref="F2082:I2082"/>
    <mergeCell ref="F2083:I2083"/>
    <mergeCell ref="F2058:I2058"/>
    <mergeCell ref="F2052:I2052"/>
    <mergeCell ref="F2053:I2053"/>
    <mergeCell ref="F2055:I2055"/>
    <mergeCell ref="F2199:I2199"/>
    <mergeCell ref="F2192:I2192"/>
    <mergeCell ref="F2193:I2193"/>
    <mergeCell ref="F2194:I2194"/>
    <mergeCell ref="F2195:I2195"/>
    <mergeCell ref="F2188:I2188"/>
    <mergeCell ref="F2189:I2189"/>
    <mergeCell ref="F2190:I2190"/>
    <mergeCell ref="F2191:I2191"/>
    <mergeCell ref="F2196:I2196"/>
    <mergeCell ref="F2197:I2197"/>
    <mergeCell ref="F2198:I2198"/>
    <mergeCell ref="F2160:I2160"/>
    <mergeCell ref="F2161:I2161"/>
    <mergeCell ref="F2162:I2162"/>
    <mergeCell ref="F2187:I2187"/>
    <mergeCell ref="F2178:I2178"/>
    <mergeCell ref="F2185:I2185"/>
    <mergeCell ref="F2186:I2186"/>
    <mergeCell ref="F2168:I2168"/>
    <mergeCell ref="F2102:I2102"/>
    <mergeCell ref="F2092:I2092"/>
    <mergeCell ref="F2093:I2093"/>
    <mergeCell ref="F2094:I2094"/>
    <mergeCell ref="F2095:I2095"/>
    <mergeCell ref="F2120:I2120"/>
    <mergeCell ref="F2109:I2109"/>
    <mergeCell ref="F2110:I2110"/>
    <mergeCell ref="F2063:I2063"/>
    <mergeCell ref="F2064:I2064"/>
    <mergeCell ref="F2080:I2080"/>
    <mergeCell ref="F2081:I2081"/>
    <mergeCell ref="F2142:I2142"/>
    <mergeCell ref="F2085:I2085"/>
    <mergeCell ref="F2086:I2086"/>
    <mergeCell ref="F2087:I2087"/>
    <mergeCell ref="F2088:I2088"/>
    <mergeCell ref="F2089:I2089"/>
    <mergeCell ref="F2090:I2090"/>
    <mergeCell ref="F2091:I2091"/>
    <mergeCell ref="F2126:I2126"/>
    <mergeCell ref="F2140:I2140"/>
    <mergeCell ref="F2141:I2141"/>
    <mergeCell ref="F2103:I2103"/>
    <mergeCell ref="F2104:I2104"/>
    <mergeCell ref="F2105:I2105"/>
    <mergeCell ref="F2106:I2106"/>
    <mergeCell ref="F2107:I2107"/>
    <mergeCell ref="F2108:I2108"/>
    <mergeCell ref="F2127:I2127"/>
    <mergeCell ref="F2134:I2134"/>
    <mergeCell ref="F2135:I2135"/>
    <mergeCell ref="F2136:I2136"/>
    <mergeCell ref="F2070:I2070"/>
    <mergeCell ref="F2075:I2075"/>
    <mergeCell ref="F2076:I2076"/>
    <mergeCell ref="F2078:I2078"/>
    <mergeCell ref="F2079:I2079"/>
    <mergeCell ref="F2096:I2096"/>
    <mergeCell ref="F2097:I2097"/>
    <mergeCell ref="F1310:I1310"/>
    <mergeCell ref="F2148:I2148"/>
    <mergeCell ref="F2149:I2149"/>
    <mergeCell ref="F2150:I2150"/>
    <mergeCell ref="F2151:I2151"/>
    <mergeCell ref="F2152:I2152"/>
    <mergeCell ref="F2153:I2153"/>
    <mergeCell ref="F2144:I2144"/>
    <mergeCell ref="F2163:I2163"/>
    <mergeCell ref="F2164:I2164"/>
    <mergeCell ref="F2145:I2145"/>
    <mergeCell ref="F2146:I2146"/>
    <mergeCell ref="F2147:I2147"/>
    <mergeCell ref="F2143:I2143"/>
    <mergeCell ref="F2128:I2128"/>
    <mergeCell ref="F2121:I2121"/>
    <mergeCell ref="F2124:I2124"/>
    <mergeCell ref="F2125:I2125"/>
    <mergeCell ref="F2112:I2112"/>
    <mergeCell ref="F2001:I2001"/>
    <mergeCell ref="F2002:I2002"/>
    <mergeCell ref="F2003:I2003"/>
    <mergeCell ref="F2004:I2004"/>
    <mergeCell ref="F2005:I2005"/>
    <mergeCell ref="F1997:I1997"/>
    <mergeCell ref="F2131:I2131"/>
    <mergeCell ref="F2132:I2132"/>
    <mergeCell ref="F2048:I2048"/>
    <mergeCell ref="F2049:I2049"/>
    <mergeCell ref="F2050:I2050"/>
    <mergeCell ref="F2155:I2155"/>
    <mergeCell ref="F2062:I2062"/>
    <mergeCell ref="F2156:I2156"/>
    <mergeCell ref="F2157:I2157"/>
    <mergeCell ref="F2158:I2158"/>
    <mergeCell ref="F2069:I2069"/>
    <mergeCell ref="F2061:I2061"/>
    <mergeCell ref="F2159:I2159"/>
    <mergeCell ref="F2165:I2165"/>
    <mergeCell ref="F2166:I2166"/>
    <mergeCell ref="F2167:I2167"/>
    <mergeCell ref="F2181:I2181"/>
    <mergeCell ref="F2182:I2182"/>
    <mergeCell ref="F2183:I2183"/>
    <mergeCell ref="F2184:I2184"/>
    <mergeCell ref="F2174:I2174"/>
    <mergeCell ref="F2175:I2175"/>
    <mergeCell ref="F2176:I2176"/>
    <mergeCell ref="F2177:I2177"/>
    <mergeCell ref="F2170:I2170"/>
    <mergeCell ref="F2172:I2172"/>
    <mergeCell ref="F2171:I2171"/>
    <mergeCell ref="F2180:I2180"/>
    <mergeCell ref="F2179:I2179"/>
    <mergeCell ref="F2169:I2169"/>
    <mergeCell ref="F2173:I2173"/>
    <mergeCell ref="F2139:I2139"/>
    <mergeCell ref="F2133:I2133"/>
    <mergeCell ref="F2137:I2137"/>
    <mergeCell ref="F2138:I2138"/>
    <mergeCell ref="F2129:I2129"/>
    <mergeCell ref="F2130:I2130"/>
    <mergeCell ref="F2084:I2084"/>
    <mergeCell ref="F2154:I2154"/>
    <mergeCell ref="F1993:I1993"/>
    <mergeCell ref="F1994:I1994"/>
    <mergeCell ref="F1278:I1278"/>
    <mergeCell ref="F1279:I1279"/>
    <mergeCell ref="F1107:I1107"/>
    <mergeCell ref="F1991:I1991"/>
    <mergeCell ref="F1992:I1992"/>
    <mergeCell ref="F1983:I1983"/>
    <mergeCell ref="F1984:I1984"/>
    <mergeCell ref="F1985:I1985"/>
    <mergeCell ref="F1986:I1986"/>
    <mergeCell ref="F1987:I1987"/>
    <mergeCell ref="F1973:I1973"/>
    <mergeCell ref="F1974:I1974"/>
    <mergeCell ref="F1975:I1975"/>
    <mergeCell ref="F1976:I1976"/>
    <mergeCell ref="F1967:I1967"/>
    <mergeCell ref="F1968:I1968"/>
    <mergeCell ref="F1226:I1226"/>
    <mergeCell ref="F1227:I1227"/>
    <mergeCell ref="F1228:I1228"/>
    <mergeCell ref="F1229:I1229"/>
    <mergeCell ref="F1307:I1307"/>
    <mergeCell ref="F1285:I1285"/>
    <mergeCell ref="F1286:I1286"/>
    <mergeCell ref="F1969:I1969"/>
    <mergeCell ref="F1970:I1970"/>
    <mergeCell ref="F1981:I1981"/>
    <mergeCell ref="F1982:I1982"/>
    <mergeCell ref="F1977:I1977"/>
    <mergeCell ref="F1980:I1980"/>
    <mergeCell ref="F1988:I1988"/>
    <mergeCell ref="F52:H52"/>
    <mergeCell ref="F46:H46"/>
    <mergeCell ref="F47:H47"/>
    <mergeCell ref="F48:H48"/>
    <mergeCell ref="F130:H130"/>
    <mergeCell ref="F131:H131"/>
    <mergeCell ref="F154:H154"/>
    <mergeCell ref="F155:H155"/>
    <mergeCell ref="F153:H153"/>
    <mergeCell ref="F141:H141"/>
    <mergeCell ref="F132:H132"/>
    <mergeCell ref="F146:H146"/>
    <mergeCell ref="F156:H156"/>
    <mergeCell ref="F157:H157"/>
    <mergeCell ref="F158:H158"/>
    <mergeCell ref="F160:H160"/>
    <mergeCell ref="F161:H161"/>
    <mergeCell ref="F150:H150"/>
    <mergeCell ref="F151:H151"/>
    <mergeCell ref="F152:H152"/>
    <mergeCell ref="F147:H147"/>
    <mergeCell ref="F148:H148"/>
    <mergeCell ref="F159:H159"/>
    <mergeCell ref="F128:H128"/>
    <mergeCell ref="F129:H129"/>
    <mergeCell ref="F80:H80"/>
    <mergeCell ref="F84:H84"/>
    <mergeCell ref="F85:H85"/>
    <mergeCell ref="F86:H86"/>
    <mergeCell ref="F117:H117"/>
    <mergeCell ref="F113:H113"/>
    <mergeCell ref="F121:H121"/>
    <mergeCell ref="F2203:I2203"/>
    <mergeCell ref="F2209:I2209"/>
    <mergeCell ref="F2216:I2216"/>
    <mergeCell ref="D2200:D2216"/>
    <mergeCell ref="E2200:E2216"/>
    <mergeCell ref="V2007:V2199"/>
    <mergeCell ref="V2200:V2216"/>
    <mergeCell ref="V441:V442"/>
    <mergeCell ref="D110:D132"/>
    <mergeCell ref="E110:E132"/>
    <mergeCell ref="D133:D155"/>
    <mergeCell ref="E133:E155"/>
    <mergeCell ref="D156:D178"/>
    <mergeCell ref="E156:E178"/>
    <mergeCell ref="D180:D202"/>
    <mergeCell ref="E180:E202"/>
    <mergeCell ref="F110:H110"/>
    <mergeCell ref="F111:H111"/>
    <mergeCell ref="F112:H112"/>
    <mergeCell ref="F133:H133"/>
    <mergeCell ref="F134:H134"/>
    <mergeCell ref="F135:H135"/>
    <mergeCell ref="F1280:I1280"/>
    <mergeCell ref="F1281:I1281"/>
    <mergeCell ref="F1282:I1282"/>
    <mergeCell ref="F1284:I1284"/>
    <mergeCell ref="F1266:I1266"/>
    <mergeCell ref="F1261:I1261"/>
    <mergeCell ref="F1262:I1262"/>
    <mergeCell ref="F1253:I1253"/>
    <mergeCell ref="F1254:I1254"/>
    <mergeCell ref="F1255:I1255"/>
  </mergeCells>
  <phoneticPr fontId="66" type="noConversion"/>
  <conditionalFormatting sqref="B1:B7 B31:B230 B256:B447 B508:B512 B529:B646 B853:B2223 B2272:B2310">
    <cfRule type="cellIs" dxfId="133" priority="191" operator="equal">
      <formula>"x"</formula>
    </cfRule>
  </conditionalFormatting>
  <conditionalFormatting sqref="D31">
    <cfRule type="cellIs" dxfId="132" priority="96" operator="equal">
      <formula>"x"</formula>
    </cfRule>
  </conditionalFormatting>
  <conditionalFormatting sqref="D256">
    <cfRule type="cellIs" dxfId="131" priority="95" operator="equal">
      <formula>"x"</formula>
    </cfRule>
  </conditionalFormatting>
  <conditionalFormatting sqref="D454">
    <cfRule type="cellIs" dxfId="130" priority="94" operator="equal">
      <formula>"x"</formula>
    </cfRule>
  </conditionalFormatting>
  <conditionalFormatting sqref="D529">
    <cfRule type="cellIs" dxfId="129" priority="93" operator="equal">
      <formula>"x"</formula>
    </cfRule>
  </conditionalFormatting>
  <conditionalFormatting sqref="D853">
    <cfRule type="cellIs" dxfId="128" priority="92" operator="equal">
      <formula>"x"</formula>
    </cfRule>
  </conditionalFormatting>
  <conditionalFormatting sqref="D2272">
    <cfRule type="cellIs" dxfId="127" priority="98" operator="equal">
      <formula>"x"</formula>
    </cfRule>
  </conditionalFormatting>
  <conditionalFormatting sqref="J614:J627">
    <cfRule type="cellIs" dxfId="126" priority="84" operator="equal">
      <formula>"x"</formula>
    </cfRule>
  </conditionalFormatting>
  <conditionalFormatting sqref="Y1079:AA1181">
    <cfRule type="cellIs" dxfId="125" priority="160" operator="equal">
      <formula>5.44</formula>
    </cfRule>
  </conditionalFormatting>
  <conditionalFormatting sqref="AA613">
    <cfRule type="cellIs" dxfId="124" priority="159" operator="notEqual">
      <formula>Z613</formula>
    </cfRule>
  </conditionalFormatting>
  <conditionalFormatting sqref="AF549:AF641 AF647:AG852 AF873:AG2216">
    <cfRule type="expression" dxfId="123" priority="38">
      <formula>AND(AF549=AE549,AE549&lt;&gt;"")</formula>
    </cfRule>
    <cfRule type="expression" dxfId="122" priority="39">
      <formula>AF549&lt;&gt;AE549</formula>
    </cfRule>
  </conditionalFormatting>
  <conditionalFormatting sqref="AF8:AG30 AG41:AG86 AF41:AF225 AG88:AG225 AF231:AG255 AF448:AG453 AF475:AG507 AF2285:AG2309">
    <cfRule type="expression" dxfId="121" priority="16">
      <formula>AND(AF8=AE8,AE8&lt;&gt;"")</formula>
    </cfRule>
    <cfRule type="expression" dxfId="120" priority="17">
      <formula>AF8&lt;&gt;AE8</formula>
    </cfRule>
  </conditionalFormatting>
  <conditionalFormatting sqref="AF265:AG442">
    <cfRule type="expression" dxfId="119" priority="9">
      <formula>AND(AF265=AE265,AE265&lt;&gt;"")</formula>
    </cfRule>
    <cfRule type="expression" dxfId="118" priority="10">
      <formula>AF265&lt;&gt;AE265</formula>
    </cfRule>
  </conditionalFormatting>
  <conditionalFormatting sqref="AF513:AG528">
    <cfRule type="expression" dxfId="117" priority="7">
      <formula>AND(AF513=AE513,AE513&lt;&gt;"")</formula>
    </cfRule>
    <cfRule type="expression" dxfId="116" priority="8">
      <formula>AF513&lt;&gt;AE513</formula>
    </cfRule>
  </conditionalFormatting>
  <conditionalFormatting sqref="AF2224:AG2271">
    <cfRule type="expression" dxfId="115" priority="1">
      <formula>AND(AF2224=AE2224,AE2224&lt;&gt;"")</formula>
    </cfRule>
    <cfRule type="expression" dxfId="114" priority="2">
      <formula>AF2224&lt;&gt;AE2224</formula>
    </cfRule>
  </conditionalFormatting>
  <conditionalFormatting sqref="AG549:AG640">
    <cfRule type="expression" dxfId="113" priority="5">
      <formula>AND(AG549=AF549,AF549&lt;&gt;"")</formula>
    </cfRule>
    <cfRule type="expression" dxfId="112" priority="6">
      <formula>AG549&lt;&gt;AF549</formula>
    </cfRule>
  </conditionalFormatting>
  <conditionalFormatting sqref="AH8:AH30 AH231:AI255 AH513:AH528 AH647:AH852">
    <cfRule type="cellIs" dxfId="111" priority="200" operator="lessThan">
      <formula>-0.1</formula>
    </cfRule>
    <cfRule type="cellIs" dxfId="110" priority="201" operator="greaterThan">
      <formula>0.1</formula>
    </cfRule>
  </conditionalFormatting>
  <pageMargins left="0.25" right="0.25" top="0.75" bottom="0.75" header="0.3" footer="0.3"/>
  <pageSetup scale="32" fitToHeight="0" orientation="landscape" r:id="rId1"/>
  <rowBreaks count="1" manualBreakCount="1">
    <brk id="508" max="17"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025"/>
  <sheetViews>
    <sheetView zoomScale="70" zoomScaleNormal="70" workbookViewId="0">
      <selection sqref="A1:O1"/>
    </sheetView>
  </sheetViews>
  <sheetFormatPr defaultColWidth="9.28515625" defaultRowHeight="15" outlineLevelRow="1" x14ac:dyDescent="0.25"/>
  <cols>
    <col min="1" max="1" width="17" style="1321" customWidth="1"/>
    <col min="2" max="2" width="9.28515625" style="265"/>
    <col min="3" max="3" width="20.5703125" style="263" customWidth="1"/>
    <col min="4" max="4" width="43.7109375" style="126" customWidth="1"/>
    <col min="5" max="5" width="92" style="126" customWidth="1"/>
    <col min="6" max="6" width="30" style="265" customWidth="1"/>
    <col min="7" max="7" width="28.42578125" style="265" customWidth="1"/>
    <col min="8" max="8" width="22.5703125" style="265" customWidth="1"/>
    <col min="9" max="9" width="17.28515625" style="265" customWidth="1"/>
    <col min="10" max="10" width="16.28515625" style="265" customWidth="1"/>
    <col min="11" max="11" width="12.28515625" style="265" customWidth="1"/>
    <col min="12" max="12" width="15.42578125" style="265" customWidth="1"/>
    <col min="13" max="13" width="14.42578125" style="265" customWidth="1"/>
    <col min="14" max="14" width="13.7109375" style="265" customWidth="1"/>
    <col min="15" max="15" width="11" style="265" customWidth="1"/>
    <col min="16" max="16" width="13.7109375" style="265" customWidth="1"/>
    <col min="17" max="17" width="9.42578125" style="265" customWidth="1"/>
    <col min="18" max="18" width="17.42578125" style="265" customWidth="1"/>
    <col min="19" max="19" width="1.28515625" style="265" customWidth="1"/>
    <col min="20" max="20" width="9.28515625" style="265" customWidth="1"/>
    <col min="21" max="21" width="22.7109375" style="265" customWidth="1"/>
    <col min="22" max="22" width="32.28515625" style="255" customWidth="1"/>
    <col min="23" max="23" width="13.5703125" style="255" customWidth="1"/>
    <col min="24" max="24" width="17" style="255" customWidth="1"/>
    <col min="25" max="25" width="19.5703125" style="266" customWidth="1"/>
    <col min="26" max="26" width="15.7109375" style="255" bestFit="1" customWidth="1"/>
    <col min="27" max="27" width="13.42578125" style="255" customWidth="1"/>
    <col min="28" max="28" width="18" style="255" bestFit="1" customWidth="1"/>
    <col min="29" max="29" width="17.28515625" style="255" bestFit="1" customWidth="1"/>
    <col min="30" max="31" width="14.7109375" style="255" bestFit="1" customWidth="1"/>
    <col min="32" max="32" width="18.28515625" style="255" bestFit="1" customWidth="1"/>
    <col min="33" max="33" width="17.28515625" style="255" customWidth="1"/>
    <col min="34" max="34" width="9.28515625" style="255" customWidth="1"/>
    <col min="35" max="35" width="13.5703125" style="255" customWidth="1"/>
    <col min="36" max="36" width="19.42578125" style="255" customWidth="1"/>
    <col min="37" max="41" width="17.7109375" style="255" bestFit="1" customWidth="1"/>
    <col min="42" max="45" width="13.5703125" style="255" customWidth="1"/>
    <col min="46" max="46" width="9.28515625" style="255" customWidth="1"/>
    <col min="47" max="47" width="16.28515625" style="255" bestFit="1" customWidth="1"/>
    <col min="48" max="48" width="16.7109375" style="255" bestFit="1" customWidth="1"/>
    <col min="49" max="110" width="9.28515625" style="255" customWidth="1"/>
    <col min="111" max="111" width="15" style="517" customWidth="1"/>
    <col min="112" max="112" width="30.28515625" style="265" customWidth="1"/>
    <col min="113" max="113" width="14.28515625" style="265" customWidth="1"/>
    <col min="114" max="114" width="14.28515625" style="1030" customWidth="1"/>
    <col min="115" max="115" width="9.28515625" style="255"/>
    <col min="116" max="116" width="14.42578125" style="255" bestFit="1" customWidth="1"/>
    <col min="117" max="118" width="16.7109375" style="255" bestFit="1" customWidth="1"/>
    <col min="119" max="119" width="15.42578125" style="255" bestFit="1" customWidth="1"/>
    <col min="120" max="120" width="14.42578125" style="255" bestFit="1" customWidth="1"/>
    <col min="121" max="121" width="16.7109375" style="255" bestFit="1" customWidth="1"/>
    <col min="122" max="126" width="14.42578125" style="255" bestFit="1" customWidth="1"/>
    <col min="127" max="16384" width="9.28515625" style="255"/>
  </cols>
  <sheetData>
    <row r="1" spans="1:114" s="2" customFormat="1" ht="18.75" x14ac:dyDescent="0.3">
      <c r="A1" s="2371" t="s">
        <v>1373</v>
      </c>
      <c r="B1" s="2386"/>
      <c r="C1" s="2387"/>
      <c r="D1" s="2386"/>
      <c r="E1" s="2386"/>
      <c r="F1" s="2386"/>
      <c r="G1" s="2386"/>
      <c r="H1" s="2386"/>
      <c r="I1" s="2386"/>
      <c r="J1" s="2386"/>
      <c r="K1" s="2386"/>
      <c r="L1" s="2386"/>
      <c r="M1" s="2386"/>
      <c r="N1" s="2386"/>
      <c r="O1" s="2386"/>
      <c r="P1" s="2426"/>
      <c r="Q1" s="2427"/>
      <c r="R1" s="2427"/>
      <c r="S1" s="1232"/>
      <c r="T1" s="247"/>
      <c r="U1" s="247"/>
      <c r="V1" s="3"/>
      <c r="W1" s="4"/>
      <c r="X1" s="4"/>
      <c r="Y1" s="1335"/>
      <c r="Z1" s="5"/>
      <c r="AA1" s="5"/>
      <c r="AB1" s="5"/>
      <c r="AC1" s="5"/>
      <c r="AD1" s="5"/>
      <c r="AE1" s="5"/>
      <c r="AF1" s="5"/>
      <c r="AG1" s="5"/>
      <c r="AH1" s="5"/>
      <c r="DG1" s="759"/>
      <c r="DH1" s="247"/>
      <c r="DI1" s="247"/>
      <c r="DJ1" s="1071"/>
    </row>
    <row r="2" spans="1:114" s="2" customFormat="1" ht="30" hidden="1" customHeight="1" outlineLevel="1" x14ac:dyDescent="0.35">
      <c r="A2" s="37"/>
      <c r="B2" s="435"/>
      <c r="C2" s="58"/>
      <c r="D2" s="2324" t="s">
        <v>40</v>
      </c>
      <c r="E2" s="2374"/>
      <c r="F2" s="2375"/>
      <c r="G2" s="2375"/>
      <c r="H2" s="2375"/>
      <c r="I2" s="2375"/>
      <c r="J2" s="2375"/>
      <c r="K2" s="246"/>
      <c r="L2" s="246"/>
      <c r="M2" s="247"/>
      <c r="N2" s="247"/>
      <c r="O2" s="247"/>
      <c r="P2" s="247"/>
      <c r="Q2" s="247"/>
      <c r="R2" s="247"/>
      <c r="S2" s="247"/>
      <c r="T2" s="247"/>
      <c r="U2" s="247"/>
      <c r="Y2" s="21"/>
      <c r="DG2" s="759"/>
      <c r="DH2" s="247"/>
      <c r="DI2" s="247"/>
      <c r="DJ2" s="1071"/>
    </row>
    <row r="3" spans="1:114" s="2" customFormat="1" ht="33.75" customHeight="1" collapsed="1" x14ac:dyDescent="0.25">
      <c r="A3" s="37"/>
      <c r="B3" s="247"/>
      <c r="C3" s="59"/>
      <c r="D3" s="60"/>
      <c r="E3" s="60"/>
      <c r="F3" s="59"/>
      <c r="G3" s="59"/>
      <c r="H3" s="59"/>
      <c r="I3" s="59"/>
      <c r="J3" s="59"/>
      <c r="K3" s="247"/>
      <c r="L3" s="247"/>
      <c r="M3" s="247"/>
      <c r="N3" s="247"/>
      <c r="O3" s="247"/>
      <c r="P3" s="247"/>
      <c r="Q3" s="247"/>
      <c r="R3" s="247"/>
      <c r="S3" s="247"/>
      <c r="T3" s="247"/>
      <c r="U3" s="247"/>
      <c r="Y3" s="21"/>
      <c r="DG3" s="759"/>
      <c r="DH3" s="247"/>
      <c r="DI3" s="247"/>
      <c r="DJ3" s="1071"/>
    </row>
    <row r="4" spans="1:114" x14ac:dyDescent="0.25">
      <c r="B4" s="2449" t="s">
        <v>1374</v>
      </c>
      <c r="C4" s="2449"/>
      <c r="D4" s="2449"/>
      <c r="E4" s="2449"/>
      <c r="F4" s="2449"/>
      <c r="G4" s="2449"/>
      <c r="H4" s="2449"/>
      <c r="I4" s="2449"/>
      <c r="J4" s="2449"/>
      <c r="K4" s="2449"/>
      <c r="L4" s="2449"/>
      <c r="M4" s="2449"/>
      <c r="N4" s="2450"/>
      <c r="O4" s="2450"/>
      <c r="P4" s="2450"/>
      <c r="Q4" s="2450"/>
      <c r="R4" s="2450"/>
      <c r="V4" s="2339" t="str">
        <f>B4</f>
        <v>AC Tune-Up</v>
      </c>
      <c r="W4" s="2340"/>
      <c r="X4" s="2340"/>
      <c r="Y4" s="2340"/>
      <c r="Z4" s="2340"/>
      <c r="AA4" s="2340"/>
      <c r="AB4" s="2340"/>
      <c r="AC4" s="2341"/>
      <c r="AD4" s="2341"/>
      <c r="AE4" s="2341"/>
      <c r="AF4" s="2341"/>
      <c r="AG4" s="2341"/>
      <c r="AH4" s="2341"/>
      <c r="AI4" s="2342"/>
      <c r="DI4" s="247"/>
    </row>
    <row r="5" spans="1:114" x14ac:dyDescent="0.25">
      <c r="B5" s="549"/>
      <c r="D5" s="1929"/>
      <c r="E5" s="553"/>
      <c r="F5" s="264"/>
      <c r="G5" s="264"/>
      <c r="H5" s="264"/>
      <c r="I5" s="264"/>
      <c r="J5" s="264"/>
      <c r="K5" s="264"/>
      <c r="L5" s="554"/>
      <c r="DI5" s="247"/>
    </row>
    <row r="6" spans="1:114" ht="30" x14ac:dyDescent="0.25">
      <c r="A6" s="2147"/>
      <c r="B6" s="549"/>
      <c r="C6" s="1242" t="s">
        <v>43</v>
      </c>
      <c r="D6" s="1242" t="s">
        <v>597</v>
      </c>
      <c r="E6" s="1242" t="s">
        <v>45</v>
      </c>
      <c r="F6" s="1242" t="s">
        <v>46</v>
      </c>
      <c r="G6" s="1242" t="s">
        <v>47</v>
      </c>
      <c r="H6" s="1242" t="s">
        <v>48</v>
      </c>
      <c r="I6" s="1242" t="s">
        <v>49</v>
      </c>
      <c r="J6" s="1254" t="s">
        <v>50</v>
      </c>
      <c r="K6" s="1242" t="s">
        <v>51</v>
      </c>
      <c r="L6" s="1242" t="s">
        <v>52</v>
      </c>
      <c r="V6" s="636" t="s">
        <v>53</v>
      </c>
      <c r="W6" s="637">
        <v>43252</v>
      </c>
      <c r="X6" s="637">
        <v>43465</v>
      </c>
      <c r="Y6" s="110">
        <v>43800</v>
      </c>
      <c r="Z6" s="637">
        <v>43862</v>
      </c>
      <c r="AA6" s="637">
        <v>44013</v>
      </c>
      <c r="AB6" s="637">
        <v>44166</v>
      </c>
      <c r="AC6" s="637">
        <v>44531</v>
      </c>
      <c r="AD6" s="163">
        <v>44774</v>
      </c>
      <c r="AE6" s="637">
        <v>45139</v>
      </c>
      <c r="AF6" s="637">
        <f>'Deemed Savings Tbl Revision Log'!C17</f>
        <v>45672</v>
      </c>
      <c r="AG6" s="637">
        <f>'Deemed Savings Tbl Revision Log'!$C$18</f>
        <v>45971</v>
      </c>
      <c r="DG6" s="1007" t="str">
        <f>'Efficient Products Deemed Table'!$DG$6</f>
        <v>TRC (2025)</v>
      </c>
      <c r="DH6" s="1007" t="str">
        <f>'Efficient Products Deemed Table'!$DH$6</f>
        <v>Benefit Lookup</v>
      </c>
      <c r="DI6" s="1007" t="str">
        <f>'Efficient Products Deemed Table'!$DI$6</f>
        <v>Benefits (2025 $)</v>
      </c>
      <c r="DJ6" s="1007" t="str">
        <f>'Efficient Products Deemed Table'!$DJ$6</f>
        <v>Incremental Cost (2025 $)</v>
      </c>
    </row>
    <row r="7" spans="1:114" x14ac:dyDescent="0.25">
      <c r="A7" s="2147" t="s">
        <v>840</v>
      </c>
      <c r="B7" s="1318">
        <f t="shared" ref="B7:B9" si="0">VALUE(LEFT(C7,6))</f>
        <v>400150</v>
      </c>
      <c r="C7" s="660" t="s">
        <v>1375</v>
      </c>
      <c r="D7" s="1994" t="s">
        <v>810</v>
      </c>
      <c r="E7" s="80" t="s">
        <v>1376</v>
      </c>
      <c r="F7" s="253">
        <f>ROUND(($G$17*$G$18*(1/$G$20-1/$G$22)/$G$24),2)</f>
        <v>548.96</v>
      </c>
      <c r="G7" s="526" t="s">
        <v>694</v>
      </c>
      <c r="H7" s="66">
        <f>VLOOKUP(G7,'CP FACTORS'!$A$3:$B$38, 2, FALSE)</f>
        <v>9.4741810000000004E-4</v>
      </c>
      <c r="I7" s="525">
        <f t="shared" ref="I7" si="1">ROUND(F7*H7,6)</f>
        <v>0.52009499999999997</v>
      </c>
      <c r="J7" s="249">
        <f>$G$25</f>
        <v>2</v>
      </c>
      <c r="K7" s="1422">
        <f>G26</f>
        <v>185</v>
      </c>
      <c r="L7" s="768" t="s">
        <v>63</v>
      </c>
      <c r="R7" s="510"/>
      <c r="V7" s="337" t="s">
        <v>46</v>
      </c>
      <c r="W7" s="364">
        <v>594.39336108275074</v>
      </c>
      <c r="X7" s="251">
        <v>594.39336108275074</v>
      </c>
      <c r="Y7" s="252">
        <v>594.39</v>
      </c>
      <c r="Z7" s="252">
        <v>594.39</v>
      </c>
      <c r="AA7" s="252">
        <v>594.39</v>
      </c>
      <c r="AB7" s="252">
        <v>594.39</v>
      </c>
      <c r="AC7" s="252">
        <v>586.71</v>
      </c>
      <c r="AD7" s="253">
        <v>594.87</v>
      </c>
      <c r="AE7" s="253">
        <v>592.23</v>
      </c>
      <c r="AF7" s="253">
        <v>591.36</v>
      </c>
      <c r="AG7" s="253">
        <f>IF(F7&lt;&gt;"",F7,"")</f>
        <v>548.96</v>
      </c>
      <c r="AK7" s="339"/>
      <c r="DG7" s="994">
        <f t="shared" ref="DG7" si="2">(DI7)/(DJ7)</f>
        <v>1.1095332790980033</v>
      </c>
      <c r="DH7" s="641" t="str">
        <f t="shared" ref="DH7" si="3">CONCATENATE(G7," ",J7," Year EUL")</f>
        <v>Cooling RES 2 Year EUL</v>
      </c>
      <c r="DI7" s="527">
        <f>(INDEX('Avoided Cost Benefits'!$B$4:$B$865,MATCH(DH7,'Avoided Cost Benefits'!$A$4:$A$865,0)))*F7</f>
        <v>205.26365663313061</v>
      </c>
      <c r="DJ7" s="1846">
        <f t="shared" ref="DJ7:DJ9" si="4">IFERROR(K7/((1+DiscountRate)^(CurrentYear-DiscountYear)),0)</f>
        <v>185</v>
      </c>
    </row>
    <row r="8" spans="1:114" s="1321" customFormat="1" x14ac:dyDescent="0.25">
      <c r="A8" s="2147" t="s">
        <v>840</v>
      </c>
      <c r="B8" s="1318">
        <f t="shared" si="0"/>
        <v>400410</v>
      </c>
      <c r="C8" s="101" t="s">
        <v>1377</v>
      </c>
      <c r="D8" s="1994" t="s">
        <v>810</v>
      </c>
      <c r="E8" s="1248" t="s">
        <v>1378</v>
      </c>
      <c r="F8" s="101">
        <f>ROUND(G17*G18*(1/G$21-1/G$23)/G24,2)</f>
        <v>183.84</v>
      </c>
      <c r="G8" s="1311" t="s">
        <v>694</v>
      </c>
      <c r="H8" s="875">
        <f>VLOOKUP(G8,'CP FACTORS'!$A$3:$B$38, 2, FALSE)</f>
        <v>9.4741810000000004E-4</v>
      </c>
      <c r="I8" s="1311">
        <f>ROUND(F8*H8,6)</f>
        <v>0.17417299999999999</v>
      </c>
      <c r="J8" s="876">
        <f>$G$25</f>
        <v>2</v>
      </c>
      <c r="K8" s="2154">
        <f>G27</f>
        <v>81</v>
      </c>
      <c r="L8" s="1311" t="s">
        <v>63</v>
      </c>
      <c r="M8" s="265"/>
      <c r="N8" s="265"/>
      <c r="O8" s="265"/>
      <c r="P8" s="265"/>
      <c r="Q8" s="265"/>
      <c r="R8" s="265"/>
      <c r="S8" s="265"/>
      <c r="T8" s="265"/>
      <c r="U8" s="265"/>
      <c r="V8" s="1249" t="s">
        <v>46</v>
      </c>
      <c r="W8" s="1356"/>
      <c r="X8" s="796"/>
      <c r="Y8" s="797"/>
      <c r="Z8" s="797"/>
      <c r="AA8" s="797"/>
      <c r="AB8" s="797"/>
      <c r="AC8" s="252">
        <v>365.21</v>
      </c>
      <c r="AD8" s="101">
        <v>370.29</v>
      </c>
      <c r="AE8" s="101">
        <v>368.65</v>
      </c>
      <c r="AF8" s="253">
        <v>368.11</v>
      </c>
      <c r="AG8" s="253">
        <f t="shared" ref="AG8:AG9" si="5">IF(F8&lt;&gt;"",F8,"")</f>
        <v>183.84</v>
      </c>
      <c r="AH8" s="255"/>
      <c r="DG8" s="994">
        <f>(DI8)/(DJ8)</f>
        <v>0.84864557887765169</v>
      </c>
      <c r="DH8" s="641" t="str">
        <f>CONCATENATE(G8," ",J8," Year EUL")</f>
        <v>Cooling RES 2 Year EUL</v>
      </c>
      <c r="DI8" s="527">
        <f>(INDEX('Avoided Cost Benefits'!$B$4:$B$865,MATCH(DH8,'Avoided Cost Benefits'!$A$4:$A$865,0)))*F8</f>
        <v>68.740291889089789</v>
      </c>
      <c r="DJ8" s="1846">
        <f t="shared" si="4"/>
        <v>81</v>
      </c>
    </row>
    <row r="9" spans="1:114" s="1321" customFormat="1" x14ac:dyDescent="0.25">
      <c r="A9" s="2147" t="s">
        <v>602</v>
      </c>
      <c r="B9" s="1318">
        <f t="shared" si="0"/>
        <v>400411</v>
      </c>
      <c r="C9" s="101" t="s">
        <v>1379</v>
      </c>
      <c r="D9" s="1994" t="s">
        <v>810</v>
      </c>
      <c r="E9" s="1248" t="s">
        <v>1380</v>
      </c>
      <c r="F9" s="1311">
        <f>ROUND(G17*G19*(1/G$20-1/G$22)/G24,2)</f>
        <v>417.82</v>
      </c>
      <c r="G9" s="1311" t="s">
        <v>694</v>
      </c>
      <c r="H9" s="875">
        <f>VLOOKUP(G9,'CP FACTORS'!$A$3:$B$38, 2, FALSE)</f>
        <v>9.4741810000000004E-4</v>
      </c>
      <c r="I9" s="1311">
        <f>ROUND(F9*H9,6)</f>
        <v>0.39584999999999998</v>
      </c>
      <c r="J9" s="876">
        <f>$G$25</f>
        <v>2</v>
      </c>
      <c r="K9" s="144">
        <f>G26</f>
        <v>185</v>
      </c>
      <c r="L9" s="1311" t="s">
        <v>63</v>
      </c>
      <c r="M9" s="265"/>
      <c r="N9" s="265"/>
      <c r="O9" s="265"/>
      <c r="P9" s="265"/>
      <c r="Q9" s="265"/>
      <c r="R9" s="265"/>
      <c r="S9" s="265"/>
      <c r="T9" s="265"/>
      <c r="U9" s="265"/>
      <c r="V9" s="1249" t="s">
        <v>46</v>
      </c>
      <c r="W9" s="1356"/>
      <c r="X9" s="796"/>
      <c r="Y9" s="797"/>
      <c r="Z9" s="797"/>
      <c r="AA9" s="797"/>
      <c r="AB9" s="797"/>
      <c r="AC9" s="252">
        <v>237.39</v>
      </c>
      <c r="AD9" s="101">
        <v>240.69</v>
      </c>
      <c r="AE9" s="101">
        <v>239.62</v>
      </c>
      <c r="AF9" s="253">
        <v>239.27</v>
      </c>
      <c r="AG9" s="253">
        <f t="shared" si="5"/>
        <v>417.82</v>
      </c>
      <c r="AH9" s="255"/>
      <c r="DG9" s="994">
        <f>(DI9)/(DJ9)</f>
        <v>0.84447900516017149</v>
      </c>
      <c r="DH9" s="641" t="str">
        <f>CONCATENATE(G9," ",J9," Year EUL")</f>
        <v>Cooling RES 2 Year EUL</v>
      </c>
      <c r="DI9" s="527">
        <f>(INDEX('Avoided Cost Benefits'!$B$4:$B$865,MATCH(DH9,'Avoided Cost Benefits'!$A$4:$A$865,0)))*F9</f>
        <v>156.22861595463172</v>
      </c>
      <c r="DJ9" s="1846">
        <f t="shared" si="4"/>
        <v>185</v>
      </c>
    </row>
    <row r="10" spans="1:114" s="1321" customFormat="1" x14ac:dyDescent="0.25">
      <c r="A10" s="2147" t="s">
        <v>602</v>
      </c>
      <c r="B10" s="37">
        <f t="shared" ref="B10" si="6">VALUE(LEFT(C10,6))</f>
        <v>400415</v>
      </c>
      <c r="C10" s="101" t="s">
        <v>1381</v>
      </c>
      <c r="D10" s="1994" t="s">
        <v>810</v>
      </c>
      <c r="E10" s="1962" t="s">
        <v>1382</v>
      </c>
      <c r="F10" s="101">
        <f>ROUND(G17*G19*(1/G$21-1/G$23)/G24,2)</f>
        <v>139.93</v>
      </c>
      <c r="G10" s="101" t="s">
        <v>694</v>
      </c>
      <c r="H10" s="2158">
        <f>VLOOKUP(G10,'CP FACTORS'!$A$3:$B$38, 2, FALSE)</f>
        <v>9.4741810000000004E-4</v>
      </c>
      <c r="I10" s="101">
        <f>ROUND(F10*H10,6)</f>
        <v>0.132572</v>
      </c>
      <c r="J10" s="2159">
        <f>$G$25</f>
        <v>2</v>
      </c>
      <c r="K10" s="2154">
        <f>G27</f>
        <v>81</v>
      </c>
      <c r="L10" s="101" t="s">
        <v>63</v>
      </c>
      <c r="V10" s="644" t="s">
        <v>46</v>
      </c>
      <c r="W10" s="2160"/>
      <c r="X10" s="2161"/>
      <c r="Y10" s="2162"/>
      <c r="Z10" s="2162"/>
      <c r="AA10" s="2162"/>
      <c r="AB10" s="2162"/>
      <c r="AC10" s="2162"/>
      <c r="AD10" s="2162"/>
      <c r="AE10" s="2162"/>
      <c r="AF10" s="2162"/>
      <c r="AG10" s="253">
        <f t="shared" ref="AG10" si="7">IF(F10&lt;&gt;"",F10,"")</f>
        <v>139.93</v>
      </c>
      <c r="DG10" s="2163">
        <f>(DI10)/(DJ10)</f>
        <v>0.64594743174689839</v>
      </c>
      <c r="DH10" s="815" t="str">
        <f>CONCATENATE(G10," ",J10," Year EUL")</f>
        <v>Cooling RES 2 Year EUL</v>
      </c>
      <c r="DI10" s="2164">
        <f>(INDEX('Avoided Cost Benefits'!$B$4:$B$865,MATCH(DH10,'Avoided Cost Benefits'!$A$4:$A$865,0)))*F10</f>
        <v>52.321741971498774</v>
      </c>
      <c r="DJ10" s="1846">
        <f t="shared" ref="DJ10" si="8">IFERROR(K10/((1+DiscountRate)^(CurrentYear-DiscountYear)),0)</f>
        <v>81</v>
      </c>
    </row>
    <row r="11" spans="1:114" hidden="1" outlineLevel="1" x14ac:dyDescent="0.25">
      <c r="A11" s="2147"/>
      <c r="B11" s="549"/>
      <c r="C11" s="62"/>
      <c r="D11" s="74" t="s">
        <v>95</v>
      </c>
      <c r="E11" s="126" t="s">
        <v>1383</v>
      </c>
      <c r="F11" s="69"/>
      <c r="G11" s="64"/>
      <c r="H11" s="64"/>
      <c r="I11" s="64"/>
      <c r="J11" s="64"/>
      <c r="V11" s="73"/>
      <c r="W11" s="73"/>
      <c r="X11" s="73"/>
      <c r="Y11" s="365"/>
      <c r="Z11" s="73"/>
      <c r="AA11" s="73"/>
      <c r="AB11" s="73"/>
      <c r="AC11" s="73"/>
      <c r="AD11" s="73"/>
      <c r="AE11" s="73"/>
      <c r="AF11" s="73"/>
      <c r="AG11" s="73"/>
      <c r="AK11" s="339"/>
    </row>
    <row r="12" spans="1:114" hidden="1" outlineLevel="1" x14ac:dyDescent="0.25">
      <c r="A12" s="2147"/>
      <c r="B12" s="549"/>
      <c r="C12" s="62"/>
      <c r="D12" s="74" t="s">
        <v>609</v>
      </c>
      <c r="E12" s="96" t="s">
        <v>1384</v>
      </c>
      <c r="F12" s="547"/>
      <c r="G12" s="64"/>
      <c r="H12" s="64"/>
      <c r="I12" s="64"/>
      <c r="J12" s="64"/>
      <c r="V12" s="73"/>
      <c r="W12" s="73"/>
      <c r="X12" s="73"/>
      <c r="Y12" s="365"/>
      <c r="Z12" s="73"/>
      <c r="AA12" s="73"/>
      <c r="AB12" s="73"/>
      <c r="AC12" s="73"/>
      <c r="AD12" s="73"/>
      <c r="AE12" s="73"/>
      <c r="AF12" s="73"/>
      <c r="AG12" s="73"/>
      <c r="AK12" s="339"/>
    </row>
    <row r="13" spans="1:114" hidden="1" outlineLevel="1" x14ac:dyDescent="0.25">
      <c r="A13" s="2147"/>
      <c r="B13" s="549"/>
      <c r="C13" s="62"/>
      <c r="D13" s="1313"/>
      <c r="E13" s="141" t="s">
        <v>1385</v>
      </c>
      <c r="F13" s="547"/>
      <c r="G13" s="64"/>
      <c r="H13" s="64"/>
      <c r="I13" s="64"/>
      <c r="J13" s="64"/>
      <c r="K13" s="64"/>
      <c r="L13" s="64"/>
      <c r="V13" s="73"/>
      <c r="W13" s="73"/>
      <c r="X13" s="73"/>
      <c r="Y13" s="365"/>
      <c r="Z13" s="73"/>
      <c r="AA13" s="73"/>
      <c r="AB13" s="73"/>
      <c r="AC13" s="73"/>
      <c r="AD13" s="73"/>
      <c r="AE13" s="73"/>
      <c r="AF13" s="73"/>
      <c r="AG13" s="73"/>
      <c r="AK13" s="339"/>
    </row>
    <row r="14" spans="1:114" ht="15" hidden="1" customHeight="1" outlineLevel="1" x14ac:dyDescent="0.25">
      <c r="A14" s="2147"/>
      <c r="B14" s="549"/>
      <c r="C14" s="62"/>
      <c r="D14" s="1313"/>
      <c r="E14" s="96" t="s">
        <v>717</v>
      </c>
      <c r="F14" s="547"/>
      <c r="G14" s="64"/>
      <c r="H14" s="64"/>
      <c r="I14" s="64"/>
      <c r="J14" s="64"/>
      <c r="K14" s="64"/>
      <c r="L14" s="64"/>
      <c r="AK14" s="339"/>
    </row>
    <row r="15" spans="1:114" ht="15" hidden="1" customHeight="1" outlineLevel="1" x14ac:dyDescent="0.25">
      <c r="A15" s="2147"/>
      <c r="B15" s="549"/>
      <c r="C15" s="62"/>
      <c r="D15" s="63"/>
      <c r="E15" s="63"/>
      <c r="F15" s="64"/>
      <c r="G15" s="64"/>
      <c r="H15" s="64"/>
      <c r="I15" s="64"/>
      <c r="J15" s="64"/>
      <c r="K15" s="64"/>
      <c r="L15" s="64"/>
      <c r="AK15" s="339"/>
    </row>
    <row r="16" spans="1:114" ht="15" hidden="1" customHeight="1" outlineLevel="1" x14ac:dyDescent="0.25">
      <c r="A16" s="2147"/>
      <c r="B16" s="549"/>
      <c r="C16" s="62"/>
      <c r="D16" s="1309" t="s">
        <v>720</v>
      </c>
      <c r="E16" s="1309" t="s">
        <v>613</v>
      </c>
      <c r="F16" s="1309" t="s">
        <v>614</v>
      </c>
      <c r="G16" s="1242" t="s">
        <v>615</v>
      </c>
      <c r="H16" s="2378" t="s">
        <v>616</v>
      </c>
      <c r="I16" s="2378"/>
      <c r="J16" s="2378"/>
      <c r="K16" s="2378" t="s">
        <v>617</v>
      </c>
      <c r="L16" s="2378"/>
      <c r="M16" s="2378"/>
      <c r="N16" s="2378"/>
      <c r="V16" s="636" t="s">
        <v>53</v>
      </c>
      <c r="W16" s="637">
        <f>W$6</f>
        <v>43252</v>
      </c>
      <c r="X16" s="637">
        <f t="shared" ref="X16:AG16" si="9">X$6</f>
        <v>43465</v>
      </c>
      <c r="Y16" s="110">
        <f t="shared" si="9"/>
        <v>43800</v>
      </c>
      <c r="Z16" s="637">
        <f t="shared" si="9"/>
        <v>43862</v>
      </c>
      <c r="AA16" s="637">
        <f t="shared" si="9"/>
        <v>44013</v>
      </c>
      <c r="AB16" s="637">
        <f t="shared" si="9"/>
        <v>44166</v>
      </c>
      <c r="AC16" s="637">
        <f t="shared" si="9"/>
        <v>44531</v>
      </c>
      <c r="AD16" s="637">
        <f t="shared" si="9"/>
        <v>44774</v>
      </c>
      <c r="AE16" s="637">
        <f t="shared" si="9"/>
        <v>45139</v>
      </c>
      <c r="AF16" s="637">
        <f t="shared" si="9"/>
        <v>45672</v>
      </c>
      <c r="AG16" s="637">
        <f t="shared" si="9"/>
        <v>45971</v>
      </c>
      <c r="AK16" s="339"/>
    </row>
    <row r="17" spans="1:114" ht="18" hidden="1" customHeight="1" outlineLevel="1" x14ac:dyDescent="0.25">
      <c r="A17" s="2147"/>
      <c r="B17" s="549"/>
      <c r="C17" s="62"/>
      <c r="D17" s="1243" t="s">
        <v>1386</v>
      </c>
      <c r="E17" s="1243" t="s">
        <v>1067</v>
      </c>
      <c r="F17" s="331" t="s">
        <v>753</v>
      </c>
      <c r="G17" s="1541">
        <v>869</v>
      </c>
      <c r="H17" s="2575" t="s">
        <v>1387</v>
      </c>
      <c r="I17" s="2590"/>
      <c r="J17" s="2576"/>
      <c r="K17" s="2443"/>
      <c r="L17" s="2443"/>
      <c r="M17" s="2443"/>
      <c r="N17" s="2443"/>
      <c r="V17" s="1868" t="str">
        <f>D17</f>
        <v>EFLHcool</v>
      </c>
      <c r="W17" s="1366">
        <v>869</v>
      </c>
      <c r="X17" s="1366">
        <v>869</v>
      </c>
      <c r="Y17" s="1366">
        <v>869</v>
      </c>
      <c r="Z17" s="328">
        <v>869</v>
      </c>
      <c r="AA17" s="328">
        <v>869</v>
      </c>
      <c r="AB17" s="328">
        <v>869</v>
      </c>
      <c r="AC17" s="809">
        <v>869</v>
      </c>
      <c r="AD17" s="809">
        <v>869</v>
      </c>
      <c r="AE17" s="809">
        <v>869</v>
      </c>
      <c r="AF17" s="253">
        <v>869</v>
      </c>
      <c r="AG17" s="253">
        <v>869</v>
      </c>
      <c r="AK17" s="339"/>
    </row>
    <row r="18" spans="1:114" ht="30.75" hidden="1" customHeight="1" outlineLevel="1" x14ac:dyDescent="0.25">
      <c r="A18" s="2147"/>
      <c r="B18" s="549"/>
      <c r="C18" s="62"/>
      <c r="D18" s="2366" t="s">
        <v>1388</v>
      </c>
      <c r="E18" s="2366" t="s">
        <v>1296</v>
      </c>
      <c r="F18" s="331" t="s">
        <v>757</v>
      </c>
      <c r="G18" s="1947">
        <v>33986.8635772165</v>
      </c>
      <c r="H18" s="2566" t="s">
        <v>1389</v>
      </c>
      <c r="I18" s="2566"/>
      <c r="J18" s="2566"/>
      <c r="K18" s="2534"/>
      <c r="L18" s="2534"/>
      <c r="M18" s="2534"/>
      <c r="N18" s="2534"/>
      <c r="V18" s="2655" t="str">
        <f>D18</f>
        <v>Capacitycool</v>
      </c>
      <c r="W18" s="1366">
        <v>36800</v>
      </c>
      <c r="X18" s="1366">
        <v>36800</v>
      </c>
      <c r="Y18" s="1366">
        <v>36800</v>
      </c>
      <c r="Z18" s="328">
        <v>36800</v>
      </c>
      <c r="AA18" s="328">
        <v>36800</v>
      </c>
      <c r="AB18" s="328">
        <v>36800</v>
      </c>
      <c r="AC18" s="809">
        <v>36324</v>
      </c>
      <c r="AD18" s="925">
        <v>36829.5</v>
      </c>
      <c r="AE18" s="925">
        <v>36666</v>
      </c>
      <c r="AF18" s="253">
        <v>36612.294736844204</v>
      </c>
      <c r="AG18" s="1946">
        <v>31575</v>
      </c>
      <c r="AK18" s="339"/>
    </row>
    <row r="19" spans="1:114" ht="32.25" hidden="1" customHeight="1" outlineLevel="1" x14ac:dyDescent="0.25">
      <c r="A19" s="2147"/>
      <c r="B19" s="549"/>
      <c r="C19" s="62"/>
      <c r="D19" s="2366"/>
      <c r="E19" s="2366"/>
      <c r="F19" s="331" t="s">
        <v>759</v>
      </c>
      <c r="G19" s="1947">
        <v>25867.985543085415</v>
      </c>
      <c r="H19" s="2566" t="s">
        <v>1390</v>
      </c>
      <c r="I19" s="2566"/>
      <c r="J19" s="2566"/>
      <c r="K19" s="2443"/>
      <c r="L19" s="2443"/>
      <c r="M19" s="2443"/>
      <c r="N19" s="2443"/>
      <c r="V19" s="2653"/>
      <c r="W19" s="1366">
        <v>23920</v>
      </c>
      <c r="X19" s="1366">
        <v>23920</v>
      </c>
      <c r="Y19" s="1366">
        <v>23920</v>
      </c>
      <c r="Z19" s="328">
        <v>23920</v>
      </c>
      <c r="AA19" s="328">
        <v>23920</v>
      </c>
      <c r="AB19" s="328">
        <v>23920</v>
      </c>
      <c r="AC19" s="809">
        <v>23611</v>
      </c>
      <c r="AD19" s="809">
        <v>23939.174999999999</v>
      </c>
      <c r="AE19" s="809">
        <v>23832.9</v>
      </c>
      <c r="AF19" s="253">
        <v>23797.991578948735</v>
      </c>
      <c r="AG19" s="1946">
        <v>23832.899999999838</v>
      </c>
      <c r="AK19" s="339"/>
    </row>
    <row r="20" spans="1:114" ht="15" hidden="1" customHeight="1" outlineLevel="1" x14ac:dyDescent="0.25">
      <c r="A20" s="2147"/>
      <c r="B20" s="549"/>
      <c r="C20" s="62"/>
      <c r="D20" s="2464" t="s">
        <v>1391</v>
      </c>
      <c r="E20" s="2464" t="s">
        <v>1392</v>
      </c>
      <c r="F20" s="331" t="s">
        <v>1393</v>
      </c>
      <c r="G20" s="1448">
        <v>11.9</v>
      </c>
      <c r="H20" s="2600" t="s">
        <v>1394</v>
      </c>
      <c r="I20" s="2646"/>
      <c r="J20" s="2580"/>
      <c r="K20" s="2366"/>
      <c r="L20" s="2366"/>
      <c r="M20" s="2366"/>
      <c r="N20" s="2366"/>
      <c r="V20" s="2652"/>
      <c r="W20" s="1367">
        <v>11.9</v>
      </c>
      <c r="X20" s="1367">
        <v>11.9</v>
      </c>
      <c r="Y20" s="1367">
        <v>11.9</v>
      </c>
      <c r="Z20" s="1252">
        <v>11.9</v>
      </c>
      <c r="AA20" s="1252">
        <v>11.9</v>
      </c>
      <c r="AB20" s="1252">
        <v>11.9</v>
      </c>
      <c r="AC20" s="809">
        <v>11.9</v>
      </c>
      <c r="AD20" s="809">
        <v>11.9</v>
      </c>
      <c r="AE20" s="809">
        <v>11.9</v>
      </c>
      <c r="AF20" s="253">
        <v>11.9</v>
      </c>
      <c r="AG20" s="253">
        <f>IF(G20&lt;&gt;"",G20,"")</f>
        <v>11.9</v>
      </c>
      <c r="AK20" s="339"/>
    </row>
    <row r="21" spans="1:114" ht="15" hidden="1" customHeight="1" outlineLevel="1" x14ac:dyDescent="0.25">
      <c r="A21" s="2147"/>
      <c r="C21" s="62"/>
      <c r="D21" s="2466"/>
      <c r="E21" s="2466"/>
      <c r="F21" s="331" t="s">
        <v>1395</v>
      </c>
      <c r="G21" s="1448">
        <v>11.9</v>
      </c>
      <c r="H21" s="2634"/>
      <c r="I21" s="2647"/>
      <c r="J21" s="2648"/>
      <c r="K21" s="2366"/>
      <c r="L21" s="2366"/>
      <c r="M21" s="2366"/>
      <c r="N21" s="2366"/>
      <c r="V21" s="2653"/>
      <c r="W21" s="1356"/>
      <c r="X21" s="796"/>
      <c r="Y21" s="797"/>
      <c r="Z21" s="797"/>
      <c r="AA21" s="797"/>
      <c r="AB21" s="797"/>
      <c r="AC21" s="718">
        <v>11.9</v>
      </c>
      <c r="AD21" s="1252">
        <v>11.9</v>
      </c>
      <c r="AE21" s="1252">
        <v>11.9</v>
      </c>
      <c r="AF21" s="253">
        <v>11.9</v>
      </c>
      <c r="AG21" s="253">
        <f t="shared" ref="AG21:AG28" si="10">IF(G21&lt;&gt;"",G21,"")</f>
        <v>11.9</v>
      </c>
      <c r="AK21" s="339"/>
    </row>
    <row r="22" spans="1:114" ht="36.75" hidden="1" customHeight="1" outlineLevel="1" x14ac:dyDescent="0.25">
      <c r="A22" s="2147"/>
      <c r="B22" s="549"/>
      <c r="C22" s="62"/>
      <c r="D22" s="2464" t="s">
        <v>1396</v>
      </c>
      <c r="E22" s="2464" t="s">
        <v>1397</v>
      </c>
      <c r="F22" s="331" t="s">
        <v>1398</v>
      </c>
      <c r="G22" s="1448">
        <f>G20*(1+0.284)</f>
        <v>15.2796</v>
      </c>
      <c r="H22" s="2366" t="s">
        <v>1399</v>
      </c>
      <c r="I22" s="2366"/>
      <c r="J22" s="2366"/>
      <c r="K22" s="2443" t="s">
        <v>1400</v>
      </c>
      <c r="L22" s="2443"/>
      <c r="M22" s="2443"/>
      <c r="N22" s="2443"/>
      <c r="V22" s="2652"/>
      <c r="W22" s="1367">
        <v>15.2796</v>
      </c>
      <c r="X22" s="1367">
        <f>X20*(1+0.284)</f>
        <v>15.2796</v>
      </c>
      <c r="Y22" s="1367">
        <f>Y20*(1+0.284)</f>
        <v>15.2796</v>
      </c>
      <c r="Z22" s="1252">
        <f>Z20*(1+0.284)</f>
        <v>15.2796</v>
      </c>
      <c r="AA22" s="1252">
        <f>AA20*(1+0.284)</f>
        <v>15.2796</v>
      </c>
      <c r="AB22" s="1252">
        <v>15.2796</v>
      </c>
      <c r="AC22" s="1252">
        <v>15.2796</v>
      </c>
      <c r="AD22" s="1252">
        <v>15.2796</v>
      </c>
      <c r="AE22" s="1252">
        <v>15.2796</v>
      </c>
      <c r="AF22" s="253">
        <v>15.2796</v>
      </c>
      <c r="AG22" s="253">
        <f t="shared" si="10"/>
        <v>15.2796</v>
      </c>
      <c r="AK22" s="339"/>
    </row>
    <row r="23" spans="1:114" ht="36" hidden="1" customHeight="1" outlineLevel="1" x14ac:dyDescent="0.25">
      <c r="A23" s="2147"/>
      <c r="C23" s="62"/>
      <c r="D23" s="2466"/>
      <c r="E23" s="2466"/>
      <c r="F23" s="1730" t="s">
        <v>1401</v>
      </c>
      <c r="G23" s="1991">
        <f>G21*(1+0.08)</f>
        <v>12.852000000000002</v>
      </c>
      <c r="H23" s="2366" t="s">
        <v>1402</v>
      </c>
      <c r="I23" s="2366"/>
      <c r="J23" s="2366"/>
      <c r="K23" s="2443"/>
      <c r="L23" s="2443"/>
      <c r="M23" s="2443"/>
      <c r="N23" s="2443"/>
      <c r="V23" s="2653"/>
      <c r="W23" s="1356"/>
      <c r="X23" s="796"/>
      <c r="Y23" s="797"/>
      <c r="Z23" s="797"/>
      <c r="AA23" s="797"/>
      <c r="AB23" s="797"/>
      <c r="AC23" s="718">
        <v>13.8</v>
      </c>
      <c r="AD23" s="1252">
        <v>13.8</v>
      </c>
      <c r="AE23" s="1252">
        <v>13.8</v>
      </c>
      <c r="AF23" s="253">
        <v>13.8</v>
      </c>
      <c r="AG23" s="253">
        <f t="shared" si="10"/>
        <v>12.852000000000002</v>
      </c>
      <c r="AK23" s="339"/>
    </row>
    <row r="24" spans="1:114" ht="15" hidden="1" customHeight="1" outlineLevel="1" x14ac:dyDescent="0.25">
      <c r="A24" s="2147"/>
      <c r="C24" s="62"/>
      <c r="D24" s="332">
        <v>1000</v>
      </c>
      <c r="E24" s="333" t="s">
        <v>1403</v>
      </c>
      <c r="F24" s="331" t="s">
        <v>1404</v>
      </c>
      <c r="G24" s="1541">
        <v>1000</v>
      </c>
      <c r="H24" s="2383" t="s">
        <v>1405</v>
      </c>
      <c r="I24" s="2383"/>
      <c r="J24" s="2383"/>
      <c r="K24" s="2443"/>
      <c r="L24" s="2443"/>
      <c r="M24" s="2443"/>
      <c r="N24" s="2443"/>
      <c r="V24" s="1368">
        <f>D24</f>
        <v>1000</v>
      </c>
      <c r="W24" s="1366">
        <v>1000</v>
      </c>
      <c r="X24" s="1366">
        <v>1000</v>
      </c>
      <c r="Y24" s="1366">
        <v>1000</v>
      </c>
      <c r="Z24" s="328">
        <v>1000</v>
      </c>
      <c r="AA24" s="328">
        <v>1000</v>
      </c>
      <c r="AB24" s="328">
        <v>1000</v>
      </c>
      <c r="AC24" s="328">
        <v>1000</v>
      </c>
      <c r="AD24" s="328">
        <v>1000</v>
      </c>
      <c r="AE24" s="328">
        <v>1000</v>
      </c>
      <c r="AF24" s="253">
        <v>1000</v>
      </c>
      <c r="AG24" s="253">
        <f t="shared" si="10"/>
        <v>1000</v>
      </c>
      <c r="AK24" s="339"/>
    </row>
    <row r="25" spans="1:114" ht="30" hidden="1" customHeight="1" outlineLevel="1" x14ac:dyDescent="0.25">
      <c r="A25" s="2147"/>
      <c r="C25" s="62"/>
      <c r="D25" s="1243" t="str">
        <f>J6</f>
        <v>EUL</v>
      </c>
      <c r="E25" s="1243" t="s">
        <v>801</v>
      </c>
      <c r="F25" s="548" t="s">
        <v>742</v>
      </c>
      <c r="G25" s="1541">
        <v>2</v>
      </c>
      <c r="H25" s="2383" t="s">
        <v>1406</v>
      </c>
      <c r="I25" s="2383"/>
      <c r="J25" s="2383"/>
      <c r="K25" s="2443"/>
      <c r="L25" s="2443"/>
      <c r="M25" s="2443"/>
      <c r="N25" s="2443"/>
      <c r="V25" s="1243" t="str">
        <f>D25</f>
        <v>EUL</v>
      </c>
      <c r="W25" s="1366">
        <v>2</v>
      </c>
      <c r="X25" s="1366">
        <v>2</v>
      </c>
      <c r="Y25" s="1366">
        <v>2</v>
      </c>
      <c r="Z25" s="328">
        <v>2</v>
      </c>
      <c r="AA25" s="328">
        <v>2</v>
      </c>
      <c r="AB25" s="328">
        <v>2</v>
      </c>
      <c r="AC25" s="328">
        <v>2</v>
      </c>
      <c r="AD25" s="328">
        <v>2</v>
      </c>
      <c r="AE25" s="328">
        <v>2</v>
      </c>
      <c r="AF25" s="253">
        <v>2</v>
      </c>
      <c r="AG25" s="253">
        <f t="shared" si="10"/>
        <v>2</v>
      </c>
      <c r="AK25" s="339"/>
    </row>
    <row r="26" spans="1:114" ht="32.450000000000003" hidden="1" customHeight="1" outlineLevel="1" x14ac:dyDescent="0.25">
      <c r="A26" s="2147"/>
      <c r="C26" s="62"/>
      <c r="D26" s="2464" t="s">
        <v>51</v>
      </c>
      <c r="E26" s="2464" t="s">
        <v>688</v>
      </c>
      <c r="F26" s="2155" t="s">
        <v>1407</v>
      </c>
      <c r="G26" s="1443">
        <v>185</v>
      </c>
      <c r="H26" s="2516" t="s">
        <v>1408</v>
      </c>
      <c r="I26" s="2657"/>
      <c r="J26" s="2517"/>
      <c r="K26" s="2579" t="s">
        <v>1409</v>
      </c>
      <c r="L26" s="2583"/>
      <c r="M26" s="2583"/>
      <c r="N26" s="2584"/>
      <c r="V26" s="2656"/>
      <c r="W26" s="1369">
        <v>81</v>
      </c>
      <c r="X26" s="1369">
        <v>81</v>
      </c>
      <c r="Y26" s="1369">
        <v>81</v>
      </c>
      <c r="Z26" s="105">
        <v>81</v>
      </c>
      <c r="AA26" s="105">
        <v>81</v>
      </c>
      <c r="AB26" s="105">
        <v>81</v>
      </c>
      <c r="AC26" s="105">
        <v>81</v>
      </c>
      <c r="AD26" s="105">
        <v>81</v>
      </c>
      <c r="AE26" s="105">
        <v>81</v>
      </c>
      <c r="AF26" s="253">
        <v>81</v>
      </c>
      <c r="AG26" s="253">
        <f t="shared" si="10"/>
        <v>185</v>
      </c>
      <c r="AK26" s="339"/>
    </row>
    <row r="27" spans="1:114" ht="30" hidden="1" outlineLevel="1" x14ac:dyDescent="0.25">
      <c r="A27" s="2147"/>
      <c r="C27" s="62"/>
      <c r="D27" s="2465"/>
      <c r="E27" s="2465"/>
      <c r="F27" s="1248" t="s">
        <v>1410</v>
      </c>
      <c r="G27" s="1443">
        <v>81</v>
      </c>
      <c r="H27" s="2419" t="s">
        <v>1411</v>
      </c>
      <c r="I27" s="2419"/>
      <c r="J27" s="2419"/>
      <c r="K27" s="2581"/>
      <c r="L27" s="2585"/>
      <c r="M27" s="2585"/>
      <c r="N27" s="2582"/>
      <c r="V27" s="2656"/>
      <c r="W27" s="1356"/>
      <c r="X27" s="796"/>
      <c r="Y27" s="797"/>
      <c r="Z27" s="797"/>
      <c r="AA27" s="797"/>
      <c r="AB27" s="797"/>
      <c r="AC27" s="795">
        <v>185</v>
      </c>
      <c r="AD27" s="105">
        <v>185</v>
      </c>
      <c r="AE27" s="105">
        <v>185</v>
      </c>
      <c r="AF27" s="253">
        <v>185</v>
      </c>
      <c r="AG27" s="253">
        <f t="shared" si="10"/>
        <v>81</v>
      </c>
      <c r="AK27" s="339"/>
    </row>
    <row r="28" spans="1:114" ht="30.75" hidden="1" customHeight="1" outlineLevel="1" x14ac:dyDescent="0.25">
      <c r="A28" s="2147"/>
      <c r="C28" s="62"/>
      <c r="D28" s="2466"/>
      <c r="E28" s="2466"/>
      <c r="F28" s="2156" t="s">
        <v>1412</v>
      </c>
      <c r="G28" s="2157">
        <v>185</v>
      </c>
      <c r="H28" s="2654" t="s">
        <v>1411</v>
      </c>
      <c r="I28" s="2654"/>
      <c r="J28" s="2654"/>
      <c r="K28" s="2443"/>
      <c r="L28" s="2443"/>
      <c r="M28" s="2443"/>
      <c r="N28" s="2443"/>
      <c r="V28" s="2656"/>
      <c r="W28" s="1356"/>
      <c r="X28" s="796"/>
      <c r="Y28" s="797"/>
      <c r="Z28" s="797"/>
      <c r="AA28" s="797"/>
      <c r="AB28" s="797"/>
      <c r="AC28" s="795">
        <v>185</v>
      </c>
      <c r="AD28" s="105">
        <v>185</v>
      </c>
      <c r="AE28" s="105">
        <v>185</v>
      </c>
      <c r="AF28" s="253">
        <v>185</v>
      </c>
      <c r="AG28" s="253">
        <f t="shared" si="10"/>
        <v>185</v>
      </c>
      <c r="AK28" s="339"/>
    </row>
    <row r="29" spans="1:114" s="73" customFormat="1" hidden="1" outlineLevel="1" x14ac:dyDescent="0.25">
      <c r="A29" s="2147"/>
      <c r="B29" s="50"/>
      <c r="C29" s="49"/>
      <c r="D29" s="100"/>
      <c r="E29" s="100"/>
      <c r="F29" s="50"/>
      <c r="G29" s="50"/>
      <c r="H29" s="49"/>
      <c r="I29" s="49"/>
      <c r="J29" s="49"/>
      <c r="K29" s="49"/>
      <c r="L29" s="49"/>
      <c r="M29" s="49"/>
      <c r="N29" s="50"/>
      <c r="O29" s="50"/>
      <c r="P29" s="50"/>
      <c r="Q29" s="50"/>
      <c r="R29" s="50"/>
      <c r="S29" s="50"/>
      <c r="T29" s="50"/>
      <c r="U29" s="50"/>
      <c r="AK29" s="339"/>
      <c r="DG29" s="243"/>
      <c r="DH29" s="50"/>
      <c r="DI29" s="50"/>
      <c r="DJ29" s="1030"/>
    </row>
    <row r="30" spans="1:114" s="73" customFormat="1" collapsed="1" x14ac:dyDescent="0.25">
      <c r="A30" s="2147"/>
      <c r="B30" s="50"/>
      <c r="C30" s="49"/>
      <c r="D30" s="100"/>
      <c r="E30" s="100"/>
      <c r="F30" s="50"/>
      <c r="G30" s="50"/>
      <c r="H30" s="49"/>
      <c r="I30" s="49"/>
      <c r="J30" s="49"/>
      <c r="K30" s="49"/>
      <c r="L30" s="49"/>
      <c r="M30" s="49"/>
      <c r="N30" s="50"/>
      <c r="O30" s="50"/>
      <c r="P30" s="50"/>
      <c r="Q30" s="50"/>
      <c r="R30" s="50"/>
      <c r="S30" s="50"/>
      <c r="T30" s="50"/>
      <c r="U30" s="50"/>
      <c r="AK30" s="339"/>
      <c r="DG30" s="243"/>
      <c r="DH30" s="50"/>
      <c r="DI30" s="50"/>
      <c r="DJ30" s="1030"/>
    </row>
    <row r="31" spans="1:114" x14ac:dyDescent="0.25">
      <c r="A31" s="2147"/>
      <c r="B31" s="2388" t="s">
        <v>1413</v>
      </c>
      <c r="C31" s="2389"/>
      <c r="D31" s="2389"/>
      <c r="E31" s="2389"/>
      <c r="F31" s="2389"/>
      <c r="G31" s="2389"/>
      <c r="H31" s="2389"/>
      <c r="I31" s="2390"/>
      <c r="J31" s="2390"/>
      <c r="K31" s="2390"/>
      <c r="L31" s="2390"/>
      <c r="M31" s="2390"/>
      <c r="N31" s="2390"/>
      <c r="O31" s="2390"/>
      <c r="P31" s="2390"/>
      <c r="Q31" s="2390"/>
      <c r="R31" s="2391"/>
      <c r="V31" s="2339" t="str">
        <f>B31</f>
        <v>Air Sealing</v>
      </c>
      <c r="W31" s="2340"/>
      <c r="X31" s="2340"/>
      <c r="Y31" s="2340"/>
      <c r="Z31" s="2340"/>
      <c r="AA31" s="2340"/>
      <c r="AB31" s="2340"/>
      <c r="AC31" s="2341"/>
      <c r="AD31" s="2341"/>
      <c r="AE31" s="2341"/>
      <c r="AF31" s="2341"/>
      <c r="AG31" s="2341"/>
      <c r="AH31" s="2341"/>
      <c r="AI31" s="2342"/>
      <c r="AK31" s="339"/>
    </row>
    <row r="32" spans="1:114" x14ac:dyDescent="0.25">
      <c r="A32" s="2147"/>
      <c r="B32" s="549"/>
      <c r="D32" s="553"/>
      <c r="E32" s="553"/>
      <c r="F32" s="264"/>
      <c r="G32" s="264"/>
      <c r="H32" s="264"/>
      <c r="I32" s="264"/>
      <c r="J32" s="264"/>
      <c r="K32" s="264"/>
      <c r="L32" s="554"/>
      <c r="AK32" s="339"/>
    </row>
    <row r="33" spans="1:114" ht="30" x14ac:dyDescent="0.25">
      <c r="A33" s="2147"/>
      <c r="B33" s="549"/>
      <c r="C33" s="1242" t="s">
        <v>43</v>
      </c>
      <c r="D33" s="1242" t="s">
        <v>597</v>
      </c>
      <c r="E33" s="1242" t="s">
        <v>45</v>
      </c>
      <c r="F33" s="1242" t="s">
        <v>46</v>
      </c>
      <c r="G33" s="1242" t="s">
        <v>47</v>
      </c>
      <c r="H33" s="1242" t="s">
        <v>48</v>
      </c>
      <c r="I33" s="1242" t="s">
        <v>807</v>
      </c>
      <c r="J33" s="1242" t="s">
        <v>808</v>
      </c>
      <c r="K33" s="1242" t="s">
        <v>49</v>
      </c>
      <c r="L33" s="1254" t="s">
        <v>50</v>
      </c>
      <c r="M33" s="1242" t="s">
        <v>51</v>
      </c>
      <c r="N33" s="1242" t="s">
        <v>1414</v>
      </c>
      <c r="V33" s="636" t="s">
        <v>53</v>
      </c>
      <c r="W33" s="637">
        <f>W$6</f>
        <v>43252</v>
      </c>
      <c r="X33" s="637">
        <f t="shared" ref="X33:AG33" si="11">X$6</f>
        <v>43465</v>
      </c>
      <c r="Y33" s="110">
        <f t="shared" si="11"/>
        <v>43800</v>
      </c>
      <c r="Z33" s="637">
        <f t="shared" si="11"/>
        <v>43862</v>
      </c>
      <c r="AA33" s="637">
        <f t="shared" si="11"/>
        <v>44013</v>
      </c>
      <c r="AB33" s="637">
        <f t="shared" si="11"/>
        <v>44166</v>
      </c>
      <c r="AC33" s="637">
        <f t="shared" si="11"/>
        <v>44531</v>
      </c>
      <c r="AD33" s="637">
        <f t="shared" si="11"/>
        <v>44774</v>
      </c>
      <c r="AE33" s="637">
        <f t="shared" si="11"/>
        <v>45139</v>
      </c>
      <c r="AF33" s="637">
        <f t="shared" si="11"/>
        <v>45672</v>
      </c>
      <c r="AG33" s="637">
        <f t="shared" si="11"/>
        <v>45971</v>
      </c>
      <c r="AK33" s="339"/>
      <c r="DG33" s="991" t="str">
        <f>$DG$6</f>
        <v>TRC (2025)</v>
      </c>
      <c r="DH33" s="761" t="str">
        <f>$DH$6</f>
        <v>Benefit Lookup</v>
      </c>
      <c r="DI33" s="1006" t="str">
        <f>$DI$6</f>
        <v>Benefits (2025 $)</v>
      </c>
      <c r="DJ33" s="1031" t="str">
        <f>$DJ$6</f>
        <v>Incremental Cost (2025 $)</v>
      </c>
    </row>
    <row r="34" spans="1:114" x14ac:dyDescent="0.25">
      <c r="A34" s="2147" t="s">
        <v>602</v>
      </c>
      <c r="B34" s="1318">
        <f t="shared" ref="B34:B42" si="12">VALUE(LEFT(C34,6))</f>
        <v>400450</v>
      </c>
      <c r="C34" s="327" t="s">
        <v>1415</v>
      </c>
      <c r="D34" s="1994" t="s">
        <v>810</v>
      </c>
      <c r="E34" s="121" t="s">
        <v>1416</v>
      </c>
      <c r="F34" s="957">
        <f>ROUND(I34+J34,2)</f>
        <v>0.33</v>
      </c>
      <c r="G34" s="132" t="s">
        <v>1417</v>
      </c>
      <c r="H34" s="66">
        <f>VLOOKUP(G34,'CP FACTORS'!$A$3:$B$38, 2, FALSE)</f>
        <v>4.6608050000000002E-4</v>
      </c>
      <c r="I34" s="300">
        <f t="shared" ref="I34:I42" si="13">F49*F58+F58*F76*F$85*F$86</f>
        <v>0.28499999999999998</v>
      </c>
      <c r="J34" s="515">
        <f t="shared" ref="J34:J42" si="14">F67*F58</f>
        <v>4.2999999999999997E-2</v>
      </c>
      <c r="K34" s="256">
        <f>ROUND(H34*F34,6)</f>
        <v>1.54E-4</v>
      </c>
      <c r="L34" s="318">
        <f t="shared" ref="L34:L42" si="15">$F$87</f>
        <v>20</v>
      </c>
      <c r="M34" s="697">
        <f>120*F58/1000</f>
        <v>0.12</v>
      </c>
      <c r="N34" s="318">
        <f>F58</f>
        <v>1</v>
      </c>
      <c r="R34" s="510"/>
      <c r="V34" s="337" t="str">
        <f>$F$33</f>
        <v>kWh Annual Savings</v>
      </c>
      <c r="W34" s="364">
        <v>295.70839999999998</v>
      </c>
      <c r="X34" s="251">
        <v>295.70839999999998</v>
      </c>
      <c r="Y34" s="254">
        <v>0.33</v>
      </c>
      <c r="Z34" s="252">
        <v>0.33</v>
      </c>
      <c r="AA34" s="252">
        <v>0.33</v>
      </c>
      <c r="AB34" s="252">
        <v>0.33</v>
      </c>
      <c r="AC34" s="170">
        <v>0.33</v>
      </c>
      <c r="AD34" s="170">
        <v>0.33</v>
      </c>
      <c r="AE34" s="170">
        <v>0.33</v>
      </c>
      <c r="AF34" s="253">
        <f t="shared" ref="AF34:AF42" si="16">IF(F34&lt;&gt;"",F34,"")</f>
        <v>0.33</v>
      </c>
      <c r="AG34" s="337"/>
      <c r="AK34" s="339"/>
      <c r="DG34" s="993">
        <f t="shared" ref="DG34:DG40" si="17">(DI34)/(DJ34)</f>
        <v>4.1870160967152685</v>
      </c>
      <c r="DH34" s="1272" t="str">
        <f t="shared" ref="DH34:DH40" si="18">CONCATENATE(G34," ",L34," Year EUL")</f>
        <v>Building Shell RES 20 Year EUL</v>
      </c>
      <c r="DI34" s="945">
        <f>(INDEX('Avoided Cost Benefits'!$B$4:$B$865,MATCH(DH34,'Avoided Cost Benefits'!$A$4:$A$865,0)))*F34</f>
        <v>0.50244193160583217</v>
      </c>
      <c r="DJ34" s="1848">
        <f t="shared" ref="DJ34:DJ42" si="19">IFERROR(M34/((1+DiscountRate)^(CurrentYear-DiscountYear)),0)</f>
        <v>0.12</v>
      </c>
    </row>
    <row r="35" spans="1:114" x14ac:dyDescent="0.25">
      <c r="A35" s="2147" t="s">
        <v>602</v>
      </c>
      <c r="B35" s="1318">
        <f t="shared" si="12"/>
        <v>400500</v>
      </c>
      <c r="C35" s="327" t="s">
        <v>1418</v>
      </c>
      <c r="D35" s="1994" t="s">
        <v>810</v>
      </c>
      <c r="E35" s="121" t="s">
        <v>1419</v>
      </c>
      <c r="F35" s="957">
        <f t="shared" ref="F35:F42" si="20">ROUND(I35+J35,2)</f>
        <v>0.25</v>
      </c>
      <c r="G35" s="132" t="s">
        <v>1417</v>
      </c>
      <c r="H35" s="66">
        <f>VLOOKUP(G35,'CP FACTORS'!$A$3:$B$38, 2, FALSE)</f>
        <v>4.6608050000000002E-4</v>
      </c>
      <c r="I35" s="300">
        <f t="shared" si="13"/>
        <v>0.20799999999999999</v>
      </c>
      <c r="J35" s="515">
        <f t="shared" si="14"/>
        <v>4.2999999999999997E-2</v>
      </c>
      <c r="K35" s="256">
        <f t="shared" ref="K35:K42" si="21">ROUND(H35*F35,6)</f>
        <v>1.17E-4</v>
      </c>
      <c r="L35" s="318">
        <f t="shared" si="15"/>
        <v>20</v>
      </c>
      <c r="M35" s="697">
        <f>120*F59/1000</f>
        <v>0.12</v>
      </c>
      <c r="N35" s="318">
        <f>F59</f>
        <v>1</v>
      </c>
      <c r="R35" s="510"/>
      <c r="V35" s="337" t="str">
        <f t="shared" ref="V35:V42" si="22">$F$33</f>
        <v>kWh Annual Savings</v>
      </c>
      <c r="W35" s="364">
        <v>226.28905</v>
      </c>
      <c r="X35" s="251">
        <v>226.28905</v>
      </c>
      <c r="Y35" s="254">
        <v>0.25</v>
      </c>
      <c r="Z35" s="252">
        <v>0.25</v>
      </c>
      <c r="AA35" s="252">
        <v>0.25</v>
      </c>
      <c r="AB35" s="252">
        <v>0.25</v>
      </c>
      <c r="AC35" s="170">
        <v>0.25</v>
      </c>
      <c r="AD35" s="170">
        <v>0.25</v>
      </c>
      <c r="AE35" s="170">
        <v>0.25</v>
      </c>
      <c r="AF35" s="253">
        <f t="shared" si="16"/>
        <v>0.25</v>
      </c>
      <c r="AG35" s="337"/>
      <c r="AK35" s="339"/>
      <c r="DG35" s="994">
        <f t="shared" si="17"/>
        <v>3.1719818914509608</v>
      </c>
      <c r="DH35" s="641" t="str">
        <f t="shared" si="18"/>
        <v>Building Shell RES 20 Year EUL</v>
      </c>
      <c r="DI35" s="527">
        <f>(INDEX('Avoided Cost Benefits'!$B$4:$B$865,MATCH(DH35,'Avoided Cost Benefits'!$A$4:$A$865,0)))*F35</f>
        <v>0.3806378269741153</v>
      </c>
      <c r="DJ35" s="1849">
        <f t="shared" si="19"/>
        <v>0.12</v>
      </c>
    </row>
    <row r="36" spans="1:114" x14ac:dyDescent="0.25">
      <c r="A36" s="2147" t="s">
        <v>602</v>
      </c>
      <c r="B36" s="1318">
        <f t="shared" si="12"/>
        <v>400501</v>
      </c>
      <c r="C36" s="327" t="s">
        <v>1420</v>
      </c>
      <c r="D36" s="1994" t="s">
        <v>810</v>
      </c>
      <c r="E36" s="121" t="s">
        <v>1421</v>
      </c>
      <c r="F36" s="1411">
        <f>ROUND(I36+J36,2)</f>
        <v>0.05</v>
      </c>
      <c r="G36" s="132" t="s">
        <v>1417</v>
      </c>
      <c r="H36" s="66">
        <f>VLOOKUP(G36,'CP FACTORS'!$A$3:$B$38, 2, FALSE)</f>
        <v>4.6608050000000002E-4</v>
      </c>
      <c r="I36" s="300">
        <f>F51*F60+F60*F78*F$85*F$86</f>
        <v>1.104024E-2</v>
      </c>
      <c r="J36" s="515">
        <f t="shared" si="14"/>
        <v>4.2999999999999997E-2</v>
      </c>
      <c r="K36" s="256">
        <f>ROUND(H36*F36,6)</f>
        <v>2.3E-5</v>
      </c>
      <c r="L36" s="318">
        <f t="shared" si="15"/>
        <v>20</v>
      </c>
      <c r="M36" s="697">
        <f>120*F61/1000</f>
        <v>0.12</v>
      </c>
      <c r="N36" s="318">
        <f>F61</f>
        <v>1</v>
      </c>
      <c r="R36" s="510"/>
      <c r="V36" s="1249" t="s">
        <v>46</v>
      </c>
      <c r="W36" s="1370"/>
      <c r="X36" s="953"/>
      <c r="Y36" s="954"/>
      <c r="Z36" s="955"/>
      <c r="AA36" s="955"/>
      <c r="AB36" s="955"/>
      <c r="AC36" s="956"/>
      <c r="AD36" s="188">
        <v>0.05</v>
      </c>
      <c r="AE36" s="170">
        <v>0.05</v>
      </c>
      <c r="AF36" s="253">
        <f t="shared" si="16"/>
        <v>0.05</v>
      </c>
      <c r="AG36" s="337"/>
      <c r="AK36" s="339"/>
      <c r="DG36" s="994">
        <f>(DI36)/(DJ36)</f>
        <v>0.63439637829019224</v>
      </c>
      <c r="DH36" s="641" t="str">
        <f>CONCATENATE(G36," ",L36," Year EUL")</f>
        <v>Building Shell RES 20 Year EUL</v>
      </c>
      <c r="DI36" s="527">
        <f>(INDEX('Avoided Cost Benefits'!$B$4:$B$865,MATCH(DH36,'Avoided Cost Benefits'!$A$4:$A$865,0)))*F36</f>
        <v>7.6127565394823071E-2</v>
      </c>
      <c r="DJ36" s="1849">
        <f t="shared" si="19"/>
        <v>0.12</v>
      </c>
    </row>
    <row r="37" spans="1:114" x14ac:dyDescent="0.25">
      <c r="A37" s="2147" t="s">
        <v>607</v>
      </c>
      <c r="B37" s="1318">
        <f t="shared" si="12"/>
        <v>400550</v>
      </c>
      <c r="C37" s="327" t="s">
        <v>1422</v>
      </c>
      <c r="D37" s="1384" t="s">
        <v>863</v>
      </c>
      <c r="E37" s="1282" t="s">
        <v>1423</v>
      </c>
      <c r="F37" s="957">
        <f t="shared" si="20"/>
        <v>0.36</v>
      </c>
      <c r="G37" s="132" t="s">
        <v>1417</v>
      </c>
      <c r="H37" s="66">
        <f>VLOOKUP(G37,'CP FACTORS'!$A$3:$B$38, 2, FALSE)</f>
        <v>4.6608050000000002E-4</v>
      </c>
      <c r="I37" s="552">
        <f t="shared" si="13"/>
        <v>0.308</v>
      </c>
      <c r="J37" s="515">
        <f t="shared" si="14"/>
        <v>0.05</v>
      </c>
      <c r="K37" s="256">
        <f t="shared" si="21"/>
        <v>1.6799999999999999E-4</v>
      </c>
      <c r="L37" s="318">
        <f t="shared" si="15"/>
        <v>20</v>
      </c>
      <c r="M37" s="697">
        <f t="shared" ref="M37:M42" si="23">120*F61/1000</f>
        <v>0.12</v>
      </c>
      <c r="N37" s="318">
        <f t="shared" ref="N37:N42" si="24">F61</f>
        <v>1</v>
      </c>
      <c r="R37" s="510"/>
      <c r="V37" s="337" t="str">
        <f t="shared" si="22"/>
        <v>kWh Annual Savings</v>
      </c>
      <c r="W37" s="364">
        <v>496.54599999999999</v>
      </c>
      <c r="X37" s="251">
        <v>496.54599999999999</v>
      </c>
      <c r="Y37" s="254">
        <v>0.36</v>
      </c>
      <c r="Z37" s="252">
        <v>0.36</v>
      </c>
      <c r="AA37" s="252">
        <v>0.36</v>
      </c>
      <c r="AB37" s="252">
        <v>0.36</v>
      </c>
      <c r="AC37" s="170">
        <v>0.36</v>
      </c>
      <c r="AD37" s="170">
        <v>0.36</v>
      </c>
      <c r="AE37" s="170">
        <v>0.36</v>
      </c>
      <c r="AF37" s="253">
        <f t="shared" si="16"/>
        <v>0.36</v>
      </c>
      <c r="AG37" s="337"/>
      <c r="AK37" s="339"/>
      <c r="DG37" s="994">
        <f t="shared" si="17"/>
        <v>4.5676539236893836</v>
      </c>
      <c r="DH37" s="641" t="str">
        <f t="shared" si="18"/>
        <v>Building Shell RES 20 Year EUL</v>
      </c>
      <c r="DI37" s="527">
        <f>(INDEX('Avoided Cost Benefits'!$B$4:$B$865,MATCH(DH37,'Avoided Cost Benefits'!$A$4:$A$865,0)))*F37</f>
        <v>0.54811847084272602</v>
      </c>
      <c r="DJ37" s="1849">
        <f t="shared" si="19"/>
        <v>0.12</v>
      </c>
    </row>
    <row r="38" spans="1:114" x14ac:dyDescent="0.25">
      <c r="A38" s="2147" t="s">
        <v>607</v>
      </c>
      <c r="B38" s="1318">
        <f t="shared" si="12"/>
        <v>400551</v>
      </c>
      <c r="C38" s="327" t="s">
        <v>1424</v>
      </c>
      <c r="D38" s="1384" t="s">
        <v>863</v>
      </c>
      <c r="E38" s="1282" t="s">
        <v>1425</v>
      </c>
      <c r="F38" s="957">
        <f t="shared" si="20"/>
        <v>0.06</v>
      </c>
      <c r="G38" s="132" t="s">
        <v>1417</v>
      </c>
      <c r="H38" s="66">
        <f>VLOOKUP(G38,'CP FACTORS'!$A$3:$B$38, 2, FALSE)</f>
        <v>4.6608050000000002E-4</v>
      </c>
      <c r="I38" s="552">
        <f t="shared" si="13"/>
        <v>1.1960259999999999E-2</v>
      </c>
      <c r="J38" s="551">
        <f t="shared" si="14"/>
        <v>0.05</v>
      </c>
      <c r="K38" s="256">
        <f t="shared" si="21"/>
        <v>2.8E-5</v>
      </c>
      <c r="L38" s="318">
        <f t="shared" si="15"/>
        <v>20</v>
      </c>
      <c r="M38" s="697">
        <f t="shared" si="23"/>
        <v>0.12</v>
      </c>
      <c r="N38" s="318">
        <f t="shared" si="24"/>
        <v>1</v>
      </c>
      <c r="R38" s="510"/>
      <c r="V38" s="337" t="str">
        <f t="shared" si="22"/>
        <v>kWh Annual Savings</v>
      </c>
      <c r="W38" s="1370"/>
      <c r="X38" s="953"/>
      <c r="Y38" s="254">
        <v>0.06</v>
      </c>
      <c r="Z38" s="252">
        <v>0.06</v>
      </c>
      <c r="AA38" s="252">
        <v>0.06</v>
      </c>
      <c r="AB38" s="252">
        <v>0.06</v>
      </c>
      <c r="AC38" s="170">
        <v>0.06</v>
      </c>
      <c r="AD38" s="170">
        <v>0.06</v>
      </c>
      <c r="AE38" s="170">
        <v>0.06</v>
      </c>
      <c r="AF38" s="253">
        <f t="shared" si="16"/>
        <v>0.06</v>
      </c>
      <c r="AG38" s="337"/>
      <c r="AK38" s="339"/>
      <c r="DG38" s="994">
        <f>(DI38)/(DJ38)</f>
        <v>0.7612756539482306</v>
      </c>
      <c r="DH38" s="641" t="str">
        <f t="shared" si="18"/>
        <v>Building Shell RES 20 Year EUL</v>
      </c>
      <c r="DI38" s="527">
        <f>(INDEX('Avoided Cost Benefits'!$B$4:$B$865,MATCH(DH38,'Avoided Cost Benefits'!$A$4:$A$865,0)))*F38</f>
        <v>9.1353078473787666E-2</v>
      </c>
      <c r="DJ38" s="1849">
        <f t="shared" si="19"/>
        <v>0.12</v>
      </c>
    </row>
    <row r="39" spans="1:114" x14ac:dyDescent="0.25">
      <c r="A39" s="2147" t="s">
        <v>1426</v>
      </c>
      <c r="B39" s="1318">
        <f t="shared" si="12"/>
        <v>400600</v>
      </c>
      <c r="C39" s="327" t="s">
        <v>1427</v>
      </c>
      <c r="D39" s="1384" t="s">
        <v>863</v>
      </c>
      <c r="E39" s="1282" t="s">
        <v>1428</v>
      </c>
      <c r="F39" s="957">
        <f t="shared" si="20"/>
        <v>0.31</v>
      </c>
      <c r="G39" s="132" t="s">
        <v>1417</v>
      </c>
      <c r="H39" s="66">
        <f>VLOOKUP(G39,'CP FACTORS'!$A$3:$B$38, 2, FALSE)</f>
        <v>4.6608050000000002E-4</v>
      </c>
      <c r="I39" s="300">
        <f t="shared" si="13"/>
        <v>0.25700000000000001</v>
      </c>
      <c r="J39" s="515">
        <f t="shared" si="14"/>
        <v>0.05</v>
      </c>
      <c r="K39" s="256">
        <f t="shared" si="21"/>
        <v>1.44E-4</v>
      </c>
      <c r="L39" s="318">
        <f t="shared" si="15"/>
        <v>20</v>
      </c>
      <c r="M39" s="697">
        <f t="shared" si="23"/>
        <v>0.12</v>
      </c>
      <c r="N39" s="318">
        <f t="shared" si="24"/>
        <v>1</v>
      </c>
      <c r="R39" s="510"/>
      <c r="V39" s="337" t="str">
        <f t="shared" si="22"/>
        <v>kWh Annual Savings</v>
      </c>
      <c r="W39" s="364">
        <v>425.80900000000003</v>
      </c>
      <c r="X39" s="251">
        <v>425.80900000000003</v>
      </c>
      <c r="Y39" s="254">
        <v>0.31</v>
      </c>
      <c r="Z39" s="252">
        <v>0.31</v>
      </c>
      <c r="AA39" s="252">
        <v>0.31</v>
      </c>
      <c r="AB39" s="252">
        <v>0.31</v>
      </c>
      <c r="AC39" s="170">
        <v>0.31</v>
      </c>
      <c r="AD39" s="170">
        <v>0.31</v>
      </c>
      <c r="AE39" s="170">
        <v>0.31</v>
      </c>
      <c r="AF39" s="253">
        <f t="shared" si="16"/>
        <v>0.31</v>
      </c>
      <c r="AG39" s="337"/>
      <c r="AK39" s="339"/>
      <c r="DG39" s="994">
        <f t="shared" si="17"/>
        <v>3.9332575453991914</v>
      </c>
      <c r="DH39" s="641" t="str">
        <f t="shared" si="18"/>
        <v>Building Shell RES 20 Year EUL</v>
      </c>
      <c r="DI39" s="527">
        <f>(INDEX('Avoided Cost Benefits'!$B$4:$B$865,MATCH(DH39,'Avoided Cost Benefits'!$A$4:$A$865,0)))*F39</f>
        <v>0.47199090544790295</v>
      </c>
      <c r="DJ39" s="1849">
        <f t="shared" si="19"/>
        <v>0.12</v>
      </c>
    </row>
    <row r="40" spans="1:114" x14ac:dyDescent="0.25">
      <c r="A40" s="2147" t="s">
        <v>840</v>
      </c>
      <c r="B40" s="1318">
        <f t="shared" si="12"/>
        <v>400650</v>
      </c>
      <c r="C40" s="327" t="s">
        <v>1429</v>
      </c>
      <c r="D40" s="1994" t="s">
        <v>810</v>
      </c>
      <c r="E40" s="550" t="s">
        <v>1430</v>
      </c>
      <c r="F40" s="957">
        <f t="shared" si="20"/>
        <v>0.48</v>
      </c>
      <c r="G40" s="132" t="s">
        <v>1417</v>
      </c>
      <c r="H40" s="66">
        <f>VLOOKUP(G40,'CP FACTORS'!$A$3:$B$38, 2, FALSE)</f>
        <v>4.6608050000000002E-4</v>
      </c>
      <c r="I40" s="300">
        <f t="shared" si="13"/>
        <v>0.41299999999999998</v>
      </c>
      <c r="J40" s="515">
        <f t="shared" si="14"/>
        <v>6.2E-2</v>
      </c>
      <c r="K40" s="256">
        <f t="shared" si="21"/>
        <v>2.24E-4</v>
      </c>
      <c r="L40" s="318">
        <f t="shared" si="15"/>
        <v>20</v>
      </c>
      <c r="M40" s="697">
        <f t="shared" si="23"/>
        <v>0.12</v>
      </c>
      <c r="N40" s="318">
        <f t="shared" si="24"/>
        <v>1</v>
      </c>
      <c r="R40" s="510"/>
      <c r="V40" s="337" t="str">
        <f t="shared" si="22"/>
        <v>kWh Annual Savings</v>
      </c>
      <c r="W40" s="364">
        <v>513</v>
      </c>
      <c r="X40" s="251">
        <v>513</v>
      </c>
      <c r="Y40" s="254">
        <v>0.48</v>
      </c>
      <c r="Z40" s="252">
        <v>0.48</v>
      </c>
      <c r="AA40" s="252">
        <v>0.48</v>
      </c>
      <c r="AB40" s="252">
        <v>0.48</v>
      </c>
      <c r="AC40" s="170">
        <v>0.48</v>
      </c>
      <c r="AD40" s="170">
        <v>0.48</v>
      </c>
      <c r="AE40" s="170">
        <v>0.48</v>
      </c>
      <c r="AF40" s="253">
        <f t="shared" si="16"/>
        <v>0.48</v>
      </c>
      <c r="AG40" s="337"/>
      <c r="AK40" s="339"/>
      <c r="DG40" s="994">
        <f t="shared" si="17"/>
        <v>6.0902052315858448</v>
      </c>
      <c r="DH40" s="641" t="str">
        <f t="shared" si="18"/>
        <v>Building Shell RES 20 Year EUL</v>
      </c>
      <c r="DI40" s="527">
        <f>(INDEX('Avoided Cost Benefits'!$B$4:$B$865,MATCH(DH40,'Avoided Cost Benefits'!$A$4:$A$865,0)))*F40</f>
        <v>0.73082462779030133</v>
      </c>
      <c r="DJ40" s="1849">
        <f t="shared" si="19"/>
        <v>0.12</v>
      </c>
    </row>
    <row r="41" spans="1:114" x14ac:dyDescent="0.25">
      <c r="A41" s="2147" t="s">
        <v>840</v>
      </c>
      <c r="B41" s="1318">
        <f t="shared" si="12"/>
        <v>400651</v>
      </c>
      <c r="C41" s="327" t="s">
        <v>1431</v>
      </c>
      <c r="D41" s="1994" t="s">
        <v>810</v>
      </c>
      <c r="E41" s="1282" t="s">
        <v>1432</v>
      </c>
      <c r="F41" s="957">
        <f t="shared" si="20"/>
        <v>0.45</v>
      </c>
      <c r="G41" s="132" t="s">
        <v>1417</v>
      </c>
      <c r="H41" s="66">
        <f>VLOOKUP(G41,'CP FACTORS'!$A$3:$B$38, 2, FALSE)</f>
        <v>4.6608050000000002E-4</v>
      </c>
      <c r="I41" s="300">
        <f t="shared" si="13"/>
        <v>0.39100000000000001</v>
      </c>
      <c r="J41" s="515">
        <f t="shared" si="14"/>
        <v>6.2E-2</v>
      </c>
      <c r="K41" s="256">
        <f t="shared" si="21"/>
        <v>2.1000000000000001E-4</v>
      </c>
      <c r="L41" s="318">
        <f t="shared" si="15"/>
        <v>20</v>
      </c>
      <c r="M41" s="697">
        <f t="shared" si="23"/>
        <v>0.12</v>
      </c>
      <c r="N41" s="318">
        <f t="shared" si="24"/>
        <v>1</v>
      </c>
      <c r="R41" s="510"/>
      <c r="V41" s="337" t="str">
        <f t="shared" si="22"/>
        <v>kWh Annual Savings</v>
      </c>
      <c r="W41" s="1370"/>
      <c r="X41" s="953"/>
      <c r="Y41" s="254">
        <v>0.45</v>
      </c>
      <c r="Z41" s="252">
        <v>0.45</v>
      </c>
      <c r="AA41" s="252">
        <v>0.45</v>
      </c>
      <c r="AB41" s="252">
        <v>0.45</v>
      </c>
      <c r="AC41" s="170">
        <v>0.45</v>
      </c>
      <c r="AD41" s="170">
        <v>0.45</v>
      </c>
      <c r="AE41" s="170">
        <v>0.45</v>
      </c>
      <c r="AF41" s="253">
        <f t="shared" si="16"/>
        <v>0.45</v>
      </c>
      <c r="AG41" s="337"/>
      <c r="AK41" s="339"/>
      <c r="DG41" s="994">
        <f>(DI41)/(DJ41)</f>
        <v>5.7095674046117297</v>
      </c>
      <c r="DH41" s="641" t="str">
        <f>CONCATENATE(G41," ",L41," Year EUL")</f>
        <v>Building Shell RES 20 Year EUL</v>
      </c>
      <c r="DI41" s="527">
        <f>(INDEX('Avoided Cost Benefits'!$B$4:$B$865,MATCH(DH41,'Avoided Cost Benefits'!$A$4:$A$865,0)))*F41</f>
        <v>0.68514808855340759</v>
      </c>
      <c r="DJ41" s="1849">
        <f t="shared" si="19"/>
        <v>0.12</v>
      </c>
    </row>
    <row r="42" spans="1:114" x14ac:dyDescent="0.25">
      <c r="A42" s="2147" t="s">
        <v>840</v>
      </c>
      <c r="B42" s="1318">
        <f t="shared" si="12"/>
        <v>400652</v>
      </c>
      <c r="C42" s="327" t="s">
        <v>1433</v>
      </c>
      <c r="D42" s="1994" t="s">
        <v>810</v>
      </c>
      <c r="E42" s="550" t="s">
        <v>1434</v>
      </c>
      <c r="F42" s="957">
        <f t="shared" si="20"/>
        <v>0.08</v>
      </c>
      <c r="G42" s="132" t="s">
        <v>1417</v>
      </c>
      <c r="H42" s="66">
        <f>VLOOKUP(G42,'CP FACTORS'!$A$3:$B$38, 2, FALSE)</f>
        <v>4.6608050000000002E-4</v>
      </c>
      <c r="I42" s="300">
        <f t="shared" si="13"/>
        <v>1.5640339999999999E-2</v>
      </c>
      <c r="J42" s="515">
        <f t="shared" si="14"/>
        <v>6.2E-2</v>
      </c>
      <c r="K42" s="256">
        <f t="shared" si="21"/>
        <v>3.6999999999999998E-5</v>
      </c>
      <c r="L42" s="318">
        <f t="shared" si="15"/>
        <v>20</v>
      </c>
      <c r="M42" s="697">
        <f t="shared" si="23"/>
        <v>0.12</v>
      </c>
      <c r="N42" s="318">
        <f t="shared" si="24"/>
        <v>1</v>
      </c>
      <c r="R42" s="510"/>
      <c r="V42" s="337" t="str">
        <f t="shared" si="22"/>
        <v>kWh Annual Savings</v>
      </c>
      <c r="W42" s="1370"/>
      <c r="X42" s="953"/>
      <c r="Y42" s="254">
        <v>0.08</v>
      </c>
      <c r="Z42" s="252">
        <v>0.08</v>
      </c>
      <c r="AA42" s="252">
        <v>0.08</v>
      </c>
      <c r="AB42" s="252">
        <v>0.08</v>
      </c>
      <c r="AC42" s="170">
        <v>0.08</v>
      </c>
      <c r="AD42" s="170">
        <v>0.08</v>
      </c>
      <c r="AE42" s="170">
        <v>0.08</v>
      </c>
      <c r="AF42" s="253">
        <f t="shared" si="16"/>
        <v>0.08</v>
      </c>
      <c r="AG42" s="337"/>
      <c r="AK42" s="339"/>
      <c r="DG42" s="995">
        <f>(DI42)/(DJ42)</f>
        <v>1.0150342052643075</v>
      </c>
      <c r="DH42" s="641" t="str">
        <f>CONCATENATE(G42," ",L42," Year EUL")</f>
        <v>Building Shell RES 20 Year EUL</v>
      </c>
      <c r="DI42" s="1003">
        <f>(INDEX('Avoided Cost Benefits'!$B$4:$B$865,MATCH(DH42,'Avoided Cost Benefits'!$A$4:$A$865,0)))*F42</f>
        <v>0.1218041046317169</v>
      </c>
      <c r="DJ42" s="1850">
        <f t="shared" si="19"/>
        <v>0.12</v>
      </c>
    </row>
    <row r="43" spans="1:114" hidden="1" outlineLevel="1" x14ac:dyDescent="0.25">
      <c r="A43" s="2147"/>
      <c r="B43" s="1318"/>
      <c r="D43" s="71" t="s">
        <v>95</v>
      </c>
      <c r="E43" s="126" t="s">
        <v>1435</v>
      </c>
      <c r="F43" s="518"/>
      <c r="AK43" s="339"/>
    </row>
    <row r="44" spans="1:114" hidden="1" outlineLevel="1" x14ac:dyDescent="0.25">
      <c r="A44" s="2147"/>
      <c r="B44" s="1318"/>
      <c r="C44" s="265"/>
      <c r="D44" s="265" t="s">
        <v>609</v>
      </c>
      <c r="E44" s="265" t="s">
        <v>1436</v>
      </c>
      <c r="AK44" s="339"/>
    </row>
    <row r="45" spans="1:114" hidden="1" outlineLevel="1" x14ac:dyDescent="0.25">
      <c r="A45" s="2147"/>
      <c r="B45" s="1318"/>
      <c r="C45" s="265"/>
      <c r="D45" s="265" t="s">
        <v>609</v>
      </c>
      <c r="E45" s="265" t="s">
        <v>1437</v>
      </c>
      <c r="AK45" s="339"/>
    </row>
    <row r="46" spans="1:114" hidden="1" outlineLevel="1" x14ac:dyDescent="0.25">
      <c r="A46" s="2147"/>
      <c r="B46" s="1318"/>
      <c r="C46" s="265"/>
      <c r="D46" s="265"/>
      <c r="E46" s="265" t="s">
        <v>612</v>
      </c>
      <c r="AK46" s="339"/>
    </row>
    <row r="47" spans="1:114" hidden="1" outlineLevel="1" x14ac:dyDescent="0.25">
      <c r="A47" s="2147"/>
      <c r="B47" s="1318"/>
      <c r="D47" s="126" t="s">
        <v>1438</v>
      </c>
      <c r="AK47" s="339"/>
    </row>
    <row r="48" spans="1:114" hidden="1" outlineLevel="1" x14ac:dyDescent="0.25">
      <c r="A48" s="2147"/>
      <c r="B48" s="1318"/>
      <c r="D48" s="1309" t="s">
        <v>720</v>
      </c>
      <c r="E48" s="1309" t="s">
        <v>613</v>
      </c>
      <c r="F48" s="1242" t="s">
        <v>615</v>
      </c>
      <c r="G48" s="1242" t="s">
        <v>616</v>
      </c>
      <c r="H48" s="1242" t="s">
        <v>721</v>
      </c>
      <c r="V48" s="636" t="s">
        <v>53</v>
      </c>
      <c r="W48" s="637">
        <f>W$6</f>
        <v>43252</v>
      </c>
      <c r="X48" s="637">
        <f t="shared" ref="X48:AG48" si="25">X$6</f>
        <v>43465</v>
      </c>
      <c r="Y48" s="110">
        <f t="shared" si="25"/>
        <v>43800</v>
      </c>
      <c r="Z48" s="637">
        <f t="shared" si="25"/>
        <v>43862</v>
      </c>
      <c r="AA48" s="637">
        <f t="shared" si="25"/>
        <v>44013</v>
      </c>
      <c r="AB48" s="637">
        <f t="shared" si="25"/>
        <v>44166</v>
      </c>
      <c r="AC48" s="637">
        <f t="shared" si="25"/>
        <v>44531</v>
      </c>
      <c r="AD48" s="637">
        <f t="shared" si="25"/>
        <v>44774</v>
      </c>
      <c r="AE48" s="637">
        <f t="shared" si="25"/>
        <v>45139</v>
      </c>
      <c r="AF48" s="637">
        <f t="shared" si="25"/>
        <v>45672</v>
      </c>
      <c r="AG48" s="637">
        <f t="shared" si="25"/>
        <v>45971</v>
      </c>
      <c r="AK48" s="339"/>
    </row>
    <row r="49" spans="1:37" ht="15" hidden="1" customHeight="1" outlineLevel="1" x14ac:dyDescent="0.25">
      <c r="A49" s="2147"/>
      <c r="B49" s="1318"/>
      <c r="D49" s="2638" t="s">
        <v>1439</v>
      </c>
      <c r="E49" s="121" t="str">
        <f t="shared" ref="E49:E57" si="26">E34</f>
        <v>Air Sealing (Infiltration reduction) - 30% MF IE DI electric furnace base</v>
      </c>
      <c r="F49" s="1471">
        <v>0.28499999999999998</v>
      </c>
      <c r="G49" s="2637" t="s">
        <v>1440</v>
      </c>
      <c r="H49" s="1300"/>
      <c r="V49" s="2488" t="str">
        <f>D49</f>
        <v>Defaultheat</v>
      </c>
      <c r="W49" s="258">
        <v>0.28499999999999998</v>
      </c>
      <c r="X49" s="258">
        <v>0.28499999999999998</v>
      </c>
      <c r="Y49" s="258">
        <v>0.28499999999999998</v>
      </c>
      <c r="Z49" s="551">
        <v>0.28499999999999998</v>
      </c>
      <c r="AA49" s="551">
        <v>0.28499999999999998</v>
      </c>
      <c r="AB49" s="551">
        <v>0.28499999999999998</v>
      </c>
      <c r="AC49" s="551">
        <v>0.28499999999999998</v>
      </c>
      <c r="AD49" s="551">
        <v>0.28499999999999998</v>
      </c>
      <c r="AE49" s="551">
        <v>0.28499999999999998</v>
      </c>
      <c r="AF49" s="253">
        <f t="shared" ref="AF49:AF96" si="27">IF(F49&lt;&gt;"",F49,"")</f>
        <v>0.28499999999999998</v>
      </c>
      <c r="AG49" s="1358"/>
      <c r="AK49" s="339"/>
    </row>
    <row r="50" spans="1:37" ht="15" hidden="1" customHeight="1" outlineLevel="1" x14ac:dyDescent="0.25">
      <c r="A50" s="2147"/>
      <c r="B50" s="1318"/>
      <c r="D50" s="2638"/>
      <c r="E50" s="121" t="str">
        <f t="shared" si="26"/>
        <v>Air Sealing (Infiltration reduction) - 30% MF IE DI heat pump base</v>
      </c>
      <c r="F50" s="1471">
        <v>0.20799999999999999</v>
      </c>
      <c r="G50" s="2637"/>
      <c r="H50" s="1300"/>
      <c r="V50" s="2489"/>
      <c r="W50" s="258">
        <v>0.20799999999999999</v>
      </c>
      <c r="X50" s="258">
        <v>0.20799999999999999</v>
      </c>
      <c r="Y50" s="258">
        <v>0.20799999999999999</v>
      </c>
      <c r="Z50" s="551">
        <v>0.20799999999999999</v>
      </c>
      <c r="AA50" s="551">
        <v>0.20799999999999999</v>
      </c>
      <c r="AB50" s="551">
        <v>0.20799999999999999</v>
      </c>
      <c r="AC50" s="551">
        <v>0.20799999999999999</v>
      </c>
      <c r="AD50" s="551">
        <v>0.20799999999999999</v>
      </c>
      <c r="AE50" s="551">
        <v>0.20799999999999999</v>
      </c>
      <c r="AF50" s="253">
        <f t="shared" si="27"/>
        <v>0.20799999999999999</v>
      </c>
      <c r="AG50" s="1358"/>
      <c r="AK50" s="339"/>
    </row>
    <row r="51" spans="1:37" ht="15" hidden="1" customHeight="1" outlineLevel="1" x14ac:dyDescent="0.25">
      <c r="A51" s="2147"/>
      <c r="B51" s="1318"/>
      <c r="D51" s="2638"/>
      <c r="E51" s="121" t="str">
        <f t="shared" si="26"/>
        <v>Air Sealing (Infiltration reduction) - 30% MF IE DI gas furnace base</v>
      </c>
      <c r="F51" s="1471">
        <v>0</v>
      </c>
      <c r="G51" s="2637"/>
      <c r="H51" s="1300"/>
      <c r="V51" s="2489"/>
      <c r="W51" s="947"/>
      <c r="X51" s="947"/>
      <c r="Y51" s="947"/>
      <c r="Z51" s="948"/>
      <c r="AA51" s="948"/>
      <c r="AB51" s="948"/>
      <c r="AC51" s="948"/>
      <c r="AD51" s="259">
        <v>0</v>
      </c>
      <c r="AE51" s="551">
        <v>0</v>
      </c>
      <c r="AF51" s="253">
        <f t="shared" si="27"/>
        <v>0</v>
      </c>
      <c r="AG51" s="1358"/>
      <c r="AK51" s="339"/>
    </row>
    <row r="52" spans="1:37" hidden="1" outlineLevel="1" x14ac:dyDescent="0.25">
      <c r="A52" s="2147"/>
      <c r="B52" s="1318"/>
      <c r="D52" s="2638"/>
      <c r="E52" s="121" t="str">
        <f t="shared" si="26"/>
        <v>Air Sealing (Infiltration reduction) - 30% SF IE DI electric furnace base</v>
      </c>
      <c r="F52" s="1471">
        <v>0.308</v>
      </c>
      <c r="G52" s="2637"/>
      <c r="H52" s="1300"/>
      <c r="V52" s="2489"/>
      <c r="W52" s="258">
        <v>0.308</v>
      </c>
      <c r="X52" s="258">
        <v>0.308</v>
      </c>
      <c r="Y52" s="258">
        <v>0.308</v>
      </c>
      <c r="Z52" s="551">
        <v>0.308</v>
      </c>
      <c r="AA52" s="551">
        <v>0.308</v>
      </c>
      <c r="AB52" s="551">
        <v>0.308</v>
      </c>
      <c r="AC52" s="551">
        <v>0.308</v>
      </c>
      <c r="AD52" s="551">
        <v>0.308</v>
      </c>
      <c r="AE52" s="551">
        <v>0.308</v>
      </c>
      <c r="AF52" s="253">
        <f t="shared" si="27"/>
        <v>0.308</v>
      </c>
      <c r="AG52" s="1358"/>
      <c r="AK52" s="339"/>
    </row>
    <row r="53" spans="1:37" hidden="1" outlineLevel="1" x14ac:dyDescent="0.25">
      <c r="A53" s="2147"/>
      <c r="B53" s="1318"/>
      <c r="D53" s="2638"/>
      <c r="E53" s="121" t="str">
        <f t="shared" si="26"/>
        <v>Air Sealing (Infiltration reduction) - 30% SF IE DI Gas furnace base</v>
      </c>
      <c r="F53" s="1471">
        <v>0</v>
      </c>
      <c r="G53" s="2637"/>
      <c r="H53" s="1300"/>
      <c r="V53" s="2489"/>
      <c r="W53" s="947"/>
      <c r="X53" s="947"/>
      <c r="Y53" s="259">
        <v>0</v>
      </c>
      <c r="Z53" s="551">
        <v>0</v>
      </c>
      <c r="AA53" s="551">
        <v>0</v>
      </c>
      <c r="AB53" s="551">
        <v>0</v>
      </c>
      <c r="AC53" s="551">
        <v>0</v>
      </c>
      <c r="AD53" s="551">
        <v>0</v>
      </c>
      <c r="AE53" s="551">
        <v>0</v>
      </c>
      <c r="AF53" s="253">
        <f t="shared" si="27"/>
        <v>0</v>
      </c>
      <c r="AG53" s="1358"/>
      <c r="AK53" s="339"/>
    </row>
    <row r="54" spans="1:37" hidden="1" outlineLevel="1" x14ac:dyDescent="0.25">
      <c r="A54" s="2147"/>
      <c r="B54" s="1318"/>
      <c r="D54" s="2638"/>
      <c r="E54" s="121" t="str">
        <f t="shared" si="26"/>
        <v>Air Sealing (Infiltration reduction) - 30% SF IE DI heat pump base</v>
      </c>
      <c r="F54" s="1471">
        <v>0.25700000000000001</v>
      </c>
      <c r="G54" s="2637"/>
      <c r="H54" s="1300"/>
      <c r="V54" s="2489"/>
      <c r="W54" s="258">
        <v>0.25700000000000001</v>
      </c>
      <c r="X54" s="258">
        <v>0.25700000000000001</v>
      </c>
      <c r="Y54" s="258">
        <v>0.25700000000000001</v>
      </c>
      <c r="Z54" s="551">
        <v>0.25700000000000001</v>
      </c>
      <c r="AA54" s="551">
        <v>0.25700000000000001</v>
      </c>
      <c r="AB54" s="551">
        <v>0.25700000000000001</v>
      </c>
      <c r="AC54" s="551">
        <v>0.25700000000000001</v>
      </c>
      <c r="AD54" s="551">
        <v>0.25700000000000001</v>
      </c>
      <c r="AE54" s="551">
        <v>0.25700000000000001</v>
      </c>
      <c r="AF54" s="253">
        <f t="shared" si="27"/>
        <v>0.25700000000000001</v>
      </c>
      <c r="AG54" s="1371"/>
      <c r="AK54" s="339"/>
    </row>
    <row r="55" spans="1:37" hidden="1" outlineLevel="1" x14ac:dyDescent="0.25">
      <c r="A55" s="2147"/>
      <c r="B55" s="1318"/>
      <c r="D55" s="2638"/>
      <c r="E55" s="121" t="str">
        <f t="shared" si="26"/>
        <v>MH Adjusted Air Sealing (Infiltration reduction) - 30% SF IE DI electric furnace base</v>
      </c>
      <c r="F55" s="1471">
        <v>0.41299999999999998</v>
      </c>
      <c r="G55" s="2637"/>
      <c r="H55" s="1300"/>
      <c r="V55" s="2489"/>
      <c r="W55" s="258">
        <v>0.41299999999999998</v>
      </c>
      <c r="X55" s="258">
        <v>0.41299999999999998</v>
      </c>
      <c r="Y55" s="258">
        <v>0.41299999999999998</v>
      </c>
      <c r="Z55" s="551">
        <v>0.41299999999999998</v>
      </c>
      <c r="AA55" s="551">
        <v>0.41299999999999998</v>
      </c>
      <c r="AB55" s="551">
        <v>0.41299999999999998</v>
      </c>
      <c r="AC55" s="551">
        <v>0.41299999999999998</v>
      </c>
      <c r="AD55" s="551">
        <v>0.41299999999999998</v>
      </c>
      <c r="AE55" s="551">
        <v>0.41299999999999998</v>
      </c>
      <c r="AF55" s="253">
        <f t="shared" si="27"/>
        <v>0.41299999999999998</v>
      </c>
      <c r="AG55" s="1371"/>
      <c r="AK55" s="339"/>
    </row>
    <row r="56" spans="1:37" hidden="1" outlineLevel="1" x14ac:dyDescent="0.25">
      <c r="A56" s="2147"/>
      <c r="B56" s="1318"/>
      <c r="D56" s="2380"/>
      <c r="E56" s="121" t="str">
        <f t="shared" si="26"/>
        <v>MH Adjusted Air Sealing (Infiltration reduction) - 30% SF IE DI heat pump base</v>
      </c>
      <c r="F56" s="1471">
        <v>0.39100000000000001</v>
      </c>
      <c r="G56" s="2637"/>
      <c r="H56" s="1300"/>
      <c r="V56" s="2650"/>
      <c r="W56" s="947"/>
      <c r="X56" s="947"/>
      <c r="Y56" s="259">
        <v>0.39100000000000001</v>
      </c>
      <c r="Z56" s="551">
        <v>0.39100000000000001</v>
      </c>
      <c r="AA56" s="551">
        <v>0.39100000000000001</v>
      </c>
      <c r="AB56" s="551">
        <v>0.39100000000000001</v>
      </c>
      <c r="AC56" s="551">
        <v>0.39100000000000001</v>
      </c>
      <c r="AD56" s="551">
        <v>0.39100000000000001</v>
      </c>
      <c r="AE56" s="551">
        <v>0.39100000000000001</v>
      </c>
      <c r="AF56" s="253">
        <f t="shared" si="27"/>
        <v>0.39100000000000001</v>
      </c>
      <c r="AG56" s="1371"/>
      <c r="AK56" s="339"/>
    </row>
    <row r="57" spans="1:37" hidden="1" outlineLevel="1" x14ac:dyDescent="0.25">
      <c r="A57" s="2147"/>
      <c r="B57" s="1318"/>
      <c r="D57" s="2380"/>
      <c r="E57" s="121" t="str">
        <f t="shared" si="26"/>
        <v>MH Adjusted Air Sealing (Infiltration reduction) - 30% SF IE DI gas furnace base</v>
      </c>
      <c r="F57" s="1471">
        <v>0</v>
      </c>
      <c r="G57" s="2637"/>
      <c r="H57" s="1300"/>
      <c r="V57" s="2644"/>
      <c r="W57" s="947"/>
      <c r="X57" s="947"/>
      <c r="Y57" s="259">
        <v>0</v>
      </c>
      <c r="Z57" s="551">
        <v>0</v>
      </c>
      <c r="AA57" s="551">
        <v>0</v>
      </c>
      <c r="AB57" s="551">
        <v>0</v>
      </c>
      <c r="AC57" s="551">
        <v>0</v>
      </c>
      <c r="AD57" s="551">
        <v>0</v>
      </c>
      <c r="AE57" s="551">
        <v>0</v>
      </c>
      <c r="AF57" s="253">
        <f t="shared" si="27"/>
        <v>0</v>
      </c>
      <c r="AG57" s="1371"/>
      <c r="AK57" s="339"/>
    </row>
    <row r="58" spans="1:37" ht="30" hidden="1" outlineLevel="1" x14ac:dyDescent="0.25">
      <c r="A58" s="2147"/>
      <c r="B58" s="1318"/>
      <c r="D58" s="2638" t="s">
        <v>1441</v>
      </c>
      <c r="E58" s="121" t="str">
        <f t="shared" ref="E58:E84" si="28">E49</f>
        <v>Air Sealing (Infiltration reduction) - 30% MF IE DI electric furnace base</v>
      </c>
      <c r="F58" s="1463">
        <v>1</v>
      </c>
      <c r="G58" s="1278" t="s">
        <v>1442</v>
      </c>
      <c r="H58" s="1300" t="s">
        <v>1443</v>
      </c>
      <c r="V58" s="2488" t="str">
        <f>D58</f>
        <v>Sq. Ft.</v>
      </c>
      <c r="W58" s="261">
        <f>1387*0.65</f>
        <v>901.55000000000007</v>
      </c>
      <c r="X58" s="261">
        <v>901.55000000000007</v>
      </c>
      <c r="Y58" s="260">
        <v>1</v>
      </c>
      <c r="Z58" s="319">
        <v>1</v>
      </c>
      <c r="AA58" s="319">
        <v>1</v>
      </c>
      <c r="AB58" s="319">
        <v>1</v>
      </c>
      <c r="AC58" s="319">
        <v>1</v>
      </c>
      <c r="AD58" s="319">
        <v>1</v>
      </c>
      <c r="AE58" s="319">
        <v>1</v>
      </c>
      <c r="AF58" s="253">
        <f t="shared" si="27"/>
        <v>1</v>
      </c>
      <c r="AG58" s="1371"/>
      <c r="AK58" s="339"/>
    </row>
    <row r="59" spans="1:37" ht="30" hidden="1" outlineLevel="1" x14ac:dyDescent="0.25">
      <c r="A59" s="2147"/>
      <c r="B59" s="1318"/>
      <c r="D59" s="2638"/>
      <c r="E59" s="121" t="str">
        <f t="shared" si="28"/>
        <v>Air Sealing (Infiltration reduction) - 30% MF IE DI heat pump base</v>
      </c>
      <c r="F59" s="1463">
        <v>1</v>
      </c>
      <c r="G59" s="1278" t="s">
        <v>1442</v>
      </c>
      <c r="H59" s="1300" t="s">
        <v>1443</v>
      </c>
      <c r="V59" s="2489"/>
      <c r="W59" s="261">
        <f>1387*0.65</f>
        <v>901.55000000000007</v>
      </c>
      <c r="X59" s="261">
        <v>901.55000000000007</v>
      </c>
      <c r="Y59" s="260">
        <v>1</v>
      </c>
      <c r="Z59" s="319">
        <v>1</v>
      </c>
      <c r="AA59" s="319">
        <v>1</v>
      </c>
      <c r="AB59" s="319">
        <v>1</v>
      </c>
      <c r="AC59" s="319">
        <v>1</v>
      </c>
      <c r="AD59" s="319">
        <v>1</v>
      </c>
      <c r="AE59" s="319">
        <v>1</v>
      </c>
      <c r="AF59" s="253">
        <f t="shared" si="27"/>
        <v>1</v>
      </c>
      <c r="AG59" s="1371"/>
      <c r="AK59" s="339"/>
    </row>
    <row r="60" spans="1:37" ht="30" hidden="1" outlineLevel="1" x14ac:dyDescent="0.25">
      <c r="A60" s="2147"/>
      <c r="B60" s="1318"/>
      <c r="D60" s="2638"/>
      <c r="E60" s="121" t="str">
        <f t="shared" si="28"/>
        <v>Air Sealing (Infiltration reduction) - 30% MF IE DI gas furnace base</v>
      </c>
      <c r="F60" s="1463">
        <v>1</v>
      </c>
      <c r="G60" s="1278" t="s">
        <v>1442</v>
      </c>
      <c r="H60" s="1300" t="s">
        <v>1443</v>
      </c>
      <c r="V60" s="2489"/>
      <c r="W60" s="950"/>
      <c r="X60" s="950"/>
      <c r="Y60" s="951"/>
      <c r="Z60" s="952"/>
      <c r="AA60" s="952"/>
      <c r="AB60" s="952"/>
      <c r="AC60" s="952"/>
      <c r="AD60" s="260">
        <v>1</v>
      </c>
      <c r="AE60" s="319">
        <v>1</v>
      </c>
      <c r="AF60" s="253">
        <f t="shared" si="27"/>
        <v>1</v>
      </c>
      <c r="AG60" s="1371"/>
      <c r="AK60" s="339"/>
    </row>
    <row r="61" spans="1:37" ht="30" hidden="1" outlineLevel="1" x14ac:dyDescent="0.25">
      <c r="A61" s="2147"/>
      <c r="B61" s="1318"/>
      <c r="D61" s="2638"/>
      <c r="E61" s="121" t="str">
        <f t="shared" si="28"/>
        <v>Air Sealing (Infiltration reduction) - 30% SF IE DI electric furnace base</v>
      </c>
      <c r="F61" s="1463">
        <v>1</v>
      </c>
      <c r="G61" s="1278" t="s">
        <v>1444</v>
      </c>
      <c r="H61" s="1300"/>
      <c r="V61" s="2489"/>
      <c r="W61" s="261">
        <v>1387</v>
      </c>
      <c r="X61" s="261">
        <v>1387</v>
      </c>
      <c r="Y61" s="260">
        <v>1</v>
      </c>
      <c r="Z61" s="319">
        <v>1</v>
      </c>
      <c r="AA61" s="319">
        <v>1</v>
      </c>
      <c r="AB61" s="319">
        <v>1</v>
      </c>
      <c r="AC61" s="319">
        <v>1</v>
      </c>
      <c r="AD61" s="319">
        <v>1</v>
      </c>
      <c r="AE61" s="319">
        <v>1</v>
      </c>
      <c r="AF61" s="253">
        <f t="shared" si="27"/>
        <v>1</v>
      </c>
      <c r="AG61" s="1371"/>
      <c r="AK61" s="339"/>
    </row>
    <row r="62" spans="1:37" ht="30" hidden="1" outlineLevel="1" x14ac:dyDescent="0.25">
      <c r="A62" s="2147"/>
      <c r="B62" s="1318"/>
      <c r="D62" s="2638"/>
      <c r="E62" s="121" t="str">
        <f t="shared" si="28"/>
        <v>Air Sealing (Infiltration reduction) - 30% SF IE DI Gas furnace base</v>
      </c>
      <c r="F62" s="1463">
        <v>1</v>
      </c>
      <c r="G62" s="1278" t="s">
        <v>1444</v>
      </c>
      <c r="H62" s="1300"/>
      <c r="V62" s="2489"/>
      <c r="W62" s="950"/>
      <c r="X62" s="950"/>
      <c r="Y62" s="260">
        <v>1</v>
      </c>
      <c r="Z62" s="319">
        <v>1</v>
      </c>
      <c r="AA62" s="319">
        <v>1</v>
      </c>
      <c r="AB62" s="319">
        <v>1</v>
      </c>
      <c r="AC62" s="319">
        <v>1</v>
      </c>
      <c r="AD62" s="319">
        <v>1</v>
      </c>
      <c r="AE62" s="319">
        <v>1</v>
      </c>
      <c r="AF62" s="253">
        <f t="shared" si="27"/>
        <v>1</v>
      </c>
      <c r="AG62" s="1371"/>
      <c r="AK62" s="339"/>
    </row>
    <row r="63" spans="1:37" ht="30" hidden="1" outlineLevel="1" x14ac:dyDescent="0.25">
      <c r="A63" s="2147"/>
      <c r="B63" s="1318"/>
      <c r="D63" s="2638"/>
      <c r="E63" s="121" t="str">
        <f t="shared" si="28"/>
        <v>Air Sealing (Infiltration reduction) - 30% SF IE DI heat pump base</v>
      </c>
      <c r="F63" s="1463">
        <v>1</v>
      </c>
      <c r="G63" s="1278" t="s">
        <v>1445</v>
      </c>
      <c r="H63" s="1300"/>
      <c r="V63" s="2489"/>
      <c r="W63" s="261">
        <v>1387</v>
      </c>
      <c r="X63" s="261">
        <v>1387</v>
      </c>
      <c r="Y63" s="260">
        <v>1</v>
      </c>
      <c r="Z63" s="319">
        <v>1</v>
      </c>
      <c r="AA63" s="319">
        <v>1</v>
      </c>
      <c r="AB63" s="319">
        <v>1</v>
      </c>
      <c r="AC63" s="319">
        <v>1</v>
      </c>
      <c r="AD63" s="319">
        <v>1</v>
      </c>
      <c r="AE63" s="319">
        <v>1</v>
      </c>
      <c r="AF63" s="253">
        <f t="shared" si="27"/>
        <v>1</v>
      </c>
      <c r="AG63" s="1371"/>
      <c r="AK63" s="339"/>
    </row>
    <row r="64" spans="1:37" ht="30" hidden="1" outlineLevel="1" x14ac:dyDescent="0.25">
      <c r="A64" s="2147"/>
      <c r="B64" s="1318"/>
      <c r="D64" s="2638"/>
      <c r="E64" s="121" t="str">
        <f t="shared" si="28"/>
        <v>MH Adjusted Air Sealing (Infiltration reduction) - 30% SF IE DI electric furnace base</v>
      </c>
      <c r="F64" s="1463">
        <v>1</v>
      </c>
      <c r="G64" s="1278" t="s">
        <v>1446</v>
      </c>
      <c r="H64" s="1300"/>
      <c r="V64" s="2489"/>
      <c r="W64" s="261">
        <f>15*72</f>
        <v>1080</v>
      </c>
      <c r="X64" s="261">
        <v>1080</v>
      </c>
      <c r="Y64" s="260">
        <v>1</v>
      </c>
      <c r="Z64" s="319">
        <v>1</v>
      </c>
      <c r="AA64" s="319">
        <v>1</v>
      </c>
      <c r="AB64" s="319">
        <v>1</v>
      </c>
      <c r="AC64" s="319">
        <v>1</v>
      </c>
      <c r="AD64" s="319">
        <v>1</v>
      </c>
      <c r="AE64" s="319">
        <v>1</v>
      </c>
      <c r="AF64" s="253">
        <f t="shared" si="27"/>
        <v>1</v>
      </c>
      <c r="AG64" s="1371"/>
      <c r="AK64" s="339"/>
    </row>
    <row r="65" spans="1:37" ht="30" hidden="1" outlineLevel="1" x14ac:dyDescent="0.25">
      <c r="A65" s="2147"/>
      <c r="B65" s="1318"/>
      <c r="D65" s="2380"/>
      <c r="E65" s="121" t="str">
        <f t="shared" si="28"/>
        <v>MH Adjusted Air Sealing (Infiltration reduction) - 30% SF IE DI heat pump base</v>
      </c>
      <c r="F65" s="1463">
        <v>1</v>
      </c>
      <c r="G65" s="1278" t="s">
        <v>1446</v>
      </c>
      <c r="H65" s="1300"/>
      <c r="V65" s="2650"/>
      <c r="W65" s="950"/>
      <c r="X65" s="950"/>
      <c r="Y65" s="260">
        <v>1</v>
      </c>
      <c r="Z65" s="319">
        <v>1</v>
      </c>
      <c r="AA65" s="319">
        <v>1</v>
      </c>
      <c r="AB65" s="319">
        <v>1</v>
      </c>
      <c r="AC65" s="319">
        <v>1</v>
      </c>
      <c r="AD65" s="319">
        <v>1</v>
      </c>
      <c r="AE65" s="319">
        <v>1</v>
      </c>
      <c r="AF65" s="253">
        <f t="shared" si="27"/>
        <v>1</v>
      </c>
      <c r="AG65" s="1371"/>
      <c r="AK65" s="339"/>
    </row>
    <row r="66" spans="1:37" ht="30" hidden="1" outlineLevel="1" x14ac:dyDescent="0.25">
      <c r="A66" s="2147"/>
      <c r="B66" s="1318"/>
      <c r="D66" s="2380"/>
      <c r="E66" s="121" t="str">
        <f t="shared" si="28"/>
        <v>MH Adjusted Air Sealing (Infiltration reduction) - 30% SF IE DI gas furnace base</v>
      </c>
      <c r="F66" s="1463">
        <v>1</v>
      </c>
      <c r="G66" s="1278" t="s">
        <v>1446</v>
      </c>
      <c r="H66" s="1300"/>
      <c r="V66" s="2644"/>
      <c r="W66" s="950"/>
      <c r="X66" s="950"/>
      <c r="Y66" s="260">
        <v>1</v>
      </c>
      <c r="Z66" s="319">
        <v>1</v>
      </c>
      <c r="AA66" s="319">
        <v>1</v>
      </c>
      <c r="AB66" s="319">
        <v>1</v>
      </c>
      <c r="AC66" s="319">
        <v>1</v>
      </c>
      <c r="AD66" s="319">
        <v>1</v>
      </c>
      <c r="AE66" s="319">
        <v>1</v>
      </c>
      <c r="AF66" s="253">
        <f t="shared" si="27"/>
        <v>1</v>
      </c>
      <c r="AG66" s="1371"/>
      <c r="AK66" s="339"/>
    </row>
    <row r="67" spans="1:37" ht="15" hidden="1" customHeight="1" outlineLevel="1" x14ac:dyDescent="0.25">
      <c r="A67" s="2147"/>
      <c r="B67" s="1318"/>
      <c r="D67" s="2638" t="s">
        <v>1447</v>
      </c>
      <c r="E67" s="121" t="str">
        <f t="shared" si="28"/>
        <v>Air Sealing (Infiltration reduction) - 30% MF IE DI electric furnace base</v>
      </c>
      <c r="F67" s="1471">
        <v>4.2999999999999997E-2</v>
      </c>
      <c r="G67" s="1278" t="s">
        <v>1448</v>
      </c>
      <c r="H67" s="1300"/>
      <c r="V67" s="2488" t="str">
        <f>D67</f>
        <v>Defaultcool</v>
      </c>
      <c r="W67" s="258">
        <v>4.2999999999999997E-2</v>
      </c>
      <c r="X67" s="258">
        <v>4.2999999999999997E-2</v>
      </c>
      <c r="Y67" s="258">
        <v>4.2999999999999997E-2</v>
      </c>
      <c r="Z67" s="551">
        <v>4.2999999999999997E-2</v>
      </c>
      <c r="AA67" s="551">
        <v>4.2999999999999997E-2</v>
      </c>
      <c r="AB67" s="551">
        <v>4.2999999999999997E-2</v>
      </c>
      <c r="AC67" s="551">
        <v>4.2999999999999997E-2</v>
      </c>
      <c r="AD67" s="551">
        <v>4.2999999999999997E-2</v>
      </c>
      <c r="AE67" s="551">
        <v>4.2999999999999997E-2</v>
      </c>
      <c r="AF67" s="253">
        <f t="shared" si="27"/>
        <v>4.2999999999999997E-2</v>
      </c>
      <c r="AG67" s="1371"/>
      <c r="AK67" s="339"/>
    </row>
    <row r="68" spans="1:37" hidden="1" outlineLevel="1" x14ac:dyDescent="0.25">
      <c r="A68" s="2147"/>
      <c r="B68" s="1318"/>
      <c r="D68" s="2638"/>
      <c r="E68" s="121" t="str">
        <f t="shared" si="28"/>
        <v>Air Sealing (Infiltration reduction) - 30% MF IE DI heat pump base</v>
      </c>
      <c r="F68" s="1471">
        <v>4.2999999999999997E-2</v>
      </c>
      <c r="G68" s="1278" t="s">
        <v>1448</v>
      </c>
      <c r="H68" s="1300"/>
      <c r="V68" s="2489"/>
      <c r="W68" s="258">
        <v>4.2999999999999997E-2</v>
      </c>
      <c r="X68" s="258">
        <v>4.2999999999999997E-2</v>
      </c>
      <c r="Y68" s="258">
        <v>4.2999999999999997E-2</v>
      </c>
      <c r="Z68" s="551">
        <v>4.2999999999999997E-2</v>
      </c>
      <c r="AA68" s="551">
        <v>4.2999999999999997E-2</v>
      </c>
      <c r="AB68" s="551">
        <v>4.2999999999999997E-2</v>
      </c>
      <c r="AC68" s="551">
        <v>4.2999999999999997E-2</v>
      </c>
      <c r="AD68" s="551">
        <v>4.2999999999999997E-2</v>
      </c>
      <c r="AE68" s="551">
        <v>4.2999999999999997E-2</v>
      </c>
      <c r="AF68" s="253">
        <f t="shared" si="27"/>
        <v>4.2999999999999997E-2</v>
      </c>
      <c r="AG68" s="1371"/>
      <c r="AK68" s="339"/>
    </row>
    <row r="69" spans="1:37" hidden="1" outlineLevel="1" x14ac:dyDescent="0.25">
      <c r="A69" s="2147"/>
      <c r="B69" s="1318"/>
      <c r="D69" s="2638"/>
      <c r="E69" s="121" t="str">
        <f t="shared" si="28"/>
        <v>Air Sealing (Infiltration reduction) - 30% MF IE DI gas furnace base</v>
      </c>
      <c r="F69" s="1471">
        <v>4.2999999999999997E-2</v>
      </c>
      <c r="G69" s="1278" t="s">
        <v>1448</v>
      </c>
      <c r="H69" s="1300"/>
      <c r="V69" s="2489"/>
      <c r="W69" s="947"/>
      <c r="X69" s="947"/>
      <c r="Y69" s="947"/>
      <c r="Z69" s="948"/>
      <c r="AA69" s="948"/>
      <c r="AB69" s="948"/>
      <c r="AC69" s="948"/>
      <c r="AD69" s="259">
        <f>F69</f>
        <v>4.2999999999999997E-2</v>
      </c>
      <c r="AE69" s="551">
        <v>4.2999999999999997E-2</v>
      </c>
      <c r="AF69" s="253">
        <f t="shared" si="27"/>
        <v>4.2999999999999997E-2</v>
      </c>
      <c r="AG69" s="1371"/>
      <c r="AK69" s="339"/>
    </row>
    <row r="70" spans="1:37" hidden="1" outlineLevel="1" x14ac:dyDescent="0.25">
      <c r="A70" s="2147"/>
      <c r="B70" s="1318"/>
      <c r="D70" s="2638"/>
      <c r="E70" s="121" t="str">
        <f t="shared" si="28"/>
        <v>Air Sealing (Infiltration reduction) - 30% SF IE DI electric furnace base</v>
      </c>
      <c r="F70" s="1471">
        <v>0.05</v>
      </c>
      <c r="G70" s="1278" t="s">
        <v>1448</v>
      </c>
      <c r="H70" s="1300"/>
      <c r="V70" s="2489"/>
      <c r="W70" s="258">
        <v>0.05</v>
      </c>
      <c r="X70" s="258">
        <v>0.05</v>
      </c>
      <c r="Y70" s="258">
        <v>0.05</v>
      </c>
      <c r="Z70" s="551">
        <v>0.05</v>
      </c>
      <c r="AA70" s="551">
        <v>0.05</v>
      </c>
      <c r="AB70" s="551">
        <v>0.05</v>
      </c>
      <c r="AC70" s="551">
        <v>0.05</v>
      </c>
      <c r="AD70" s="551">
        <v>0.05</v>
      </c>
      <c r="AE70" s="551">
        <v>0.05</v>
      </c>
      <c r="AF70" s="253">
        <f t="shared" si="27"/>
        <v>0.05</v>
      </c>
      <c r="AG70" s="1371"/>
      <c r="AK70" s="339"/>
    </row>
    <row r="71" spans="1:37" hidden="1" outlineLevel="1" x14ac:dyDescent="0.25">
      <c r="A71" s="2147"/>
      <c r="B71" s="1318"/>
      <c r="D71" s="2638"/>
      <c r="E71" s="121" t="str">
        <f t="shared" si="28"/>
        <v>Air Sealing (Infiltration reduction) - 30% SF IE DI Gas furnace base</v>
      </c>
      <c r="F71" s="1471">
        <f>F70</f>
        <v>0.05</v>
      </c>
      <c r="G71" s="1278" t="s">
        <v>1448</v>
      </c>
      <c r="H71" s="1300"/>
      <c r="V71" s="2489"/>
      <c r="W71" s="947"/>
      <c r="X71" s="947"/>
      <c r="Y71" s="259">
        <v>0.05</v>
      </c>
      <c r="Z71" s="551">
        <v>0.05</v>
      </c>
      <c r="AA71" s="551">
        <v>0.05</v>
      </c>
      <c r="AB71" s="551">
        <v>0.05</v>
      </c>
      <c r="AC71" s="551">
        <v>0.05</v>
      </c>
      <c r="AD71" s="551">
        <v>0.05</v>
      </c>
      <c r="AE71" s="551">
        <v>0.05</v>
      </c>
      <c r="AF71" s="253">
        <f t="shared" si="27"/>
        <v>0.05</v>
      </c>
      <c r="AG71" s="1371"/>
      <c r="AK71" s="339"/>
    </row>
    <row r="72" spans="1:37" hidden="1" outlineLevel="1" x14ac:dyDescent="0.25">
      <c r="A72" s="2147"/>
      <c r="B72" s="1318"/>
      <c r="D72" s="2638"/>
      <c r="E72" s="121" t="str">
        <f t="shared" si="28"/>
        <v>Air Sealing (Infiltration reduction) - 30% SF IE DI heat pump base</v>
      </c>
      <c r="F72" s="1471">
        <v>0.05</v>
      </c>
      <c r="G72" s="1278" t="s">
        <v>1448</v>
      </c>
      <c r="H72" s="1300"/>
      <c r="V72" s="2489"/>
      <c r="W72" s="258">
        <v>0.05</v>
      </c>
      <c r="X72" s="258">
        <v>0.05</v>
      </c>
      <c r="Y72" s="258">
        <v>0.05</v>
      </c>
      <c r="Z72" s="551">
        <v>0.05</v>
      </c>
      <c r="AA72" s="551">
        <v>0.05</v>
      </c>
      <c r="AB72" s="551">
        <v>0.05</v>
      </c>
      <c r="AC72" s="551">
        <v>0.05</v>
      </c>
      <c r="AD72" s="551">
        <v>0.05</v>
      </c>
      <c r="AE72" s="551">
        <v>0.05</v>
      </c>
      <c r="AF72" s="253">
        <f t="shared" si="27"/>
        <v>0.05</v>
      </c>
      <c r="AG72" s="1371"/>
      <c r="AK72" s="339"/>
    </row>
    <row r="73" spans="1:37" hidden="1" outlineLevel="1" x14ac:dyDescent="0.25">
      <c r="A73" s="2147"/>
      <c r="B73" s="1318"/>
      <c r="D73" s="2638"/>
      <c r="E73" s="121" t="str">
        <f t="shared" si="28"/>
        <v>MH Adjusted Air Sealing (Infiltration reduction) - 30% SF IE DI electric furnace base</v>
      </c>
      <c r="F73" s="1471">
        <v>6.2E-2</v>
      </c>
      <c r="G73" s="1278" t="s">
        <v>1448</v>
      </c>
      <c r="H73" s="1300"/>
      <c r="V73" s="2489"/>
      <c r="W73" s="258">
        <v>6.2E-2</v>
      </c>
      <c r="X73" s="258">
        <v>6.2E-2</v>
      </c>
      <c r="Y73" s="258">
        <v>6.2E-2</v>
      </c>
      <c r="Z73" s="551">
        <v>6.2E-2</v>
      </c>
      <c r="AA73" s="551">
        <v>6.2E-2</v>
      </c>
      <c r="AB73" s="551">
        <v>6.2E-2</v>
      </c>
      <c r="AC73" s="551">
        <v>6.2E-2</v>
      </c>
      <c r="AD73" s="551">
        <v>6.2E-2</v>
      </c>
      <c r="AE73" s="551">
        <v>6.2E-2</v>
      </c>
      <c r="AF73" s="253">
        <f t="shared" si="27"/>
        <v>6.2E-2</v>
      </c>
      <c r="AG73" s="1371"/>
      <c r="AK73" s="339"/>
    </row>
    <row r="74" spans="1:37" hidden="1" outlineLevel="1" x14ac:dyDescent="0.25">
      <c r="A74" s="2147"/>
      <c r="B74" s="1318"/>
      <c r="D74" s="2380"/>
      <c r="E74" s="121" t="str">
        <f t="shared" si="28"/>
        <v>MH Adjusted Air Sealing (Infiltration reduction) - 30% SF IE DI heat pump base</v>
      </c>
      <c r="F74" s="1471">
        <f>F73</f>
        <v>6.2E-2</v>
      </c>
      <c r="G74" s="1278" t="s">
        <v>1448</v>
      </c>
      <c r="H74" s="1300"/>
      <c r="V74" s="2650"/>
      <c r="W74" s="947"/>
      <c r="X74" s="947"/>
      <c r="Y74" s="259">
        <v>6.2E-2</v>
      </c>
      <c r="Z74" s="551">
        <v>6.2E-2</v>
      </c>
      <c r="AA74" s="551">
        <v>6.2E-2</v>
      </c>
      <c r="AB74" s="551">
        <v>6.2E-2</v>
      </c>
      <c r="AC74" s="551">
        <v>6.2E-2</v>
      </c>
      <c r="AD74" s="551">
        <v>6.2E-2</v>
      </c>
      <c r="AE74" s="551">
        <v>6.2E-2</v>
      </c>
      <c r="AF74" s="253">
        <f t="shared" si="27"/>
        <v>6.2E-2</v>
      </c>
      <c r="AG74" s="1371"/>
      <c r="AK74" s="339"/>
    </row>
    <row r="75" spans="1:37" hidden="1" outlineLevel="1" x14ac:dyDescent="0.25">
      <c r="A75" s="2147"/>
      <c r="B75" s="1318"/>
      <c r="D75" s="2380"/>
      <c r="E75" s="121" t="str">
        <f t="shared" si="28"/>
        <v>MH Adjusted Air Sealing (Infiltration reduction) - 30% SF IE DI gas furnace base</v>
      </c>
      <c r="F75" s="1471">
        <f>F74</f>
        <v>6.2E-2</v>
      </c>
      <c r="G75" s="1278" t="s">
        <v>1448</v>
      </c>
      <c r="H75" s="1300"/>
      <c r="V75" s="2644"/>
      <c r="W75" s="947"/>
      <c r="X75" s="947"/>
      <c r="Y75" s="259">
        <v>6.2E-2</v>
      </c>
      <c r="Z75" s="551">
        <v>6.2E-2</v>
      </c>
      <c r="AA75" s="551">
        <v>6.2E-2</v>
      </c>
      <c r="AB75" s="551">
        <v>6.2E-2</v>
      </c>
      <c r="AC75" s="551">
        <v>6.2E-2</v>
      </c>
      <c r="AD75" s="551">
        <v>6.2E-2</v>
      </c>
      <c r="AE75" s="551">
        <v>6.2E-2</v>
      </c>
      <c r="AF75" s="253">
        <f t="shared" si="27"/>
        <v>6.2E-2</v>
      </c>
      <c r="AG75" s="1371"/>
      <c r="AK75" s="339"/>
    </row>
    <row r="76" spans="1:37" hidden="1" outlineLevel="1" x14ac:dyDescent="0.25">
      <c r="A76" s="2147"/>
      <c r="B76" s="1318"/>
      <c r="D76" s="2638" t="s">
        <v>1449</v>
      </c>
      <c r="E76" s="121" t="str">
        <f t="shared" si="28"/>
        <v>Air Sealing (Infiltration reduction) - 30% MF IE DI electric furnace base</v>
      </c>
      <c r="F76" s="1471">
        <v>0</v>
      </c>
      <c r="G76" s="2637" t="s">
        <v>1440</v>
      </c>
      <c r="H76" s="174" t="s">
        <v>1450</v>
      </c>
      <c r="V76" s="2353" t="s">
        <v>1449</v>
      </c>
      <c r="W76" s="947"/>
      <c r="X76" s="947"/>
      <c r="Y76" s="262">
        <v>0</v>
      </c>
      <c r="Z76" s="552">
        <v>0</v>
      </c>
      <c r="AA76" s="552">
        <v>0</v>
      </c>
      <c r="AB76" s="552">
        <v>0</v>
      </c>
      <c r="AC76" s="552">
        <v>0</v>
      </c>
      <c r="AD76" s="552">
        <v>0</v>
      </c>
      <c r="AE76" s="552">
        <v>0</v>
      </c>
      <c r="AF76" s="253">
        <f t="shared" si="27"/>
        <v>0</v>
      </c>
      <c r="AG76" s="1371"/>
      <c r="AK76" s="339"/>
    </row>
    <row r="77" spans="1:37" hidden="1" outlineLevel="1" x14ac:dyDescent="0.25">
      <c r="A77" s="2147"/>
      <c r="B77" s="1318"/>
      <c r="D77" s="2638"/>
      <c r="E77" s="121" t="str">
        <f t="shared" si="28"/>
        <v>Air Sealing (Infiltration reduction) - 30% MF IE DI heat pump base</v>
      </c>
      <c r="F77" s="1471">
        <v>0</v>
      </c>
      <c r="G77" s="2637"/>
      <c r="H77" s="174" t="s">
        <v>1450</v>
      </c>
      <c r="V77" s="2354"/>
      <c r="W77" s="947"/>
      <c r="X77" s="947"/>
      <c r="Y77" s="262">
        <v>0</v>
      </c>
      <c r="Z77" s="552">
        <v>0</v>
      </c>
      <c r="AA77" s="552">
        <v>0</v>
      </c>
      <c r="AB77" s="552">
        <v>0</v>
      </c>
      <c r="AC77" s="552">
        <v>0</v>
      </c>
      <c r="AD77" s="552">
        <v>0</v>
      </c>
      <c r="AE77" s="552">
        <v>0</v>
      </c>
      <c r="AF77" s="253">
        <f t="shared" si="27"/>
        <v>0</v>
      </c>
      <c r="AG77" s="1371"/>
      <c r="AK77" s="339"/>
    </row>
    <row r="78" spans="1:37" hidden="1" outlineLevel="1" x14ac:dyDescent="0.25">
      <c r="A78" s="2147"/>
      <c r="B78" s="1318"/>
      <c r="D78" s="2638"/>
      <c r="E78" s="121" t="str">
        <f t="shared" si="28"/>
        <v>Air Sealing (Infiltration reduction) - 30% MF IE DI gas furnace base</v>
      </c>
      <c r="F78" s="1471">
        <v>1.2E-2</v>
      </c>
      <c r="G78" s="2637"/>
      <c r="H78" s="174" t="s">
        <v>1450</v>
      </c>
      <c r="V78" s="2354"/>
      <c r="W78" s="947"/>
      <c r="X78" s="947"/>
      <c r="Y78" s="949"/>
      <c r="Z78" s="948"/>
      <c r="AA78" s="948"/>
      <c r="AB78" s="948"/>
      <c r="AC78" s="948"/>
      <c r="AD78" s="259">
        <f>F78</f>
        <v>1.2E-2</v>
      </c>
      <c r="AE78" s="551">
        <v>1.2E-2</v>
      </c>
      <c r="AF78" s="253">
        <f t="shared" si="27"/>
        <v>1.2E-2</v>
      </c>
      <c r="AG78" s="1371"/>
      <c r="AK78" s="339"/>
    </row>
    <row r="79" spans="1:37" hidden="1" outlineLevel="1" x14ac:dyDescent="0.25">
      <c r="A79" s="2147"/>
      <c r="B79" s="1318"/>
      <c r="D79" s="2638"/>
      <c r="E79" s="121" t="str">
        <f t="shared" si="28"/>
        <v>Air Sealing (Infiltration reduction) - 30% SF IE DI electric furnace base</v>
      </c>
      <c r="F79" s="1471">
        <v>0</v>
      </c>
      <c r="G79" s="2637"/>
      <c r="H79" s="174" t="s">
        <v>1450</v>
      </c>
      <c r="V79" s="2354"/>
      <c r="W79" s="947"/>
      <c r="X79" s="947"/>
      <c r="Y79" s="262">
        <v>0</v>
      </c>
      <c r="Z79" s="552">
        <v>0</v>
      </c>
      <c r="AA79" s="552">
        <v>0</v>
      </c>
      <c r="AB79" s="552">
        <v>0</v>
      </c>
      <c r="AC79" s="552">
        <v>0</v>
      </c>
      <c r="AD79" s="552">
        <v>0</v>
      </c>
      <c r="AE79" s="552">
        <v>0</v>
      </c>
      <c r="AF79" s="253">
        <f t="shared" si="27"/>
        <v>0</v>
      </c>
      <c r="AG79" s="1371"/>
      <c r="AK79" s="339"/>
    </row>
    <row r="80" spans="1:37" hidden="1" outlineLevel="1" x14ac:dyDescent="0.25">
      <c r="A80" s="2147"/>
      <c r="B80" s="1318"/>
      <c r="D80" s="2638"/>
      <c r="E80" s="121" t="str">
        <f t="shared" si="28"/>
        <v>Air Sealing (Infiltration reduction) - 30% SF IE DI Gas furnace base</v>
      </c>
      <c r="F80" s="1471">
        <v>1.2999999999999999E-2</v>
      </c>
      <c r="G80" s="2637"/>
      <c r="H80" s="174" t="s">
        <v>1450</v>
      </c>
      <c r="V80" s="2354"/>
      <c r="W80" s="947"/>
      <c r="X80" s="947"/>
      <c r="Y80" s="262">
        <v>1.2999999999999999E-2</v>
      </c>
      <c r="Z80" s="552">
        <v>1.2999999999999999E-2</v>
      </c>
      <c r="AA80" s="552">
        <v>1.2999999999999999E-2</v>
      </c>
      <c r="AB80" s="552">
        <v>1.2999999999999999E-2</v>
      </c>
      <c r="AC80" s="552">
        <v>1.2999999999999999E-2</v>
      </c>
      <c r="AD80" s="552">
        <v>1.2999999999999999E-2</v>
      </c>
      <c r="AE80" s="552">
        <v>1.2999999999999999E-2</v>
      </c>
      <c r="AF80" s="253">
        <f t="shared" si="27"/>
        <v>1.2999999999999999E-2</v>
      </c>
      <c r="AG80" s="1371"/>
      <c r="AK80" s="339"/>
    </row>
    <row r="81" spans="1:37" hidden="1" outlineLevel="1" x14ac:dyDescent="0.25">
      <c r="A81" s="2147"/>
      <c r="B81" s="1318"/>
      <c r="D81" s="2638"/>
      <c r="E81" s="121" t="str">
        <f t="shared" si="28"/>
        <v>Air Sealing (Infiltration reduction) - 30% SF IE DI heat pump base</v>
      </c>
      <c r="F81" s="1471">
        <v>0</v>
      </c>
      <c r="G81" s="2637"/>
      <c r="H81" s="174" t="s">
        <v>1450</v>
      </c>
      <c r="V81" s="2354"/>
      <c r="W81" s="947"/>
      <c r="X81" s="947"/>
      <c r="Y81" s="262">
        <v>0</v>
      </c>
      <c r="Z81" s="552">
        <v>0</v>
      </c>
      <c r="AA81" s="552">
        <v>0</v>
      </c>
      <c r="AB81" s="552">
        <v>0</v>
      </c>
      <c r="AC81" s="552">
        <v>0</v>
      </c>
      <c r="AD81" s="552">
        <v>0</v>
      </c>
      <c r="AE81" s="552">
        <v>0</v>
      </c>
      <c r="AF81" s="253">
        <f t="shared" si="27"/>
        <v>0</v>
      </c>
      <c r="AG81" s="1371"/>
      <c r="AK81" s="339"/>
    </row>
    <row r="82" spans="1:37" hidden="1" outlineLevel="1" x14ac:dyDescent="0.25">
      <c r="A82" s="2147"/>
      <c r="B82" s="1318"/>
      <c r="D82" s="2638"/>
      <c r="E82" s="121" t="str">
        <f t="shared" si="28"/>
        <v>MH Adjusted Air Sealing (Infiltration reduction) - 30% SF IE DI electric furnace base</v>
      </c>
      <c r="F82" s="1471">
        <v>0</v>
      </c>
      <c r="G82" s="2637"/>
      <c r="H82" s="174" t="s">
        <v>1450</v>
      </c>
      <c r="V82" s="2354"/>
      <c r="W82" s="947"/>
      <c r="X82" s="947"/>
      <c r="Y82" s="262">
        <v>0</v>
      </c>
      <c r="Z82" s="552">
        <v>0</v>
      </c>
      <c r="AA82" s="552">
        <v>0</v>
      </c>
      <c r="AB82" s="552">
        <v>0</v>
      </c>
      <c r="AC82" s="552">
        <v>0</v>
      </c>
      <c r="AD82" s="552">
        <v>0</v>
      </c>
      <c r="AE82" s="552">
        <v>0</v>
      </c>
      <c r="AF82" s="253">
        <f t="shared" si="27"/>
        <v>0</v>
      </c>
      <c r="AG82" s="1371"/>
      <c r="AK82" s="339"/>
    </row>
    <row r="83" spans="1:37" hidden="1" outlineLevel="1" x14ac:dyDescent="0.25">
      <c r="A83" s="2147"/>
      <c r="B83" s="1318"/>
      <c r="D83" s="2380"/>
      <c r="E83" s="121" t="str">
        <f t="shared" si="28"/>
        <v>MH Adjusted Air Sealing (Infiltration reduction) - 30% SF IE DI heat pump base</v>
      </c>
      <c r="F83" s="1471">
        <v>0</v>
      </c>
      <c r="G83" s="2637"/>
      <c r="H83" s="174" t="s">
        <v>1450</v>
      </c>
      <c r="V83" s="2651"/>
      <c r="W83" s="947"/>
      <c r="X83" s="947"/>
      <c r="Y83" s="262">
        <v>0</v>
      </c>
      <c r="Z83" s="552">
        <v>0</v>
      </c>
      <c r="AA83" s="552">
        <v>0</v>
      </c>
      <c r="AB83" s="552">
        <v>0</v>
      </c>
      <c r="AC83" s="552">
        <v>0</v>
      </c>
      <c r="AD83" s="552">
        <v>0</v>
      </c>
      <c r="AE83" s="552">
        <v>0</v>
      </c>
      <c r="AF83" s="253">
        <f t="shared" si="27"/>
        <v>0</v>
      </c>
      <c r="AG83" s="1371"/>
      <c r="AK83" s="339"/>
    </row>
    <row r="84" spans="1:37" hidden="1" outlineLevel="1" x14ac:dyDescent="0.25">
      <c r="A84" s="2147"/>
      <c r="B84" s="1318"/>
      <c r="D84" s="2380"/>
      <c r="E84" s="121" t="str">
        <f t="shared" si="28"/>
        <v>MH Adjusted Air Sealing (Infiltration reduction) - 30% SF IE DI gas furnace base</v>
      </c>
      <c r="F84" s="1471">
        <v>1.7000000000000001E-2</v>
      </c>
      <c r="G84" s="2637"/>
      <c r="H84" s="174" t="s">
        <v>1450</v>
      </c>
      <c r="V84" s="2643"/>
      <c r="W84" s="947"/>
      <c r="X84" s="947"/>
      <c r="Y84" s="262">
        <v>1.7000000000000001E-2</v>
      </c>
      <c r="Z84" s="552">
        <v>1.7000000000000001E-2</v>
      </c>
      <c r="AA84" s="552">
        <v>1.7000000000000001E-2</v>
      </c>
      <c r="AB84" s="552">
        <v>1.7000000000000001E-2</v>
      </c>
      <c r="AC84" s="552">
        <v>1.7000000000000001E-2</v>
      </c>
      <c r="AD84" s="552">
        <v>1.7000000000000001E-2</v>
      </c>
      <c r="AE84" s="552">
        <v>1.7000000000000001E-2</v>
      </c>
      <c r="AF84" s="253">
        <f t="shared" si="27"/>
        <v>1.7000000000000001E-2</v>
      </c>
      <c r="AG84" s="1371"/>
      <c r="AK84" s="339"/>
    </row>
    <row r="85" spans="1:37" hidden="1" outlineLevel="1" x14ac:dyDescent="0.25">
      <c r="A85" s="2147"/>
      <c r="B85" s="1318"/>
      <c r="D85" s="1256" t="s">
        <v>747</v>
      </c>
      <c r="E85" s="121" t="s">
        <v>742</v>
      </c>
      <c r="F85" s="1472">
        <v>3.1399999999999997E-2</v>
      </c>
      <c r="G85" s="1278" t="s">
        <v>1451</v>
      </c>
      <c r="H85" s="174"/>
      <c r="V85" s="1244" t="str">
        <f>D85</f>
        <v>Fe</v>
      </c>
      <c r="W85" s="947"/>
      <c r="X85" s="947"/>
      <c r="Y85" s="262">
        <v>3.1399999999999997E-2</v>
      </c>
      <c r="Z85" s="552">
        <v>3.1399999999999997E-2</v>
      </c>
      <c r="AA85" s="552">
        <v>3.1399999999999997E-2</v>
      </c>
      <c r="AB85" s="552">
        <v>3.1399999999999997E-2</v>
      </c>
      <c r="AC85" s="552">
        <v>3.1399999999999997E-2</v>
      </c>
      <c r="AD85" s="552">
        <v>3.1399999999999997E-2</v>
      </c>
      <c r="AE85" s="552">
        <v>3.1399999999999997E-2</v>
      </c>
      <c r="AF85" s="253">
        <f t="shared" si="27"/>
        <v>3.1399999999999997E-2</v>
      </c>
      <c r="AG85" s="1371"/>
      <c r="AK85" s="339"/>
    </row>
    <row r="86" spans="1:37" hidden="1" outlineLevel="1" x14ac:dyDescent="0.25">
      <c r="A86" s="2147"/>
      <c r="B86" s="1318"/>
      <c r="D86" s="1256">
        <v>29.3</v>
      </c>
      <c r="E86" s="121" t="s">
        <v>742</v>
      </c>
      <c r="F86" s="1471">
        <v>29.3</v>
      </c>
      <c r="G86" s="1278" t="s">
        <v>1451</v>
      </c>
      <c r="H86" s="174"/>
      <c r="V86" s="1244">
        <f>D86</f>
        <v>29.3</v>
      </c>
      <c r="W86" s="947"/>
      <c r="X86" s="947"/>
      <c r="Y86" s="262">
        <v>29.3</v>
      </c>
      <c r="Z86" s="552">
        <v>29.3</v>
      </c>
      <c r="AA86" s="552">
        <v>29.3</v>
      </c>
      <c r="AB86" s="552">
        <v>29.3</v>
      </c>
      <c r="AC86" s="552">
        <v>29.3</v>
      </c>
      <c r="AD86" s="552">
        <v>29.3</v>
      </c>
      <c r="AE86" s="552">
        <v>29.3</v>
      </c>
      <c r="AF86" s="253">
        <f t="shared" si="27"/>
        <v>29.3</v>
      </c>
      <c r="AG86" s="1371"/>
      <c r="AK86" s="339"/>
    </row>
    <row r="87" spans="1:37" ht="30.4" hidden="1" customHeight="1" outlineLevel="1" x14ac:dyDescent="0.25">
      <c r="A87" s="2147"/>
      <c r="B87" s="1318"/>
      <c r="D87" s="1243" t="str">
        <f>L33</f>
        <v>EUL</v>
      </c>
      <c r="E87" s="1243" t="s">
        <v>742</v>
      </c>
      <c r="F87" s="1468">
        <v>20</v>
      </c>
      <c r="G87" s="1818" t="s">
        <v>1452</v>
      </c>
      <c r="H87" s="1819"/>
      <c r="V87" s="1244" t="str">
        <f>D87</f>
        <v>EUL</v>
      </c>
      <c r="W87" s="258">
        <v>15</v>
      </c>
      <c r="X87" s="258">
        <v>15</v>
      </c>
      <c r="Y87" s="259">
        <v>15</v>
      </c>
      <c r="Z87" s="551">
        <v>15</v>
      </c>
      <c r="AA87" s="551">
        <v>15</v>
      </c>
      <c r="AB87" s="551">
        <v>15</v>
      </c>
      <c r="AC87" s="551">
        <v>15</v>
      </c>
      <c r="AD87" s="551">
        <v>15</v>
      </c>
      <c r="AE87" s="551">
        <v>15</v>
      </c>
      <c r="AF87" s="253">
        <f t="shared" si="27"/>
        <v>20</v>
      </c>
      <c r="AG87" s="1371"/>
      <c r="AK87" s="339"/>
    </row>
    <row r="88" spans="1:37" ht="32.65" hidden="1" customHeight="1" outlineLevel="1" x14ac:dyDescent="0.25">
      <c r="A88" s="2147"/>
      <c r="B88" s="1318"/>
      <c r="D88" s="2638" t="str">
        <f>M33</f>
        <v>Inc. Cost</v>
      </c>
      <c r="E88" s="121" t="str">
        <f t="shared" ref="E88:E96" si="29">E67</f>
        <v>Air Sealing (Infiltration reduction) - 30% MF IE DI electric furnace base</v>
      </c>
      <c r="F88" s="1471">
        <f>108.186/902</f>
        <v>0.11994013303769402</v>
      </c>
      <c r="G88" s="1278" t="s">
        <v>1442</v>
      </c>
      <c r="H88" s="2649" t="s">
        <v>1453</v>
      </c>
      <c r="V88" s="2488" t="str">
        <f>D88</f>
        <v>Inc. Cost</v>
      </c>
      <c r="W88" s="258">
        <v>4.2999999999999997E-2</v>
      </c>
      <c r="X88" s="258">
        <v>4.2999999999999997E-2</v>
      </c>
      <c r="Y88" s="259">
        <v>0.11994013303769402</v>
      </c>
      <c r="Z88" s="551">
        <v>0.11994013303769402</v>
      </c>
      <c r="AA88" s="551">
        <v>0.11994013303769402</v>
      </c>
      <c r="AB88" s="551">
        <v>0.11994013303769402</v>
      </c>
      <c r="AC88" s="551">
        <v>0.11994013303769402</v>
      </c>
      <c r="AD88" s="551">
        <v>0.11994013303769402</v>
      </c>
      <c r="AE88" s="551">
        <v>0.11994013303769402</v>
      </c>
      <c r="AF88" s="253">
        <f t="shared" si="27"/>
        <v>0.11994013303769402</v>
      </c>
      <c r="AG88" s="1371"/>
      <c r="AK88" s="339"/>
    </row>
    <row r="89" spans="1:37" ht="30" hidden="1" outlineLevel="1" x14ac:dyDescent="0.25">
      <c r="A89" s="2147"/>
      <c r="B89" s="1318"/>
      <c r="D89" s="2638"/>
      <c r="E89" s="121" t="str">
        <f t="shared" si="29"/>
        <v>Air Sealing (Infiltration reduction) - 30% MF IE DI heat pump base</v>
      </c>
      <c r="F89" s="1471">
        <f>108.186/902</f>
        <v>0.11994013303769402</v>
      </c>
      <c r="G89" s="1278" t="s">
        <v>1442</v>
      </c>
      <c r="H89" s="2608"/>
      <c r="V89" s="2489"/>
      <c r="W89" s="258">
        <v>4.2999999999999997E-2</v>
      </c>
      <c r="X89" s="258">
        <v>4.2999999999999997E-2</v>
      </c>
      <c r="Y89" s="259">
        <v>0.11994013303769402</v>
      </c>
      <c r="Z89" s="551">
        <v>0.11994013303769402</v>
      </c>
      <c r="AA89" s="551">
        <v>0.11994013303769402</v>
      </c>
      <c r="AB89" s="551">
        <v>0.11994013303769402</v>
      </c>
      <c r="AC89" s="551">
        <v>0.11994013303769402</v>
      </c>
      <c r="AD89" s="551">
        <v>0.11994013303769402</v>
      </c>
      <c r="AE89" s="551">
        <v>0.11994013303769402</v>
      </c>
      <c r="AF89" s="253">
        <f t="shared" si="27"/>
        <v>0.11994013303769402</v>
      </c>
      <c r="AG89" s="1371"/>
      <c r="AK89" s="339"/>
    </row>
    <row r="90" spans="1:37" ht="30" hidden="1" outlineLevel="1" x14ac:dyDescent="0.25">
      <c r="A90" s="2147"/>
      <c r="B90" s="1318"/>
      <c r="D90" s="2638"/>
      <c r="E90" s="121" t="str">
        <f t="shared" si="29"/>
        <v>Air Sealing (Infiltration reduction) - 30% MF IE DI gas furnace base</v>
      </c>
      <c r="F90" s="1471">
        <f>108.186/902</f>
        <v>0.11994013303769402</v>
      </c>
      <c r="G90" s="1278" t="s">
        <v>1442</v>
      </c>
      <c r="H90" s="2608"/>
      <c r="V90" s="2489"/>
      <c r="W90" s="947"/>
      <c r="X90" s="947"/>
      <c r="Y90" s="949"/>
      <c r="Z90" s="948"/>
      <c r="AA90" s="948"/>
      <c r="AB90" s="948"/>
      <c r="AC90" s="948"/>
      <c r="AD90" s="259">
        <v>0.11994013303769402</v>
      </c>
      <c r="AE90" s="551">
        <v>0.11994013303769402</v>
      </c>
      <c r="AF90" s="253">
        <f t="shared" si="27"/>
        <v>0.11994013303769402</v>
      </c>
      <c r="AG90" s="1371"/>
      <c r="AK90" s="339"/>
    </row>
    <row r="91" spans="1:37" ht="30" hidden="1" outlineLevel="1" x14ac:dyDescent="0.25">
      <c r="A91" s="2147"/>
      <c r="B91" s="1318"/>
      <c r="D91" s="2638"/>
      <c r="E91" s="121" t="str">
        <f t="shared" si="29"/>
        <v>Air Sealing (Infiltration reduction) - 30% SF IE DI electric furnace base</v>
      </c>
      <c r="F91" s="1471">
        <f>166.44/1387</f>
        <v>0.12</v>
      </c>
      <c r="G91" s="1278" t="s">
        <v>1444</v>
      </c>
      <c r="H91" s="2608"/>
      <c r="V91" s="2489"/>
      <c r="W91" s="258">
        <v>0.05</v>
      </c>
      <c r="X91" s="258">
        <v>0.05</v>
      </c>
      <c r="Y91" s="259">
        <v>0.12</v>
      </c>
      <c r="Z91" s="551">
        <v>0.12</v>
      </c>
      <c r="AA91" s="551">
        <v>0.12</v>
      </c>
      <c r="AB91" s="551">
        <v>0.12</v>
      </c>
      <c r="AC91" s="551">
        <v>0.12</v>
      </c>
      <c r="AD91" s="551">
        <v>0.12</v>
      </c>
      <c r="AE91" s="551">
        <v>0.12</v>
      </c>
      <c r="AF91" s="253">
        <f t="shared" si="27"/>
        <v>0.12</v>
      </c>
      <c r="AG91" s="1371"/>
      <c r="AK91" s="339"/>
    </row>
    <row r="92" spans="1:37" ht="30" hidden="1" outlineLevel="1" x14ac:dyDescent="0.25">
      <c r="A92" s="2147"/>
      <c r="B92" s="1318"/>
      <c r="D92" s="2638"/>
      <c r="E92" s="121" t="str">
        <f t="shared" si="29"/>
        <v>Air Sealing (Infiltration reduction) - 30% SF IE DI Gas furnace base</v>
      </c>
      <c r="F92" s="1471">
        <f>166.44/1387</f>
        <v>0.12</v>
      </c>
      <c r="G92" s="1278" t="s">
        <v>1444</v>
      </c>
      <c r="H92" s="2608"/>
      <c r="V92" s="2489"/>
      <c r="W92" s="947"/>
      <c r="X92" s="947"/>
      <c r="Y92" s="259">
        <v>0.12</v>
      </c>
      <c r="Z92" s="551">
        <v>0.12</v>
      </c>
      <c r="AA92" s="551">
        <v>0.12</v>
      </c>
      <c r="AB92" s="551">
        <v>0.12</v>
      </c>
      <c r="AC92" s="551">
        <v>0.12</v>
      </c>
      <c r="AD92" s="551">
        <v>0.12</v>
      </c>
      <c r="AE92" s="551">
        <v>0.12</v>
      </c>
      <c r="AF92" s="253">
        <f t="shared" si="27"/>
        <v>0.12</v>
      </c>
      <c r="AG92" s="1371"/>
      <c r="AK92" s="339"/>
    </row>
    <row r="93" spans="1:37" ht="30" hidden="1" outlineLevel="1" x14ac:dyDescent="0.25">
      <c r="A93" s="2147"/>
      <c r="B93" s="1318"/>
      <c r="D93" s="2638"/>
      <c r="E93" s="121" t="str">
        <f t="shared" si="29"/>
        <v>Air Sealing (Infiltration reduction) - 30% SF IE DI heat pump base</v>
      </c>
      <c r="F93" s="1471">
        <f>166.44/1387</f>
        <v>0.12</v>
      </c>
      <c r="G93" s="1278" t="s">
        <v>1445</v>
      </c>
      <c r="H93" s="2608"/>
      <c r="V93" s="2489"/>
      <c r="W93" s="258">
        <v>0.05</v>
      </c>
      <c r="X93" s="258">
        <v>0.05</v>
      </c>
      <c r="Y93" s="259">
        <v>0.12</v>
      </c>
      <c r="Z93" s="551">
        <v>0.12</v>
      </c>
      <c r="AA93" s="551">
        <v>0.12</v>
      </c>
      <c r="AB93" s="551">
        <v>0.12</v>
      </c>
      <c r="AC93" s="551">
        <v>0.12</v>
      </c>
      <c r="AD93" s="551">
        <v>0.12</v>
      </c>
      <c r="AE93" s="551">
        <v>0.12</v>
      </c>
      <c r="AF93" s="253">
        <f t="shared" si="27"/>
        <v>0.12</v>
      </c>
      <c r="AG93" s="1371"/>
      <c r="AK93" s="339"/>
    </row>
    <row r="94" spans="1:37" ht="30" hidden="1" outlineLevel="1" x14ac:dyDescent="0.25">
      <c r="A94" s="2147"/>
      <c r="B94" s="1318"/>
      <c r="D94" s="2638"/>
      <c r="E94" s="121" t="str">
        <f t="shared" si="29"/>
        <v>MH Adjusted Air Sealing (Infiltration reduction) - 30% SF IE DI electric furnace base</v>
      </c>
      <c r="F94" s="1471">
        <f>129.6/1080</f>
        <v>0.12</v>
      </c>
      <c r="G94" s="1278" t="s">
        <v>1446</v>
      </c>
      <c r="H94" s="2608"/>
      <c r="V94" s="2489"/>
      <c r="W94" s="258">
        <v>6.2E-2</v>
      </c>
      <c r="X94" s="258">
        <v>6.2E-2</v>
      </c>
      <c r="Y94" s="259">
        <v>0.12</v>
      </c>
      <c r="Z94" s="551">
        <v>0.12</v>
      </c>
      <c r="AA94" s="551">
        <v>0.12</v>
      </c>
      <c r="AB94" s="551">
        <v>0.12</v>
      </c>
      <c r="AC94" s="551">
        <v>0.12</v>
      </c>
      <c r="AD94" s="551">
        <v>0.12</v>
      </c>
      <c r="AE94" s="551">
        <v>0.12</v>
      </c>
      <c r="AF94" s="253">
        <f t="shared" si="27"/>
        <v>0.12</v>
      </c>
      <c r="AG94" s="1371"/>
      <c r="AK94" s="339"/>
    </row>
    <row r="95" spans="1:37" ht="30" hidden="1" outlineLevel="1" x14ac:dyDescent="0.25">
      <c r="A95" s="2147"/>
      <c r="B95" s="1318"/>
      <c r="D95" s="2380"/>
      <c r="E95" s="121" t="str">
        <f t="shared" si="29"/>
        <v>MH Adjusted Air Sealing (Infiltration reduction) - 30% SF IE DI heat pump base</v>
      </c>
      <c r="F95" s="1471">
        <f>129.6/1080</f>
        <v>0.12</v>
      </c>
      <c r="G95" s="1278" t="s">
        <v>1446</v>
      </c>
      <c r="H95" s="2608"/>
      <c r="V95" s="2650"/>
      <c r="W95" s="947"/>
      <c r="X95" s="947"/>
      <c r="Y95" s="259">
        <v>0.12</v>
      </c>
      <c r="Z95" s="551">
        <v>0.12</v>
      </c>
      <c r="AA95" s="551">
        <v>0.12</v>
      </c>
      <c r="AB95" s="551">
        <v>0.12</v>
      </c>
      <c r="AC95" s="551">
        <v>0.12</v>
      </c>
      <c r="AD95" s="551">
        <v>0.12</v>
      </c>
      <c r="AE95" s="551">
        <v>0.12</v>
      </c>
      <c r="AF95" s="253">
        <f t="shared" si="27"/>
        <v>0.12</v>
      </c>
      <c r="AG95" s="1371"/>
      <c r="AK95" s="339"/>
    </row>
    <row r="96" spans="1:37" ht="30" hidden="1" outlineLevel="1" x14ac:dyDescent="0.25">
      <c r="A96" s="2147"/>
      <c r="B96" s="1318"/>
      <c r="D96" s="2380"/>
      <c r="E96" s="121" t="str">
        <f t="shared" si="29"/>
        <v>MH Adjusted Air Sealing (Infiltration reduction) - 30% SF IE DI gas furnace base</v>
      </c>
      <c r="F96" s="1471">
        <f>129.6/1080</f>
        <v>0.12</v>
      </c>
      <c r="G96" s="1278" t="s">
        <v>1446</v>
      </c>
      <c r="H96" s="2608"/>
      <c r="V96" s="2644"/>
      <c r="W96" s="947"/>
      <c r="X96" s="947"/>
      <c r="Y96" s="259">
        <v>0.12</v>
      </c>
      <c r="Z96" s="551">
        <v>0.12</v>
      </c>
      <c r="AA96" s="551">
        <v>0.12</v>
      </c>
      <c r="AB96" s="551">
        <v>0.12</v>
      </c>
      <c r="AC96" s="551">
        <v>0.12</v>
      </c>
      <c r="AD96" s="551">
        <v>0.12</v>
      </c>
      <c r="AE96" s="551">
        <v>0.12</v>
      </c>
      <c r="AF96" s="253">
        <f t="shared" si="27"/>
        <v>0.12</v>
      </c>
      <c r="AG96" s="1371"/>
      <c r="AK96" s="339"/>
    </row>
    <row r="97" spans="1:114" hidden="1" outlineLevel="1" x14ac:dyDescent="0.25">
      <c r="A97" s="2147"/>
      <c r="B97" s="549"/>
      <c r="E97" s="1277"/>
      <c r="Y97" s="263" t="s">
        <v>1454</v>
      </c>
      <c r="AK97" s="339"/>
    </row>
    <row r="98" spans="1:114" collapsed="1" x14ac:dyDescent="0.25">
      <c r="A98" s="2147"/>
      <c r="AK98" s="339"/>
    </row>
    <row r="99" spans="1:114" x14ac:dyDescent="0.25">
      <c r="A99" s="2147"/>
      <c r="B99" s="2388" t="s">
        <v>1455</v>
      </c>
      <c r="C99" s="2389"/>
      <c r="D99" s="2389"/>
      <c r="E99" s="2389"/>
      <c r="F99" s="2389"/>
      <c r="G99" s="2389"/>
      <c r="H99" s="2389"/>
      <c r="I99" s="2390"/>
      <c r="J99" s="2390"/>
      <c r="K99" s="2390"/>
      <c r="L99" s="2390"/>
      <c r="M99" s="2390"/>
      <c r="N99" s="2390"/>
      <c r="O99" s="2390"/>
      <c r="P99" s="2390"/>
      <c r="Q99" s="2390"/>
      <c r="R99" s="2391"/>
      <c r="V99" s="2339" t="str">
        <f>B99</f>
        <v>Ceiling Insulation</v>
      </c>
      <c r="W99" s="2340"/>
      <c r="X99" s="2340"/>
      <c r="Y99" s="2340"/>
      <c r="Z99" s="2340"/>
      <c r="AA99" s="2340"/>
      <c r="AB99" s="2340"/>
      <c r="AC99" s="2341"/>
      <c r="AD99" s="2341"/>
      <c r="AE99" s="2341"/>
      <c r="AF99" s="2341"/>
      <c r="AG99" s="2341"/>
      <c r="AH99" s="2341"/>
      <c r="AI99" s="2342"/>
      <c r="AK99" s="339"/>
    </row>
    <row r="100" spans="1:114" x14ac:dyDescent="0.25">
      <c r="A100" s="2147"/>
      <c r="B100" s="549"/>
      <c r="D100" s="553"/>
      <c r="E100" s="553"/>
      <c r="F100" s="264"/>
      <c r="G100" s="264"/>
      <c r="H100" s="264"/>
      <c r="I100" s="264"/>
      <c r="J100" s="264"/>
      <c r="K100" s="264"/>
      <c r="L100" s="554"/>
      <c r="AK100" s="339"/>
    </row>
    <row r="101" spans="1:114" ht="45" x14ac:dyDescent="0.25">
      <c r="A101" s="2147"/>
      <c r="B101" s="549"/>
      <c r="C101" s="1242" t="s">
        <v>43</v>
      </c>
      <c r="D101" s="1242" t="s">
        <v>597</v>
      </c>
      <c r="E101" s="1242" t="s">
        <v>45</v>
      </c>
      <c r="F101" s="1242" t="s">
        <v>46</v>
      </c>
      <c r="G101" s="1242" t="s">
        <v>47</v>
      </c>
      <c r="H101" s="1242" t="s">
        <v>48</v>
      </c>
      <c r="I101" s="1242" t="s">
        <v>807</v>
      </c>
      <c r="J101" s="1242" t="s">
        <v>808</v>
      </c>
      <c r="K101" s="1242" t="s">
        <v>49</v>
      </c>
      <c r="L101" s="1254" t="s">
        <v>50</v>
      </c>
      <c r="M101" s="1242" t="s">
        <v>51</v>
      </c>
      <c r="N101" s="1242" t="s">
        <v>1456</v>
      </c>
      <c r="V101" s="636" t="s">
        <v>53</v>
      </c>
      <c r="W101" s="637">
        <f>W$6</f>
        <v>43252</v>
      </c>
      <c r="X101" s="637">
        <f t="shared" ref="X101:AG101" si="30">X$6</f>
        <v>43465</v>
      </c>
      <c r="Y101" s="110">
        <f t="shared" si="30"/>
        <v>43800</v>
      </c>
      <c r="Z101" s="637">
        <f t="shared" si="30"/>
        <v>43862</v>
      </c>
      <c r="AA101" s="637">
        <f t="shared" si="30"/>
        <v>44013</v>
      </c>
      <c r="AB101" s="637">
        <f t="shared" si="30"/>
        <v>44166</v>
      </c>
      <c r="AC101" s="637">
        <f t="shared" si="30"/>
        <v>44531</v>
      </c>
      <c r="AD101" s="637">
        <f t="shared" si="30"/>
        <v>44774</v>
      </c>
      <c r="AE101" s="637">
        <f t="shared" si="30"/>
        <v>45139</v>
      </c>
      <c r="AF101" s="637">
        <f t="shared" si="30"/>
        <v>45672</v>
      </c>
      <c r="AG101" s="637">
        <f t="shared" si="30"/>
        <v>45971</v>
      </c>
      <c r="AK101" s="339"/>
      <c r="DG101" s="991" t="str">
        <f>$DG$6</f>
        <v>TRC (2025)</v>
      </c>
      <c r="DH101" s="761" t="str">
        <f>$DH$6</f>
        <v>Benefit Lookup</v>
      </c>
      <c r="DI101" s="1006" t="str">
        <f>$DI$6</f>
        <v>Benefits (2025 $)</v>
      </c>
      <c r="DJ101" s="1031" t="str">
        <f>$DJ$6</f>
        <v>Incremental Cost (2025 $)</v>
      </c>
    </row>
    <row r="102" spans="1:114" x14ac:dyDescent="0.25">
      <c r="A102" s="2147" t="s">
        <v>602</v>
      </c>
      <c r="B102" s="1318">
        <f t="shared" ref="B102:B131" si="31">VALUE(LEFT(C102,6))</f>
        <v>400700</v>
      </c>
      <c r="C102" s="327" t="s">
        <v>1457</v>
      </c>
      <c r="D102" s="1994" t="s">
        <v>810</v>
      </c>
      <c r="E102" s="121" t="s">
        <v>1458</v>
      </c>
      <c r="F102" s="186">
        <f t="shared" ref="F102:F131" si="32">ROUND(I102+J102,2)</f>
        <v>0.91</v>
      </c>
      <c r="G102" s="132" t="s">
        <v>1417</v>
      </c>
      <c r="H102" s="66">
        <f>VLOOKUP(G102,'CP FACTORS'!$A$3:$B$38, 2, FALSE)</f>
        <v>4.6608050000000002E-4</v>
      </c>
      <c r="I102" s="318">
        <f t="shared" ref="I102:I131" si="33">F138*(1/(F168+5)-1/(F198+5))*F228*(1-F$258)*F$259*24*F$261/(F262*3412)+(F292*F$322*29.3)</f>
        <v>0.81312036928487674</v>
      </c>
      <c r="J102" s="515">
        <f t="shared" ref="J102:J131" si="34">F325*(1/(F168+5)-1/(F198+5))*F228*(1-F$258)*F$260*F$323*24*F$324/(F355*1000)</f>
        <v>0.10138639875</v>
      </c>
      <c r="K102" s="256">
        <f>ROUND(H102*F102,6)</f>
        <v>4.2400000000000001E-4</v>
      </c>
      <c r="L102" s="318">
        <f>$F$385</f>
        <v>30</v>
      </c>
      <c r="M102" s="697">
        <f>F386</f>
        <v>2.1249043458397576</v>
      </c>
      <c r="N102" s="318">
        <f>F228</f>
        <v>1</v>
      </c>
      <c r="V102" s="337" t="str">
        <f>$F$33</f>
        <v>kWh Annual Savings</v>
      </c>
      <c r="W102" s="84">
        <v>924.01016928670083</v>
      </c>
      <c r="X102" s="123">
        <v>924.01016928670083</v>
      </c>
      <c r="Y102" s="254">
        <v>1.06</v>
      </c>
      <c r="Z102" s="252">
        <v>1.06</v>
      </c>
      <c r="AA102" s="252">
        <v>1.06</v>
      </c>
      <c r="AB102" s="252">
        <v>1.06</v>
      </c>
      <c r="AC102" s="252">
        <v>1.06</v>
      </c>
      <c r="AD102" s="252">
        <v>1.06</v>
      </c>
      <c r="AE102" s="252">
        <v>1.06</v>
      </c>
      <c r="AF102" s="253">
        <f t="shared" ref="AF102:AF131" si="35">IF(F102&lt;&gt;"",F102,"")</f>
        <v>0.91</v>
      </c>
      <c r="AG102" s="337"/>
      <c r="AK102" s="339"/>
      <c r="DG102" s="993">
        <f t="shared" ref="DG102:DG131" si="36">(DI102)/(DJ102)</f>
        <v>0.80448693981771968</v>
      </c>
      <c r="DH102" s="1272" t="str">
        <f>CONCATENATE(G102," ",L102," Year EUL")</f>
        <v>Building Shell RES 30 Year EUL</v>
      </c>
      <c r="DI102" s="945">
        <f>(INDEX('Avoided Cost Benefits'!$B$4:$B$865,MATCH(DH102,'Avoided Cost Benefits'!$A$4:$A$865,0)))*F102</f>
        <v>1.70945779459</v>
      </c>
      <c r="DJ102" s="1848">
        <f t="shared" ref="DJ102:DJ131" si="37">IFERROR(M102/((1+DiscountRate)^(CurrentYear-DiscountYear)),0)</f>
        <v>2.1249043458397576</v>
      </c>
    </row>
    <row r="103" spans="1:114" x14ac:dyDescent="0.25">
      <c r="A103" s="2147" t="s">
        <v>602</v>
      </c>
      <c r="B103" s="1318">
        <f t="shared" si="31"/>
        <v>400750</v>
      </c>
      <c r="C103" s="327" t="s">
        <v>1459</v>
      </c>
      <c r="D103" s="1994" t="s">
        <v>810</v>
      </c>
      <c r="E103" s="121" t="s">
        <v>1460</v>
      </c>
      <c r="F103" s="186">
        <f t="shared" si="32"/>
        <v>0.61</v>
      </c>
      <c r="G103" s="132" t="s">
        <v>1417</v>
      </c>
      <c r="H103" s="66">
        <f>VLOOKUP(G103,'CP FACTORS'!$A$3:$B$38, 2, FALSE)</f>
        <v>4.6608050000000002E-4</v>
      </c>
      <c r="I103" s="318">
        <f t="shared" si="33"/>
        <v>0.50192615387955353</v>
      </c>
      <c r="J103" s="515">
        <f t="shared" si="34"/>
        <v>0.11141362499999999</v>
      </c>
      <c r="K103" s="256">
        <f t="shared" ref="K103:K131" si="38">ROUND(H103*F103,6)</f>
        <v>2.8400000000000002E-4</v>
      </c>
      <c r="L103" s="318">
        <f t="shared" ref="L103:L131" si="39">$F$385</f>
        <v>30</v>
      </c>
      <c r="M103" s="697">
        <f t="shared" ref="M103:M131" si="40">F387</f>
        <v>2.1249043458397576</v>
      </c>
      <c r="N103" s="318">
        <f t="shared" ref="N103:N131" si="41">F229</f>
        <v>1</v>
      </c>
      <c r="V103" s="337" t="str">
        <f t="shared" ref="V103:V131" si="42">$F$33</f>
        <v>kWh Annual Savings</v>
      </c>
      <c r="W103" s="84">
        <v>575.99271940716187</v>
      </c>
      <c r="X103" s="123">
        <v>575.99271940716187</v>
      </c>
      <c r="Y103" s="254">
        <v>0.66</v>
      </c>
      <c r="Z103" s="252">
        <v>0.66</v>
      </c>
      <c r="AA103" s="252">
        <v>0.66</v>
      </c>
      <c r="AB103" s="252">
        <v>0.66</v>
      </c>
      <c r="AC103" s="252">
        <v>0.66</v>
      </c>
      <c r="AD103" s="252">
        <v>0.66</v>
      </c>
      <c r="AE103" s="252">
        <v>0.66</v>
      </c>
      <c r="AF103" s="253">
        <f t="shared" si="35"/>
        <v>0.61</v>
      </c>
      <c r="AG103" s="337"/>
      <c r="AK103" s="339"/>
      <c r="DG103" s="994">
        <f t="shared" si="36"/>
        <v>0.53927146515253732</v>
      </c>
      <c r="DH103" s="641" t="str">
        <f t="shared" ref="DH103:DH131" si="43">CONCATENATE(G103," ",L103," Year EUL")</f>
        <v>Building Shell RES 30 Year EUL</v>
      </c>
      <c r="DI103" s="527">
        <f>(INDEX('Avoided Cost Benefits'!$B$4:$B$865,MATCH(DH103,'Avoided Cost Benefits'!$A$4:$A$865,0)))*F103</f>
        <v>1.14590027989</v>
      </c>
      <c r="DJ103" s="1849">
        <f t="shared" si="37"/>
        <v>2.1249043458397576</v>
      </c>
    </row>
    <row r="104" spans="1:114" x14ac:dyDescent="0.25">
      <c r="A104" s="2147" t="s">
        <v>602</v>
      </c>
      <c r="B104" s="1318">
        <f t="shared" si="31"/>
        <v>400800</v>
      </c>
      <c r="C104" s="327" t="s">
        <v>1461</v>
      </c>
      <c r="D104" s="1994" t="s">
        <v>810</v>
      </c>
      <c r="E104" s="121" t="s">
        <v>1462</v>
      </c>
      <c r="F104" s="186">
        <f t="shared" si="32"/>
        <v>0.14000000000000001</v>
      </c>
      <c r="G104" s="132" t="s">
        <v>1417</v>
      </c>
      <c r="H104" s="66">
        <f>VLOOKUP(G104,'CP FACTORS'!$A$3:$B$38, 2, FALSE)</f>
        <v>4.6608050000000002E-4</v>
      </c>
      <c r="I104" s="318">
        <f t="shared" si="33"/>
        <v>3.595032184977464E-2</v>
      </c>
      <c r="J104" s="515">
        <f t="shared" si="34"/>
        <v>0.10138639875</v>
      </c>
      <c r="K104" s="256">
        <f t="shared" si="38"/>
        <v>6.4999999999999994E-5</v>
      </c>
      <c r="L104" s="318">
        <f t="shared" si="39"/>
        <v>30</v>
      </c>
      <c r="M104" s="697">
        <f t="shared" si="40"/>
        <v>2.1249043458397576</v>
      </c>
      <c r="N104" s="318">
        <f t="shared" si="41"/>
        <v>1</v>
      </c>
      <c r="V104" s="337" t="str">
        <f t="shared" si="42"/>
        <v>kWh Annual Savings</v>
      </c>
      <c r="W104" s="84">
        <v>124.7499884556932</v>
      </c>
      <c r="X104" s="123">
        <v>124.7499884556932</v>
      </c>
      <c r="Y104" s="254">
        <v>0.14000000000000001</v>
      </c>
      <c r="Z104" s="252">
        <v>0.14000000000000001</v>
      </c>
      <c r="AA104" s="252">
        <v>0.14000000000000001</v>
      </c>
      <c r="AB104" s="252">
        <v>0.14000000000000001</v>
      </c>
      <c r="AC104" s="252">
        <v>0.14000000000000001</v>
      </c>
      <c r="AD104" s="252">
        <v>0.14000000000000001</v>
      </c>
      <c r="AE104" s="252">
        <v>0.14000000000000001</v>
      </c>
      <c r="AF104" s="253">
        <f t="shared" si="35"/>
        <v>0.14000000000000001</v>
      </c>
      <c r="AG104" s="337"/>
      <c r="AK104" s="339"/>
      <c r="DG104" s="994">
        <f t="shared" si="36"/>
        <v>0.12376722151041843</v>
      </c>
      <c r="DH104" s="641" t="str">
        <f t="shared" si="43"/>
        <v>Building Shell RES 30 Year EUL</v>
      </c>
      <c r="DI104" s="527">
        <f>(INDEX('Avoided Cost Benefits'!$B$4:$B$865,MATCH(DH104,'Avoided Cost Benefits'!$A$4:$A$865,0)))*F104</f>
        <v>0.26299350686000006</v>
      </c>
      <c r="DJ104" s="1849">
        <f t="shared" si="37"/>
        <v>2.1249043458397576</v>
      </c>
    </row>
    <row r="105" spans="1:114" x14ac:dyDescent="0.25">
      <c r="A105" s="2147" t="s">
        <v>861</v>
      </c>
      <c r="B105" s="1318">
        <f t="shared" si="31"/>
        <v>400850</v>
      </c>
      <c r="C105" s="327" t="s">
        <v>1463</v>
      </c>
      <c r="D105" s="1384" t="s">
        <v>863</v>
      </c>
      <c r="E105" s="121" t="s">
        <v>1464</v>
      </c>
      <c r="F105" s="186">
        <f t="shared" si="32"/>
        <v>0.91</v>
      </c>
      <c r="G105" s="132" t="s">
        <v>1417</v>
      </c>
      <c r="H105" s="66">
        <f>VLOOKUP(G105,'CP FACTORS'!$A$3:$B$38, 2, FALSE)</f>
        <v>4.6608050000000002E-4</v>
      </c>
      <c r="I105" s="318">
        <f t="shared" si="33"/>
        <v>0.81312036928487674</v>
      </c>
      <c r="J105" s="515">
        <f t="shared" si="34"/>
        <v>0.10138639875</v>
      </c>
      <c r="K105" s="256">
        <f t="shared" si="38"/>
        <v>4.2400000000000001E-4</v>
      </c>
      <c r="L105" s="318">
        <f t="shared" si="39"/>
        <v>30</v>
      </c>
      <c r="M105" s="697">
        <f t="shared" si="40"/>
        <v>2.1249072011878249</v>
      </c>
      <c r="N105" s="318">
        <f t="shared" si="41"/>
        <v>1</v>
      </c>
      <c r="V105" s="337" t="str">
        <f t="shared" si="42"/>
        <v>kWh Annual Savings</v>
      </c>
      <c r="W105" s="84">
        <v>1421.5541065949242</v>
      </c>
      <c r="X105" s="123">
        <v>1421.5541065949242</v>
      </c>
      <c r="Y105" s="254">
        <v>1.06</v>
      </c>
      <c r="Z105" s="252">
        <v>1.06</v>
      </c>
      <c r="AA105" s="252">
        <v>1.06</v>
      </c>
      <c r="AB105" s="252">
        <v>1.06</v>
      </c>
      <c r="AC105" s="252">
        <v>1.06</v>
      </c>
      <c r="AD105" s="252">
        <v>1.06</v>
      </c>
      <c r="AE105" s="252">
        <v>1.06</v>
      </c>
      <c r="AF105" s="253">
        <f t="shared" si="35"/>
        <v>0.91</v>
      </c>
      <c r="AG105" s="337"/>
      <c r="AK105" s="339"/>
      <c r="DG105" s="994">
        <f t="shared" si="36"/>
        <v>0.80448585878687395</v>
      </c>
      <c r="DH105" s="641" t="str">
        <f t="shared" si="43"/>
        <v>Building Shell RES 30 Year EUL</v>
      </c>
      <c r="DI105" s="527">
        <f>(INDEX('Avoided Cost Benefits'!$B$4:$B$865,MATCH(DH105,'Avoided Cost Benefits'!$A$4:$A$865,0)))*F105</f>
        <v>1.70945779459</v>
      </c>
      <c r="DJ105" s="1849">
        <f t="shared" si="37"/>
        <v>2.1249072011878249</v>
      </c>
    </row>
    <row r="106" spans="1:114" x14ac:dyDescent="0.25">
      <c r="A106" s="2147" t="s">
        <v>861</v>
      </c>
      <c r="B106" s="1318">
        <f t="shared" si="31"/>
        <v>400900</v>
      </c>
      <c r="C106" s="327" t="s">
        <v>1465</v>
      </c>
      <c r="D106" s="1384" t="s">
        <v>863</v>
      </c>
      <c r="E106" s="121" t="s">
        <v>1466</v>
      </c>
      <c r="F106" s="186">
        <f t="shared" si="32"/>
        <v>0.61</v>
      </c>
      <c r="G106" s="132" t="s">
        <v>1417</v>
      </c>
      <c r="H106" s="66">
        <f>VLOOKUP(G106,'CP FACTORS'!$A$3:$B$38, 2, FALSE)</f>
        <v>4.6608050000000002E-4</v>
      </c>
      <c r="I106" s="318">
        <f t="shared" si="33"/>
        <v>0.50192615387955353</v>
      </c>
      <c r="J106" s="515">
        <f t="shared" si="34"/>
        <v>0.11141362499999999</v>
      </c>
      <c r="K106" s="256">
        <f t="shared" si="38"/>
        <v>2.8400000000000002E-4</v>
      </c>
      <c r="L106" s="318">
        <f t="shared" si="39"/>
        <v>30</v>
      </c>
      <c r="M106" s="697">
        <f t="shared" si="40"/>
        <v>2.1249072011878249</v>
      </c>
      <c r="N106" s="318">
        <f t="shared" si="41"/>
        <v>1</v>
      </c>
      <c r="V106" s="337" t="str">
        <f t="shared" si="42"/>
        <v>kWh Annual Savings</v>
      </c>
      <c r="W106" s="84">
        <v>886.14264524178759</v>
      </c>
      <c r="X106" s="123">
        <v>886.14264524178759</v>
      </c>
      <c r="Y106" s="254">
        <v>0.66</v>
      </c>
      <c r="Z106" s="252">
        <v>0.66</v>
      </c>
      <c r="AA106" s="252">
        <v>0.66</v>
      </c>
      <c r="AB106" s="252">
        <v>0.66</v>
      </c>
      <c r="AC106" s="252">
        <v>0.66</v>
      </c>
      <c r="AD106" s="252">
        <v>0.66</v>
      </c>
      <c r="AE106" s="252">
        <v>0.66</v>
      </c>
      <c r="AF106" s="253">
        <f t="shared" si="35"/>
        <v>0.61</v>
      </c>
      <c r="AG106" s="337"/>
      <c r="AK106" s="339"/>
      <c r="DG106" s="994">
        <f t="shared" si="36"/>
        <v>0.53927074050548685</v>
      </c>
      <c r="DH106" s="641" t="str">
        <f t="shared" si="43"/>
        <v>Building Shell RES 30 Year EUL</v>
      </c>
      <c r="DI106" s="527">
        <f>(INDEX('Avoided Cost Benefits'!$B$4:$B$865,MATCH(DH106,'Avoided Cost Benefits'!$A$4:$A$865,0)))*F106</f>
        <v>1.14590027989</v>
      </c>
      <c r="DJ106" s="1849">
        <f t="shared" si="37"/>
        <v>2.1249072011878249</v>
      </c>
    </row>
    <row r="107" spans="1:114" x14ac:dyDescent="0.25">
      <c r="A107" s="2147" t="s">
        <v>861</v>
      </c>
      <c r="B107" s="1318">
        <f t="shared" si="31"/>
        <v>400950</v>
      </c>
      <c r="C107" s="327" t="s">
        <v>1467</v>
      </c>
      <c r="D107" s="1384" t="s">
        <v>863</v>
      </c>
      <c r="E107" s="121" t="s">
        <v>1468</v>
      </c>
      <c r="F107" s="186">
        <f t="shared" si="32"/>
        <v>0.14000000000000001</v>
      </c>
      <c r="G107" s="132" t="s">
        <v>1417</v>
      </c>
      <c r="H107" s="66">
        <f>VLOOKUP(G107,'CP FACTORS'!$A$3:$B$38, 2, FALSE)</f>
        <v>4.6608050000000002E-4</v>
      </c>
      <c r="I107" s="318">
        <f t="shared" si="33"/>
        <v>3.595032184977464E-2</v>
      </c>
      <c r="J107" s="515">
        <f t="shared" si="34"/>
        <v>0.10138639875</v>
      </c>
      <c r="K107" s="256">
        <f t="shared" si="38"/>
        <v>6.4999999999999994E-5</v>
      </c>
      <c r="L107" s="318">
        <f t="shared" si="39"/>
        <v>30</v>
      </c>
      <c r="M107" s="697">
        <f t="shared" si="40"/>
        <v>2.1249072011878249</v>
      </c>
      <c r="N107" s="318">
        <f t="shared" si="41"/>
        <v>1</v>
      </c>
      <c r="V107" s="337" t="str">
        <f t="shared" si="42"/>
        <v>kWh Annual Savings</v>
      </c>
      <c r="W107" s="84">
        <v>191.92305916260491</v>
      </c>
      <c r="X107" s="123">
        <v>191.92305916260491</v>
      </c>
      <c r="Y107" s="254">
        <v>0.14000000000000001</v>
      </c>
      <c r="Z107" s="252">
        <v>0.14000000000000001</v>
      </c>
      <c r="AA107" s="252">
        <v>0.14000000000000001</v>
      </c>
      <c r="AB107" s="252">
        <v>0.14000000000000001</v>
      </c>
      <c r="AC107" s="252">
        <v>0.14000000000000001</v>
      </c>
      <c r="AD107" s="252">
        <v>0.14000000000000001</v>
      </c>
      <c r="AE107" s="252">
        <v>0.14000000000000001</v>
      </c>
      <c r="AF107" s="253">
        <f t="shared" si="35"/>
        <v>0.14000000000000001</v>
      </c>
      <c r="AG107" s="337"/>
      <c r="AK107" s="339"/>
      <c r="DG107" s="994">
        <f t="shared" si="36"/>
        <v>0.12376705519798063</v>
      </c>
      <c r="DH107" s="641" t="str">
        <f t="shared" si="43"/>
        <v>Building Shell RES 30 Year EUL</v>
      </c>
      <c r="DI107" s="527">
        <f>(INDEX('Avoided Cost Benefits'!$B$4:$B$865,MATCH(DH107,'Avoided Cost Benefits'!$A$4:$A$865,0)))*F107</f>
        <v>0.26299350686000006</v>
      </c>
      <c r="DJ107" s="1849">
        <f t="shared" si="37"/>
        <v>2.1249072011878249</v>
      </c>
    </row>
    <row r="108" spans="1:114" x14ac:dyDescent="0.25">
      <c r="A108" s="2147" t="s">
        <v>602</v>
      </c>
      <c r="B108" s="1318">
        <f t="shared" si="31"/>
        <v>401000</v>
      </c>
      <c r="C108" s="327" t="s">
        <v>1469</v>
      </c>
      <c r="D108" s="1994" t="s">
        <v>810</v>
      </c>
      <c r="E108" s="121" t="s">
        <v>1470</v>
      </c>
      <c r="F108" s="186">
        <f t="shared" si="32"/>
        <v>1.49</v>
      </c>
      <c r="G108" s="132" t="s">
        <v>1417</v>
      </c>
      <c r="H108" s="66">
        <f>VLOOKUP(G108,'CP FACTORS'!$A$3:$B$38, 2, FALSE)</f>
        <v>4.6608050000000002E-4</v>
      </c>
      <c r="I108" s="318">
        <f t="shared" si="33"/>
        <v>1.3205563892145369</v>
      </c>
      <c r="J108" s="515">
        <f t="shared" si="34"/>
        <v>0.16465761000000004</v>
      </c>
      <c r="K108" s="256">
        <f t="shared" si="38"/>
        <v>6.9399999999999996E-4</v>
      </c>
      <c r="L108" s="318">
        <f t="shared" si="39"/>
        <v>30</v>
      </c>
      <c r="M108" s="697">
        <f t="shared" si="40"/>
        <v>1.1631103074141049</v>
      </c>
      <c r="N108" s="318">
        <f t="shared" si="41"/>
        <v>1</v>
      </c>
      <c r="V108" s="337" t="str">
        <f t="shared" si="42"/>
        <v>kWh Annual Savings</v>
      </c>
      <c r="W108" s="84">
        <v>1232.157975126657</v>
      </c>
      <c r="X108" s="123">
        <v>1232.157975126657</v>
      </c>
      <c r="Y108" s="254">
        <v>1.71</v>
      </c>
      <c r="Z108" s="252">
        <v>1.71</v>
      </c>
      <c r="AA108" s="252">
        <v>1.71</v>
      </c>
      <c r="AB108" s="252">
        <v>1.71</v>
      </c>
      <c r="AC108" s="252">
        <v>1.71</v>
      </c>
      <c r="AD108" s="252">
        <v>1.71</v>
      </c>
      <c r="AE108" s="252">
        <v>1.71</v>
      </c>
      <c r="AF108" s="253">
        <f t="shared" si="35"/>
        <v>1.49</v>
      </c>
      <c r="AG108" s="337"/>
      <c r="AK108" s="339"/>
      <c r="DG108" s="994">
        <f t="shared" si="36"/>
        <v>2.4064805420157493</v>
      </c>
      <c r="DH108" s="641" t="str">
        <f t="shared" si="43"/>
        <v>Building Shell RES 30 Year EUL</v>
      </c>
      <c r="DI108" s="527">
        <f>(INDEX('Avoided Cost Benefits'!$B$4:$B$865,MATCH(DH108,'Avoided Cost Benefits'!$A$4:$A$865,0)))*F108</f>
        <v>2.7990023230099998</v>
      </c>
      <c r="DJ108" s="1849">
        <f t="shared" si="37"/>
        <v>1.1631103074141049</v>
      </c>
    </row>
    <row r="109" spans="1:114" x14ac:dyDescent="0.25">
      <c r="A109" s="2147" t="s">
        <v>602</v>
      </c>
      <c r="B109" s="1318">
        <f t="shared" si="31"/>
        <v>401050</v>
      </c>
      <c r="C109" s="327" t="s">
        <v>1471</v>
      </c>
      <c r="D109" s="1994" t="s">
        <v>810</v>
      </c>
      <c r="E109" s="121" t="s">
        <v>1472</v>
      </c>
      <c r="F109" s="186">
        <f t="shared" si="32"/>
        <v>1</v>
      </c>
      <c r="G109" s="132" t="s">
        <v>1417</v>
      </c>
      <c r="H109" s="66">
        <f>VLOOKUP(G109,'CP FACTORS'!$A$3:$B$38, 2, FALSE)</f>
        <v>4.6608050000000002E-4</v>
      </c>
      <c r="I109" s="318">
        <f t="shared" si="33"/>
        <v>0.81515826494724497</v>
      </c>
      <c r="J109" s="515">
        <f t="shared" si="34"/>
        <v>0.18094242857142856</v>
      </c>
      <c r="K109" s="256">
        <f t="shared" si="38"/>
        <v>4.66E-4</v>
      </c>
      <c r="L109" s="318">
        <f t="shared" si="39"/>
        <v>30</v>
      </c>
      <c r="M109" s="697">
        <f t="shared" si="40"/>
        <v>1.1631103074141049</v>
      </c>
      <c r="N109" s="318">
        <f t="shared" si="41"/>
        <v>1</v>
      </c>
      <c r="V109" s="337" t="str">
        <f t="shared" si="42"/>
        <v>kWh Annual Savings</v>
      </c>
      <c r="W109" s="84">
        <v>768.08031602108485</v>
      </c>
      <c r="X109" s="123">
        <v>768.08031602108485</v>
      </c>
      <c r="Y109" s="254">
        <v>1.07</v>
      </c>
      <c r="Z109" s="252">
        <v>1.07</v>
      </c>
      <c r="AA109" s="252">
        <v>1.07</v>
      </c>
      <c r="AB109" s="252">
        <v>1.07</v>
      </c>
      <c r="AC109" s="252">
        <v>1.07</v>
      </c>
      <c r="AD109" s="252">
        <v>1.07</v>
      </c>
      <c r="AE109" s="252">
        <v>1.07</v>
      </c>
      <c r="AF109" s="253">
        <f t="shared" si="35"/>
        <v>1</v>
      </c>
      <c r="AG109" s="337"/>
      <c r="AK109" s="339"/>
      <c r="DG109" s="994">
        <f t="shared" si="36"/>
        <v>1.6150876120911069</v>
      </c>
      <c r="DH109" s="641" t="str">
        <f t="shared" si="43"/>
        <v>Building Shell RES 30 Year EUL</v>
      </c>
      <c r="DI109" s="527">
        <f>(INDEX('Avoided Cost Benefits'!$B$4:$B$865,MATCH(DH109,'Avoided Cost Benefits'!$A$4:$A$865,0)))*F109</f>
        <v>1.8785250490000001</v>
      </c>
      <c r="DJ109" s="1849">
        <f t="shared" si="37"/>
        <v>1.1631103074141049</v>
      </c>
    </row>
    <row r="110" spans="1:114" x14ac:dyDescent="0.25">
      <c r="A110" s="2147" t="s">
        <v>602</v>
      </c>
      <c r="B110" s="1318">
        <f t="shared" si="31"/>
        <v>401100</v>
      </c>
      <c r="C110" s="327" t="s">
        <v>1473</v>
      </c>
      <c r="D110" s="1994" t="s">
        <v>810</v>
      </c>
      <c r="E110" s="125" t="s">
        <v>1474</v>
      </c>
      <c r="F110" s="186">
        <f t="shared" si="32"/>
        <v>0.22</v>
      </c>
      <c r="G110" s="132" t="s">
        <v>1417</v>
      </c>
      <c r="H110" s="66">
        <f>VLOOKUP(G110,'CP FACTORS'!$A$3:$B$38, 2, FALSE)</f>
        <v>4.6608050000000002E-4</v>
      </c>
      <c r="I110" s="318">
        <f t="shared" si="33"/>
        <v>5.8385485109408448E-2</v>
      </c>
      <c r="J110" s="515">
        <f t="shared" si="34"/>
        <v>0.16465761000000004</v>
      </c>
      <c r="K110" s="256">
        <f t="shared" si="38"/>
        <v>1.03E-4</v>
      </c>
      <c r="L110" s="318">
        <f t="shared" si="39"/>
        <v>30</v>
      </c>
      <c r="M110" s="697">
        <f t="shared" si="40"/>
        <v>1.1631103074141049</v>
      </c>
      <c r="N110" s="318">
        <f t="shared" si="41"/>
        <v>1</v>
      </c>
      <c r="V110" s="337" t="str">
        <f t="shared" si="42"/>
        <v>kWh Annual Savings</v>
      </c>
      <c r="W110" s="84">
        <v>166.35281545797278</v>
      </c>
      <c r="X110" s="123">
        <v>166.35281545797278</v>
      </c>
      <c r="Y110" s="254">
        <v>0.23</v>
      </c>
      <c r="Z110" s="252">
        <v>0.23</v>
      </c>
      <c r="AA110" s="252">
        <v>0.23</v>
      </c>
      <c r="AB110" s="252">
        <v>0.23</v>
      </c>
      <c r="AC110" s="252">
        <v>0.23</v>
      </c>
      <c r="AD110" s="252">
        <v>0.23</v>
      </c>
      <c r="AE110" s="252">
        <v>0.23</v>
      </c>
      <c r="AF110" s="253">
        <f t="shared" si="35"/>
        <v>0.22</v>
      </c>
      <c r="AG110" s="337"/>
      <c r="AK110" s="339"/>
      <c r="DG110" s="994">
        <f t="shared" si="36"/>
        <v>0.35531927466004354</v>
      </c>
      <c r="DH110" s="641" t="str">
        <f t="shared" si="43"/>
        <v>Building Shell RES 30 Year EUL</v>
      </c>
      <c r="DI110" s="527">
        <f>(INDEX('Avoided Cost Benefits'!$B$4:$B$865,MATCH(DH110,'Avoided Cost Benefits'!$A$4:$A$865,0)))*F110</f>
        <v>0.41327551078000002</v>
      </c>
      <c r="DJ110" s="1849">
        <f t="shared" si="37"/>
        <v>1.1631103074141049</v>
      </c>
    </row>
    <row r="111" spans="1:114" x14ac:dyDescent="0.25">
      <c r="A111" s="2147" t="s">
        <v>861</v>
      </c>
      <c r="B111" s="1318">
        <f t="shared" si="31"/>
        <v>401150</v>
      </c>
      <c r="C111" s="327" t="s">
        <v>1475</v>
      </c>
      <c r="D111" s="1384" t="s">
        <v>863</v>
      </c>
      <c r="E111" s="121" t="s">
        <v>1476</v>
      </c>
      <c r="F111" s="186">
        <f t="shared" si="32"/>
        <v>1.49</v>
      </c>
      <c r="G111" s="132" t="s">
        <v>1417</v>
      </c>
      <c r="H111" s="66">
        <f>VLOOKUP(G111,'CP FACTORS'!$A$3:$B$38, 2, FALSE)</f>
        <v>4.6608050000000002E-4</v>
      </c>
      <c r="I111" s="318">
        <f t="shared" si="33"/>
        <v>1.3205563892145369</v>
      </c>
      <c r="J111" s="515">
        <f t="shared" si="34"/>
        <v>0.16465761000000004</v>
      </c>
      <c r="K111" s="256">
        <f t="shared" si="38"/>
        <v>6.9399999999999996E-4</v>
      </c>
      <c r="L111" s="318">
        <f t="shared" si="39"/>
        <v>30</v>
      </c>
      <c r="M111" s="697">
        <f t="shared" si="40"/>
        <v>1.1631012658227848</v>
      </c>
      <c r="N111" s="318">
        <f t="shared" si="41"/>
        <v>1</v>
      </c>
      <c r="V111" s="337" t="str">
        <f t="shared" si="42"/>
        <v>kWh Annual Savings</v>
      </c>
      <c r="W111" s="84">
        <v>1895.6276540410106</v>
      </c>
      <c r="X111" s="123">
        <v>1895.6276540410106</v>
      </c>
      <c r="Y111" s="254">
        <v>1.71</v>
      </c>
      <c r="Z111" s="252">
        <v>1.71</v>
      </c>
      <c r="AA111" s="252">
        <v>1.71</v>
      </c>
      <c r="AB111" s="252">
        <v>1.71</v>
      </c>
      <c r="AC111" s="252">
        <v>1.71</v>
      </c>
      <c r="AD111" s="252">
        <v>1.71</v>
      </c>
      <c r="AE111" s="252">
        <v>1.71</v>
      </c>
      <c r="AF111" s="253">
        <f t="shared" si="35"/>
        <v>1.49</v>
      </c>
      <c r="AG111" s="337"/>
      <c r="AK111" s="339"/>
      <c r="DG111" s="994">
        <f t="shared" si="36"/>
        <v>2.4064992492549382</v>
      </c>
      <c r="DH111" s="641" t="str">
        <f t="shared" si="43"/>
        <v>Building Shell RES 30 Year EUL</v>
      </c>
      <c r="DI111" s="527">
        <f>(INDEX('Avoided Cost Benefits'!$B$4:$B$865,MATCH(DH111,'Avoided Cost Benefits'!$A$4:$A$865,0)))*F111</f>
        <v>2.7990023230099998</v>
      </c>
      <c r="DJ111" s="1849">
        <f t="shared" si="37"/>
        <v>1.1631012658227848</v>
      </c>
    </row>
    <row r="112" spans="1:114" x14ac:dyDescent="0.25">
      <c r="A112" s="2147" t="s">
        <v>861</v>
      </c>
      <c r="B112" s="1318">
        <f t="shared" si="31"/>
        <v>401200</v>
      </c>
      <c r="C112" s="327" t="s">
        <v>1477</v>
      </c>
      <c r="D112" s="1384" t="s">
        <v>863</v>
      </c>
      <c r="E112" s="121" t="s">
        <v>1478</v>
      </c>
      <c r="F112" s="186">
        <f t="shared" si="32"/>
        <v>1</v>
      </c>
      <c r="G112" s="132" t="s">
        <v>1417</v>
      </c>
      <c r="H112" s="66">
        <f>VLOOKUP(G112,'CP FACTORS'!$A$3:$B$38, 2, FALSE)</f>
        <v>4.6608050000000002E-4</v>
      </c>
      <c r="I112" s="318">
        <f t="shared" si="33"/>
        <v>0.81515826494724497</v>
      </c>
      <c r="J112" s="515">
        <f t="shared" si="34"/>
        <v>0.18094242857142856</v>
      </c>
      <c r="K112" s="256">
        <f t="shared" si="38"/>
        <v>4.66E-4</v>
      </c>
      <c r="L112" s="318">
        <f t="shared" si="39"/>
        <v>30</v>
      </c>
      <c r="M112" s="697">
        <f t="shared" si="40"/>
        <v>1.1631012658227848</v>
      </c>
      <c r="N112" s="318">
        <f t="shared" si="41"/>
        <v>1</v>
      </c>
      <c r="V112" s="337" t="str">
        <f t="shared" si="42"/>
        <v>kWh Annual Savings</v>
      </c>
      <c r="W112" s="84">
        <v>1181.6620246478228</v>
      </c>
      <c r="X112" s="123">
        <v>1181.6620246478228</v>
      </c>
      <c r="Y112" s="254">
        <v>1.07</v>
      </c>
      <c r="Z112" s="252">
        <v>1.07</v>
      </c>
      <c r="AA112" s="252">
        <v>1.07</v>
      </c>
      <c r="AB112" s="252">
        <v>1.07</v>
      </c>
      <c r="AC112" s="252">
        <v>1.07</v>
      </c>
      <c r="AD112" s="252">
        <v>1.07</v>
      </c>
      <c r="AE112" s="252">
        <v>1.07</v>
      </c>
      <c r="AF112" s="253">
        <f t="shared" si="35"/>
        <v>1</v>
      </c>
      <c r="AG112" s="337"/>
      <c r="AK112" s="339"/>
      <c r="DG112" s="994">
        <f t="shared" si="36"/>
        <v>1.6151001672851935</v>
      </c>
      <c r="DH112" s="641" t="str">
        <f t="shared" si="43"/>
        <v>Building Shell RES 30 Year EUL</v>
      </c>
      <c r="DI112" s="527">
        <f>(INDEX('Avoided Cost Benefits'!$B$4:$B$865,MATCH(DH112,'Avoided Cost Benefits'!$A$4:$A$865,0)))*F112</f>
        <v>1.8785250490000001</v>
      </c>
      <c r="DJ112" s="1849">
        <f t="shared" si="37"/>
        <v>1.1631012658227848</v>
      </c>
    </row>
    <row r="113" spans="1:114" x14ac:dyDescent="0.25">
      <c r="A113" s="2147" t="s">
        <v>861</v>
      </c>
      <c r="B113" s="1318">
        <f t="shared" si="31"/>
        <v>401250</v>
      </c>
      <c r="C113" s="327" t="s">
        <v>1479</v>
      </c>
      <c r="D113" s="1384" t="s">
        <v>863</v>
      </c>
      <c r="E113" s="555" t="s">
        <v>1480</v>
      </c>
      <c r="F113" s="186">
        <f t="shared" si="32"/>
        <v>0.22</v>
      </c>
      <c r="G113" s="132" t="s">
        <v>1417</v>
      </c>
      <c r="H113" s="66">
        <f>VLOOKUP(G113,'CP FACTORS'!$A$3:$B$38, 2, FALSE)</f>
        <v>4.6608050000000002E-4</v>
      </c>
      <c r="I113" s="318">
        <f t="shared" si="33"/>
        <v>5.8385485109408448E-2</v>
      </c>
      <c r="J113" s="515">
        <f t="shared" si="34"/>
        <v>0.16465761000000004</v>
      </c>
      <c r="K113" s="256">
        <f t="shared" si="38"/>
        <v>1.03E-4</v>
      </c>
      <c r="L113" s="318">
        <f t="shared" si="39"/>
        <v>30</v>
      </c>
      <c r="M113" s="697">
        <f t="shared" si="40"/>
        <v>1.1631012658227848</v>
      </c>
      <c r="N113" s="318">
        <f t="shared" si="41"/>
        <v>1</v>
      </c>
      <c r="V113" s="337" t="str">
        <f t="shared" si="42"/>
        <v>kWh Annual Savings</v>
      </c>
      <c r="W113" s="84">
        <v>255.92740839688122</v>
      </c>
      <c r="X113" s="123">
        <v>255.92740839688122</v>
      </c>
      <c r="Y113" s="254">
        <v>0.23</v>
      </c>
      <c r="Z113" s="252">
        <v>0.23</v>
      </c>
      <c r="AA113" s="252">
        <v>0.23</v>
      </c>
      <c r="AB113" s="252">
        <v>0.23</v>
      </c>
      <c r="AC113" s="252">
        <v>0.23</v>
      </c>
      <c r="AD113" s="252">
        <v>0.23</v>
      </c>
      <c r="AE113" s="252">
        <v>0.23</v>
      </c>
      <c r="AF113" s="253">
        <f t="shared" si="35"/>
        <v>0.22</v>
      </c>
      <c r="AG113" s="337"/>
      <c r="AK113" s="339"/>
      <c r="DG113" s="994">
        <f t="shared" si="36"/>
        <v>0.35532203680274255</v>
      </c>
      <c r="DH113" s="641" t="str">
        <f t="shared" si="43"/>
        <v>Building Shell RES 30 Year EUL</v>
      </c>
      <c r="DI113" s="527">
        <f>(INDEX('Avoided Cost Benefits'!$B$4:$B$865,MATCH(DH113,'Avoided Cost Benefits'!$A$4:$A$865,0)))*F113</f>
        <v>0.41327551078000002</v>
      </c>
      <c r="DJ113" s="1849">
        <f t="shared" si="37"/>
        <v>1.1631012658227848</v>
      </c>
    </row>
    <row r="114" spans="1:114" x14ac:dyDescent="0.25">
      <c r="A114" s="2147" t="s">
        <v>602</v>
      </c>
      <c r="B114" s="1318">
        <f t="shared" si="31"/>
        <v>401300</v>
      </c>
      <c r="C114" s="327" t="s">
        <v>1481</v>
      </c>
      <c r="D114" s="1994" t="s">
        <v>810</v>
      </c>
      <c r="E114" s="121" t="s">
        <v>1482</v>
      </c>
      <c r="F114" s="186">
        <f t="shared" si="32"/>
        <v>1.6</v>
      </c>
      <c r="G114" s="132" t="s">
        <v>1417</v>
      </c>
      <c r="H114" s="66">
        <f>VLOOKUP(G114,'CP FACTORS'!$A$3:$B$38, 2, FALSE)</f>
        <v>4.6608050000000002E-4</v>
      </c>
      <c r="I114" s="318">
        <f t="shared" si="33"/>
        <v>1.4188303530630606</v>
      </c>
      <c r="J114" s="515">
        <f t="shared" si="34"/>
        <v>0.17691119958139537</v>
      </c>
      <c r="K114" s="256">
        <f t="shared" si="38"/>
        <v>7.4600000000000003E-4</v>
      </c>
      <c r="L114" s="318">
        <f t="shared" si="39"/>
        <v>30</v>
      </c>
      <c r="M114" s="697">
        <f t="shared" si="40"/>
        <v>1.6810404785088331</v>
      </c>
      <c r="N114" s="318">
        <f t="shared" si="41"/>
        <v>1</v>
      </c>
      <c r="V114" s="337" t="str">
        <f t="shared" si="42"/>
        <v>kWh Annual Savings</v>
      </c>
      <c r="W114" s="84">
        <v>1323.8534523453845</v>
      </c>
      <c r="X114" s="123">
        <v>1323.8534523453845</v>
      </c>
      <c r="Y114" s="254">
        <v>1.84</v>
      </c>
      <c r="Z114" s="252">
        <v>1.84</v>
      </c>
      <c r="AA114" s="252">
        <v>1.84</v>
      </c>
      <c r="AB114" s="252">
        <v>1.84</v>
      </c>
      <c r="AC114" s="252">
        <v>1.84</v>
      </c>
      <c r="AD114" s="252">
        <v>1.84</v>
      </c>
      <c r="AE114" s="252">
        <v>1.84</v>
      </c>
      <c r="AF114" s="253">
        <f t="shared" si="35"/>
        <v>1.6</v>
      </c>
      <c r="AG114" s="337"/>
      <c r="AK114" s="339"/>
      <c r="DG114" s="994">
        <f t="shared" si="36"/>
        <v>1.7879641310399339</v>
      </c>
      <c r="DH114" s="641" t="str">
        <f t="shared" si="43"/>
        <v>Building Shell RES 30 Year EUL</v>
      </c>
      <c r="DI114" s="527">
        <f>(INDEX('Avoided Cost Benefits'!$B$4:$B$865,MATCH(DH114,'Avoided Cost Benefits'!$A$4:$A$865,0)))*F114</f>
        <v>3.0056400784000004</v>
      </c>
      <c r="DJ114" s="1849">
        <f t="shared" si="37"/>
        <v>1.6810404785088331</v>
      </c>
    </row>
    <row r="115" spans="1:114" x14ac:dyDescent="0.25">
      <c r="A115" s="2147" t="s">
        <v>602</v>
      </c>
      <c r="B115" s="1318">
        <f t="shared" si="31"/>
        <v>401350</v>
      </c>
      <c r="C115" s="327" t="s">
        <v>1483</v>
      </c>
      <c r="D115" s="1994" t="s">
        <v>810</v>
      </c>
      <c r="E115" s="121" t="s">
        <v>1484</v>
      </c>
      <c r="F115" s="186">
        <f t="shared" si="32"/>
        <v>1.07</v>
      </c>
      <c r="G115" s="132" t="s">
        <v>1417</v>
      </c>
      <c r="H115" s="66">
        <f>VLOOKUP(G115,'CP FACTORS'!$A$3:$B$38, 2, FALSE)</f>
        <v>4.6608050000000002E-4</v>
      </c>
      <c r="I115" s="318">
        <f t="shared" si="33"/>
        <v>0.87582120559448173</v>
      </c>
      <c r="J115" s="515">
        <f t="shared" si="34"/>
        <v>0.19440791162790697</v>
      </c>
      <c r="K115" s="256">
        <f t="shared" si="38"/>
        <v>4.9899999999999999E-4</v>
      </c>
      <c r="L115" s="318">
        <f t="shared" si="39"/>
        <v>30</v>
      </c>
      <c r="M115" s="697">
        <f t="shared" si="40"/>
        <v>1.6810404785088331</v>
      </c>
      <c r="N115" s="318">
        <f t="shared" si="41"/>
        <v>1</v>
      </c>
      <c r="V115" s="337" t="str">
        <f t="shared" si="42"/>
        <v>kWh Annual Savings</v>
      </c>
      <c r="W115" s="84">
        <v>825.239781399398</v>
      </c>
      <c r="X115" s="123">
        <v>825.239781399398</v>
      </c>
      <c r="Y115" s="254">
        <v>1.1499999999999999</v>
      </c>
      <c r="Z115" s="252">
        <v>1.1499999999999999</v>
      </c>
      <c r="AA115" s="252">
        <v>1.1499999999999999</v>
      </c>
      <c r="AB115" s="252">
        <v>1.1499999999999999</v>
      </c>
      <c r="AC115" s="252">
        <v>1.1499999999999999</v>
      </c>
      <c r="AD115" s="252">
        <v>1.1499999999999999</v>
      </c>
      <c r="AE115" s="252">
        <v>1.1499999999999999</v>
      </c>
      <c r="AF115" s="253">
        <f t="shared" si="35"/>
        <v>1.07</v>
      </c>
      <c r="AG115" s="337"/>
      <c r="AK115" s="339"/>
      <c r="DG115" s="994">
        <f t="shared" si="36"/>
        <v>1.1957010126329557</v>
      </c>
      <c r="DH115" s="641" t="str">
        <f t="shared" si="43"/>
        <v>Building Shell RES 30 Year EUL</v>
      </c>
      <c r="DI115" s="527">
        <f>(INDEX('Avoided Cost Benefits'!$B$4:$B$865,MATCH(DH115,'Avoided Cost Benefits'!$A$4:$A$865,0)))*F115</f>
        <v>2.0100218024300003</v>
      </c>
      <c r="DJ115" s="1849">
        <f t="shared" si="37"/>
        <v>1.6810404785088331</v>
      </c>
    </row>
    <row r="116" spans="1:114" x14ac:dyDescent="0.25">
      <c r="A116" s="2147" t="s">
        <v>602</v>
      </c>
      <c r="B116" s="1318">
        <f t="shared" si="31"/>
        <v>401400</v>
      </c>
      <c r="C116" s="327" t="s">
        <v>1485</v>
      </c>
      <c r="D116" s="1994" t="s">
        <v>810</v>
      </c>
      <c r="E116" s="125" t="s">
        <v>1486</v>
      </c>
      <c r="F116" s="186">
        <f t="shared" si="32"/>
        <v>0.24</v>
      </c>
      <c r="G116" s="556" t="s">
        <v>1417</v>
      </c>
      <c r="H116" s="66">
        <f>VLOOKUP(G116,'CP FACTORS'!$A$3:$B$38, 2, FALSE)</f>
        <v>4.6608050000000002E-4</v>
      </c>
      <c r="I116" s="318">
        <f t="shared" si="33"/>
        <v>6.2730451443131871E-2</v>
      </c>
      <c r="J116" s="515">
        <f t="shared" si="34"/>
        <v>0.17691119958139537</v>
      </c>
      <c r="K116" s="256">
        <f t="shared" si="38"/>
        <v>1.12E-4</v>
      </c>
      <c r="L116" s="318">
        <f t="shared" si="39"/>
        <v>30</v>
      </c>
      <c r="M116" s="697">
        <f t="shared" si="40"/>
        <v>1.6810404785088331</v>
      </c>
      <c r="N116" s="318">
        <f t="shared" si="41"/>
        <v>1</v>
      </c>
      <c r="V116" s="337" t="str">
        <f t="shared" si="42"/>
        <v>kWh Annual Savings</v>
      </c>
      <c r="W116" s="84">
        <v>178.7325598641475</v>
      </c>
      <c r="X116" s="123">
        <v>178.7325598641475</v>
      </c>
      <c r="Y116" s="254">
        <v>0.25</v>
      </c>
      <c r="Z116" s="252">
        <v>0.25</v>
      </c>
      <c r="AA116" s="252">
        <v>0.25</v>
      </c>
      <c r="AB116" s="252">
        <v>0.25</v>
      </c>
      <c r="AC116" s="252">
        <v>0.25</v>
      </c>
      <c r="AD116" s="252">
        <v>0.25</v>
      </c>
      <c r="AE116" s="252">
        <v>0.25</v>
      </c>
      <c r="AF116" s="253">
        <f t="shared" si="35"/>
        <v>0.24</v>
      </c>
      <c r="AG116" s="337"/>
      <c r="AK116" s="339"/>
      <c r="DG116" s="994">
        <f t="shared" si="36"/>
        <v>0.26819461965599006</v>
      </c>
      <c r="DH116" s="641" t="str">
        <f t="shared" si="43"/>
        <v>Building Shell RES 30 Year EUL</v>
      </c>
      <c r="DI116" s="527">
        <f>(INDEX('Avoided Cost Benefits'!$B$4:$B$865,MATCH(DH116,'Avoided Cost Benefits'!$A$4:$A$865,0)))*F116</f>
        <v>0.45084601176</v>
      </c>
      <c r="DJ116" s="1849">
        <f t="shared" si="37"/>
        <v>1.6810404785088331</v>
      </c>
    </row>
    <row r="117" spans="1:114" x14ac:dyDescent="0.25">
      <c r="A117" s="2147" t="s">
        <v>861</v>
      </c>
      <c r="B117" s="1318">
        <f t="shared" si="31"/>
        <v>401450</v>
      </c>
      <c r="C117" s="327" t="s">
        <v>1487</v>
      </c>
      <c r="D117" s="1384" t="s">
        <v>863</v>
      </c>
      <c r="E117" s="121" t="s">
        <v>1488</v>
      </c>
      <c r="F117" s="186">
        <f t="shared" si="32"/>
        <v>1.6</v>
      </c>
      <c r="G117" s="132" t="s">
        <v>1417</v>
      </c>
      <c r="H117" s="66">
        <f>VLOOKUP(G117,'CP FACTORS'!$A$3:$B$38, 2, FALSE)</f>
        <v>4.6608050000000002E-4</v>
      </c>
      <c r="I117" s="318">
        <f t="shared" si="33"/>
        <v>1.4188303530630606</v>
      </c>
      <c r="J117" s="515">
        <f t="shared" si="34"/>
        <v>0.17691119958139537</v>
      </c>
      <c r="K117" s="256">
        <f t="shared" si="38"/>
        <v>7.4600000000000003E-4</v>
      </c>
      <c r="L117" s="318">
        <f t="shared" si="39"/>
        <v>30</v>
      </c>
      <c r="M117" s="697">
        <f t="shared" si="40"/>
        <v>1.6810397830018082</v>
      </c>
      <c r="N117" s="318">
        <f t="shared" si="41"/>
        <v>1</v>
      </c>
      <c r="V117" s="337" t="str">
        <f t="shared" si="42"/>
        <v>kWh Annual Savings</v>
      </c>
      <c r="W117" s="84">
        <v>2036.6976189928996</v>
      </c>
      <c r="X117" s="123">
        <v>2036.6976189928996</v>
      </c>
      <c r="Y117" s="254">
        <v>1.84</v>
      </c>
      <c r="Z117" s="252">
        <v>1.84</v>
      </c>
      <c r="AA117" s="252">
        <v>1.84</v>
      </c>
      <c r="AB117" s="252">
        <v>1.84</v>
      </c>
      <c r="AC117" s="252">
        <v>1.84</v>
      </c>
      <c r="AD117" s="252">
        <v>1.84</v>
      </c>
      <c r="AE117" s="252">
        <v>1.84</v>
      </c>
      <c r="AF117" s="253">
        <f t="shared" si="35"/>
        <v>1.6</v>
      </c>
      <c r="AG117" s="337"/>
      <c r="AK117" s="339"/>
      <c r="DG117" s="994">
        <f t="shared" si="36"/>
        <v>1.787964870785433</v>
      </c>
      <c r="DH117" s="641" t="str">
        <f t="shared" si="43"/>
        <v>Building Shell RES 30 Year EUL</v>
      </c>
      <c r="DI117" s="527">
        <f>(INDEX('Avoided Cost Benefits'!$B$4:$B$865,MATCH(DH117,'Avoided Cost Benefits'!$A$4:$A$865,0)))*F117</f>
        <v>3.0056400784000004</v>
      </c>
      <c r="DJ117" s="1849">
        <f t="shared" si="37"/>
        <v>1.6810397830018082</v>
      </c>
    </row>
    <row r="118" spans="1:114" x14ac:dyDescent="0.25">
      <c r="A118" s="2147" t="s">
        <v>861</v>
      </c>
      <c r="B118" s="1318">
        <f t="shared" si="31"/>
        <v>401500</v>
      </c>
      <c r="C118" s="327" t="s">
        <v>1489</v>
      </c>
      <c r="D118" s="1384" t="s">
        <v>863</v>
      </c>
      <c r="E118" s="125" t="s">
        <v>1490</v>
      </c>
      <c r="F118" s="186">
        <f t="shared" si="32"/>
        <v>1.07</v>
      </c>
      <c r="G118" s="556" t="s">
        <v>1417</v>
      </c>
      <c r="H118" s="66">
        <f>VLOOKUP(G118,'CP FACTORS'!$A$3:$B$38, 2, FALSE)</f>
        <v>4.6608050000000002E-4</v>
      </c>
      <c r="I118" s="1820">
        <f t="shared" si="33"/>
        <v>0.87582120559448173</v>
      </c>
      <c r="J118" s="557">
        <f t="shared" si="34"/>
        <v>0.19440791162790697</v>
      </c>
      <c r="K118" s="256">
        <f t="shared" si="38"/>
        <v>4.9899999999999999E-4</v>
      </c>
      <c r="L118" s="318">
        <f t="shared" si="39"/>
        <v>30</v>
      </c>
      <c r="M118" s="697">
        <f t="shared" si="40"/>
        <v>1.6810397830018082</v>
      </c>
      <c r="N118" s="318">
        <f t="shared" si="41"/>
        <v>1</v>
      </c>
      <c r="V118" s="337" t="str">
        <f t="shared" si="42"/>
        <v>kWh Annual Savings</v>
      </c>
      <c r="W118" s="84">
        <v>1269.5996636913817</v>
      </c>
      <c r="X118" s="123">
        <v>1269.5996636913817</v>
      </c>
      <c r="Y118" s="254">
        <v>1.1499999999999999</v>
      </c>
      <c r="Z118" s="252">
        <v>1.1499999999999999</v>
      </c>
      <c r="AA118" s="252">
        <v>1.1499999999999999</v>
      </c>
      <c r="AB118" s="252">
        <v>1.1499999999999999</v>
      </c>
      <c r="AC118" s="252">
        <v>1.1499999999999999</v>
      </c>
      <c r="AD118" s="252">
        <v>1.1499999999999999</v>
      </c>
      <c r="AE118" s="252">
        <v>1.1499999999999999</v>
      </c>
      <c r="AF118" s="253">
        <f t="shared" si="35"/>
        <v>1.07</v>
      </c>
      <c r="AG118" s="337"/>
      <c r="AK118" s="339"/>
      <c r="DG118" s="994">
        <f t="shared" si="36"/>
        <v>1.1957015073377584</v>
      </c>
      <c r="DH118" s="641" t="str">
        <f t="shared" si="43"/>
        <v>Building Shell RES 30 Year EUL</v>
      </c>
      <c r="DI118" s="527">
        <f>(INDEX('Avoided Cost Benefits'!$B$4:$B$865,MATCH(DH118,'Avoided Cost Benefits'!$A$4:$A$865,0)))*F118</f>
        <v>2.0100218024300003</v>
      </c>
      <c r="DJ118" s="1849">
        <f t="shared" si="37"/>
        <v>1.6810397830018082</v>
      </c>
    </row>
    <row r="119" spans="1:114" x14ac:dyDescent="0.25">
      <c r="A119" s="2147" t="s">
        <v>861</v>
      </c>
      <c r="B119" s="1318">
        <f t="shared" si="31"/>
        <v>401550</v>
      </c>
      <c r="C119" s="327" t="s">
        <v>1491</v>
      </c>
      <c r="D119" s="1384" t="s">
        <v>863</v>
      </c>
      <c r="E119" s="121" t="s">
        <v>1492</v>
      </c>
      <c r="F119" s="186">
        <f t="shared" si="32"/>
        <v>0.24</v>
      </c>
      <c r="G119" s="132" t="s">
        <v>1417</v>
      </c>
      <c r="H119" s="66">
        <f>VLOOKUP(G119,'CP FACTORS'!$A$3:$B$38, 2, FALSE)</f>
        <v>4.6608050000000002E-4</v>
      </c>
      <c r="I119" s="318">
        <f t="shared" si="33"/>
        <v>6.2730451443131871E-2</v>
      </c>
      <c r="J119" s="515">
        <f t="shared" si="34"/>
        <v>0.17691119958139537</v>
      </c>
      <c r="K119" s="256">
        <f t="shared" si="38"/>
        <v>1.12E-4</v>
      </c>
      <c r="L119" s="318">
        <f t="shared" si="39"/>
        <v>30</v>
      </c>
      <c r="M119" s="697">
        <f t="shared" si="40"/>
        <v>1.6810397830018082</v>
      </c>
      <c r="N119" s="318">
        <f t="shared" si="41"/>
        <v>1</v>
      </c>
      <c r="V119" s="337" t="str">
        <f t="shared" si="42"/>
        <v>kWh Annual Savings</v>
      </c>
      <c r="W119" s="84">
        <v>274.97316902176544</v>
      </c>
      <c r="X119" s="123">
        <v>274.97316902176544</v>
      </c>
      <c r="Y119" s="254">
        <v>0.25</v>
      </c>
      <c r="Z119" s="252">
        <v>0.25</v>
      </c>
      <c r="AA119" s="252">
        <v>0.25</v>
      </c>
      <c r="AB119" s="252">
        <v>0.25</v>
      </c>
      <c r="AC119" s="252">
        <v>0.25</v>
      </c>
      <c r="AD119" s="252">
        <v>0.25</v>
      </c>
      <c r="AE119" s="252">
        <v>0.25</v>
      </c>
      <c r="AF119" s="253">
        <f t="shared" si="35"/>
        <v>0.24</v>
      </c>
      <c r="AG119" s="337"/>
      <c r="AK119" s="339"/>
      <c r="DG119" s="994">
        <f t="shared" si="36"/>
        <v>0.2681947306178149</v>
      </c>
      <c r="DH119" s="641" t="str">
        <f t="shared" si="43"/>
        <v>Building Shell RES 30 Year EUL</v>
      </c>
      <c r="DI119" s="527">
        <f>(INDEX('Avoided Cost Benefits'!$B$4:$B$865,MATCH(DH119,'Avoided Cost Benefits'!$A$4:$A$865,0)))*F119</f>
        <v>0.45084601176</v>
      </c>
      <c r="DJ119" s="1849">
        <f t="shared" si="37"/>
        <v>1.6810397830018082</v>
      </c>
    </row>
    <row r="120" spans="1:114" x14ac:dyDescent="0.25">
      <c r="A120" s="2147" t="s">
        <v>602</v>
      </c>
      <c r="B120" s="1318">
        <f t="shared" si="31"/>
        <v>401600</v>
      </c>
      <c r="C120" s="327" t="s">
        <v>1493</v>
      </c>
      <c r="D120" s="1994" t="s">
        <v>810</v>
      </c>
      <c r="E120" s="121" t="s">
        <v>1494</v>
      </c>
      <c r="F120" s="186">
        <f t="shared" si="32"/>
        <v>1.69</v>
      </c>
      <c r="G120" s="132" t="s">
        <v>1417</v>
      </c>
      <c r="H120" s="66">
        <f>VLOOKUP(G120,'CP FACTORS'!$A$3:$B$38, 2, FALSE)</f>
        <v>4.6608050000000002E-4</v>
      </c>
      <c r="I120" s="318">
        <f t="shared" si="33"/>
        <v>1.5064124736225091</v>
      </c>
      <c r="J120" s="515">
        <f t="shared" si="34"/>
        <v>0.18783164399999999</v>
      </c>
      <c r="K120" s="256">
        <f t="shared" si="38"/>
        <v>7.8799999999999996E-4</v>
      </c>
      <c r="L120" s="318">
        <f t="shared" si="39"/>
        <v>30</v>
      </c>
      <c r="M120" s="697">
        <f t="shared" si="40"/>
        <v>2.568757824454027</v>
      </c>
      <c r="N120" s="318">
        <f t="shared" si="41"/>
        <v>1</v>
      </c>
      <c r="V120" s="337" t="str">
        <f t="shared" si="42"/>
        <v>kWh Annual Savings</v>
      </c>
      <c r="W120" s="84">
        <v>1405.5728012555933</v>
      </c>
      <c r="X120" s="123">
        <v>1405.5728012555933</v>
      </c>
      <c r="Y120" s="254">
        <v>1.96</v>
      </c>
      <c r="Z120" s="252">
        <v>1.96</v>
      </c>
      <c r="AA120" s="252">
        <v>1.96</v>
      </c>
      <c r="AB120" s="252">
        <v>1.96</v>
      </c>
      <c r="AC120" s="252">
        <v>1.96</v>
      </c>
      <c r="AD120" s="252">
        <v>1.96</v>
      </c>
      <c r="AE120" s="252">
        <v>1.96</v>
      </c>
      <c r="AF120" s="253">
        <f t="shared" si="35"/>
        <v>1.69</v>
      </c>
      <c r="AG120" s="337"/>
      <c r="AK120" s="339"/>
      <c r="DG120" s="994">
        <f t="shared" si="36"/>
        <v>1.2358920341137116</v>
      </c>
      <c r="DH120" s="641" t="str">
        <f t="shared" si="43"/>
        <v>Building Shell RES 30 Year EUL</v>
      </c>
      <c r="DI120" s="527">
        <f>(INDEX('Avoided Cost Benefits'!$B$4:$B$865,MATCH(DH120,'Avoided Cost Benefits'!$A$4:$A$865,0)))*F120</f>
        <v>3.1747073328100002</v>
      </c>
      <c r="DJ120" s="1849">
        <f t="shared" si="37"/>
        <v>2.568757824454027</v>
      </c>
    </row>
    <row r="121" spans="1:114" x14ac:dyDescent="0.25">
      <c r="A121" s="2147" t="s">
        <v>602</v>
      </c>
      <c r="B121" s="1318">
        <f t="shared" si="31"/>
        <v>401650</v>
      </c>
      <c r="C121" s="327" t="s">
        <v>1495</v>
      </c>
      <c r="D121" s="1994" t="s">
        <v>810</v>
      </c>
      <c r="E121" s="121" t="s">
        <v>1496</v>
      </c>
      <c r="F121" s="186">
        <f t="shared" si="32"/>
        <v>1.1399999999999999</v>
      </c>
      <c r="G121" s="132" t="s">
        <v>1417</v>
      </c>
      <c r="H121" s="66">
        <f>VLOOKUP(G121,'CP FACTORS'!$A$3:$B$38, 2, FALSE)</f>
        <v>4.6608050000000002E-4</v>
      </c>
      <c r="I121" s="318">
        <f t="shared" si="33"/>
        <v>0.92988424297685734</v>
      </c>
      <c r="J121" s="515">
        <f t="shared" si="34"/>
        <v>0.20640839999999996</v>
      </c>
      <c r="K121" s="256">
        <f t="shared" si="38"/>
        <v>5.31E-4</v>
      </c>
      <c r="L121" s="318">
        <f t="shared" si="39"/>
        <v>30</v>
      </c>
      <c r="M121" s="697">
        <f t="shared" si="40"/>
        <v>2.568757824454027</v>
      </c>
      <c r="N121" s="318">
        <f t="shared" si="41"/>
        <v>1</v>
      </c>
      <c r="V121" s="337" t="str">
        <f t="shared" si="42"/>
        <v>kWh Annual Savings</v>
      </c>
      <c r="W121" s="84">
        <v>876.18050864627435</v>
      </c>
      <c r="X121" s="123">
        <v>876.18050864627435</v>
      </c>
      <c r="Y121" s="254">
        <v>1.22</v>
      </c>
      <c r="Z121" s="252">
        <v>1.22</v>
      </c>
      <c r="AA121" s="252">
        <v>1.22</v>
      </c>
      <c r="AB121" s="252">
        <v>1.22</v>
      </c>
      <c r="AC121" s="252">
        <v>1.22</v>
      </c>
      <c r="AD121" s="252">
        <v>1.22</v>
      </c>
      <c r="AE121" s="252">
        <v>1.22</v>
      </c>
      <c r="AF121" s="253">
        <f t="shared" si="35"/>
        <v>1.1399999999999999</v>
      </c>
      <c r="AG121" s="337"/>
      <c r="AK121" s="339"/>
      <c r="DG121" s="994">
        <f t="shared" si="36"/>
        <v>0.83367865023055099</v>
      </c>
      <c r="DH121" s="641" t="str">
        <f t="shared" si="43"/>
        <v>Building Shell RES 30 Year EUL</v>
      </c>
      <c r="DI121" s="527">
        <f>(INDEX('Avoided Cost Benefits'!$B$4:$B$865,MATCH(DH121,'Avoided Cost Benefits'!$A$4:$A$865,0)))*F121</f>
        <v>2.1415185558599998</v>
      </c>
      <c r="DJ121" s="1849">
        <f t="shared" si="37"/>
        <v>2.568757824454027</v>
      </c>
    </row>
    <row r="122" spans="1:114" x14ac:dyDescent="0.25">
      <c r="A122" s="2147" t="s">
        <v>602</v>
      </c>
      <c r="B122" s="1318">
        <f t="shared" si="31"/>
        <v>401700</v>
      </c>
      <c r="C122" s="327" t="s">
        <v>1497</v>
      </c>
      <c r="D122" s="1994" t="s">
        <v>810</v>
      </c>
      <c r="E122" s="125" t="s">
        <v>1498</v>
      </c>
      <c r="F122" s="186">
        <f t="shared" si="32"/>
        <v>0.25</v>
      </c>
      <c r="G122" s="132" t="s">
        <v>1417</v>
      </c>
      <c r="H122" s="66">
        <f>VLOOKUP(G122,'CP FACTORS'!$A$3:$B$38, 2, FALSE)</f>
        <v>4.6608050000000002E-4</v>
      </c>
      <c r="I122" s="318">
        <f t="shared" si="33"/>
        <v>6.6602701532214093E-2</v>
      </c>
      <c r="J122" s="515">
        <f t="shared" si="34"/>
        <v>0.18783164399999999</v>
      </c>
      <c r="K122" s="256">
        <f>ROUND(H122*F122,6)</f>
        <v>1.17E-4</v>
      </c>
      <c r="L122" s="318">
        <f t="shared" si="39"/>
        <v>30</v>
      </c>
      <c r="M122" s="697">
        <f t="shared" si="40"/>
        <v>2.568757824454027</v>
      </c>
      <c r="N122" s="318">
        <f t="shared" si="41"/>
        <v>1</v>
      </c>
      <c r="V122" s="337" t="str">
        <f t="shared" si="42"/>
        <v>kWh Annual Savings</v>
      </c>
      <c r="W122" s="84">
        <v>189.76543392983561</v>
      </c>
      <c r="X122" s="123">
        <v>189.76543392983561</v>
      </c>
      <c r="Y122" s="254">
        <v>0.26</v>
      </c>
      <c r="Z122" s="252">
        <v>0.26</v>
      </c>
      <c r="AA122" s="252">
        <v>0.26</v>
      </c>
      <c r="AB122" s="252">
        <v>0.26</v>
      </c>
      <c r="AC122" s="252">
        <v>0.26</v>
      </c>
      <c r="AD122" s="252">
        <v>0.26</v>
      </c>
      <c r="AE122" s="252">
        <v>0.26</v>
      </c>
      <c r="AF122" s="253">
        <f t="shared" si="35"/>
        <v>0.25</v>
      </c>
      <c r="AG122" s="337"/>
      <c r="AK122" s="339"/>
      <c r="DG122" s="994">
        <f t="shared" si="36"/>
        <v>0.18282426540143665</v>
      </c>
      <c r="DH122" s="641" t="str">
        <f t="shared" si="43"/>
        <v>Building Shell RES 30 Year EUL</v>
      </c>
      <c r="DI122" s="527">
        <f>(INDEX('Avoided Cost Benefits'!$B$4:$B$865,MATCH(DH122,'Avoided Cost Benefits'!$A$4:$A$865,0)))*F122</f>
        <v>0.46963126225000001</v>
      </c>
      <c r="DJ122" s="1849">
        <f t="shared" si="37"/>
        <v>2.568757824454027</v>
      </c>
    </row>
    <row r="123" spans="1:114" x14ac:dyDescent="0.25">
      <c r="A123" s="2147" t="s">
        <v>861</v>
      </c>
      <c r="B123" s="1318">
        <f t="shared" si="31"/>
        <v>401750</v>
      </c>
      <c r="C123" s="327" t="s">
        <v>1499</v>
      </c>
      <c r="D123" s="1384" t="s">
        <v>863</v>
      </c>
      <c r="E123" s="121" t="s">
        <v>1500</v>
      </c>
      <c r="F123" s="186">
        <f t="shared" si="32"/>
        <v>1.69</v>
      </c>
      <c r="G123" s="132" t="s">
        <v>1417</v>
      </c>
      <c r="H123" s="66">
        <f>VLOOKUP(G123,'CP FACTORS'!$A$3:$B$38, 2, FALSE)</f>
        <v>4.6608050000000002E-4</v>
      </c>
      <c r="I123" s="318">
        <f t="shared" si="33"/>
        <v>1.5064124736225091</v>
      </c>
      <c r="J123" s="515">
        <f t="shared" si="34"/>
        <v>0.18783164399999999</v>
      </c>
      <c r="K123" s="256">
        <f t="shared" si="38"/>
        <v>7.8799999999999996E-4</v>
      </c>
      <c r="L123" s="318">
        <f t="shared" si="39"/>
        <v>30</v>
      </c>
      <c r="M123" s="697">
        <f t="shared" si="40"/>
        <v>2.5687522603978299</v>
      </c>
      <c r="N123" s="318">
        <f t="shared" si="41"/>
        <v>1</v>
      </c>
      <c r="V123" s="337" t="str">
        <f t="shared" si="42"/>
        <v>kWh Annual Savings</v>
      </c>
      <c r="W123" s="84">
        <v>2162.4196942393751</v>
      </c>
      <c r="X123" s="123">
        <v>2162.4196942393751</v>
      </c>
      <c r="Y123" s="254">
        <v>1.96</v>
      </c>
      <c r="Z123" s="252">
        <v>1.96</v>
      </c>
      <c r="AA123" s="252">
        <v>1.96</v>
      </c>
      <c r="AB123" s="252">
        <v>1.96</v>
      </c>
      <c r="AC123" s="252">
        <v>1.96</v>
      </c>
      <c r="AD123" s="252">
        <v>1.96</v>
      </c>
      <c r="AE123" s="252">
        <v>1.96</v>
      </c>
      <c r="AF123" s="253">
        <f t="shared" si="35"/>
        <v>1.69</v>
      </c>
      <c r="AG123" s="337"/>
      <c r="AK123" s="339"/>
      <c r="DG123" s="994">
        <f t="shared" si="36"/>
        <v>1.2358947111226384</v>
      </c>
      <c r="DH123" s="641" t="str">
        <f t="shared" si="43"/>
        <v>Building Shell RES 30 Year EUL</v>
      </c>
      <c r="DI123" s="527">
        <f>(INDEX('Avoided Cost Benefits'!$B$4:$B$865,MATCH(DH123,'Avoided Cost Benefits'!$A$4:$A$865,0)))*F123</f>
        <v>3.1747073328100002</v>
      </c>
      <c r="DJ123" s="1849">
        <f t="shared" si="37"/>
        <v>2.5687522603978299</v>
      </c>
    </row>
    <row r="124" spans="1:114" x14ac:dyDescent="0.25">
      <c r="A124" s="2147" t="s">
        <v>861</v>
      </c>
      <c r="B124" s="1318">
        <f t="shared" si="31"/>
        <v>401800</v>
      </c>
      <c r="C124" s="327" t="s">
        <v>1501</v>
      </c>
      <c r="D124" s="1384" t="s">
        <v>863</v>
      </c>
      <c r="E124" s="125" t="s">
        <v>1502</v>
      </c>
      <c r="F124" s="186">
        <f t="shared" si="32"/>
        <v>1.1399999999999999</v>
      </c>
      <c r="G124" s="132" t="s">
        <v>1417</v>
      </c>
      <c r="H124" s="66">
        <f>VLOOKUP(G124,'CP FACTORS'!$A$3:$B$38, 2, FALSE)</f>
        <v>4.6608050000000002E-4</v>
      </c>
      <c r="I124" s="318">
        <f t="shared" si="33"/>
        <v>0.92988424297685734</v>
      </c>
      <c r="J124" s="515">
        <f t="shared" si="34"/>
        <v>0.20640839999999996</v>
      </c>
      <c r="K124" s="256">
        <f t="shared" si="38"/>
        <v>5.31E-4</v>
      </c>
      <c r="L124" s="318">
        <f t="shared" si="39"/>
        <v>30</v>
      </c>
      <c r="M124" s="697">
        <f t="shared" si="40"/>
        <v>2.5687522603978299</v>
      </c>
      <c r="N124" s="318">
        <f t="shared" si="41"/>
        <v>1</v>
      </c>
      <c r="V124" s="337" t="str">
        <f t="shared" si="42"/>
        <v>kWh Annual Savings</v>
      </c>
      <c r="W124" s="84">
        <v>1347.9700133019608</v>
      </c>
      <c r="X124" s="123">
        <v>1347.9700133019608</v>
      </c>
      <c r="Y124" s="254">
        <v>1.22</v>
      </c>
      <c r="Z124" s="252">
        <v>1.22</v>
      </c>
      <c r="AA124" s="252">
        <v>1.22</v>
      </c>
      <c r="AB124" s="252">
        <v>1.22</v>
      </c>
      <c r="AC124" s="252">
        <v>1.22</v>
      </c>
      <c r="AD124" s="252">
        <v>1.22</v>
      </c>
      <c r="AE124" s="252">
        <v>1.22</v>
      </c>
      <c r="AF124" s="253">
        <f t="shared" si="35"/>
        <v>1.1399999999999999</v>
      </c>
      <c r="AG124" s="337"/>
      <c r="AK124" s="339"/>
      <c r="DG124" s="994">
        <f t="shared" si="36"/>
        <v>0.83368045602355478</v>
      </c>
      <c r="DH124" s="641" t="str">
        <f t="shared" si="43"/>
        <v>Building Shell RES 30 Year EUL</v>
      </c>
      <c r="DI124" s="527">
        <f>(INDEX('Avoided Cost Benefits'!$B$4:$B$865,MATCH(DH124,'Avoided Cost Benefits'!$A$4:$A$865,0)))*F124</f>
        <v>2.1415185558599998</v>
      </c>
      <c r="DJ124" s="1849">
        <f t="shared" si="37"/>
        <v>2.5687522603978299</v>
      </c>
    </row>
    <row r="125" spans="1:114" x14ac:dyDescent="0.25">
      <c r="A125" s="2147" t="s">
        <v>861</v>
      </c>
      <c r="B125" s="1318">
        <f t="shared" si="31"/>
        <v>401850</v>
      </c>
      <c r="C125" s="327" t="s">
        <v>1503</v>
      </c>
      <c r="D125" s="1384" t="s">
        <v>863</v>
      </c>
      <c r="E125" s="121" t="s">
        <v>1504</v>
      </c>
      <c r="F125" s="186">
        <f t="shared" si="32"/>
        <v>0.25</v>
      </c>
      <c r="G125" s="132" t="s">
        <v>1417</v>
      </c>
      <c r="H125" s="66">
        <f>VLOOKUP(G125,'CP FACTORS'!$A$3:$B$38, 2, FALSE)</f>
        <v>4.6608050000000002E-4</v>
      </c>
      <c r="I125" s="318">
        <f t="shared" si="33"/>
        <v>6.6602701532214093E-2</v>
      </c>
      <c r="J125" s="515">
        <f t="shared" si="34"/>
        <v>0.18783164399999999</v>
      </c>
      <c r="K125" s="256">
        <f t="shared" si="38"/>
        <v>1.17E-4</v>
      </c>
      <c r="L125" s="318">
        <f t="shared" si="39"/>
        <v>30</v>
      </c>
      <c r="M125" s="697">
        <f t="shared" si="40"/>
        <v>2.5687522603978299</v>
      </c>
      <c r="N125" s="318">
        <f t="shared" si="41"/>
        <v>1</v>
      </c>
      <c r="V125" s="337" t="str">
        <f t="shared" si="42"/>
        <v>kWh Annual Savings</v>
      </c>
      <c r="W125" s="84">
        <v>291.94682143051637</v>
      </c>
      <c r="X125" s="123">
        <v>291.94682143051637</v>
      </c>
      <c r="Y125" s="254">
        <v>0.26</v>
      </c>
      <c r="Z125" s="252">
        <v>0.26</v>
      </c>
      <c r="AA125" s="252">
        <v>0.26</v>
      </c>
      <c r="AB125" s="252">
        <v>0.26</v>
      </c>
      <c r="AC125" s="252">
        <v>0.26</v>
      </c>
      <c r="AD125" s="252">
        <v>0.26</v>
      </c>
      <c r="AE125" s="252">
        <v>0.26</v>
      </c>
      <c r="AF125" s="253">
        <f t="shared" si="35"/>
        <v>0.25</v>
      </c>
      <c r="AG125" s="337"/>
      <c r="AK125" s="339"/>
      <c r="DG125" s="994">
        <f t="shared" si="36"/>
        <v>0.18282466140867432</v>
      </c>
      <c r="DH125" s="641" t="str">
        <f t="shared" si="43"/>
        <v>Building Shell RES 30 Year EUL</v>
      </c>
      <c r="DI125" s="527">
        <f>(INDEX('Avoided Cost Benefits'!$B$4:$B$865,MATCH(DH125,'Avoided Cost Benefits'!$A$4:$A$865,0)))*F125</f>
        <v>0.46963126225000001</v>
      </c>
      <c r="DJ125" s="1849">
        <f t="shared" si="37"/>
        <v>2.5687522603978299</v>
      </c>
    </row>
    <row r="126" spans="1:114" x14ac:dyDescent="0.25">
      <c r="A126" s="2147" t="s">
        <v>602</v>
      </c>
      <c r="B126" s="1318">
        <f t="shared" si="31"/>
        <v>401900</v>
      </c>
      <c r="C126" s="327" t="s">
        <v>1505</v>
      </c>
      <c r="D126" s="1994" t="s">
        <v>810</v>
      </c>
      <c r="E126" s="121" t="s">
        <v>1506</v>
      </c>
      <c r="F126" s="186">
        <f t="shared" si="32"/>
        <v>1.76</v>
      </c>
      <c r="G126" s="132" t="s">
        <v>1417</v>
      </c>
      <c r="H126" s="66">
        <f>VLOOKUP(G126,'CP FACTORS'!$A$3:$B$38, 2, FALSE)</f>
        <v>4.6608050000000002E-4</v>
      </c>
      <c r="I126" s="318">
        <f t="shared" si="33"/>
        <v>1.5643514149156821</v>
      </c>
      <c r="J126" s="515">
        <f t="shared" si="34"/>
        <v>0.19505593799999998</v>
      </c>
      <c r="K126" s="256">
        <f t="shared" si="38"/>
        <v>8.1999999999999998E-4</v>
      </c>
      <c r="L126" s="318">
        <f t="shared" si="39"/>
        <v>30</v>
      </c>
      <c r="M126" s="697">
        <f t="shared" si="40"/>
        <v>3.424301015440256</v>
      </c>
      <c r="N126" s="318">
        <f t="shared" si="41"/>
        <v>1</v>
      </c>
      <c r="V126" s="337" t="str">
        <f t="shared" si="42"/>
        <v>kWh Annual Savings</v>
      </c>
      <c r="W126" s="84">
        <v>1459.6332936115778</v>
      </c>
      <c r="X126" s="123">
        <v>1459.6332936115778</v>
      </c>
      <c r="Y126" s="254">
        <v>2.0299999999999998</v>
      </c>
      <c r="Z126" s="252">
        <v>2.0299999999999998</v>
      </c>
      <c r="AA126" s="252">
        <v>2.0299999999999998</v>
      </c>
      <c r="AB126" s="252">
        <v>2.0299999999999998</v>
      </c>
      <c r="AC126" s="252">
        <v>2.0299999999999998</v>
      </c>
      <c r="AD126" s="252">
        <v>2.0299999999999998</v>
      </c>
      <c r="AE126" s="252">
        <v>2.0299999999999998</v>
      </c>
      <c r="AF126" s="253">
        <f t="shared" si="35"/>
        <v>1.76</v>
      </c>
      <c r="AG126" s="337"/>
      <c r="AK126" s="339"/>
      <c r="DG126" s="994">
        <f t="shared" si="36"/>
        <v>0.96551210636338514</v>
      </c>
      <c r="DH126" s="641" t="str">
        <f t="shared" si="43"/>
        <v>Building Shell RES 30 Year EUL</v>
      </c>
      <c r="DI126" s="527">
        <f>(INDEX('Avoided Cost Benefits'!$B$4:$B$865,MATCH(DH126,'Avoided Cost Benefits'!$A$4:$A$865,0)))*F126</f>
        <v>3.3062040862400002</v>
      </c>
      <c r="DJ126" s="1849">
        <f t="shared" si="37"/>
        <v>3.424301015440256</v>
      </c>
    </row>
    <row r="127" spans="1:114" x14ac:dyDescent="0.25">
      <c r="A127" s="2147" t="s">
        <v>602</v>
      </c>
      <c r="B127" s="1318">
        <f t="shared" si="31"/>
        <v>401950</v>
      </c>
      <c r="C127" s="327" t="s">
        <v>1507</v>
      </c>
      <c r="D127" s="1994" t="s">
        <v>810</v>
      </c>
      <c r="E127" s="121" t="s">
        <v>1508</v>
      </c>
      <c r="F127" s="186">
        <f t="shared" si="32"/>
        <v>1.18</v>
      </c>
      <c r="G127" s="132" t="s">
        <v>1417</v>
      </c>
      <c r="H127" s="66">
        <f>VLOOKUP(G127,'CP FACTORS'!$A$3:$B$38, 2, FALSE)</f>
        <v>4.6608050000000002E-4</v>
      </c>
      <c r="I127" s="318">
        <f t="shared" si="33"/>
        <v>0.96564902155289012</v>
      </c>
      <c r="J127" s="515">
        <f t="shared" si="34"/>
        <v>0.21434718461538455</v>
      </c>
      <c r="K127" s="256">
        <f t="shared" si="38"/>
        <v>5.5000000000000003E-4</v>
      </c>
      <c r="L127" s="318">
        <f t="shared" si="39"/>
        <v>30</v>
      </c>
      <c r="M127" s="697">
        <f t="shared" si="40"/>
        <v>3.424301015440256</v>
      </c>
      <c r="N127" s="318">
        <f t="shared" si="41"/>
        <v>1</v>
      </c>
      <c r="V127" s="337" t="str">
        <f t="shared" si="42"/>
        <v>kWh Annual Savings</v>
      </c>
      <c r="W127" s="84">
        <v>909.87975897882347</v>
      </c>
      <c r="X127" s="123">
        <v>909.87975897882347</v>
      </c>
      <c r="Y127" s="254">
        <v>1.27</v>
      </c>
      <c r="Z127" s="252">
        <v>1.27</v>
      </c>
      <c r="AA127" s="252">
        <v>1.27</v>
      </c>
      <c r="AB127" s="252">
        <v>1.27</v>
      </c>
      <c r="AC127" s="252">
        <v>1.27</v>
      </c>
      <c r="AD127" s="252">
        <v>1.27</v>
      </c>
      <c r="AE127" s="252">
        <v>1.27</v>
      </c>
      <c r="AF127" s="253">
        <f t="shared" si="35"/>
        <v>1.18</v>
      </c>
      <c r="AG127" s="337"/>
      <c r="AK127" s="339"/>
      <c r="DG127" s="994">
        <f t="shared" si="36"/>
        <v>0.64733198040272411</v>
      </c>
      <c r="DH127" s="641" t="str">
        <f t="shared" si="43"/>
        <v>Building Shell RES 30 Year EUL</v>
      </c>
      <c r="DI127" s="527">
        <f>(INDEX('Avoided Cost Benefits'!$B$4:$B$865,MATCH(DH127,'Avoided Cost Benefits'!$A$4:$A$865,0)))*F127</f>
        <v>2.2166595578199999</v>
      </c>
      <c r="DJ127" s="1849">
        <f t="shared" si="37"/>
        <v>3.424301015440256</v>
      </c>
    </row>
    <row r="128" spans="1:114" x14ac:dyDescent="0.25">
      <c r="A128" s="2147" t="s">
        <v>602</v>
      </c>
      <c r="B128" s="1318">
        <f t="shared" si="31"/>
        <v>402000</v>
      </c>
      <c r="C128" s="327" t="s">
        <v>1509</v>
      </c>
      <c r="D128" s="1994" t="s">
        <v>810</v>
      </c>
      <c r="E128" s="125" t="s">
        <v>1510</v>
      </c>
      <c r="F128" s="186">
        <f t="shared" si="32"/>
        <v>0.26</v>
      </c>
      <c r="G128" s="132" t="s">
        <v>1417</v>
      </c>
      <c r="H128" s="66">
        <f>VLOOKUP(G128,'CP FACTORS'!$A$3:$B$38, 2, FALSE)</f>
        <v>4.6608050000000002E-4</v>
      </c>
      <c r="I128" s="318">
        <f t="shared" si="33"/>
        <v>6.9164343898837688E-2</v>
      </c>
      <c r="J128" s="515">
        <f t="shared" si="34"/>
        <v>0.19505593799999998</v>
      </c>
      <c r="K128" s="256">
        <f t="shared" si="38"/>
        <v>1.21E-4</v>
      </c>
      <c r="L128" s="318">
        <f t="shared" si="39"/>
        <v>30</v>
      </c>
      <c r="M128" s="697">
        <f t="shared" si="40"/>
        <v>3.424301015440256</v>
      </c>
      <c r="N128" s="318">
        <f t="shared" si="41"/>
        <v>1</v>
      </c>
      <c r="V128" s="337" t="str">
        <f t="shared" si="42"/>
        <v>kWh Annual Savings</v>
      </c>
      <c r="W128" s="84">
        <v>197.06410446559852</v>
      </c>
      <c r="X128" s="123">
        <v>197.06410446559852</v>
      </c>
      <c r="Y128" s="254">
        <v>0.27</v>
      </c>
      <c r="Z128" s="252">
        <v>0.27</v>
      </c>
      <c r="AA128" s="252">
        <v>0.27</v>
      </c>
      <c r="AB128" s="252">
        <v>0.27</v>
      </c>
      <c r="AC128" s="252">
        <v>0.27</v>
      </c>
      <c r="AD128" s="252">
        <v>0.27</v>
      </c>
      <c r="AE128" s="252">
        <v>0.27</v>
      </c>
      <c r="AF128" s="253">
        <f t="shared" si="35"/>
        <v>0.26</v>
      </c>
      <c r="AG128" s="337"/>
      <c r="AK128" s="339"/>
      <c r="DG128" s="994">
        <f t="shared" si="36"/>
        <v>0.14263247025822734</v>
      </c>
      <c r="DH128" s="641" t="str">
        <f t="shared" si="43"/>
        <v>Building Shell RES 30 Year EUL</v>
      </c>
      <c r="DI128" s="527">
        <f>(INDEX('Avoided Cost Benefits'!$B$4:$B$865,MATCH(DH128,'Avoided Cost Benefits'!$A$4:$A$865,0)))*F128</f>
        <v>0.48841651274000003</v>
      </c>
      <c r="DJ128" s="1849">
        <f t="shared" si="37"/>
        <v>3.424301015440256</v>
      </c>
    </row>
    <row r="129" spans="1:114" x14ac:dyDescent="0.25">
      <c r="A129" s="2147" t="s">
        <v>861</v>
      </c>
      <c r="B129" s="1318">
        <f t="shared" si="31"/>
        <v>402050</v>
      </c>
      <c r="C129" s="327" t="s">
        <v>1511</v>
      </c>
      <c r="D129" s="1384" t="s">
        <v>863</v>
      </c>
      <c r="E129" s="121" t="s">
        <v>1512</v>
      </c>
      <c r="F129" s="186">
        <f t="shared" si="32"/>
        <v>1.76</v>
      </c>
      <c r="G129" s="132" t="s">
        <v>1417</v>
      </c>
      <c r="H129" s="66">
        <f>VLOOKUP(G129,'CP FACTORS'!$A$3:$B$38, 2, FALSE)</f>
        <v>4.6608050000000002E-4</v>
      </c>
      <c r="I129" s="318">
        <f t="shared" si="33"/>
        <v>1.5643514149156821</v>
      </c>
      <c r="J129" s="515">
        <f t="shared" si="34"/>
        <v>0.19505593799999998</v>
      </c>
      <c r="K129" s="256">
        <f t="shared" si="38"/>
        <v>8.1999999999999998E-4</v>
      </c>
      <c r="L129" s="318">
        <f t="shared" si="39"/>
        <v>30</v>
      </c>
      <c r="M129" s="697">
        <f t="shared" si="40"/>
        <v>3.4243037974683546</v>
      </c>
      <c r="N129" s="318">
        <f t="shared" si="41"/>
        <v>1</v>
      </c>
      <c r="V129" s="337" t="str">
        <f t="shared" si="42"/>
        <v>kWh Annual Savings</v>
      </c>
      <c r="W129" s="84">
        <v>2245.5896824793513</v>
      </c>
      <c r="X129" s="123">
        <v>2245.5896824793513</v>
      </c>
      <c r="Y129" s="254">
        <v>2.0299999999999998</v>
      </c>
      <c r="Z129" s="252">
        <v>2.0299999999999998</v>
      </c>
      <c r="AA129" s="252">
        <v>2.0299999999999998</v>
      </c>
      <c r="AB129" s="252">
        <v>2.0299999999999998</v>
      </c>
      <c r="AC129" s="252">
        <v>2.0299999999999998</v>
      </c>
      <c r="AD129" s="252">
        <v>2.0299999999999998</v>
      </c>
      <c r="AE129" s="252">
        <v>2.0299999999999998</v>
      </c>
      <c r="AF129" s="253">
        <f t="shared" si="35"/>
        <v>1.76</v>
      </c>
      <c r="AG129" s="337"/>
      <c r="AK129" s="339"/>
      <c r="DG129" s="994">
        <f t="shared" si="36"/>
        <v>0.96551132194647349</v>
      </c>
      <c r="DH129" s="641" t="str">
        <f t="shared" si="43"/>
        <v>Building Shell RES 30 Year EUL</v>
      </c>
      <c r="DI129" s="527">
        <f>(INDEX('Avoided Cost Benefits'!$B$4:$B$865,MATCH(DH129,'Avoided Cost Benefits'!$A$4:$A$865,0)))*F129</f>
        <v>3.3062040862400002</v>
      </c>
      <c r="DJ129" s="1849">
        <f t="shared" si="37"/>
        <v>3.4243037974683546</v>
      </c>
    </row>
    <row r="130" spans="1:114" x14ac:dyDescent="0.25">
      <c r="A130" s="2147" t="s">
        <v>861</v>
      </c>
      <c r="B130" s="1318">
        <f t="shared" si="31"/>
        <v>402100</v>
      </c>
      <c r="C130" s="327" t="s">
        <v>1513</v>
      </c>
      <c r="D130" s="1384" t="s">
        <v>863</v>
      </c>
      <c r="E130" s="125" t="s">
        <v>1514</v>
      </c>
      <c r="F130" s="186">
        <f t="shared" si="32"/>
        <v>1.18</v>
      </c>
      <c r="G130" s="132" t="s">
        <v>1417</v>
      </c>
      <c r="H130" s="66">
        <f>VLOOKUP(G130,'CP FACTORS'!$A$3:$B$38, 2, FALSE)</f>
        <v>4.6608050000000002E-4</v>
      </c>
      <c r="I130" s="318">
        <f t="shared" si="33"/>
        <v>0.96564902155289012</v>
      </c>
      <c r="J130" s="515">
        <f t="shared" si="34"/>
        <v>0.21434718461538455</v>
      </c>
      <c r="K130" s="256">
        <f t="shared" si="38"/>
        <v>5.5000000000000003E-4</v>
      </c>
      <c r="L130" s="318">
        <f t="shared" si="39"/>
        <v>30</v>
      </c>
      <c r="M130" s="697">
        <f t="shared" si="40"/>
        <v>3.4243037974683546</v>
      </c>
      <c r="N130" s="318">
        <f t="shared" si="41"/>
        <v>1</v>
      </c>
      <c r="V130" s="337" t="str">
        <f t="shared" si="42"/>
        <v>kWh Annual Savings</v>
      </c>
      <c r="W130" s="84">
        <v>1399.815013813575</v>
      </c>
      <c r="X130" s="123">
        <v>1399.815013813575</v>
      </c>
      <c r="Y130" s="254">
        <v>1.27</v>
      </c>
      <c r="Z130" s="252">
        <v>1.27</v>
      </c>
      <c r="AA130" s="252">
        <v>1.27</v>
      </c>
      <c r="AB130" s="252">
        <v>1.27</v>
      </c>
      <c r="AC130" s="252">
        <v>1.27</v>
      </c>
      <c r="AD130" s="252">
        <v>1.27</v>
      </c>
      <c r="AE130" s="252">
        <v>1.27</v>
      </c>
      <c r="AF130" s="253">
        <f t="shared" si="35"/>
        <v>1.18</v>
      </c>
      <c r="AG130" s="337"/>
      <c r="AK130" s="339"/>
      <c r="DG130" s="994">
        <f t="shared" si="36"/>
        <v>0.64733145448684015</v>
      </c>
      <c r="DH130" s="641" t="str">
        <f t="shared" si="43"/>
        <v>Building Shell RES 30 Year EUL</v>
      </c>
      <c r="DI130" s="527">
        <f>(INDEX('Avoided Cost Benefits'!$B$4:$B$865,MATCH(DH130,'Avoided Cost Benefits'!$A$4:$A$865,0)))*F130</f>
        <v>2.2166595578199999</v>
      </c>
      <c r="DJ130" s="1849">
        <f t="shared" si="37"/>
        <v>3.4243037974683546</v>
      </c>
    </row>
    <row r="131" spans="1:114" x14ac:dyDescent="0.25">
      <c r="A131" s="2147" t="s">
        <v>861</v>
      </c>
      <c r="B131" s="1318">
        <f t="shared" si="31"/>
        <v>402150</v>
      </c>
      <c r="C131" s="327" t="s">
        <v>1515</v>
      </c>
      <c r="D131" s="1384" t="s">
        <v>863</v>
      </c>
      <c r="E131" s="121" t="s">
        <v>1516</v>
      </c>
      <c r="F131" s="186">
        <f t="shared" si="32"/>
        <v>0.26</v>
      </c>
      <c r="G131" s="132" t="s">
        <v>1417</v>
      </c>
      <c r="H131" s="66">
        <f>VLOOKUP(G131,'CP FACTORS'!$A$3:$B$38, 2, FALSE)</f>
        <v>4.6608050000000002E-4</v>
      </c>
      <c r="I131" s="318">
        <f t="shared" si="33"/>
        <v>6.9164343898837688E-2</v>
      </c>
      <c r="J131" s="515">
        <f t="shared" si="34"/>
        <v>0.19505593799999998</v>
      </c>
      <c r="K131" s="256">
        <f t="shared" si="38"/>
        <v>1.21E-4</v>
      </c>
      <c r="L131" s="318">
        <f t="shared" si="39"/>
        <v>30</v>
      </c>
      <c r="M131" s="697">
        <f t="shared" si="40"/>
        <v>3.4243037974683546</v>
      </c>
      <c r="N131" s="318">
        <f t="shared" si="41"/>
        <v>1</v>
      </c>
      <c r="V131" s="337" t="str">
        <f t="shared" si="42"/>
        <v>kWh Annual Savings</v>
      </c>
      <c r="W131" s="84">
        <v>303.1755453316901</v>
      </c>
      <c r="X131" s="123">
        <v>303.1755453316901</v>
      </c>
      <c r="Y131" s="254">
        <v>0.27</v>
      </c>
      <c r="Z131" s="252">
        <v>0.27</v>
      </c>
      <c r="AA131" s="252">
        <v>0.27</v>
      </c>
      <c r="AB131" s="252">
        <v>0.27</v>
      </c>
      <c r="AC131" s="252">
        <v>0.27</v>
      </c>
      <c r="AD131" s="252">
        <v>0.27</v>
      </c>
      <c r="AE131" s="252">
        <v>0.27</v>
      </c>
      <c r="AF131" s="253">
        <f t="shared" si="35"/>
        <v>0.26</v>
      </c>
      <c r="AG131" s="337"/>
      <c r="AK131" s="339"/>
      <c r="DG131" s="995">
        <f t="shared" si="36"/>
        <v>0.14263235437845631</v>
      </c>
      <c r="DH131" s="641" t="str">
        <f t="shared" si="43"/>
        <v>Building Shell RES 30 Year EUL</v>
      </c>
      <c r="DI131" s="1003">
        <f>(INDEX('Avoided Cost Benefits'!$B$4:$B$865,MATCH(DH131,'Avoided Cost Benefits'!$A$4:$A$865,0)))*F131</f>
        <v>0.48841651274000003</v>
      </c>
      <c r="DJ131" s="1850">
        <f t="shared" si="37"/>
        <v>3.4243037974683546</v>
      </c>
    </row>
    <row r="132" spans="1:114" hidden="1" outlineLevel="1" x14ac:dyDescent="0.25">
      <c r="A132" s="2147"/>
      <c r="B132" s="263"/>
      <c r="D132" s="74" t="s">
        <v>95</v>
      </c>
      <c r="E132" s="126" t="s">
        <v>1517</v>
      </c>
      <c r="F132" s="263"/>
      <c r="G132" s="263"/>
      <c r="H132" s="263"/>
      <c r="I132" s="263"/>
      <c r="J132" s="263"/>
      <c r="K132" s="263"/>
      <c r="L132" s="263"/>
      <c r="M132" s="559"/>
      <c r="N132" s="560"/>
      <c r="V132" s="1372"/>
      <c r="W132" s="432"/>
      <c r="X132" s="433"/>
      <c r="Y132" s="434"/>
      <c r="Z132" s="1372"/>
      <c r="AA132" s="1372"/>
      <c r="AB132" s="1372"/>
      <c r="AC132" s="1372"/>
      <c r="AD132" s="1372"/>
      <c r="AE132" s="1372"/>
      <c r="AF132" s="1372"/>
      <c r="AG132" s="1372"/>
      <c r="AK132" s="339"/>
    </row>
    <row r="133" spans="1:114" hidden="1" outlineLevel="1" x14ac:dyDescent="0.25">
      <c r="A133" s="2147"/>
      <c r="B133" s="263"/>
      <c r="D133" s="74" t="s">
        <v>609</v>
      </c>
      <c r="E133" s="126" t="s">
        <v>1518</v>
      </c>
      <c r="F133" s="263"/>
      <c r="G133" s="263"/>
      <c r="H133" s="263"/>
      <c r="I133" s="263"/>
      <c r="J133" s="263"/>
      <c r="K133" s="263"/>
      <c r="L133" s="263"/>
      <c r="Y133" s="516" t="s">
        <v>1454</v>
      </c>
      <c r="AK133" s="339"/>
    </row>
    <row r="134" spans="1:114" hidden="1" outlineLevel="1" x14ac:dyDescent="0.25">
      <c r="A134" s="2147"/>
      <c r="B134" s="263"/>
      <c r="D134" s="74" t="s">
        <v>609</v>
      </c>
      <c r="E134" s="126" t="s">
        <v>1519</v>
      </c>
      <c r="F134" s="263"/>
      <c r="G134" s="263"/>
      <c r="H134" s="263"/>
      <c r="I134" s="263"/>
      <c r="J134" s="263"/>
      <c r="K134" s="263"/>
      <c r="L134" s="263"/>
      <c r="AK134" s="339"/>
    </row>
    <row r="135" spans="1:114" hidden="1" outlineLevel="1" x14ac:dyDescent="0.25">
      <c r="A135" s="2147"/>
      <c r="B135" s="263"/>
      <c r="D135" s="74"/>
      <c r="E135" s="126" t="s">
        <v>612</v>
      </c>
      <c r="F135" s="263"/>
      <c r="G135" s="263"/>
      <c r="H135" s="263"/>
      <c r="I135" s="263"/>
      <c r="J135" s="263"/>
      <c r="K135" s="263"/>
      <c r="L135" s="263"/>
      <c r="AK135" s="339"/>
    </row>
    <row r="136" spans="1:114" hidden="1" outlineLevel="1" x14ac:dyDescent="0.25">
      <c r="A136" s="2147"/>
      <c r="B136" s="263"/>
      <c r="D136" s="263"/>
      <c r="E136" s="263"/>
      <c r="F136" s="263"/>
      <c r="G136" s="263"/>
      <c r="H136" s="263"/>
      <c r="I136" s="263"/>
      <c r="J136" s="263"/>
      <c r="K136" s="263"/>
      <c r="L136" s="263"/>
      <c r="AK136" s="339"/>
    </row>
    <row r="137" spans="1:114" hidden="1" outlineLevel="1" x14ac:dyDescent="0.25">
      <c r="A137" s="2147"/>
      <c r="B137" s="549"/>
      <c r="D137" s="1309" t="s">
        <v>720</v>
      </c>
      <c r="E137" s="1309" t="s">
        <v>613</v>
      </c>
      <c r="F137" s="1242" t="s">
        <v>615</v>
      </c>
      <c r="G137" s="1242" t="s">
        <v>616</v>
      </c>
      <c r="H137" s="1242" t="s">
        <v>721</v>
      </c>
      <c r="V137" s="636" t="s">
        <v>53</v>
      </c>
      <c r="W137" s="637">
        <f>W$6</f>
        <v>43252</v>
      </c>
      <c r="X137" s="637">
        <f t="shared" ref="X137:AG137" si="44">X$6</f>
        <v>43465</v>
      </c>
      <c r="Y137" s="110">
        <f t="shared" si="44"/>
        <v>43800</v>
      </c>
      <c r="Z137" s="637">
        <f t="shared" si="44"/>
        <v>43862</v>
      </c>
      <c r="AA137" s="637">
        <f t="shared" si="44"/>
        <v>44013</v>
      </c>
      <c r="AB137" s="637">
        <f t="shared" si="44"/>
        <v>44166</v>
      </c>
      <c r="AC137" s="637">
        <f t="shared" si="44"/>
        <v>44531</v>
      </c>
      <c r="AD137" s="637">
        <f t="shared" si="44"/>
        <v>44774</v>
      </c>
      <c r="AE137" s="637">
        <f t="shared" si="44"/>
        <v>45139</v>
      </c>
      <c r="AF137" s="637">
        <f t="shared" si="44"/>
        <v>45672</v>
      </c>
      <c r="AG137" s="637">
        <f t="shared" si="44"/>
        <v>45971</v>
      </c>
      <c r="AK137" s="339"/>
    </row>
    <row r="138" spans="1:114" hidden="1" outlineLevel="1" x14ac:dyDescent="0.25">
      <c r="A138" s="2147"/>
      <c r="B138" s="549"/>
      <c r="D138" s="2638" t="s">
        <v>251</v>
      </c>
      <c r="E138" s="121" t="s">
        <v>1458</v>
      </c>
      <c r="F138" s="503">
        <v>1</v>
      </c>
      <c r="G138" s="1278"/>
      <c r="H138" s="1300"/>
      <c r="V138" s="2488" t="str">
        <f>D138</f>
        <v>%ElectricHeat</v>
      </c>
      <c r="W138" s="269">
        <v>1</v>
      </c>
      <c r="X138" s="269">
        <v>1</v>
      </c>
      <c r="Y138" s="269">
        <v>1</v>
      </c>
      <c r="Z138" s="295">
        <v>1</v>
      </c>
      <c r="AA138" s="295">
        <v>1</v>
      </c>
      <c r="AB138" s="295">
        <v>1</v>
      </c>
      <c r="AC138" s="295">
        <v>1</v>
      </c>
      <c r="AD138" s="295">
        <v>1</v>
      </c>
      <c r="AE138" s="295">
        <v>1</v>
      </c>
      <c r="AF138" s="253">
        <f t="shared" ref="AF138:AF201" si="45">IF(F138&lt;&gt;"",F138,"")</f>
        <v>1</v>
      </c>
      <c r="AG138" s="269"/>
      <c r="AK138" s="339"/>
    </row>
    <row r="139" spans="1:114" hidden="1" outlineLevel="1" x14ac:dyDescent="0.25">
      <c r="A139" s="2147"/>
      <c r="B139" s="549"/>
      <c r="D139" s="2638"/>
      <c r="E139" s="121" t="s">
        <v>1460</v>
      </c>
      <c r="F139" s="503">
        <v>1</v>
      </c>
      <c r="G139" s="1278"/>
      <c r="H139" s="1300"/>
      <c r="V139" s="2489"/>
      <c r="W139" s="269">
        <v>1</v>
      </c>
      <c r="X139" s="269">
        <v>1</v>
      </c>
      <c r="Y139" s="269">
        <v>1</v>
      </c>
      <c r="Z139" s="295">
        <v>1</v>
      </c>
      <c r="AA139" s="295">
        <v>1</v>
      </c>
      <c r="AB139" s="295">
        <v>1</v>
      </c>
      <c r="AC139" s="295">
        <v>1</v>
      </c>
      <c r="AD139" s="295">
        <v>1</v>
      </c>
      <c r="AE139" s="295">
        <v>1</v>
      </c>
      <c r="AF139" s="253">
        <f t="shared" si="45"/>
        <v>1</v>
      </c>
      <c r="AG139" s="269"/>
      <c r="AK139" s="339"/>
    </row>
    <row r="140" spans="1:114" hidden="1" outlineLevel="1" x14ac:dyDescent="0.25">
      <c r="A140" s="2147"/>
      <c r="B140" s="549"/>
      <c r="D140" s="2638"/>
      <c r="E140" s="121" t="s">
        <v>1462</v>
      </c>
      <c r="F140" s="503">
        <v>0</v>
      </c>
      <c r="G140" s="1278"/>
      <c r="H140" s="1300"/>
      <c r="V140" s="2489"/>
      <c r="W140" s="269">
        <v>0</v>
      </c>
      <c r="X140" s="269">
        <v>0</v>
      </c>
      <c r="Y140" s="269">
        <v>0</v>
      </c>
      <c r="Z140" s="295">
        <v>0</v>
      </c>
      <c r="AA140" s="295">
        <v>0</v>
      </c>
      <c r="AB140" s="295">
        <v>0</v>
      </c>
      <c r="AC140" s="295">
        <v>0</v>
      </c>
      <c r="AD140" s="295">
        <v>0</v>
      </c>
      <c r="AE140" s="295">
        <v>0</v>
      </c>
      <c r="AF140" s="253">
        <f t="shared" si="45"/>
        <v>0</v>
      </c>
      <c r="AG140" s="269"/>
      <c r="AK140" s="339"/>
    </row>
    <row r="141" spans="1:114" hidden="1" outlineLevel="1" x14ac:dyDescent="0.25">
      <c r="A141" s="2147"/>
      <c r="B141" s="549"/>
      <c r="D141" s="2638"/>
      <c r="E141" s="121" t="s">
        <v>1464</v>
      </c>
      <c r="F141" s="503">
        <v>1</v>
      </c>
      <c r="G141" s="1278"/>
      <c r="H141" s="1300"/>
      <c r="V141" s="2489"/>
      <c r="W141" s="269">
        <v>1</v>
      </c>
      <c r="X141" s="269">
        <v>1</v>
      </c>
      <c r="Y141" s="269">
        <v>1</v>
      </c>
      <c r="Z141" s="295">
        <v>1</v>
      </c>
      <c r="AA141" s="295">
        <v>1</v>
      </c>
      <c r="AB141" s="295">
        <v>1</v>
      </c>
      <c r="AC141" s="295">
        <v>1</v>
      </c>
      <c r="AD141" s="295">
        <v>1</v>
      </c>
      <c r="AE141" s="295">
        <v>1</v>
      </c>
      <c r="AF141" s="253">
        <f t="shared" si="45"/>
        <v>1</v>
      </c>
      <c r="AG141" s="269"/>
      <c r="AK141" s="339"/>
    </row>
    <row r="142" spans="1:114" hidden="1" outlineLevel="1" x14ac:dyDescent="0.25">
      <c r="A142" s="2147"/>
      <c r="B142" s="549"/>
      <c r="D142" s="2638"/>
      <c r="E142" s="121" t="s">
        <v>1466</v>
      </c>
      <c r="F142" s="503">
        <v>1</v>
      </c>
      <c r="G142" s="1278"/>
      <c r="H142" s="1300"/>
      <c r="V142" s="2489"/>
      <c r="W142" s="269">
        <v>1</v>
      </c>
      <c r="X142" s="269">
        <v>1</v>
      </c>
      <c r="Y142" s="269">
        <v>1</v>
      </c>
      <c r="Z142" s="295">
        <v>1</v>
      </c>
      <c r="AA142" s="295">
        <v>1</v>
      </c>
      <c r="AB142" s="295">
        <v>1</v>
      </c>
      <c r="AC142" s="295">
        <v>1</v>
      </c>
      <c r="AD142" s="295">
        <v>1</v>
      </c>
      <c r="AE142" s="295">
        <v>1</v>
      </c>
      <c r="AF142" s="253">
        <f t="shared" si="45"/>
        <v>1</v>
      </c>
      <c r="AG142" s="269"/>
      <c r="AK142" s="339"/>
    </row>
    <row r="143" spans="1:114" hidden="1" outlineLevel="1" x14ac:dyDescent="0.25">
      <c r="A143" s="2147"/>
      <c r="B143" s="558"/>
      <c r="D143" s="2638"/>
      <c r="E143" s="121" t="s">
        <v>1468</v>
      </c>
      <c r="F143" s="503">
        <v>0</v>
      </c>
      <c r="G143" s="1278"/>
      <c r="H143" s="1300"/>
      <c r="V143" s="2489"/>
      <c r="W143" s="269">
        <v>0</v>
      </c>
      <c r="X143" s="269">
        <v>0</v>
      </c>
      <c r="Y143" s="269">
        <v>0</v>
      </c>
      <c r="Z143" s="295">
        <v>0</v>
      </c>
      <c r="AA143" s="295">
        <v>0</v>
      </c>
      <c r="AB143" s="295">
        <v>0</v>
      </c>
      <c r="AC143" s="295">
        <v>0</v>
      </c>
      <c r="AD143" s="295">
        <v>0</v>
      </c>
      <c r="AE143" s="295">
        <v>0</v>
      </c>
      <c r="AF143" s="253">
        <f t="shared" si="45"/>
        <v>0</v>
      </c>
      <c r="AG143" s="269"/>
      <c r="AK143" s="339"/>
    </row>
    <row r="144" spans="1:114" hidden="1" outlineLevel="1" x14ac:dyDescent="0.25">
      <c r="A144" s="2147"/>
      <c r="B144" s="558"/>
      <c r="D144" s="2638"/>
      <c r="E144" s="121" t="s">
        <v>1470</v>
      </c>
      <c r="F144" s="503">
        <v>1</v>
      </c>
      <c r="G144" s="1278"/>
      <c r="H144" s="1300"/>
      <c r="V144" s="2489"/>
      <c r="W144" s="269">
        <v>1</v>
      </c>
      <c r="X144" s="269">
        <v>1</v>
      </c>
      <c r="Y144" s="269">
        <v>1</v>
      </c>
      <c r="Z144" s="295">
        <v>1</v>
      </c>
      <c r="AA144" s="295">
        <v>1</v>
      </c>
      <c r="AB144" s="295">
        <v>1</v>
      </c>
      <c r="AC144" s="295">
        <v>1</v>
      </c>
      <c r="AD144" s="295">
        <v>1</v>
      </c>
      <c r="AE144" s="295">
        <v>1</v>
      </c>
      <c r="AF144" s="253">
        <f t="shared" si="45"/>
        <v>1</v>
      </c>
      <c r="AG144" s="269"/>
      <c r="AK144" s="339"/>
    </row>
    <row r="145" spans="1:37" hidden="1" outlineLevel="1" x14ac:dyDescent="0.25">
      <c r="A145" s="2147"/>
      <c r="B145" s="558"/>
      <c r="D145" s="2638"/>
      <c r="E145" s="121" t="s">
        <v>1472</v>
      </c>
      <c r="F145" s="503">
        <v>1</v>
      </c>
      <c r="G145" s="1278"/>
      <c r="H145" s="1300"/>
      <c r="V145" s="2489"/>
      <c r="W145" s="269">
        <v>1</v>
      </c>
      <c r="X145" s="269">
        <v>1</v>
      </c>
      <c r="Y145" s="269">
        <v>1</v>
      </c>
      <c r="Z145" s="295">
        <v>1</v>
      </c>
      <c r="AA145" s="295">
        <v>1</v>
      </c>
      <c r="AB145" s="295">
        <v>1</v>
      </c>
      <c r="AC145" s="295">
        <v>1</v>
      </c>
      <c r="AD145" s="295">
        <v>1</v>
      </c>
      <c r="AE145" s="295">
        <v>1</v>
      </c>
      <c r="AF145" s="253">
        <f t="shared" si="45"/>
        <v>1</v>
      </c>
      <c r="AG145" s="269"/>
      <c r="AK145" s="339"/>
    </row>
    <row r="146" spans="1:37" hidden="1" outlineLevel="1" x14ac:dyDescent="0.25">
      <c r="A146" s="2147"/>
      <c r="B146" s="558"/>
      <c r="D146" s="2638"/>
      <c r="E146" s="121" t="s">
        <v>1474</v>
      </c>
      <c r="F146" s="503">
        <v>0</v>
      </c>
      <c r="G146" s="1278"/>
      <c r="H146" s="1300"/>
      <c r="V146" s="2489"/>
      <c r="W146" s="269">
        <v>0</v>
      </c>
      <c r="X146" s="269">
        <v>0</v>
      </c>
      <c r="Y146" s="269">
        <v>0</v>
      </c>
      <c r="Z146" s="295">
        <v>0</v>
      </c>
      <c r="AA146" s="295">
        <v>0</v>
      </c>
      <c r="AB146" s="295">
        <v>0</v>
      </c>
      <c r="AC146" s="295">
        <v>0</v>
      </c>
      <c r="AD146" s="295">
        <v>0</v>
      </c>
      <c r="AE146" s="295">
        <v>0</v>
      </c>
      <c r="AF146" s="253">
        <f t="shared" si="45"/>
        <v>0</v>
      </c>
      <c r="AG146" s="269"/>
      <c r="AK146" s="339"/>
    </row>
    <row r="147" spans="1:37" hidden="1" outlineLevel="1" x14ac:dyDescent="0.25">
      <c r="A147" s="2147"/>
      <c r="B147" s="558"/>
      <c r="D147" s="2638"/>
      <c r="E147" s="121" t="s">
        <v>1476</v>
      </c>
      <c r="F147" s="503">
        <v>1</v>
      </c>
      <c r="G147" s="1278"/>
      <c r="H147" s="1300"/>
      <c r="V147" s="2489"/>
      <c r="W147" s="269">
        <v>1</v>
      </c>
      <c r="X147" s="269">
        <v>1</v>
      </c>
      <c r="Y147" s="269">
        <v>1</v>
      </c>
      <c r="Z147" s="295">
        <v>1</v>
      </c>
      <c r="AA147" s="295">
        <v>1</v>
      </c>
      <c r="AB147" s="295">
        <v>1</v>
      </c>
      <c r="AC147" s="295">
        <v>1</v>
      </c>
      <c r="AD147" s="295">
        <v>1</v>
      </c>
      <c r="AE147" s="295">
        <v>1</v>
      </c>
      <c r="AF147" s="253">
        <f t="shared" si="45"/>
        <v>1</v>
      </c>
      <c r="AG147" s="269"/>
      <c r="AK147" s="339"/>
    </row>
    <row r="148" spans="1:37" hidden="1" outlineLevel="1" x14ac:dyDescent="0.25">
      <c r="A148" s="2147"/>
      <c r="B148" s="558"/>
      <c r="D148" s="2638"/>
      <c r="E148" s="121" t="s">
        <v>1478</v>
      </c>
      <c r="F148" s="503">
        <v>1</v>
      </c>
      <c r="G148" s="1278"/>
      <c r="H148" s="1300"/>
      <c r="V148" s="2489"/>
      <c r="W148" s="269">
        <v>1</v>
      </c>
      <c r="X148" s="269">
        <v>1</v>
      </c>
      <c r="Y148" s="269">
        <v>1</v>
      </c>
      <c r="Z148" s="295">
        <v>1</v>
      </c>
      <c r="AA148" s="295">
        <v>1</v>
      </c>
      <c r="AB148" s="295">
        <v>1</v>
      </c>
      <c r="AC148" s="295">
        <v>1</v>
      </c>
      <c r="AD148" s="295">
        <v>1</v>
      </c>
      <c r="AE148" s="295">
        <v>1</v>
      </c>
      <c r="AF148" s="253">
        <f t="shared" si="45"/>
        <v>1</v>
      </c>
      <c r="AG148" s="269"/>
      <c r="AK148" s="339"/>
    </row>
    <row r="149" spans="1:37" hidden="1" outlineLevel="1" x14ac:dyDescent="0.25">
      <c r="A149" s="2147"/>
      <c r="B149" s="558"/>
      <c r="D149" s="2638"/>
      <c r="E149" s="121" t="s">
        <v>1480</v>
      </c>
      <c r="F149" s="503">
        <v>0</v>
      </c>
      <c r="G149" s="1278"/>
      <c r="H149" s="1300"/>
      <c r="V149" s="2489"/>
      <c r="W149" s="269">
        <v>0</v>
      </c>
      <c r="X149" s="269">
        <v>0</v>
      </c>
      <c r="Y149" s="269">
        <v>0</v>
      </c>
      <c r="Z149" s="295">
        <v>0</v>
      </c>
      <c r="AA149" s="295">
        <v>0</v>
      </c>
      <c r="AB149" s="295">
        <v>0</v>
      </c>
      <c r="AC149" s="295">
        <v>0</v>
      </c>
      <c r="AD149" s="295">
        <v>0</v>
      </c>
      <c r="AE149" s="295">
        <v>0</v>
      </c>
      <c r="AF149" s="253">
        <f t="shared" si="45"/>
        <v>0</v>
      </c>
      <c r="AG149" s="269"/>
      <c r="AK149" s="339"/>
    </row>
    <row r="150" spans="1:37" hidden="1" outlineLevel="1" x14ac:dyDescent="0.25">
      <c r="A150" s="2147"/>
      <c r="B150" s="558"/>
      <c r="D150" s="2638"/>
      <c r="E150" s="121" t="s">
        <v>1482</v>
      </c>
      <c r="F150" s="503">
        <v>1</v>
      </c>
      <c r="G150" s="1278"/>
      <c r="H150" s="1300"/>
      <c r="V150" s="2489"/>
      <c r="W150" s="269">
        <v>1</v>
      </c>
      <c r="X150" s="269">
        <v>1</v>
      </c>
      <c r="Y150" s="269">
        <v>1</v>
      </c>
      <c r="Z150" s="295">
        <v>1</v>
      </c>
      <c r="AA150" s="295">
        <v>1</v>
      </c>
      <c r="AB150" s="295">
        <v>1</v>
      </c>
      <c r="AC150" s="295">
        <v>1</v>
      </c>
      <c r="AD150" s="295">
        <v>1</v>
      </c>
      <c r="AE150" s="295">
        <v>1</v>
      </c>
      <c r="AF150" s="253">
        <f t="shared" si="45"/>
        <v>1</v>
      </c>
      <c r="AG150" s="269"/>
      <c r="AK150" s="339"/>
    </row>
    <row r="151" spans="1:37" hidden="1" outlineLevel="1" x14ac:dyDescent="0.25">
      <c r="A151" s="2147"/>
      <c r="B151" s="549"/>
      <c r="D151" s="2638"/>
      <c r="E151" s="121" t="s">
        <v>1484</v>
      </c>
      <c r="F151" s="503">
        <v>1</v>
      </c>
      <c r="G151" s="1278"/>
      <c r="H151" s="1300"/>
      <c r="V151" s="2489"/>
      <c r="W151" s="269">
        <v>1</v>
      </c>
      <c r="X151" s="269">
        <v>1</v>
      </c>
      <c r="Y151" s="269">
        <v>1</v>
      </c>
      <c r="Z151" s="295">
        <v>1</v>
      </c>
      <c r="AA151" s="295">
        <v>1</v>
      </c>
      <c r="AB151" s="295">
        <v>1</v>
      </c>
      <c r="AC151" s="295">
        <v>1</v>
      </c>
      <c r="AD151" s="295">
        <v>1</v>
      </c>
      <c r="AE151" s="295">
        <v>1</v>
      </c>
      <c r="AF151" s="253">
        <f t="shared" si="45"/>
        <v>1</v>
      </c>
      <c r="AG151" s="269"/>
      <c r="AK151" s="339"/>
    </row>
    <row r="152" spans="1:37" hidden="1" outlineLevel="1" x14ac:dyDescent="0.25">
      <c r="A152" s="2147"/>
      <c r="B152" s="549"/>
      <c r="D152" s="2638"/>
      <c r="E152" s="121" t="s">
        <v>1486</v>
      </c>
      <c r="F152" s="503">
        <v>0</v>
      </c>
      <c r="G152" s="1278"/>
      <c r="H152" s="1300"/>
      <c r="V152" s="2489"/>
      <c r="W152" s="269">
        <v>0</v>
      </c>
      <c r="X152" s="269">
        <v>0</v>
      </c>
      <c r="Y152" s="269">
        <v>0</v>
      </c>
      <c r="Z152" s="295">
        <v>0</v>
      </c>
      <c r="AA152" s="295">
        <v>0</v>
      </c>
      <c r="AB152" s="295">
        <v>0</v>
      </c>
      <c r="AC152" s="295">
        <v>0</v>
      </c>
      <c r="AD152" s="295">
        <v>0</v>
      </c>
      <c r="AE152" s="295">
        <v>0</v>
      </c>
      <c r="AF152" s="253">
        <f t="shared" si="45"/>
        <v>0</v>
      </c>
      <c r="AG152" s="269"/>
      <c r="AK152" s="339"/>
    </row>
    <row r="153" spans="1:37" hidden="1" outlineLevel="1" x14ac:dyDescent="0.25">
      <c r="A153" s="2147"/>
      <c r="B153" s="549"/>
      <c r="D153" s="2638"/>
      <c r="E153" s="121" t="s">
        <v>1488</v>
      </c>
      <c r="F153" s="503">
        <v>1</v>
      </c>
      <c r="G153" s="1278"/>
      <c r="H153" s="1300"/>
      <c r="V153" s="2489"/>
      <c r="W153" s="269">
        <v>1</v>
      </c>
      <c r="X153" s="269">
        <v>1</v>
      </c>
      <c r="Y153" s="269">
        <v>1</v>
      </c>
      <c r="Z153" s="295">
        <v>1</v>
      </c>
      <c r="AA153" s="295">
        <v>1</v>
      </c>
      <c r="AB153" s="295">
        <v>1</v>
      </c>
      <c r="AC153" s="295">
        <v>1</v>
      </c>
      <c r="AD153" s="295">
        <v>1</v>
      </c>
      <c r="AE153" s="295">
        <v>1</v>
      </c>
      <c r="AF153" s="253">
        <f t="shared" si="45"/>
        <v>1</v>
      </c>
      <c r="AG153" s="269"/>
      <c r="AK153" s="339"/>
    </row>
    <row r="154" spans="1:37" hidden="1" outlineLevel="1" x14ac:dyDescent="0.25">
      <c r="A154" s="2147"/>
      <c r="B154" s="558"/>
      <c r="D154" s="2638"/>
      <c r="E154" s="121" t="s">
        <v>1490</v>
      </c>
      <c r="F154" s="503">
        <v>1</v>
      </c>
      <c r="G154" s="1278"/>
      <c r="H154" s="1300"/>
      <c r="V154" s="2489"/>
      <c r="W154" s="269">
        <v>1</v>
      </c>
      <c r="X154" s="269">
        <v>1</v>
      </c>
      <c r="Y154" s="269">
        <v>1</v>
      </c>
      <c r="Z154" s="295">
        <v>1</v>
      </c>
      <c r="AA154" s="295">
        <v>1</v>
      </c>
      <c r="AB154" s="295">
        <v>1</v>
      </c>
      <c r="AC154" s="295">
        <v>1</v>
      </c>
      <c r="AD154" s="295">
        <v>1</v>
      </c>
      <c r="AE154" s="295">
        <v>1</v>
      </c>
      <c r="AF154" s="253">
        <f t="shared" si="45"/>
        <v>1</v>
      </c>
      <c r="AG154" s="269"/>
      <c r="AK154" s="339"/>
    </row>
    <row r="155" spans="1:37" hidden="1" outlineLevel="1" x14ac:dyDescent="0.25">
      <c r="A155" s="2147"/>
      <c r="B155" s="558"/>
      <c r="D155" s="2638"/>
      <c r="E155" s="121" t="s">
        <v>1492</v>
      </c>
      <c r="F155" s="503">
        <v>0</v>
      </c>
      <c r="G155" s="1278"/>
      <c r="H155" s="1300"/>
      <c r="V155" s="2489"/>
      <c r="W155" s="269">
        <v>0</v>
      </c>
      <c r="X155" s="269">
        <v>0</v>
      </c>
      <c r="Y155" s="269">
        <v>0</v>
      </c>
      <c r="Z155" s="295">
        <v>0</v>
      </c>
      <c r="AA155" s="295">
        <v>0</v>
      </c>
      <c r="AB155" s="295">
        <v>0</v>
      </c>
      <c r="AC155" s="295">
        <v>0</v>
      </c>
      <c r="AD155" s="295">
        <v>0</v>
      </c>
      <c r="AE155" s="295">
        <v>0</v>
      </c>
      <c r="AF155" s="253">
        <f t="shared" si="45"/>
        <v>0</v>
      </c>
      <c r="AG155" s="269"/>
      <c r="AK155" s="339"/>
    </row>
    <row r="156" spans="1:37" hidden="1" outlineLevel="1" x14ac:dyDescent="0.25">
      <c r="A156" s="2147"/>
      <c r="B156" s="558"/>
      <c r="D156" s="2638"/>
      <c r="E156" s="121" t="s">
        <v>1494</v>
      </c>
      <c r="F156" s="503">
        <v>1</v>
      </c>
      <c r="G156" s="1278"/>
      <c r="H156" s="1300"/>
      <c r="V156" s="2489"/>
      <c r="W156" s="269">
        <v>1</v>
      </c>
      <c r="X156" s="269">
        <v>1</v>
      </c>
      <c r="Y156" s="269">
        <v>1</v>
      </c>
      <c r="Z156" s="295">
        <v>1</v>
      </c>
      <c r="AA156" s="295">
        <v>1</v>
      </c>
      <c r="AB156" s="295">
        <v>1</v>
      </c>
      <c r="AC156" s="295">
        <v>1</v>
      </c>
      <c r="AD156" s="295">
        <v>1</v>
      </c>
      <c r="AE156" s="295">
        <v>1</v>
      </c>
      <c r="AF156" s="253">
        <f t="shared" si="45"/>
        <v>1</v>
      </c>
      <c r="AG156" s="269"/>
      <c r="AK156" s="339"/>
    </row>
    <row r="157" spans="1:37" hidden="1" outlineLevel="1" x14ac:dyDescent="0.25">
      <c r="A157" s="2147"/>
      <c r="B157" s="558"/>
      <c r="D157" s="2638"/>
      <c r="E157" s="121" t="s">
        <v>1496</v>
      </c>
      <c r="F157" s="503">
        <v>1</v>
      </c>
      <c r="G157" s="1278"/>
      <c r="H157" s="1300"/>
      <c r="V157" s="2489"/>
      <c r="W157" s="269">
        <v>1</v>
      </c>
      <c r="X157" s="269">
        <v>1</v>
      </c>
      <c r="Y157" s="269">
        <v>1</v>
      </c>
      <c r="Z157" s="295">
        <v>1</v>
      </c>
      <c r="AA157" s="295">
        <v>1</v>
      </c>
      <c r="AB157" s="295">
        <v>1</v>
      </c>
      <c r="AC157" s="295">
        <v>1</v>
      </c>
      <c r="AD157" s="295">
        <v>1</v>
      </c>
      <c r="AE157" s="295">
        <v>1</v>
      </c>
      <c r="AF157" s="253">
        <f t="shared" si="45"/>
        <v>1</v>
      </c>
      <c r="AG157" s="269"/>
      <c r="AK157" s="339"/>
    </row>
    <row r="158" spans="1:37" hidden="1" outlineLevel="1" x14ac:dyDescent="0.25">
      <c r="A158" s="2147"/>
      <c r="B158" s="558"/>
      <c r="D158" s="2638"/>
      <c r="E158" s="121" t="s">
        <v>1498</v>
      </c>
      <c r="F158" s="503">
        <v>0</v>
      </c>
      <c r="G158" s="1278"/>
      <c r="H158" s="1300"/>
      <c r="V158" s="2489"/>
      <c r="W158" s="269">
        <v>0</v>
      </c>
      <c r="X158" s="269">
        <v>0</v>
      </c>
      <c r="Y158" s="269">
        <v>0</v>
      </c>
      <c r="Z158" s="295">
        <v>0</v>
      </c>
      <c r="AA158" s="295">
        <v>0</v>
      </c>
      <c r="AB158" s="295">
        <v>0</v>
      </c>
      <c r="AC158" s="295">
        <v>0</v>
      </c>
      <c r="AD158" s="295">
        <v>0</v>
      </c>
      <c r="AE158" s="295">
        <v>0</v>
      </c>
      <c r="AF158" s="253">
        <f t="shared" si="45"/>
        <v>0</v>
      </c>
      <c r="AG158" s="269"/>
      <c r="AK158" s="339"/>
    </row>
    <row r="159" spans="1:37" hidden="1" outlineLevel="1" x14ac:dyDescent="0.25">
      <c r="A159" s="2147"/>
      <c r="B159" s="558"/>
      <c r="D159" s="2638"/>
      <c r="E159" s="121" t="s">
        <v>1500</v>
      </c>
      <c r="F159" s="503">
        <v>1</v>
      </c>
      <c r="G159" s="1278"/>
      <c r="H159" s="1300"/>
      <c r="V159" s="2489"/>
      <c r="W159" s="269">
        <v>1</v>
      </c>
      <c r="X159" s="269">
        <v>1</v>
      </c>
      <c r="Y159" s="269">
        <v>1</v>
      </c>
      <c r="Z159" s="295">
        <v>1</v>
      </c>
      <c r="AA159" s="295">
        <v>1</v>
      </c>
      <c r="AB159" s="295">
        <v>1</v>
      </c>
      <c r="AC159" s="295">
        <v>1</v>
      </c>
      <c r="AD159" s="295">
        <v>1</v>
      </c>
      <c r="AE159" s="295">
        <v>1</v>
      </c>
      <c r="AF159" s="253">
        <f t="shared" si="45"/>
        <v>1</v>
      </c>
      <c r="AG159" s="269"/>
      <c r="AK159" s="339"/>
    </row>
    <row r="160" spans="1:37" hidden="1" outlineLevel="1" x14ac:dyDescent="0.25">
      <c r="A160" s="2147"/>
      <c r="B160" s="558"/>
      <c r="D160" s="2638"/>
      <c r="E160" s="121" t="s">
        <v>1502</v>
      </c>
      <c r="F160" s="503">
        <v>1</v>
      </c>
      <c r="G160" s="1278"/>
      <c r="H160" s="1300"/>
      <c r="V160" s="2489"/>
      <c r="W160" s="269">
        <v>1</v>
      </c>
      <c r="X160" s="269">
        <v>1</v>
      </c>
      <c r="Y160" s="269">
        <v>1</v>
      </c>
      <c r="Z160" s="295">
        <v>1</v>
      </c>
      <c r="AA160" s="295">
        <v>1</v>
      </c>
      <c r="AB160" s="295">
        <v>1</v>
      </c>
      <c r="AC160" s="295">
        <v>1</v>
      </c>
      <c r="AD160" s="295">
        <v>1</v>
      </c>
      <c r="AE160" s="295">
        <v>1</v>
      </c>
      <c r="AF160" s="253">
        <f t="shared" si="45"/>
        <v>1</v>
      </c>
      <c r="AG160" s="269"/>
      <c r="AK160" s="339"/>
    </row>
    <row r="161" spans="1:37" hidden="1" outlineLevel="1" x14ac:dyDescent="0.25">
      <c r="A161" s="2147"/>
      <c r="B161" s="558"/>
      <c r="D161" s="2638"/>
      <c r="E161" s="121" t="s">
        <v>1504</v>
      </c>
      <c r="F161" s="503">
        <v>0</v>
      </c>
      <c r="G161" s="1278"/>
      <c r="H161" s="1300"/>
      <c r="V161" s="2489"/>
      <c r="W161" s="269">
        <v>0</v>
      </c>
      <c r="X161" s="269">
        <v>0</v>
      </c>
      <c r="Y161" s="269">
        <v>0</v>
      </c>
      <c r="Z161" s="295">
        <v>0</v>
      </c>
      <c r="AA161" s="295">
        <v>0</v>
      </c>
      <c r="AB161" s="295">
        <v>0</v>
      </c>
      <c r="AC161" s="295">
        <v>0</v>
      </c>
      <c r="AD161" s="295">
        <v>0</v>
      </c>
      <c r="AE161" s="295">
        <v>0</v>
      </c>
      <c r="AF161" s="253">
        <f t="shared" si="45"/>
        <v>0</v>
      </c>
      <c r="AG161" s="269"/>
      <c r="AK161" s="339"/>
    </row>
    <row r="162" spans="1:37" hidden="1" outlineLevel="1" x14ac:dyDescent="0.25">
      <c r="A162" s="2147"/>
      <c r="B162" s="558"/>
      <c r="D162" s="2638"/>
      <c r="E162" s="121" t="s">
        <v>1506</v>
      </c>
      <c r="F162" s="503">
        <v>1</v>
      </c>
      <c r="G162" s="1278"/>
      <c r="H162" s="1300"/>
      <c r="V162" s="2489"/>
      <c r="W162" s="269">
        <v>1</v>
      </c>
      <c r="X162" s="269">
        <v>1</v>
      </c>
      <c r="Y162" s="269">
        <v>1</v>
      </c>
      <c r="Z162" s="295">
        <v>1</v>
      </c>
      <c r="AA162" s="295">
        <v>1</v>
      </c>
      <c r="AB162" s="295">
        <v>1</v>
      </c>
      <c r="AC162" s="295">
        <v>1</v>
      </c>
      <c r="AD162" s="295">
        <v>1</v>
      </c>
      <c r="AE162" s="295">
        <v>1</v>
      </c>
      <c r="AF162" s="253">
        <f t="shared" si="45"/>
        <v>1</v>
      </c>
      <c r="AG162" s="269"/>
      <c r="AK162" s="339"/>
    </row>
    <row r="163" spans="1:37" hidden="1" outlineLevel="1" x14ac:dyDescent="0.25">
      <c r="A163" s="2147"/>
      <c r="B163" s="558"/>
      <c r="D163" s="2638"/>
      <c r="E163" s="121" t="s">
        <v>1508</v>
      </c>
      <c r="F163" s="503">
        <v>1</v>
      </c>
      <c r="G163" s="1278"/>
      <c r="H163" s="1300"/>
      <c r="V163" s="2489"/>
      <c r="W163" s="269">
        <v>1</v>
      </c>
      <c r="X163" s="269">
        <v>1</v>
      </c>
      <c r="Y163" s="269">
        <v>1</v>
      </c>
      <c r="Z163" s="295">
        <v>1</v>
      </c>
      <c r="AA163" s="295">
        <v>1</v>
      </c>
      <c r="AB163" s="295">
        <v>1</v>
      </c>
      <c r="AC163" s="295">
        <v>1</v>
      </c>
      <c r="AD163" s="295">
        <v>1</v>
      </c>
      <c r="AE163" s="295">
        <v>1</v>
      </c>
      <c r="AF163" s="253">
        <f t="shared" si="45"/>
        <v>1</v>
      </c>
      <c r="AG163" s="269"/>
      <c r="AK163" s="339"/>
    </row>
    <row r="164" spans="1:37" hidden="1" outlineLevel="1" x14ac:dyDescent="0.25">
      <c r="A164" s="2147"/>
      <c r="B164" s="558"/>
      <c r="D164" s="2638"/>
      <c r="E164" s="121" t="s">
        <v>1510</v>
      </c>
      <c r="F164" s="503">
        <v>0</v>
      </c>
      <c r="G164" s="1278"/>
      <c r="H164" s="1300"/>
      <c r="V164" s="2489"/>
      <c r="W164" s="269">
        <v>0</v>
      </c>
      <c r="X164" s="269">
        <v>0</v>
      </c>
      <c r="Y164" s="269">
        <v>0</v>
      </c>
      <c r="Z164" s="295">
        <v>0</v>
      </c>
      <c r="AA164" s="295">
        <v>0</v>
      </c>
      <c r="AB164" s="295">
        <v>0</v>
      </c>
      <c r="AC164" s="295">
        <v>0</v>
      </c>
      <c r="AD164" s="295">
        <v>0</v>
      </c>
      <c r="AE164" s="295">
        <v>0</v>
      </c>
      <c r="AF164" s="253">
        <f t="shared" si="45"/>
        <v>0</v>
      </c>
      <c r="AG164" s="269"/>
      <c r="AK164" s="339"/>
    </row>
    <row r="165" spans="1:37" hidden="1" outlineLevel="1" x14ac:dyDescent="0.25">
      <c r="A165" s="2147"/>
      <c r="B165" s="558"/>
      <c r="D165" s="2638"/>
      <c r="E165" s="121" t="s">
        <v>1512</v>
      </c>
      <c r="F165" s="503">
        <v>1</v>
      </c>
      <c r="G165" s="1278"/>
      <c r="H165" s="1300"/>
      <c r="V165" s="2489"/>
      <c r="W165" s="269">
        <v>1</v>
      </c>
      <c r="X165" s="269">
        <v>1</v>
      </c>
      <c r="Y165" s="269">
        <v>1</v>
      </c>
      <c r="Z165" s="295">
        <v>1</v>
      </c>
      <c r="AA165" s="295">
        <v>1</v>
      </c>
      <c r="AB165" s="295">
        <v>1</v>
      </c>
      <c r="AC165" s="295">
        <v>1</v>
      </c>
      <c r="AD165" s="295">
        <v>1</v>
      </c>
      <c r="AE165" s="295">
        <v>1</v>
      </c>
      <c r="AF165" s="253">
        <f t="shared" si="45"/>
        <v>1</v>
      </c>
      <c r="AG165" s="269"/>
      <c r="AK165" s="339"/>
    </row>
    <row r="166" spans="1:37" hidden="1" outlineLevel="1" x14ac:dyDescent="0.25">
      <c r="A166" s="2147"/>
      <c r="B166" s="558"/>
      <c r="D166" s="2638"/>
      <c r="E166" s="121" t="s">
        <v>1514</v>
      </c>
      <c r="F166" s="503">
        <v>1</v>
      </c>
      <c r="G166" s="1278"/>
      <c r="H166" s="1300"/>
      <c r="V166" s="2489"/>
      <c r="W166" s="269">
        <v>1</v>
      </c>
      <c r="X166" s="269">
        <v>1</v>
      </c>
      <c r="Y166" s="269">
        <v>1</v>
      </c>
      <c r="Z166" s="295">
        <v>1</v>
      </c>
      <c r="AA166" s="295">
        <v>1</v>
      </c>
      <c r="AB166" s="295">
        <v>1</v>
      </c>
      <c r="AC166" s="295">
        <v>1</v>
      </c>
      <c r="AD166" s="295">
        <v>1</v>
      </c>
      <c r="AE166" s="295">
        <v>1</v>
      </c>
      <c r="AF166" s="253">
        <f t="shared" si="45"/>
        <v>1</v>
      </c>
      <c r="AG166" s="269"/>
      <c r="AK166" s="339"/>
    </row>
    <row r="167" spans="1:37" hidden="1" outlineLevel="1" x14ac:dyDescent="0.25">
      <c r="A167" s="2147"/>
      <c r="B167" s="558"/>
      <c r="D167" s="2638"/>
      <c r="E167" s="121" t="s">
        <v>1516</v>
      </c>
      <c r="F167" s="503">
        <v>0</v>
      </c>
      <c r="G167" s="1278"/>
      <c r="H167" s="1300"/>
      <c r="V167" s="2636"/>
      <c r="W167" s="269">
        <v>0</v>
      </c>
      <c r="X167" s="269">
        <v>0</v>
      </c>
      <c r="Y167" s="269">
        <v>0</v>
      </c>
      <c r="Z167" s="295">
        <v>0</v>
      </c>
      <c r="AA167" s="295">
        <v>0</v>
      </c>
      <c r="AB167" s="295">
        <v>0</v>
      </c>
      <c r="AC167" s="295">
        <v>0</v>
      </c>
      <c r="AD167" s="295">
        <v>0</v>
      </c>
      <c r="AE167" s="295">
        <v>0</v>
      </c>
      <c r="AF167" s="253">
        <f t="shared" si="45"/>
        <v>0</v>
      </c>
      <c r="AG167" s="269"/>
      <c r="AK167" s="339"/>
    </row>
    <row r="168" spans="1:37" ht="17.25" hidden="1" customHeight="1" outlineLevel="1" x14ac:dyDescent="0.25">
      <c r="A168" s="2147"/>
      <c r="B168" s="549"/>
      <c r="D168" s="2638" t="s">
        <v>1520</v>
      </c>
      <c r="E168" s="121" t="s">
        <v>1458</v>
      </c>
      <c r="F168" s="1463">
        <v>11</v>
      </c>
      <c r="G168" s="1278"/>
      <c r="H168" s="1300" t="s">
        <v>1521</v>
      </c>
      <c r="V168" s="2488" t="str">
        <f>D168</f>
        <v>Rold</v>
      </c>
      <c r="W168" s="261">
        <v>11</v>
      </c>
      <c r="X168" s="261">
        <v>11</v>
      </c>
      <c r="Y168" s="261">
        <v>11</v>
      </c>
      <c r="Z168" s="422">
        <v>11</v>
      </c>
      <c r="AA168" s="422">
        <v>11</v>
      </c>
      <c r="AB168" s="422">
        <v>11</v>
      </c>
      <c r="AC168" s="422">
        <v>11</v>
      </c>
      <c r="AD168" s="422">
        <v>11</v>
      </c>
      <c r="AE168" s="422">
        <v>11</v>
      </c>
      <c r="AF168" s="253">
        <f t="shared" si="45"/>
        <v>11</v>
      </c>
      <c r="AG168" s="261"/>
      <c r="AK168" s="339"/>
    </row>
    <row r="169" spans="1:37" hidden="1" outlineLevel="1" x14ac:dyDescent="0.25">
      <c r="A169" s="2147"/>
      <c r="B169" s="549"/>
      <c r="D169" s="2638"/>
      <c r="E169" s="121" t="s">
        <v>1460</v>
      </c>
      <c r="F169" s="1463">
        <v>11</v>
      </c>
      <c r="G169" s="1278"/>
      <c r="H169" s="1300" t="s">
        <v>1521</v>
      </c>
      <c r="V169" s="2489"/>
      <c r="W169" s="261">
        <v>11</v>
      </c>
      <c r="X169" s="261">
        <v>11</v>
      </c>
      <c r="Y169" s="261">
        <v>11</v>
      </c>
      <c r="Z169" s="422">
        <v>11</v>
      </c>
      <c r="AA169" s="422">
        <v>11</v>
      </c>
      <c r="AB169" s="422">
        <v>11</v>
      </c>
      <c r="AC169" s="422">
        <v>11</v>
      </c>
      <c r="AD169" s="422">
        <v>11</v>
      </c>
      <c r="AE169" s="422">
        <v>11</v>
      </c>
      <c r="AF169" s="253">
        <f t="shared" si="45"/>
        <v>11</v>
      </c>
      <c r="AG169" s="261"/>
      <c r="AK169" s="339"/>
    </row>
    <row r="170" spans="1:37" hidden="1" outlineLevel="1" x14ac:dyDescent="0.25">
      <c r="A170" s="2147"/>
      <c r="B170" s="549"/>
      <c r="D170" s="2638"/>
      <c r="E170" s="121" t="s">
        <v>1462</v>
      </c>
      <c r="F170" s="1463">
        <v>11</v>
      </c>
      <c r="G170" s="1278"/>
      <c r="H170" s="1300" t="s">
        <v>1521</v>
      </c>
      <c r="V170" s="2489"/>
      <c r="W170" s="261">
        <v>11</v>
      </c>
      <c r="X170" s="261">
        <v>11</v>
      </c>
      <c r="Y170" s="261">
        <v>11</v>
      </c>
      <c r="Z170" s="422">
        <v>11</v>
      </c>
      <c r="AA170" s="422">
        <v>11</v>
      </c>
      <c r="AB170" s="422">
        <v>11</v>
      </c>
      <c r="AC170" s="422">
        <v>11</v>
      </c>
      <c r="AD170" s="422">
        <v>11</v>
      </c>
      <c r="AE170" s="422">
        <v>11</v>
      </c>
      <c r="AF170" s="253">
        <f t="shared" si="45"/>
        <v>11</v>
      </c>
      <c r="AG170" s="261"/>
      <c r="AK170" s="339"/>
    </row>
    <row r="171" spans="1:37" hidden="1" outlineLevel="1" x14ac:dyDescent="0.25">
      <c r="A171" s="2147"/>
      <c r="B171" s="549"/>
      <c r="D171" s="2638"/>
      <c r="E171" s="121" t="s">
        <v>1464</v>
      </c>
      <c r="F171" s="1463">
        <v>11</v>
      </c>
      <c r="G171" s="1278"/>
      <c r="H171" s="1300" t="s">
        <v>1521</v>
      </c>
      <c r="V171" s="2489"/>
      <c r="W171" s="261">
        <v>11</v>
      </c>
      <c r="X171" s="261">
        <v>11</v>
      </c>
      <c r="Y171" s="261">
        <v>11</v>
      </c>
      <c r="Z171" s="422">
        <v>11</v>
      </c>
      <c r="AA171" s="422">
        <v>11</v>
      </c>
      <c r="AB171" s="422">
        <v>11</v>
      </c>
      <c r="AC171" s="422">
        <v>11</v>
      </c>
      <c r="AD171" s="422">
        <v>11</v>
      </c>
      <c r="AE171" s="422">
        <v>11</v>
      </c>
      <c r="AF171" s="253">
        <f t="shared" si="45"/>
        <v>11</v>
      </c>
      <c r="AG171" s="261"/>
      <c r="AK171" s="339"/>
    </row>
    <row r="172" spans="1:37" hidden="1" outlineLevel="1" x14ac:dyDescent="0.25">
      <c r="A172" s="2147"/>
      <c r="B172" s="549"/>
      <c r="D172" s="2638"/>
      <c r="E172" s="121" t="s">
        <v>1466</v>
      </c>
      <c r="F172" s="1463">
        <v>11</v>
      </c>
      <c r="G172" s="1278"/>
      <c r="H172" s="1300" t="s">
        <v>1521</v>
      </c>
      <c r="V172" s="2489"/>
      <c r="W172" s="261">
        <v>11</v>
      </c>
      <c r="X172" s="261">
        <v>11</v>
      </c>
      <c r="Y172" s="261">
        <v>11</v>
      </c>
      <c r="Z172" s="422">
        <v>11</v>
      </c>
      <c r="AA172" s="422">
        <v>11</v>
      </c>
      <c r="AB172" s="422">
        <v>11</v>
      </c>
      <c r="AC172" s="422">
        <v>11</v>
      </c>
      <c r="AD172" s="422">
        <v>11</v>
      </c>
      <c r="AE172" s="422">
        <v>11</v>
      </c>
      <c r="AF172" s="253">
        <f t="shared" si="45"/>
        <v>11</v>
      </c>
      <c r="AG172" s="261"/>
      <c r="AK172" s="339"/>
    </row>
    <row r="173" spans="1:37" hidden="1" outlineLevel="1" x14ac:dyDescent="0.25">
      <c r="A173" s="2147"/>
      <c r="B173" s="558"/>
      <c r="D173" s="2638"/>
      <c r="E173" s="121" t="s">
        <v>1468</v>
      </c>
      <c r="F173" s="1463">
        <v>11</v>
      </c>
      <c r="G173" s="1278"/>
      <c r="H173" s="1300" t="s">
        <v>1521</v>
      </c>
      <c r="V173" s="2489"/>
      <c r="W173" s="261">
        <v>11</v>
      </c>
      <c r="X173" s="261">
        <v>11</v>
      </c>
      <c r="Y173" s="261">
        <v>11</v>
      </c>
      <c r="Z173" s="422">
        <v>11</v>
      </c>
      <c r="AA173" s="422">
        <v>11</v>
      </c>
      <c r="AB173" s="422">
        <v>11</v>
      </c>
      <c r="AC173" s="422">
        <v>11</v>
      </c>
      <c r="AD173" s="422">
        <v>11</v>
      </c>
      <c r="AE173" s="422">
        <v>11</v>
      </c>
      <c r="AF173" s="253">
        <f t="shared" si="45"/>
        <v>11</v>
      </c>
      <c r="AG173" s="261"/>
      <c r="AK173" s="339"/>
    </row>
    <row r="174" spans="1:37" hidden="1" outlineLevel="1" x14ac:dyDescent="0.25">
      <c r="A174" s="2147"/>
      <c r="B174" s="558"/>
      <c r="D174" s="2638"/>
      <c r="E174" s="121" t="s">
        <v>1470</v>
      </c>
      <c r="F174" s="1463">
        <v>5</v>
      </c>
      <c r="G174" s="1278"/>
      <c r="H174" s="1300" t="s">
        <v>1521</v>
      </c>
      <c r="V174" s="2489"/>
      <c r="W174" s="261">
        <v>5</v>
      </c>
      <c r="X174" s="261">
        <v>5</v>
      </c>
      <c r="Y174" s="261">
        <v>5</v>
      </c>
      <c r="Z174" s="422">
        <v>5</v>
      </c>
      <c r="AA174" s="422">
        <v>5</v>
      </c>
      <c r="AB174" s="422">
        <v>5</v>
      </c>
      <c r="AC174" s="422">
        <v>5</v>
      </c>
      <c r="AD174" s="422">
        <v>5</v>
      </c>
      <c r="AE174" s="422">
        <v>5</v>
      </c>
      <c r="AF174" s="253">
        <f t="shared" si="45"/>
        <v>5</v>
      </c>
      <c r="AG174" s="261"/>
      <c r="AK174" s="339"/>
    </row>
    <row r="175" spans="1:37" hidden="1" outlineLevel="1" x14ac:dyDescent="0.25">
      <c r="A175" s="2147"/>
      <c r="B175" s="558"/>
      <c r="D175" s="2638"/>
      <c r="E175" s="121" t="s">
        <v>1472</v>
      </c>
      <c r="F175" s="1463">
        <v>5</v>
      </c>
      <c r="G175" s="1278"/>
      <c r="H175" s="1300" t="s">
        <v>1521</v>
      </c>
      <c r="V175" s="2489"/>
      <c r="W175" s="261">
        <v>5</v>
      </c>
      <c r="X175" s="261">
        <v>5</v>
      </c>
      <c r="Y175" s="261">
        <v>5</v>
      </c>
      <c r="Z175" s="422">
        <v>5</v>
      </c>
      <c r="AA175" s="422">
        <v>5</v>
      </c>
      <c r="AB175" s="422">
        <v>5</v>
      </c>
      <c r="AC175" s="422">
        <v>5</v>
      </c>
      <c r="AD175" s="422">
        <v>5</v>
      </c>
      <c r="AE175" s="422">
        <v>5</v>
      </c>
      <c r="AF175" s="253">
        <f t="shared" si="45"/>
        <v>5</v>
      </c>
      <c r="AG175" s="261"/>
      <c r="AK175" s="339"/>
    </row>
    <row r="176" spans="1:37" hidden="1" outlineLevel="1" x14ac:dyDescent="0.25">
      <c r="A176" s="2147"/>
      <c r="B176" s="558"/>
      <c r="D176" s="2638"/>
      <c r="E176" s="121" t="s">
        <v>1474</v>
      </c>
      <c r="F176" s="1463">
        <v>5</v>
      </c>
      <c r="G176" s="1278"/>
      <c r="H176" s="1300" t="s">
        <v>1521</v>
      </c>
      <c r="V176" s="2489"/>
      <c r="W176" s="261">
        <v>5</v>
      </c>
      <c r="X176" s="261">
        <v>5</v>
      </c>
      <c r="Y176" s="261">
        <v>5</v>
      </c>
      <c r="Z176" s="422">
        <v>5</v>
      </c>
      <c r="AA176" s="422">
        <v>5</v>
      </c>
      <c r="AB176" s="422">
        <v>5</v>
      </c>
      <c r="AC176" s="422">
        <v>5</v>
      </c>
      <c r="AD176" s="422">
        <v>5</v>
      </c>
      <c r="AE176" s="422">
        <v>5</v>
      </c>
      <c r="AF176" s="253">
        <f t="shared" si="45"/>
        <v>5</v>
      </c>
      <c r="AG176" s="261"/>
      <c r="AK176" s="339"/>
    </row>
    <row r="177" spans="1:37" hidden="1" outlineLevel="1" x14ac:dyDescent="0.25">
      <c r="A177" s="2147"/>
      <c r="B177" s="558"/>
      <c r="D177" s="2638"/>
      <c r="E177" s="121" t="s">
        <v>1476</v>
      </c>
      <c r="F177" s="1463">
        <v>5</v>
      </c>
      <c r="G177" s="1278"/>
      <c r="H177" s="1300" t="s">
        <v>1521</v>
      </c>
      <c r="V177" s="2489"/>
      <c r="W177" s="261">
        <v>5</v>
      </c>
      <c r="X177" s="261">
        <v>5</v>
      </c>
      <c r="Y177" s="261">
        <v>5</v>
      </c>
      <c r="Z177" s="422">
        <v>5</v>
      </c>
      <c r="AA177" s="422">
        <v>5</v>
      </c>
      <c r="AB177" s="422">
        <v>5</v>
      </c>
      <c r="AC177" s="422">
        <v>5</v>
      </c>
      <c r="AD177" s="422">
        <v>5</v>
      </c>
      <c r="AE177" s="422">
        <v>5</v>
      </c>
      <c r="AF177" s="253">
        <f t="shared" si="45"/>
        <v>5</v>
      </c>
      <c r="AG177" s="261"/>
      <c r="AK177" s="339"/>
    </row>
    <row r="178" spans="1:37" hidden="1" outlineLevel="1" x14ac:dyDescent="0.25">
      <c r="A178" s="2147"/>
      <c r="B178" s="558"/>
      <c r="D178" s="2638"/>
      <c r="E178" s="121" t="s">
        <v>1478</v>
      </c>
      <c r="F178" s="1463">
        <v>5</v>
      </c>
      <c r="G178" s="1278"/>
      <c r="H178" s="1300" t="s">
        <v>1521</v>
      </c>
      <c r="V178" s="2489"/>
      <c r="W178" s="261">
        <v>5</v>
      </c>
      <c r="X178" s="261">
        <v>5</v>
      </c>
      <c r="Y178" s="261">
        <v>5</v>
      </c>
      <c r="Z178" s="422">
        <v>5</v>
      </c>
      <c r="AA178" s="422">
        <v>5</v>
      </c>
      <c r="AB178" s="422">
        <v>5</v>
      </c>
      <c r="AC178" s="422">
        <v>5</v>
      </c>
      <c r="AD178" s="422">
        <v>5</v>
      </c>
      <c r="AE178" s="422">
        <v>5</v>
      </c>
      <c r="AF178" s="253">
        <f t="shared" si="45"/>
        <v>5</v>
      </c>
      <c r="AG178" s="261"/>
      <c r="AK178" s="339"/>
    </row>
    <row r="179" spans="1:37" hidden="1" outlineLevel="1" x14ac:dyDescent="0.25">
      <c r="A179" s="2147"/>
      <c r="B179" s="558"/>
      <c r="D179" s="2638"/>
      <c r="E179" s="121" t="s">
        <v>1480</v>
      </c>
      <c r="F179" s="1463">
        <v>5</v>
      </c>
      <c r="G179" s="1278"/>
      <c r="H179" s="1300" t="s">
        <v>1521</v>
      </c>
      <c r="V179" s="2489"/>
      <c r="W179" s="261">
        <v>5</v>
      </c>
      <c r="X179" s="261">
        <v>5</v>
      </c>
      <c r="Y179" s="261">
        <v>5</v>
      </c>
      <c r="Z179" s="422">
        <v>5</v>
      </c>
      <c r="AA179" s="422">
        <v>5</v>
      </c>
      <c r="AB179" s="422">
        <v>5</v>
      </c>
      <c r="AC179" s="422">
        <v>5</v>
      </c>
      <c r="AD179" s="422">
        <v>5</v>
      </c>
      <c r="AE179" s="422">
        <v>5</v>
      </c>
      <c r="AF179" s="253">
        <f t="shared" si="45"/>
        <v>5</v>
      </c>
      <c r="AG179" s="261"/>
      <c r="AK179" s="339"/>
    </row>
    <row r="180" spans="1:37" hidden="1" outlineLevel="1" x14ac:dyDescent="0.25">
      <c r="A180" s="2147"/>
      <c r="B180" s="558"/>
      <c r="D180" s="2638"/>
      <c r="E180" s="121" t="s">
        <v>1482</v>
      </c>
      <c r="F180" s="1463">
        <v>5</v>
      </c>
      <c r="G180" s="1278"/>
      <c r="H180" s="1300" t="s">
        <v>1521</v>
      </c>
      <c r="V180" s="2489"/>
      <c r="W180" s="261">
        <v>5</v>
      </c>
      <c r="X180" s="261">
        <v>5</v>
      </c>
      <c r="Y180" s="261">
        <v>5</v>
      </c>
      <c r="Z180" s="422">
        <v>5</v>
      </c>
      <c r="AA180" s="422">
        <v>5</v>
      </c>
      <c r="AB180" s="422">
        <v>5</v>
      </c>
      <c r="AC180" s="422">
        <v>5</v>
      </c>
      <c r="AD180" s="422">
        <v>5</v>
      </c>
      <c r="AE180" s="422">
        <v>5</v>
      </c>
      <c r="AF180" s="253">
        <f t="shared" si="45"/>
        <v>5</v>
      </c>
      <c r="AG180" s="261"/>
      <c r="AK180" s="339"/>
    </row>
    <row r="181" spans="1:37" hidden="1" outlineLevel="1" x14ac:dyDescent="0.25">
      <c r="A181" s="2147"/>
      <c r="B181" s="549"/>
      <c r="D181" s="2638"/>
      <c r="E181" s="121" t="s">
        <v>1484</v>
      </c>
      <c r="F181" s="1463">
        <v>5</v>
      </c>
      <c r="G181" s="1278"/>
      <c r="H181" s="1300" t="s">
        <v>1521</v>
      </c>
      <c r="V181" s="2489"/>
      <c r="W181" s="261">
        <v>5</v>
      </c>
      <c r="X181" s="261">
        <v>5</v>
      </c>
      <c r="Y181" s="261">
        <v>5</v>
      </c>
      <c r="Z181" s="422">
        <v>5</v>
      </c>
      <c r="AA181" s="422">
        <v>5</v>
      </c>
      <c r="AB181" s="422">
        <v>5</v>
      </c>
      <c r="AC181" s="422">
        <v>5</v>
      </c>
      <c r="AD181" s="422">
        <v>5</v>
      </c>
      <c r="AE181" s="422">
        <v>5</v>
      </c>
      <c r="AF181" s="253">
        <f t="shared" si="45"/>
        <v>5</v>
      </c>
      <c r="AG181" s="261"/>
      <c r="AK181" s="339"/>
    </row>
    <row r="182" spans="1:37" hidden="1" outlineLevel="1" x14ac:dyDescent="0.25">
      <c r="A182" s="2147"/>
      <c r="B182" s="549"/>
      <c r="D182" s="2638"/>
      <c r="E182" s="121" t="s">
        <v>1486</v>
      </c>
      <c r="F182" s="1463">
        <v>5</v>
      </c>
      <c r="G182" s="1278"/>
      <c r="H182" s="1300" t="s">
        <v>1521</v>
      </c>
      <c r="V182" s="2489"/>
      <c r="W182" s="261">
        <v>5</v>
      </c>
      <c r="X182" s="261">
        <v>5</v>
      </c>
      <c r="Y182" s="261">
        <v>5</v>
      </c>
      <c r="Z182" s="422">
        <v>5</v>
      </c>
      <c r="AA182" s="422">
        <v>5</v>
      </c>
      <c r="AB182" s="422">
        <v>5</v>
      </c>
      <c r="AC182" s="422">
        <v>5</v>
      </c>
      <c r="AD182" s="422">
        <v>5</v>
      </c>
      <c r="AE182" s="422">
        <v>5</v>
      </c>
      <c r="AF182" s="253">
        <f t="shared" si="45"/>
        <v>5</v>
      </c>
      <c r="AG182" s="261"/>
      <c r="AK182" s="339"/>
    </row>
    <row r="183" spans="1:37" hidden="1" outlineLevel="1" x14ac:dyDescent="0.25">
      <c r="A183" s="2147"/>
      <c r="B183" s="549"/>
      <c r="D183" s="2638"/>
      <c r="E183" s="121" t="s">
        <v>1488</v>
      </c>
      <c r="F183" s="1463">
        <v>5</v>
      </c>
      <c r="G183" s="1278"/>
      <c r="H183" s="1300" t="s">
        <v>1521</v>
      </c>
      <c r="V183" s="2489"/>
      <c r="W183" s="261">
        <v>5</v>
      </c>
      <c r="X183" s="261">
        <v>5</v>
      </c>
      <c r="Y183" s="261">
        <v>5</v>
      </c>
      <c r="Z183" s="422">
        <v>5</v>
      </c>
      <c r="AA183" s="422">
        <v>5</v>
      </c>
      <c r="AB183" s="422">
        <v>5</v>
      </c>
      <c r="AC183" s="422">
        <v>5</v>
      </c>
      <c r="AD183" s="422">
        <v>5</v>
      </c>
      <c r="AE183" s="422">
        <v>5</v>
      </c>
      <c r="AF183" s="253">
        <f t="shared" si="45"/>
        <v>5</v>
      </c>
      <c r="AG183" s="261"/>
      <c r="AK183" s="339"/>
    </row>
    <row r="184" spans="1:37" hidden="1" outlineLevel="1" x14ac:dyDescent="0.25">
      <c r="A184" s="2147"/>
      <c r="B184" s="558"/>
      <c r="D184" s="2638"/>
      <c r="E184" s="121" t="s">
        <v>1490</v>
      </c>
      <c r="F184" s="1463">
        <v>5</v>
      </c>
      <c r="G184" s="1278"/>
      <c r="H184" s="1300" t="s">
        <v>1521</v>
      </c>
      <c r="V184" s="2489"/>
      <c r="W184" s="261">
        <v>5</v>
      </c>
      <c r="X184" s="261">
        <v>5</v>
      </c>
      <c r="Y184" s="261">
        <v>5</v>
      </c>
      <c r="Z184" s="422">
        <v>5</v>
      </c>
      <c r="AA184" s="422">
        <v>5</v>
      </c>
      <c r="AB184" s="422">
        <v>5</v>
      </c>
      <c r="AC184" s="422">
        <v>5</v>
      </c>
      <c r="AD184" s="422">
        <v>5</v>
      </c>
      <c r="AE184" s="422">
        <v>5</v>
      </c>
      <c r="AF184" s="253">
        <f t="shared" si="45"/>
        <v>5</v>
      </c>
      <c r="AG184" s="261"/>
      <c r="AK184" s="339"/>
    </row>
    <row r="185" spans="1:37" hidden="1" outlineLevel="1" x14ac:dyDescent="0.25">
      <c r="A185" s="2147"/>
      <c r="B185" s="558"/>
      <c r="D185" s="2638"/>
      <c r="E185" s="121" t="s">
        <v>1492</v>
      </c>
      <c r="F185" s="1463">
        <v>5</v>
      </c>
      <c r="G185" s="1278"/>
      <c r="H185" s="1300" t="s">
        <v>1521</v>
      </c>
      <c r="V185" s="2489"/>
      <c r="W185" s="261">
        <v>5</v>
      </c>
      <c r="X185" s="261">
        <v>5</v>
      </c>
      <c r="Y185" s="261">
        <v>5</v>
      </c>
      <c r="Z185" s="422">
        <v>5</v>
      </c>
      <c r="AA185" s="422">
        <v>5</v>
      </c>
      <c r="AB185" s="422">
        <v>5</v>
      </c>
      <c r="AC185" s="422">
        <v>5</v>
      </c>
      <c r="AD185" s="422">
        <v>5</v>
      </c>
      <c r="AE185" s="422">
        <v>5</v>
      </c>
      <c r="AF185" s="253">
        <f t="shared" si="45"/>
        <v>5</v>
      </c>
      <c r="AG185" s="261"/>
      <c r="AK185" s="339"/>
    </row>
    <row r="186" spans="1:37" hidden="1" outlineLevel="1" x14ac:dyDescent="0.25">
      <c r="A186" s="2147"/>
      <c r="B186" s="558"/>
      <c r="D186" s="2638"/>
      <c r="E186" s="121" t="s">
        <v>1494</v>
      </c>
      <c r="F186" s="1463">
        <v>5</v>
      </c>
      <c r="G186" s="1278"/>
      <c r="H186" s="1300" t="s">
        <v>1521</v>
      </c>
      <c r="V186" s="2489"/>
      <c r="W186" s="261">
        <v>5</v>
      </c>
      <c r="X186" s="261">
        <v>5</v>
      </c>
      <c r="Y186" s="261">
        <v>5</v>
      </c>
      <c r="Z186" s="422">
        <v>5</v>
      </c>
      <c r="AA186" s="422">
        <v>5</v>
      </c>
      <c r="AB186" s="422">
        <v>5</v>
      </c>
      <c r="AC186" s="422">
        <v>5</v>
      </c>
      <c r="AD186" s="422">
        <v>5</v>
      </c>
      <c r="AE186" s="422">
        <v>5</v>
      </c>
      <c r="AF186" s="253">
        <f t="shared" si="45"/>
        <v>5</v>
      </c>
      <c r="AG186" s="261"/>
      <c r="AK186" s="339"/>
    </row>
    <row r="187" spans="1:37" hidden="1" outlineLevel="1" x14ac:dyDescent="0.25">
      <c r="A187" s="2147"/>
      <c r="B187" s="558"/>
      <c r="D187" s="2638"/>
      <c r="E187" s="121" t="s">
        <v>1496</v>
      </c>
      <c r="F187" s="1463">
        <v>5</v>
      </c>
      <c r="G187" s="1278"/>
      <c r="H187" s="1300" t="s">
        <v>1521</v>
      </c>
      <c r="V187" s="2489"/>
      <c r="W187" s="261">
        <v>5</v>
      </c>
      <c r="X187" s="261">
        <v>5</v>
      </c>
      <c r="Y187" s="261">
        <v>5</v>
      </c>
      <c r="Z187" s="422">
        <v>5</v>
      </c>
      <c r="AA187" s="422">
        <v>5</v>
      </c>
      <c r="AB187" s="422">
        <v>5</v>
      </c>
      <c r="AC187" s="422">
        <v>5</v>
      </c>
      <c r="AD187" s="422">
        <v>5</v>
      </c>
      <c r="AE187" s="422">
        <v>5</v>
      </c>
      <c r="AF187" s="253">
        <f t="shared" si="45"/>
        <v>5</v>
      </c>
      <c r="AG187" s="261"/>
      <c r="AK187" s="339"/>
    </row>
    <row r="188" spans="1:37" hidden="1" outlineLevel="1" x14ac:dyDescent="0.25">
      <c r="A188" s="2147"/>
      <c r="B188" s="558"/>
      <c r="D188" s="2638"/>
      <c r="E188" s="121" t="s">
        <v>1498</v>
      </c>
      <c r="F188" s="1463">
        <v>5</v>
      </c>
      <c r="G188" s="1278"/>
      <c r="H188" s="1300" t="s">
        <v>1521</v>
      </c>
      <c r="V188" s="2489"/>
      <c r="W188" s="261">
        <v>5</v>
      </c>
      <c r="X188" s="261">
        <v>5</v>
      </c>
      <c r="Y188" s="261">
        <v>5</v>
      </c>
      <c r="Z188" s="422">
        <v>5</v>
      </c>
      <c r="AA188" s="422">
        <v>5</v>
      </c>
      <c r="AB188" s="422">
        <v>5</v>
      </c>
      <c r="AC188" s="422">
        <v>5</v>
      </c>
      <c r="AD188" s="422">
        <v>5</v>
      </c>
      <c r="AE188" s="422">
        <v>5</v>
      </c>
      <c r="AF188" s="253">
        <f t="shared" si="45"/>
        <v>5</v>
      </c>
      <c r="AG188" s="261"/>
      <c r="AK188" s="339"/>
    </row>
    <row r="189" spans="1:37" hidden="1" outlineLevel="1" x14ac:dyDescent="0.25">
      <c r="A189" s="2147"/>
      <c r="B189" s="558"/>
      <c r="D189" s="2638"/>
      <c r="E189" s="121" t="s">
        <v>1500</v>
      </c>
      <c r="F189" s="1463">
        <v>5</v>
      </c>
      <c r="G189" s="1278"/>
      <c r="H189" s="1300" t="s">
        <v>1521</v>
      </c>
      <c r="V189" s="2489"/>
      <c r="W189" s="261">
        <v>5</v>
      </c>
      <c r="X189" s="261">
        <v>5</v>
      </c>
      <c r="Y189" s="261">
        <v>5</v>
      </c>
      <c r="Z189" s="422">
        <v>5</v>
      </c>
      <c r="AA189" s="422">
        <v>5</v>
      </c>
      <c r="AB189" s="422">
        <v>5</v>
      </c>
      <c r="AC189" s="422">
        <v>5</v>
      </c>
      <c r="AD189" s="422">
        <v>5</v>
      </c>
      <c r="AE189" s="422">
        <v>5</v>
      </c>
      <c r="AF189" s="253">
        <f t="shared" si="45"/>
        <v>5</v>
      </c>
      <c r="AG189" s="261"/>
      <c r="AK189" s="339"/>
    </row>
    <row r="190" spans="1:37" hidden="1" outlineLevel="1" x14ac:dyDescent="0.25">
      <c r="A190" s="2147"/>
      <c r="B190" s="558"/>
      <c r="D190" s="2638"/>
      <c r="E190" s="121" t="s">
        <v>1502</v>
      </c>
      <c r="F190" s="1463">
        <v>5</v>
      </c>
      <c r="G190" s="1278"/>
      <c r="H190" s="1300" t="s">
        <v>1521</v>
      </c>
      <c r="V190" s="2489"/>
      <c r="W190" s="261">
        <v>5</v>
      </c>
      <c r="X190" s="261">
        <v>5</v>
      </c>
      <c r="Y190" s="261">
        <v>5</v>
      </c>
      <c r="Z190" s="422">
        <v>5</v>
      </c>
      <c r="AA190" s="422">
        <v>5</v>
      </c>
      <c r="AB190" s="422">
        <v>5</v>
      </c>
      <c r="AC190" s="422">
        <v>5</v>
      </c>
      <c r="AD190" s="422">
        <v>5</v>
      </c>
      <c r="AE190" s="422">
        <v>5</v>
      </c>
      <c r="AF190" s="253">
        <f t="shared" si="45"/>
        <v>5</v>
      </c>
      <c r="AG190" s="261"/>
      <c r="AK190" s="339"/>
    </row>
    <row r="191" spans="1:37" hidden="1" outlineLevel="1" x14ac:dyDescent="0.25">
      <c r="A191" s="2147"/>
      <c r="B191" s="558"/>
      <c r="D191" s="2638"/>
      <c r="E191" s="121" t="s">
        <v>1504</v>
      </c>
      <c r="F191" s="1463">
        <v>5</v>
      </c>
      <c r="G191" s="1278"/>
      <c r="H191" s="1300" t="s">
        <v>1521</v>
      </c>
      <c r="V191" s="2489"/>
      <c r="W191" s="261">
        <v>5</v>
      </c>
      <c r="X191" s="261">
        <v>5</v>
      </c>
      <c r="Y191" s="261">
        <v>5</v>
      </c>
      <c r="Z191" s="422">
        <v>5</v>
      </c>
      <c r="AA191" s="422">
        <v>5</v>
      </c>
      <c r="AB191" s="422">
        <v>5</v>
      </c>
      <c r="AC191" s="422">
        <v>5</v>
      </c>
      <c r="AD191" s="422">
        <v>5</v>
      </c>
      <c r="AE191" s="422">
        <v>5</v>
      </c>
      <c r="AF191" s="253">
        <f t="shared" si="45"/>
        <v>5</v>
      </c>
      <c r="AG191" s="261"/>
      <c r="AK191" s="339"/>
    </row>
    <row r="192" spans="1:37" hidden="1" outlineLevel="1" x14ac:dyDescent="0.25">
      <c r="A192" s="2147"/>
      <c r="B192" s="558"/>
      <c r="D192" s="2638"/>
      <c r="E192" s="121" t="s">
        <v>1506</v>
      </c>
      <c r="F192" s="1463">
        <v>5</v>
      </c>
      <c r="G192" s="1278"/>
      <c r="H192" s="1300" t="s">
        <v>1521</v>
      </c>
      <c r="V192" s="2489"/>
      <c r="W192" s="261">
        <v>5</v>
      </c>
      <c r="X192" s="261">
        <v>5</v>
      </c>
      <c r="Y192" s="261">
        <v>5</v>
      </c>
      <c r="Z192" s="422">
        <v>5</v>
      </c>
      <c r="AA192" s="422">
        <v>5</v>
      </c>
      <c r="AB192" s="422">
        <v>5</v>
      </c>
      <c r="AC192" s="422">
        <v>5</v>
      </c>
      <c r="AD192" s="422">
        <v>5</v>
      </c>
      <c r="AE192" s="422">
        <v>5</v>
      </c>
      <c r="AF192" s="253">
        <f t="shared" si="45"/>
        <v>5</v>
      </c>
      <c r="AG192" s="261"/>
      <c r="AK192" s="339"/>
    </row>
    <row r="193" spans="1:37" hidden="1" outlineLevel="1" x14ac:dyDescent="0.25">
      <c r="A193" s="2147"/>
      <c r="B193" s="558"/>
      <c r="D193" s="2638"/>
      <c r="E193" s="121" t="s">
        <v>1508</v>
      </c>
      <c r="F193" s="1463">
        <v>5</v>
      </c>
      <c r="G193" s="1278"/>
      <c r="H193" s="1300" t="s">
        <v>1521</v>
      </c>
      <c r="V193" s="2489"/>
      <c r="W193" s="261">
        <v>5</v>
      </c>
      <c r="X193" s="261">
        <v>5</v>
      </c>
      <c r="Y193" s="261">
        <v>5</v>
      </c>
      <c r="Z193" s="422">
        <v>5</v>
      </c>
      <c r="AA193" s="422">
        <v>5</v>
      </c>
      <c r="AB193" s="422">
        <v>5</v>
      </c>
      <c r="AC193" s="422">
        <v>5</v>
      </c>
      <c r="AD193" s="422">
        <v>5</v>
      </c>
      <c r="AE193" s="422">
        <v>5</v>
      </c>
      <c r="AF193" s="253">
        <f t="shared" si="45"/>
        <v>5</v>
      </c>
      <c r="AG193" s="261"/>
      <c r="AK193" s="339"/>
    </row>
    <row r="194" spans="1:37" hidden="1" outlineLevel="1" x14ac:dyDescent="0.25">
      <c r="A194" s="2147"/>
      <c r="B194" s="558"/>
      <c r="D194" s="2638"/>
      <c r="E194" s="121" t="s">
        <v>1510</v>
      </c>
      <c r="F194" s="1463">
        <v>5</v>
      </c>
      <c r="G194" s="1278"/>
      <c r="H194" s="1300" t="s">
        <v>1521</v>
      </c>
      <c r="V194" s="2489"/>
      <c r="W194" s="261">
        <v>5</v>
      </c>
      <c r="X194" s="261">
        <v>5</v>
      </c>
      <c r="Y194" s="261">
        <v>5</v>
      </c>
      <c r="Z194" s="422">
        <v>5</v>
      </c>
      <c r="AA194" s="422">
        <v>5</v>
      </c>
      <c r="AB194" s="422">
        <v>5</v>
      </c>
      <c r="AC194" s="422">
        <v>5</v>
      </c>
      <c r="AD194" s="422">
        <v>5</v>
      </c>
      <c r="AE194" s="422">
        <v>5</v>
      </c>
      <c r="AF194" s="253">
        <f t="shared" si="45"/>
        <v>5</v>
      </c>
      <c r="AG194" s="261"/>
      <c r="AK194" s="339"/>
    </row>
    <row r="195" spans="1:37" hidden="1" outlineLevel="1" x14ac:dyDescent="0.25">
      <c r="A195" s="2147"/>
      <c r="B195" s="558"/>
      <c r="D195" s="2638"/>
      <c r="E195" s="121" t="s">
        <v>1512</v>
      </c>
      <c r="F195" s="1463">
        <v>5</v>
      </c>
      <c r="G195" s="1278"/>
      <c r="H195" s="1300" t="s">
        <v>1521</v>
      </c>
      <c r="V195" s="2489"/>
      <c r="W195" s="261">
        <v>5</v>
      </c>
      <c r="X195" s="261">
        <v>5</v>
      </c>
      <c r="Y195" s="261">
        <v>5</v>
      </c>
      <c r="Z195" s="422">
        <v>5</v>
      </c>
      <c r="AA195" s="422">
        <v>5</v>
      </c>
      <c r="AB195" s="422">
        <v>5</v>
      </c>
      <c r="AC195" s="422">
        <v>5</v>
      </c>
      <c r="AD195" s="422">
        <v>5</v>
      </c>
      <c r="AE195" s="422">
        <v>5</v>
      </c>
      <c r="AF195" s="253">
        <f t="shared" si="45"/>
        <v>5</v>
      </c>
      <c r="AG195" s="261"/>
      <c r="AK195" s="339"/>
    </row>
    <row r="196" spans="1:37" hidden="1" outlineLevel="1" x14ac:dyDescent="0.25">
      <c r="A196" s="2147"/>
      <c r="B196" s="558"/>
      <c r="D196" s="2638"/>
      <c r="E196" s="121" t="s">
        <v>1514</v>
      </c>
      <c r="F196" s="1463">
        <v>5</v>
      </c>
      <c r="G196" s="1278"/>
      <c r="H196" s="1300" t="s">
        <v>1521</v>
      </c>
      <c r="V196" s="2489"/>
      <c r="W196" s="261">
        <v>5</v>
      </c>
      <c r="X196" s="261">
        <v>5</v>
      </c>
      <c r="Y196" s="261">
        <v>5</v>
      </c>
      <c r="Z196" s="422">
        <v>5</v>
      </c>
      <c r="AA196" s="422">
        <v>5</v>
      </c>
      <c r="AB196" s="422">
        <v>5</v>
      </c>
      <c r="AC196" s="422">
        <v>5</v>
      </c>
      <c r="AD196" s="422">
        <v>5</v>
      </c>
      <c r="AE196" s="422">
        <v>5</v>
      </c>
      <c r="AF196" s="253">
        <f t="shared" si="45"/>
        <v>5</v>
      </c>
      <c r="AG196" s="261"/>
      <c r="AK196" s="339"/>
    </row>
    <row r="197" spans="1:37" hidden="1" outlineLevel="1" x14ac:dyDescent="0.25">
      <c r="A197" s="2147"/>
      <c r="B197" s="558"/>
      <c r="D197" s="2638"/>
      <c r="E197" s="121" t="s">
        <v>1516</v>
      </c>
      <c r="F197" s="1463">
        <v>5</v>
      </c>
      <c r="G197" s="1278"/>
      <c r="H197" s="1300" t="s">
        <v>1521</v>
      </c>
      <c r="V197" s="2636"/>
      <c r="W197" s="261">
        <v>5</v>
      </c>
      <c r="X197" s="261">
        <v>5</v>
      </c>
      <c r="Y197" s="261">
        <v>5</v>
      </c>
      <c r="Z197" s="422">
        <v>5</v>
      </c>
      <c r="AA197" s="422">
        <v>5</v>
      </c>
      <c r="AB197" s="422">
        <v>5</v>
      </c>
      <c r="AC197" s="422">
        <v>5</v>
      </c>
      <c r="AD197" s="422">
        <v>5</v>
      </c>
      <c r="AE197" s="422">
        <v>5</v>
      </c>
      <c r="AF197" s="253">
        <f t="shared" si="45"/>
        <v>5</v>
      </c>
      <c r="AG197" s="261"/>
      <c r="AK197" s="339"/>
    </row>
    <row r="198" spans="1:37" ht="17.25" hidden="1" customHeight="1" outlineLevel="1" x14ac:dyDescent="0.25">
      <c r="A198" s="2147"/>
      <c r="B198" s="549"/>
      <c r="D198" s="2638" t="s">
        <v>1522</v>
      </c>
      <c r="E198" s="121" t="s">
        <v>1458</v>
      </c>
      <c r="F198" s="1463">
        <v>49</v>
      </c>
      <c r="G198" s="1278"/>
      <c r="H198" s="1300" t="s">
        <v>1521</v>
      </c>
      <c r="V198" s="2488" t="str">
        <f>D198</f>
        <v>RAttic</v>
      </c>
      <c r="W198" s="261">
        <v>49</v>
      </c>
      <c r="X198" s="261">
        <v>49</v>
      </c>
      <c r="Y198" s="261">
        <v>49</v>
      </c>
      <c r="Z198" s="422">
        <v>49</v>
      </c>
      <c r="AA198" s="422">
        <v>49</v>
      </c>
      <c r="AB198" s="422">
        <v>49</v>
      </c>
      <c r="AC198" s="422">
        <v>49</v>
      </c>
      <c r="AD198" s="422">
        <v>49</v>
      </c>
      <c r="AE198" s="422">
        <v>49</v>
      </c>
      <c r="AF198" s="253">
        <f t="shared" si="45"/>
        <v>49</v>
      </c>
      <c r="AG198" s="261"/>
      <c r="AK198" s="339"/>
    </row>
    <row r="199" spans="1:37" hidden="1" outlineLevel="1" x14ac:dyDescent="0.25">
      <c r="A199" s="2147"/>
      <c r="B199" s="549"/>
      <c r="D199" s="2638"/>
      <c r="E199" s="121" t="s">
        <v>1460</v>
      </c>
      <c r="F199" s="1463">
        <v>49</v>
      </c>
      <c r="G199" s="1278"/>
      <c r="H199" s="1300" t="s">
        <v>1521</v>
      </c>
      <c r="V199" s="2489"/>
      <c r="W199" s="261">
        <v>49</v>
      </c>
      <c r="X199" s="261">
        <v>49</v>
      </c>
      <c r="Y199" s="261">
        <v>49</v>
      </c>
      <c r="Z199" s="422">
        <v>49</v>
      </c>
      <c r="AA199" s="422">
        <v>49</v>
      </c>
      <c r="AB199" s="422">
        <v>49</v>
      </c>
      <c r="AC199" s="422">
        <v>49</v>
      </c>
      <c r="AD199" s="422">
        <v>49</v>
      </c>
      <c r="AE199" s="422">
        <v>49</v>
      </c>
      <c r="AF199" s="253">
        <f t="shared" si="45"/>
        <v>49</v>
      </c>
      <c r="AG199" s="261"/>
      <c r="AK199" s="339"/>
    </row>
    <row r="200" spans="1:37" hidden="1" outlineLevel="1" x14ac:dyDescent="0.25">
      <c r="A200" s="2147"/>
      <c r="B200" s="549"/>
      <c r="D200" s="2638"/>
      <c r="E200" s="121" t="s">
        <v>1462</v>
      </c>
      <c r="F200" s="1463">
        <v>49</v>
      </c>
      <c r="G200" s="1278"/>
      <c r="H200" s="1300" t="s">
        <v>1521</v>
      </c>
      <c r="V200" s="2489"/>
      <c r="W200" s="261">
        <v>49</v>
      </c>
      <c r="X200" s="261">
        <v>49</v>
      </c>
      <c r="Y200" s="261">
        <v>49</v>
      </c>
      <c r="Z200" s="422">
        <v>49</v>
      </c>
      <c r="AA200" s="422">
        <v>49</v>
      </c>
      <c r="AB200" s="422">
        <v>49</v>
      </c>
      <c r="AC200" s="422">
        <v>49</v>
      </c>
      <c r="AD200" s="422">
        <v>49</v>
      </c>
      <c r="AE200" s="422">
        <v>49</v>
      </c>
      <c r="AF200" s="253">
        <f t="shared" si="45"/>
        <v>49</v>
      </c>
      <c r="AG200" s="261"/>
      <c r="AK200" s="339"/>
    </row>
    <row r="201" spans="1:37" hidden="1" outlineLevel="1" x14ac:dyDescent="0.25">
      <c r="A201" s="2147"/>
      <c r="B201" s="549"/>
      <c r="D201" s="2638"/>
      <c r="E201" s="121" t="s">
        <v>1464</v>
      </c>
      <c r="F201" s="1463">
        <v>49</v>
      </c>
      <c r="G201" s="1278"/>
      <c r="H201" s="1300" t="s">
        <v>1521</v>
      </c>
      <c r="V201" s="2489"/>
      <c r="W201" s="261">
        <v>49</v>
      </c>
      <c r="X201" s="261">
        <v>49</v>
      </c>
      <c r="Y201" s="261">
        <v>49</v>
      </c>
      <c r="Z201" s="422">
        <v>49</v>
      </c>
      <c r="AA201" s="422">
        <v>49</v>
      </c>
      <c r="AB201" s="422">
        <v>49</v>
      </c>
      <c r="AC201" s="422">
        <v>49</v>
      </c>
      <c r="AD201" s="422">
        <v>49</v>
      </c>
      <c r="AE201" s="422">
        <v>49</v>
      </c>
      <c r="AF201" s="253">
        <f t="shared" si="45"/>
        <v>49</v>
      </c>
      <c r="AG201" s="261"/>
      <c r="AK201" s="339"/>
    </row>
    <row r="202" spans="1:37" hidden="1" outlineLevel="1" x14ac:dyDescent="0.25">
      <c r="A202" s="2147"/>
      <c r="B202" s="549"/>
      <c r="D202" s="2638"/>
      <c r="E202" s="121" t="s">
        <v>1466</v>
      </c>
      <c r="F202" s="1463">
        <v>49</v>
      </c>
      <c r="G202" s="1278"/>
      <c r="H202" s="1300" t="s">
        <v>1521</v>
      </c>
      <c r="V202" s="2489"/>
      <c r="W202" s="261">
        <v>49</v>
      </c>
      <c r="X202" s="261">
        <v>49</v>
      </c>
      <c r="Y202" s="261">
        <v>49</v>
      </c>
      <c r="Z202" s="422">
        <v>49</v>
      </c>
      <c r="AA202" s="422">
        <v>49</v>
      </c>
      <c r="AB202" s="422">
        <v>49</v>
      </c>
      <c r="AC202" s="422">
        <v>49</v>
      </c>
      <c r="AD202" s="422">
        <v>49</v>
      </c>
      <c r="AE202" s="422">
        <v>49</v>
      </c>
      <c r="AF202" s="253">
        <f t="shared" ref="AF202:AF265" si="46">IF(F202&lt;&gt;"",F202,"")</f>
        <v>49</v>
      </c>
      <c r="AG202" s="261"/>
      <c r="AK202" s="339"/>
    </row>
    <row r="203" spans="1:37" hidden="1" outlineLevel="1" x14ac:dyDescent="0.25">
      <c r="A203" s="2147"/>
      <c r="B203" s="558"/>
      <c r="D203" s="2638"/>
      <c r="E203" s="121" t="s">
        <v>1468</v>
      </c>
      <c r="F203" s="1463">
        <v>49</v>
      </c>
      <c r="G203" s="1278"/>
      <c r="H203" s="1300" t="s">
        <v>1521</v>
      </c>
      <c r="V203" s="2489"/>
      <c r="W203" s="261">
        <v>49</v>
      </c>
      <c r="X203" s="261">
        <v>49</v>
      </c>
      <c r="Y203" s="261">
        <v>49</v>
      </c>
      <c r="Z203" s="422">
        <v>49</v>
      </c>
      <c r="AA203" s="422">
        <v>49</v>
      </c>
      <c r="AB203" s="422">
        <v>49</v>
      </c>
      <c r="AC203" s="422">
        <v>49</v>
      </c>
      <c r="AD203" s="422">
        <v>49</v>
      </c>
      <c r="AE203" s="422">
        <v>49</v>
      </c>
      <c r="AF203" s="253">
        <f t="shared" si="46"/>
        <v>49</v>
      </c>
      <c r="AG203" s="261"/>
      <c r="AK203" s="339"/>
    </row>
    <row r="204" spans="1:37" hidden="1" outlineLevel="1" x14ac:dyDescent="0.25">
      <c r="A204" s="2147"/>
      <c r="B204" s="558"/>
      <c r="D204" s="2638"/>
      <c r="E204" s="121" t="s">
        <v>1470</v>
      </c>
      <c r="F204" s="1463">
        <v>30</v>
      </c>
      <c r="G204" s="1278"/>
      <c r="H204" s="1300" t="s">
        <v>1521</v>
      </c>
      <c r="V204" s="2489"/>
      <c r="W204" s="261">
        <v>30</v>
      </c>
      <c r="X204" s="261">
        <v>30</v>
      </c>
      <c r="Y204" s="261">
        <v>30</v>
      </c>
      <c r="Z204" s="422">
        <v>30</v>
      </c>
      <c r="AA204" s="422">
        <v>30</v>
      </c>
      <c r="AB204" s="422">
        <v>30</v>
      </c>
      <c r="AC204" s="422">
        <v>30</v>
      </c>
      <c r="AD204" s="422">
        <v>30</v>
      </c>
      <c r="AE204" s="422">
        <v>30</v>
      </c>
      <c r="AF204" s="253">
        <f t="shared" si="46"/>
        <v>30</v>
      </c>
      <c r="AG204" s="261"/>
      <c r="AK204" s="339"/>
    </row>
    <row r="205" spans="1:37" hidden="1" outlineLevel="1" x14ac:dyDescent="0.25">
      <c r="A205" s="2147"/>
      <c r="B205" s="558"/>
      <c r="D205" s="2638"/>
      <c r="E205" s="121" t="s">
        <v>1472</v>
      </c>
      <c r="F205" s="1463">
        <v>30</v>
      </c>
      <c r="G205" s="1278"/>
      <c r="H205" s="1300" t="s">
        <v>1521</v>
      </c>
      <c r="V205" s="2489"/>
      <c r="W205" s="261">
        <v>30</v>
      </c>
      <c r="X205" s="261">
        <v>30</v>
      </c>
      <c r="Y205" s="261">
        <v>30</v>
      </c>
      <c r="Z205" s="422">
        <v>30</v>
      </c>
      <c r="AA205" s="422">
        <v>30</v>
      </c>
      <c r="AB205" s="422">
        <v>30</v>
      </c>
      <c r="AC205" s="422">
        <v>30</v>
      </c>
      <c r="AD205" s="422">
        <v>30</v>
      </c>
      <c r="AE205" s="422">
        <v>30</v>
      </c>
      <c r="AF205" s="253">
        <f t="shared" si="46"/>
        <v>30</v>
      </c>
      <c r="AG205" s="261"/>
      <c r="AK205" s="339"/>
    </row>
    <row r="206" spans="1:37" hidden="1" outlineLevel="1" x14ac:dyDescent="0.25">
      <c r="A206" s="2147"/>
      <c r="B206" s="558"/>
      <c r="D206" s="2638"/>
      <c r="E206" s="121" t="s">
        <v>1474</v>
      </c>
      <c r="F206" s="1463">
        <v>30</v>
      </c>
      <c r="G206" s="1278"/>
      <c r="H206" s="1300" t="s">
        <v>1521</v>
      </c>
      <c r="V206" s="2489"/>
      <c r="W206" s="261">
        <v>30</v>
      </c>
      <c r="X206" s="261">
        <v>30</v>
      </c>
      <c r="Y206" s="261">
        <v>30</v>
      </c>
      <c r="Z206" s="422">
        <v>30</v>
      </c>
      <c r="AA206" s="422">
        <v>30</v>
      </c>
      <c r="AB206" s="422">
        <v>30</v>
      </c>
      <c r="AC206" s="422">
        <v>30</v>
      </c>
      <c r="AD206" s="422">
        <v>30</v>
      </c>
      <c r="AE206" s="422">
        <v>30</v>
      </c>
      <c r="AF206" s="253">
        <f t="shared" si="46"/>
        <v>30</v>
      </c>
      <c r="AG206" s="261"/>
      <c r="AK206" s="339"/>
    </row>
    <row r="207" spans="1:37" hidden="1" outlineLevel="1" x14ac:dyDescent="0.25">
      <c r="A207" s="2147"/>
      <c r="B207" s="558"/>
      <c r="D207" s="2638"/>
      <c r="E207" s="121" t="s">
        <v>1476</v>
      </c>
      <c r="F207" s="1463">
        <v>30</v>
      </c>
      <c r="G207" s="1278"/>
      <c r="H207" s="1300" t="s">
        <v>1521</v>
      </c>
      <c r="V207" s="2489"/>
      <c r="W207" s="261">
        <v>30</v>
      </c>
      <c r="X207" s="261">
        <v>30</v>
      </c>
      <c r="Y207" s="261">
        <v>30</v>
      </c>
      <c r="Z207" s="422">
        <v>30</v>
      </c>
      <c r="AA207" s="422">
        <v>30</v>
      </c>
      <c r="AB207" s="422">
        <v>30</v>
      </c>
      <c r="AC207" s="422">
        <v>30</v>
      </c>
      <c r="AD207" s="422">
        <v>30</v>
      </c>
      <c r="AE207" s="422">
        <v>30</v>
      </c>
      <c r="AF207" s="253">
        <f t="shared" si="46"/>
        <v>30</v>
      </c>
      <c r="AG207" s="261"/>
      <c r="AK207" s="339"/>
    </row>
    <row r="208" spans="1:37" hidden="1" outlineLevel="1" x14ac:dyDescent="0.25">
      <c r="A208" s="2147"/>
      <c r="B208" s="558"/>
      <c r="D208" s="2638"/>
      <c r="E208" s="121" t="s">
        <v>1478</v>
      </c>
      <c r="F208" s="1463">
        <v>30</v>
      </c>
      <c r="G208" s="1278"/>
      <c r="H208" s="1300" t="s">
        <v>1521</v>
      </c>
      <c r="V208" s="2489"/>
      <c r="W208" s="261">
        <v>30</v>
      </c>
      <c r="X208" s="261">
        <v>30</v>
      </c>
      <c r="Y208" s="261">
        <v>30</v>
      </c>
      <c r="Z208" s="422">
        <v>30</v>
      </c>
      <c r="AA208" s="422">
        <v>30</v>
      </c>
      <c r="AB208" s="422">
        <v>30</v>
      </c>
      <c r="AC208" s="422">
        <v>30</v>
      </c>
      <c r="AD208" s="422">
        <v>30</v>
      </c>
      <c r="AE208" s="422">
        <v>30</v>
      </c>
      <c r="AF208" s="253">
        <f t="shared" si="46"/>
        <v>30</v>
      </c>
      <c r="AG208" s="261"/>
      <c r="AK208" s="339"/>
    </row>
    <row r="209" spans="1:37" hidden="1" outlineLevel="1" x14ac:dyDescent="0.25">
      <c r="A209" s="2147"/>
      <c r="B209" s="558"/>
      <c r="D209" s="2638"/>
      <c r="E209" s="121" t="s">
        <v>1480</v>
      </c>
      <c r="F209" s="1463">
        <v>30</v>
      </c>
      <c r="G209" s="1278"/>
      <c r="H209" s="1300" t="s">
        <v>1521</v>
      </c>
      <c r="V209" s="2489"/>
      <c r="W209" s="261">
        <v>30</v>
      </c>
      <c r="X209" s="261">
        <v>30</v>
      </c>
      <c r="Y209" s="261">
        <v>30</v>
      </c>
      <c r="Z209" s="422">
        <v>30</v>
      </c>
      <c r="AA209" s="422">
        <v>30</v>
      </c>
      <c r="AB209" s="422">
        <v>30</v>
      </c>
      <c r="AC209" s="422">
        <v>30</v>
      </c>
      <c r="AD209" s="422">
        <v>30</v>
      </c>
      <c r="AE209" s="422">
        <v>30</v>
      </c>
      <c r="AF209" s="253">
        <f t="shared" si="46"/>
        <v>30</v>
      </c>
      <c r="AG209" s="261"/>
      <c r="AK209" s="339"/>
    </row>
    <row r="210" spans="1:37" hidden="1" outlineLevel="1" x14ac:dyDescent="0.25">
      <c r="A210" s="2147"/>
      <c r="B210" s="558"/>
      <c r="D210" s="2638"/>
      <c r="E210" s="121" t="s">
        <v>1482</v>
      </c>
      <c r="F210" s="1463">
        <v>38</v>
      </c>
      <c r="G210" s="1278"/>
      <c r="H210" s="1300" t="s">
        <v>1521</v>
      </c>
      <c r="V210" s="2489"/>
      <c r="W210" s="261">
        <v>38</v>
      </c>
      <c r="X210" s="261">
        <v>38</v>
      </c>
      <c r="Y210" s="261">
        <v>38</v>
      </c>
      <c r="Z210" s="422">
        <v>38</v>
      </c>
      <c r="AA210" s="422">
        <v>38</v>
      </c>
      <c r="AB210" s="422">
        <v>38</v>
      </c>
      <c r="AC210" s="422">
        <v>38</v>
      </c>
      <c r="AD210" s="422">
        <v>38</v>
      </c>
      <c r="AE210" s="422">
        <v>38</v>
      </c>
      <c r="AF210" s="253">
        <f t="shared" si="46"/>
        <v>38</v>
      </c>
      <c r="AG210" s="261"/>
      <c r="AK210" s="339"/>
    </row>
    <row r="211" spans="1:37" hidden="1" outlineLevel="1" x14ac:dyDescent="0.25">
      <c r="A211" s="2147"/>
      <c r="B211" s="549"/>
      <c r="D211" s="2638"/>
      <c r="E211" s="121" t="s">
        <v>1484</v>
      </c>
      <c r="F211" s="1463">
        <v>38</v>
      </c>
      <c r="G211" s="1278"/>
      <c r="H211" s="1300" t="s">
        <v>1521</v>
      </c>
      <c r="V211" s="2489"/>
      <c r="W211" s="261">
        <v>38</v>
      </c>
      <c r="X211" s="261">
        <v>38</v>
      </c>
      <c r="Y211" s="261">
        <v>38</v>
      </c>
      <c r="Z211" s="422">
        <v>38</v>
      </c>
      <c r="AA211" s="422">
        <v>38</v>
      </c>
      <c r="AB211" s="422">
        <v>38</v>
      </c>
      <c r="AC211" s="422">
        <v>38</v>
      </c>
      <c r="AD211" s="422">
        <v>38</v>
      </c>
      <c r="AE211" s="422">
        <v>38</v>
      </c>
      <c r="AF211" s="253">
        <f t="shared" si="46"/>
        <v>38</v>
      </c>
      <c r="AG211" s="261"/>
      <c r="AK211" s="339"/>
    </row>
    <row r="212" spans="1:37" hidden="1" outlineLevel="1" x14ac:dyDescent="0.25">
      <c r="A212" s="2147"/>
      <c r="B212" s="549"/>
      <c r="D212" s="2638"/>
      <c r="E212" s="121" t="s">
        <v>1486</v>
      </c>
      <c r="F212" s="1463">
        <v>38</v>
      </c>
      <c r="G212" s="1278"/>
      <c r="H212" s="1300" t="s">
        <v>1521</v>
      </c>
      <c r="V212" s="2489"/>
      <c r="W212" s="261">
        <v>38</v>
      </c>
      <c r="X212" s="261">
        <v>38</v>
      </c>
      <c r="Y212" s="261">
        <v>38</v>
      </c>
      <c r="Z212" s="422">
        <v>38</v>
      </c>
      <c r="AA212" s="422">
        <v>38</v>
      </c>
      <c r="AB212" s="422">
        <v>38</v>
      </c>
      <c r="AC212" s="422">
        <v>38</v>
      </c>
      <c r="AD212" s="422">
        <v>38</v>
      </c>
      <c r="AE212" s="422">
        <v>38</v>
      </c>
      <c r="AF212" s="253">
        <f t="shared" si="46"/>
        <v>38</v>
      </c>
      <c r="AG212" s="261"/>
      <c r="AK212" s="339"/>
    </row>
    <row r="213" spans="1:37" hidden="1" outlineLevel="1" x14ac:dyDescent="0.25">
      <c r="A213" s="2147"/>
      <c r="B213" s="549"/>
      <c r="D213" s="2638"/>
      <c r="E213" s="121" t="s">
        <v>1488</v>
      </c>
      <c r="F213" s="1463">
        <v>38</v>
      </c>
      <c r="G213" s="1278"/>
      <c r="H213" s="1300" t="s">
        <v>1521</v>
      </c>
      <c r="V213" s="2489"/>
      <c r="W213" s="261">
        <v>38</v>
      </c>
      <c r="X213" s="261">
        <v>38</v>
      </c>
      <c r="Y213" s="261">
        <v>38</v>
      </c>
      <c r="Z213" s="422">
        <v>38</v>
      </c>
      <c r="AA213" s="422">
        <v>38</v>
      </c>
      <c r="AB213" s="422">
        <v>38</v>
      </c>
      <c r="AC213" s="422">
        <v>38</v>
      </c>
      <c r="AD213" s="422">
        <v>38</v>
      </c>
      <c r="AE213" s="422">
        <v>38</v>
      </c>
      <c r="AF213" s="253">
        <f t="shared" si="46"/>
        <v>38</v>
      </c>
      <c r="AG213" s="261"/>
      <c r="AK213" s="339"/>
    </row>
    <row r="214" spans="1:37" hidden="1" outlineLevel="1" x14ac:dyDescent="0.25">
      <c r="A214" s="2147"/>
      <c r="B214" s="558"/>
      <c r="D214" s="2638"/>
      <c r="E214" s="121" t="s">
        <v>1490</v>
      </c>
      <c r="F214" s="1463">
        <v>38</v>
      </c>
      <c r="G214" s="1278"/>
      <c r="H214" s="1300" t="s">
        <v>1521</v>
      </c>
      <c r="V214" s="2489"/>
      <c r="W214" s="261">
        <v>38</v>
      </c>
      <c r="X214" s="261">
        <v>38</v>
      </c>
      <c r="Y214" s="261">
        <v>38</v>
      </c>
      <c r="Z214" s="422">
        <v>38</v>
      </c>
      <c r="AA214" s="422">
        <v>38</v>
      </c>
      <c r="AB214" s="422">
        <v>38</v>
      </c>
      <c r="AC214" s="422">
        <v>38</v>
      </c>
      <c r="AD214" s="422">
        <v>38</v>
      </c>
      <c r="AE214" s="422">
        <v>38</v>
      </c>
      <c r="AF214" s="253">
        <f t="shared" si="46"/>
        <v>38</v>
      </c>
      <c r="AG214" s="261"/>
      <c r="AK214" s="339"/>
    </row>
    <row r="215" spans="1:37" hidden="1" outlineLevel="1" x14ac:dyDescent="0.25">
      <c r="A215" s="2147"/>
      <c r="B215" s="558"/>
      <c r="D215" s="2638"/>
      <c r="E215" s="121" t="s">
        <v>1492</v>
      </c>
      <c r="F215" s="1463">
        <v>38</v>
      </c>
      <c r="G215" s="1278"/>
      <c r="H215" s="1300" t="s">
        <v>1521</v>
      </c>
      <c r="V215" s="2489"/>
      <c r="W215" s="261">
        <v>38</v>
      </c>
      <c r="X215" s="261">
        <v>38</v>
      </c>
      <c r="Y215" s="261">
        <v>38</v>
      </c>
      <c r="Z215" s="422">
        <v>38</v>
      </c>
      <c r="AA215" s="422">
        <v>38</v>
      </c>
      <c r="AB215" s="422">
        <v>38</v>
      </c>
      <c r="AC215" s="422">
        <v>38</v>
      </c>
      <c r="AD215" s="422">
        <v>38</v>
      </c>
      <c r="AE215" s="422">
        <v>38</v>
      </c>
      <c r="AF215" s="253">
        <f t="shared" si="46"/>
        <v>38</v>
      </c>
      <c r="AG215" s="261"/>
      <c r="AK215" s="339"/>
    </row>
    <row r="216" spans="1:37" hidden="1" outlineLevel="1" x14ac:dyDescent="0.25">
      <c r="A216" s="2147"/>
      <c r="B216" s="558"/>
      <c r="D216" s="2638"/>
      <c r="E216" s="121" t="s">
        <v>1494</v>
      </c>
      <c r="F216" s="1463">
        <v>49</v>
      </c>
      <c r="G216" s="1278"/>
      <c r="H216" s="1300" t="s">
        <v>1521</v>
      </c>
      <c r="V216" s="2489"/>
      <c r="W216" s="261">
        <v>49</v>
      </c>
      <c r="X216" s="261">
        <v>49</v>
      </c>
      <c r="Y216" s="261">
        <v>49</v>
      </c>
      <c r="Z216" s="422">
        <v>49</v>
      </c>
      <c r="AA216" s="422">
        <v>49</v>
      </c>
      <c r="AB216" s="422">
        <v>49</v>
      </c>
      <c r="AC216" s="422">
        <v>49</v>
      </c>
      <c r="AD216" s="422">
        <v>49</v>
      </c>
      <c r="AE216" s="422">
        <v>49</v>
      </c>
      <c r="AF216" s="253">
        <f t="shared" si="46"/>
        <v>49</v>
      </c>
      <c r="AG216" s="261"/>
      <c r="AK216" s="339"/>
    </row>
    <row r="217" spans="1:37" hidden="1" outlineLevel="1" x14ac:dyDescent="0.25">
      <c r="A217" s="2147"/>
      <c r="B217" s="558"/>
      <c r="D217" s="2638"/>
      <c r="E217" s="121" t="s">
        <v>1496</v>
      </c>
      <c r="F217" s="1463">
        <v>49</v>
      </c>
      <c r="G217" s="1278"/>
      <c r="H217" s="1300" t="s">
        <v>1521</v>
      </c>
      <c r="V217" s="2489"/>
      <c r="W217" s="261">
        <v>49</v>
      </c>
      <c r="X217" s="261">
        <v>49</v>
      </c>
      <c r="Y217" s="261">
        <v>49</v>
      </c>
      <c r="Z217" s="422">
        <v>49</v>
      </c>
      <c r="AA217" s="422">
        <v>49</v>
      </c>
      <c r="AB217" s="422">
        <v>49</v>
      </c>
      <c r="AC217" s="422">
        <v>49</v>
      </c>
      <c r="AD217" s="422">
        <v>49</v>
      </c>
      <c r="AE217" s="422">
        <v>49</v>
      </c>
      <c r="AF217" s="253">
        <f t="shared" si="46"/>
        <v>49</v>
      </c>
      <c r="AG217" s="261"/>
      <c r="AK217" s="339"/>
    </row>
    <row r="218" spans="1:37" hidden="1" outlineLevel="1" x14ac:dyDescent="0.25">
      <c r="A218" s="2147"/>
      <c r="B218" s="558"/>
      <c r="D218" s="2638"/>
      <c r="E218" s="121" t="s">
        <v>1498</v>
      </c>
      <c r="F218" s="1463">
        <v>49</v>
      </c>
      <c r="G218" s="1278"/>
      <c r="H218" s="1300" t="s">
        <v>1521</v>
      </c>
      <c r="V218" s="2489"/>
      <c r="W218" s="261">
        <v>49</v>
      </c>
      <c r="X218" s="261">
        <v>49</v>
      </c>
      <c r="Y218" s="261">
        <v>49</v>
      </c>
      <c r="Z218" s="422">
        <v>49</v>
      </c>
      <c r="AA218" s="422">
        <v>49</v>
      </c>
      <c r="AB218" s="422">
        <v>49</v>
      </c>
      <c r="AC218" s="422">
        <v>49</v>
      </c>
      <c r="AD218" s="422">
        <v>49</v>
      </c>
      <c r="AE218" s="422">
        <v>49</v>
      </c>
      <c r="AF218" s="253">
        <f t="shared" si="46"/>
        <v>49</v>
      </c>
      <c r="AG218" s="261"/>
      <c r="AK218" s="339"/>
    </row>
    <row r="219" spans="1:37" hidden="1" outlineLevel="1" x14ac:dyDescent="0.25">
      <c r="A219" s="2147"/>
      <c r="B219" s="558"/>
      <c r="D219" s="2638"/>
      <c r="E219" s="121" t="s">
        <v>1500</v>
      </c>
      <c r="F219" s="1463">
        <v>49</v>
      </c>
      <c r="G219" s="1278"/>
      <c r="H219" s="1300" t="s">
        <v>1521</v>
      </c>
      <c r="V219" s="2489"/>
      <c r="W219" s="261">
        <v>49</v>
      </c>
      <c r="X219" s="261">
        <v>49</v>
      </c>
      <c r="Y219" s="261">
        <v>49</v>
      </c>
      <c r="Z219" s="422">
        <v>49</v>
      </c>
      <c r="AA219" s="422">
        <v>49</v>
      </c>
      <c r="AB219" s="422">
        <v>49</v>
      </c>
      <c r="AC219" s="422">
        <v>49</v>
      </c>
      <c r="AD219" s="422">
        <v>49</v>
      </c>
      <c r="AE219" s="422">
        <v>49</v>
      </c>
      <c r="AF219" s="253">
        <f t="shared" si="46"/>
        <v>49</v>
      </c>
      <c r="AG219" s="261"/>
      <c r="AK219" s="339"/>
    </row>
    <row r="220" spans="1:37" hidden="1" outlineLevel="1" x14ac:dyDescent="0.25">
      <c r="A220" s="2147"/>
      <c r="B220" s="558"/>
      <c r="D220" s="2638"/>
      <c r="E220" s="121" t="s">
        <v>1502</v>
      </c>
      <c r="F220" s="1463">
        <v>49</v>
      </c>
      <c r="G220" s="1278"/>
      <c r="H220" s="1300" t="s">
        <v>1521</v>
      </c>
      <c r="V220" s="2489"/>
      <c r="W220" s="261">
        <v>49</v>
      </c>
      <c r="X220" s="261">
        <v>49</v>
      </c>
      <c r="Y220" s="261">
        <v>49</v>
      </c>
      <c r="Z220" s="422">
        <v>49</v>
      </c>
      <c r="AA220" s="422">
        <v>49</v>
      </c>
      <c r="AB220" s="422">
        <v>49</v>
      </c>
      <c r="AC220" s="422">
        <v>49</v>
      </c>
      <c r="AD220" s="422">
        <v>49</v>
      </c>
      <c r="AE220" s="422">
        <v>49</v>
      </c>
      <c r="AF220" s="253">
        <f t="shared" si="46"/>
        <v>49</v>
      </c>
      <c r="AG220" s="261"/>
      <c r="AK220" s="339"/>
    </row>
    <row r="221" spans="1:37" hidden="1" outlineLevel="1" x14ac:dyDescent="0.25">
      <c r="A221" s="2147"/>
      <c r="B221" s="558"/>
      <c r="D221" s="2638"/>
      <c r="E221" s="121" t="s">
        <v>1504</v>
      </c>
      <c r="F221" s="1463">
        <v>49</v>
      </c>
      <c r="G221" s="1278"/>
      <c r="H221" s="1300" t="s">
        <v>1521</v>
      </c>
      <c r="V221" s="2489"/>
      <c r="W221" s="261">
        <v>49</v>
      </c>
      <c r="X221" s="261">
        <v>49</v>
      </c>
      <c r="Y221" s="261">
        <v>49</v>
      </c>
      <c r="Z221" s="422">
        <v>49</v>
      </c>
      <c r="AA221" s="422">
        <v>49</v>
      </c>
      <c r="AB221" s="422">
        <v>49</v>
      </c>
      <c r="AC221" s="422">
        <v>49</v>
      </c>
      <c r="AD221" s="422">
        <v>49</v>
      </c>
      <c r="AE221" s="422">
        <v>49</v>
      </c>
      <c r="AF221" s="253">
        <f t="shared" si="46"/>
        <v>49</v>
      </c>
      <c r="AG221" s="261"/>
      <c r="AK221" s="339"/>
    </row>
    <row r="222" spans="1:37" hidden="1" outlineLevel="1" x14ac:dyDescent="0.25">
      <c r="A222" s="2147"/>
      <c r="B222" s="558"/>
      <c r="D222" s="2638"/>
      <c r="E222" s="121" t="s">
        <v>1506</v>
      </c>
      <c r="F222" s="1463">
        <v>60</v>
      </c>
      <c r="G222" s="1278"/>
      <c r="H222" s="1300" t="s">
        <v>1521</v>
      </c>
      <c r="V222" s="2489"/>
      <c r="W222" s="261">
        <v>60</v>
      </c>
      <c r="X222" s="261">
        <v>60</v>
      </c>
      <c r="Y222" s="261">
        <v>60</v>
      </c>
      <c r="Z222" s="422">
        <v>60</v>
      </c>
      <c r="AA222" s="422">
        <v>60</v>
      </c>
      <c r="AB222" s="422">
        <v>60</v>
      </c>
      <c r="AC222" s="422">
        <v>60</v>
      </c>
      <c r="AD222" s="422">
        <v>60</v>
      </c>
      <c r="AE222" s="422">
        <v>60</v>
      </c>
      <c r="AF222" s="253">
        <f t="shared" si="46"/>
        <v>60</v>
      </c>
      <c r="AG222" s="261"/>
      <c r="AK222" s="339"/>
    </row>
    <row r="223" spans="1:37" hidden="1" outlineLevel="1" x14ac:dyDescent="0.25">
      <c r="A223" s="2147"/>
      <c r="B223" s="558"/>
      <c r="D223" s="2638"/>
      <c r="E223" s="121" t="s">
        <v>1508</v>
      </c>
      <c r="F223" s="1463">
        <v>60</v>
      </c>
      <c r="G223" s="1278"/>
      <c r="H223" s="1300" t="s">
        <v>1521</v>
      </c>
      <c r="V223" s="2489"/>
      <c r="W223" s="261">
        <v>60</v>
      </c>
      <c r="X223" s="261">
        <v>60</v>
      </c>
      <c r="Y223" s="261">
        <v>60</v>
      </c>
      <c r="Z223" s="422">
        <v>60</v>
      </c>
      <c r="AA223" s="422">
        <v>60</v>
      </c>
      <c r="AB223" s="422">
        <v>60</v>
      </c>
      <c r="AC223" s="422">
        <v>60</v>
      </c>
      <c r="AD223" s="422">
        <v>60</v>
      </c>
      <c r="AE223" s="422">
        <v>60</v>
      </c>
      <c r="AF223" s="253">
        <f t="shared" si="46"/>
        <v>60</v>
      </c>
      <c r="AG223" s="261"/>
      <c r="AK223" s="339"/>
    </row>
    <row r="224" spans="1:37" hidden="1" outlineLevel="1" x14ac:dyDescent="0.25">
      <c r="A224" s="2147"/>
      <c r="B224" s="558"/>
      <c r="D224" s="2638"/>
      <c r="E224" s="121" t="s">
        <v>1510</v>
      </c>
      <c r="F224" s="1463">
        <v>60</v>
      </c>
      <c r="G224" s="1278"/>
      <c r="H224" s="1300" t="s">
        <v>1521</v>
      </c>
      <c r="V224" s="2489"/>
      <c r="W224" s="261">
        <v>60</v>
      </c>
      <c r="X224" s="261">
        <v>60</v>
      </c>
      <c r="Y224" s="261">
        <v>60</v>
      </c>
      <c r="Z224" s="422">
        <v>60</v>
      </c>
      <c r="AA224" s="422">
        <v>60</v>
      </c>
      <c r="AB224" s="422">
        <v>60</v>
      </c>
      <c r="AC224" s="422">
        <v>60</v>
      </c>
      <c r="AD224" s="422">
        <v>60</v>
      </c>
      <c r="AE224" s="422">
        <v>60</v>
      </c>
      <c r="AF224" s="253">
        <f t="shared" si="46"/>
        <v>60</v>
      </c>
      <c r="AG224" s="261"/>
      <c r="AK224" s="339"/>
    </row>
    <row r="225" spans="1:37" hidden="1" outlineLevel="1" x14ac:dyDescent="0.25">
      <c r="A225" s="2147"/>
      <c r="B225" s="558"/>
      <c r="D225" s="2638"/>
      <c r="E225" s="121" t="s">
        <v>1512</v>
      </c>
      <c r="F225" s="1463">
        <v>60</v>
      </c>
      <c r="G225" s="1278"/>
      <c r="H225" s="1300" t="s">
        <v>1521</v>
      </c>
      <c r="V225" s="2489"/>
      <c r="W225" s="261">
        <v>60</v>
      </c>
      <c r="X225" s="261">
        <v>60</v>
      </c>
      <c r="Y225" s="261">
        <v>60</v>
      </c>
      <c r="Z225" s="422">
        <v>60</v>
      </c>
      <c r="AA225" s="422">
        <v>60</v>
      </c>
      <c r="AB225" s="422">
        <v>60</v>
      </c>
      <c r="AC225" s="422">
        <v>60</v>
      </c>
      <c r="AD225" s="422">
        <v>60</v>
      </c>
      <c r="AE225" s="422">
        <v>60</v>
      </c>
      <c r="AF225" s="253">
        <f t="shared" si="46"/>
        <v>60</v>
      </c>
      <c r="AG225" s="261"/>
      <c r="AK225" s="339"/>
    </row>
    <row r="226" spans="1:37" hidden="1" outlineLevel="1" x14ac:dyDescent="0.25">
      <c r="A226" s="2147"/>
      <c r="B226" s="558"/>
      <c r="D226" s="2638"/>
      <c r="E226" s="121" t="s">
        <v>1514</v>
      </c>
      <c r="F226" s="1463">
        <v>60</v>
      </c>
      <c r="G226" s="1278"/>
      <c r="H226" s="1300" t="s">
        <v>1521</v>
      </c>
      <c r="V226" s="2489"/>
      <c r="W226" s="261">
        <v>60</v>
      </c>
      <c r="X226" s="261">
        <v>60</v>
      </c>
      <c r="Y226" s="261">
        <v>60</v>
      </c>
      <c r="Z226" s="422">
        <v>60</v>
      </c>
      <c r="AA226" s="422">
        <v>60</v>
      </c>
      <c r="AB226" s="422">
        <v>60</v>
      </c>
      <c r="AC226" s="422">
        <v>60</v>
      </c>
      <c r="AD226" s="422">
        <v>60</v>
      </c>
      <c r="AE226" s="422">
        <v>60</v>
      </c>
      <c r="AF226" s="253">
        <f t="shared" si="46"/>
        <v>60</v>
      </c>
      <c r="AG226" s="261"/>
      <c r="AK226" s="339"/>
    </row>
    <row r="227" spans="1:37" hidden="1" outlineLevel="1" x14ac:dyDescent="0.25">
      <c r="A227" s="2147"/>
      <c r="B227" s="558"/>
      <c r="D227" s="2638"/>
      <c r="E227" s="121" t="s">
        <v>1516</v>
      </c>
      <c r="F227" s="1463">
        <v>60</v>
      </c>
      <c r="G227" s="1278"/>
      <c r="H227" s="1300" t="s">
        <v>1521</v>
      </c>
      <c r="V227" s="2636"/>
      <c r="W227" s="261">
        <v>60</v>
      </c>
      <c r="X227" s="261">
        <v>60</v>
      </c>
      <c r="Y227" s="261">
        <v>60</v>
      </c>
      <c r="Z227" s="422">
        <v>60</v>
      </c>
      <c r="AA227" s="422">
        <v>60</v>
      </c>
      <c r="AB227" s="422">
        <v>60</v>
      </c>
      <c r="AC227" s="422">
        <v>60</v>
      </c>
      <c r="AD227" s="422">
        <v>60</v>
      </c>
      <c r="AE227" s="422">
        <v>60</v>
      </c>
      <c r="AF227" s="253">
        <f t="shared" si="46"/>
        <v>60</v>
      </c>
      <c r="AG227" s="261"/>
      <c r="AK227" s="339"/>
    </row>
    <row r="228" spans="1:37" ht="17.25" hidden="1" customHeight="1" outlineLevel="1" x14ac:dyDescent="0.25">
      <c r="A228" s="2147"/>
      <c r="B228" s="549"/>
      <c r="D228" s="2638" t="s">
        <v>1523</v>
      </c>
      <c r="E228" s="121" t="s">
        <v>1458</v>
      </c>
      <c r="F228" s="1474">
        <v>1</v>
      </c>
      <c r="G228" s="1278" t="s">
        <v>1524</v>
      </c>
      <c r="H228" s="1300" t="s">
        <v>1525</v>
      </c>
      <c r="V228" s="2488" t="str">
        <f>D228</f>
        <v>AAttic</v>
      </c>
      <c r="W228" s="261">
        <f>0.65*1347</f>
        <v>875.55000000000007</v>
      </c>
      <c r="X228" s="261">
        <v>875.55000000000007</v>
      </c>
      <c r="Y228" s="176">
        <v>1</v>
      </c>
      <c r="Z228" s="178">
        <v>1</v>
      </c>
      <c r="AA228" s="178">
        <v>1</v>
      </c>
      <c r="AB228" s="178">
        <v>1</v>
      </c>
      <c r="AC228" s="291">
        <v>1</v>
      </c>
      <c r="AD228" s="291">
        <v>1</v>
      </c>
      <c r="AE228" s="291">
        <v>1</v>
      </c>
      <c r="AF228" s="253">
        <f t="shared" si="46"/>
        <v>1</v>
      </c>
      <c r="AG228" s="261"/>
      <c r="AK228" s="339"/>
    </row>
    <row r="229" spans="1:37" hidden="1" outlineLevel="1" x14ac:dyDescent="0.25">
      <c r="A229" s="2147"/>
      <c r="D229" s="2638"/>
      <c r="E229" s="121" t="s">
        <v>1460</v>
      </c>
      <c r="F229" s="1474">
        <v>1</v>
      </c>
      <c r="G229" s="1278" t="s">
        <v>1524</v>
      </c>
      <c r="H229" s="1300" t="s">
        <v>1525</v>
      </c>
      <c r="V229" s="2489"/>
      <c r="W229" s="261">
        <f>0.65*1347</f>
        <v>875.55000000000007</v>
      </c>
      <c r="X229" s="261">
        <v>875.55000000000007</v>
      </c>
      <c r="Y229" s="176">
        <v>1</v>
      </c>
      <c r="Z229" s="178">
        <v>1</v>
      </c>
      <c r="AA229" s="178">
        <v>1</v>
      </c>
      <c r="AB229" s="178">
        <v>1</v>
      </c>
      <c r="AC229" s="291">
        <v>1</v>
      </c>
      <c r="AD229" s="291">
        <v>1</v>
      </c>
      <c r="AE229" s="291">
        <v>1</v>
      </c>
      <c r="AF229" s="253">
        <f t="shared" si="46"/>
        <v>1</v>
      </c>
      <c r="AG229" s="261"/>
      <c r="AK229" s="339"/>
    </row>
    <row r="230" spans="1:37" hidden="1" outlineLevel="1" x14ac:dyDescent="0.25">
      <c r="A230" s="2147"/>
      <c r="D230" s="2638"/>
      <c r="E230" s="121" t="s">
        <v>1462</v>
      </c>
      <c r="F230" s="1474">
        <v>1</v>
      </c>
      <c r="G230" s="1278" t="s">
        <v>1524</v>
      </c>
      <c r="H230" s="1300" t="s">
        <v>1525</v>
      </c>
      <c r="V230" s="2489"/>
      <c r="W230" s="261">
        <f>0.65*1347</f>
        <v>875.55000000000007</v>
      </c>
      <c r="X230" s="261">
        <v>875.55000000000007</v>
      </c>
      <c r="Y230" s="176">
        <v>1</v>
      </c>
      <c r="Z230" s="178">
        <v>1</v>
      </c>
      <c r="AA230" s="178">
        <v>1</v>
      </c>
      <c r="AB230" s="178">
        <v>1</v>
      </c>
      <c r="AC230" s="291">
        <v>1</v>
      </c>
      <c r="AD230" s="291">
        <v>1</v>
      </c>
      <c r="AE230" s="291">
        <v>1</v>
      </c>
      <c r="AF230" s="253">
        <f t="shared" si="46"/>
        <v>1</v>
      </c>
      <c r="AG230" s="261"/>
      <c r="AK230" s="339"/>
    </row>
    <row r="231" spans="1:37" hidden="1" outlineLevel="1" x14ac:dyDescent="0.25">
      <c r="A231" s="2147"/>
      <c r="D231" s="2638"/>
      <c r="E231" s="121" t="s">
        <v>1464</v>
      </c>
      <c r="F231" s="1474">
        <v>1</v>
      </c>
      <c r="G231" s="1278" t="s">
        <v>1524</v>
      </c>
      <c r="H231" s="1300" t="s">
        <v>1526</v>
      </c>
      <c r="V231" s="2489"/>
      <c r="W231" s="261">
        <v>1347</v>
      </c>
      <c r="X231" s="261">
        <v>1347</v>
      </c>
      <c r="Y231" s="176">
        <v>1</v>
      </c>
      <c r="Z231" s="178">
        <v>1</v>
      </c>
      <c r="AA231" s="178">
        <v>1</v>
      </c>
      <c r="AB231" s="178">
        <v>1</v>
      </c>
      <c r="AC231" s="291">
        <v>1</v>
      </c>
      <c r="AD231" s="291">
        <v>1</v>
      </c>
      <c r="AE231" s="291">
        <v>1</v>
      </c>
      <c r="AF231" s="253">
        <f t="shared" si="46"/>
        <v>1</v>
      </c>
      <c r="AG231" s="261"/>
      <c r="AK231" s="339"/>
    </row>
    <row r="232" spans="1:37" hidden="1" outlineLevel="1" x14ac:dyDescent="0.25">
      <c r="A232" s="2147"/>
      <c r="D232" s="2638"/>
      <c r="E232" s="121" t="s">
        <v>1466</v>
      </c>
      <c r="F232" s="1474">
        <v>1</v>
      </c>
      <c r="G232" s="1278" t="s">
        <v>1524</v>
      </c>
      <c r="H232" s="1300" t="s">
        <v>1526</v>
      </c>
      <c r="V232" s="2489"/>
      <c r="W232" s="261">
        <v>1347</v>
      </c>
      <c r="X232" s="261">
        <v>1347</v>
      </c>
      <c r="Y232" s="176">
        <v>1</v>
      </c>
      <c r="Z232" s="178">
        <v>1</v>
      </c>
      <c r="AA232" s="178">
        <v>1</v>
      </c>
      <c r="AB232" s="178">
        <v>1</v>
      </c>
      <c r="AC232" s="291">
        <v>1</v>
      </c>
      <c r="AD232" s="291">
        <v>1</v>
      </c>
      <c r="AE232" s="291">
        <v>1</v>
      </c>
      <c r="AF232" s="253">
        <f t="shared" si="46"/>
        <v>1</v>
      </c>
      <c r="AG232" s="261"/>
      <c r="AK232" s="339"/>
    </row>
    <row r="233" spans="1:37" hidden="1" outlineLevel="1" x14ac:dyDescent="0.25">
      <c r="A233" s="2147"/>
      <c r="D233" s="2638"/>
      <c r="E233" s="121" t="s">
        <v>1468</v>
      </c>
      <c r="F233" s="1474">
        <v>1</v>
      </c>
      <c r="G233" s="1278" t="s">
        <v>1524</v>
      </c>
      <c r="H233" s="1300" t="s">
        <v>1526</v>
      </c>
      <c r="V233" s="2489"/>
      <c r="W233" s="261">
        <v>1347</v>
      </c>
      <c r="X233" s="261">
        <v>1347</v>
      </c>
      <c r="Y233" s="176">
        <v>1</v>
      </c>
      <c r="Z233" s="178">
        <v>1</v>
      </c>
      <c r="AA233" s="178">
        <v>1</v>
      </c>
      <c r="AB233" s="178">
        <v>1</v>
      </c>
      <c r="AC233" s="291">
        <v>1</v>
      </c>
      <c r="AD233" s="291">
        <v>1</v>
      </c>
      <c r="AE233" s="291">
        <v>1</v>
      </c>
      <c r="AF233" s="253">
        <f t="shared" si="46"/>
        <v>1</v>
      </c>
      <c r="AG233" s="261"/>
      <c r="AK233" s="339"/>
    </row>
    <row r="234" spans="1:37" hidden="1" outlineLevel="1" x14ac:dyDescent="0.25">
      <c r="A234" s="2147"/>
      <c r="D234" s="2638"/>
      <c r="E234" s="121" t="s">
        <v>1470</v>
      </c>
      <c r="F234" s="1474">
        <v>1</v>
      </c>
      <c r="G234" s="1278" t="s">
        <v>1524</v>
      </c>
      <c r="H234" s="1300" t="s">
        <v>1527</v>
      </c>
      <c r="V234" s="2489"/>
      <c r="W234" s="261">
        <f>0.65*1106</f>
        <v>718.9</v>
      </c>
      <c r="X234" s="261">
        <v>718.9</v>
      </c>
      <c r="Y234" s="176">
        <v>1</v>
      </c>
      <c r="Z234" s="178">
        <v>1</v>
      </c>
      <c r="AA234" s="178">
        <v>1</v>
      </c>
      <c r="AB234" s="178">
        <v>1</v>
      </c>
      <c r="AC234" s="291">
        <v>1</v>
      </c>
      <c r="AD234" s="291">
        <v>1</v>
      </c>
      <c r="AE234" s="291">
        <v>1</v>
      </c>
      <c r="AF234" s="253">
        <f t="shared" si="46"/>
        <v>1</v>
      </c>
      <c r="AG234" s="261"/>
      <c r="AK234" s="339"/>
    </row>
    <row r="235" spans="1:37" hidden="1" outlineLevel="1" x14ac:dyDescent="0.25">
      <c r="A235" s="2147"/>
      <c r="D235" s="2638"/>
      <c r="E235" s="121" t="s">
        <v>1472</v>
      </c>
      <c r="F235" s="1474">
        <v>1</v>
      </c>
      <c r="G235" s="1278" t="s">
        <v>1524</v>
      </c>
      <c r="H235" s="1300" t="s">
        <v>1527</v>
      </c>
      <c r="V235" s="2489"/>
      <c r="W235" s="261">
        <f>0.65*1106</f>
        <v>718.9</v>
      </c>
      <c r="X235" s="261">
        <v>718.9</v>
      </c>
      <c r="Y235" s="176">
        <v>1</v>
      </c>
      <c r="Z235" s="178">
        <v>1</v>
      </c>
      <c r="AA235" s="178">
        <v>1</v>
      </c>
      <c r="AB235" s="178">
        <v>1</v>
      </c>
      <c r="AC235" s="291">
        <v>1</v>
      </c>
      <c r="AD235" s="291">
        <v>1</v>
      </c>
      <c r="AE235" s="291">
        <v>1</v>
      </c>
      <c r="AF235" s="253">
        <f t="shared" si="46"/>
        <v>1</v>
      </c>
      <c r="AG235" s="261"/>
      <c r="AK235" s="339"/>
    </row>
    <row r="236" spans="1:37" hidden="1" outlineLevel="1" x14ac:dyDescent="0.25">
      <c r="A236" s="2147"/>
      <c r="D236" s="2638"/>
      <c r="E236" s="121" t="s">
        <v>1474</v>
      </c>
      <c r="F236" s="1474">
        <v>1</v>
      </c>
      <c r="G236" s="1278" t="s">
        <v>1524</v>
      </c>
      <c r="H236" s="1300" t="s">
        <v>1527</v>
      </c>
      <c r="V236" s="2489"/>
      <c r="W236" s="261">
        <f>0.65*1106</f>
        <v>718.9</v>
      </c>
      <c r="X236" s="261">
        <v>718.9</v>
      </c>
      <c r="Y236" s="176">
        <v>1</v>
      </c>
      <c r="Z236" s="178">
        <v>1</v>
      </c>
      <c r="AA236" s="178">
        <v>1</v>
      </c>
      <c r="AB236" s="178">
        <v>1</v>
      </c>
      <c r="AC236" s="291">
        <v>1</v>
      </c>
      <c r="AD236" s="291">
        <v>1</v>
      </c>
      <c r="AE236" s="291">
        <v>1</v>
      </c>
      <c r="AF236" s="253">
        <f t="shared" si="46"/>
        <v>1</v>
      </c>
      <c r="AG236" s="261"/>
      <c r="AK236" s="339"/>
    </row>
    <row r="237" spans="1:37" hidden="1" outlineLevel="1" x14ac:dyDescent="0.25">
      <c r="A237" s="2147"/>
      <c r="D237" s="2638"/>
      <c r="E237" s="121" t="s">
        <v>1476</v>
      </c>
      <c r="F237" s="1474">
        <v>1</v>
      </c>
      <c r="G237" s="1278" t="s">
        <v>1524</v>
      </c>
      <c r="H237" s="1300" t="s">
        <v>1528</v>
      </c>
      <c r="V237" s="2489"/>
      <c r="W237" s="261">
        <v>1106</v>
      </c>
      <c r="X237" s="261">
        <v>1106</v>
      </c>
      <c r="Y237" s="176">
        <v>1</v>
      </c>
      <c r="Z237" s="178">
        <v>1</v>
      </c>
      <c r="AA237" s="178">
        <v>1</v>
      </c>
      <c r="AB237" s="178">
        <v>1</v>
      </c>
      <c r="AC237" s="291">
        <v>1</v>
      </c>
      <c r="AD237" s="291">
        <v>1</v>
      </c>
      <c r="AE237" s="291">
        <v>1</v>
      </c>
      <c r="AF237" s="253">
        <f t="shared" si="46"/>
        <v>1</v>
      </c>
      <c r="AG237" s="261"/>
      <c r="AK237" s="339"/>
    </row>
    <row r="238" spans="1:37" hidden="1" outlineLevel="1" x14ac:dyDescent="0.25">
      <c r="A238" s="2147"/>
      <c r="D238" s="2638"/>
      <c r="E238" s="121" t="s">
        <v>1478</v>
      </c>
      <c r="F238" s="1474">
        <v>1</v>
      </c>
      <c r="G238" s="1278" t="s">
        <v>1524</v>
      </c>
      <c r="H238" s="1300" t="s">
        <v>1528</v>
      </c>
      <c r="V238" s="2489"/>
      <c r="W238" s="261">
        <v>1106</v>
      </c>
      <c r="X238" s="261">
        <v>1106</v>
      </c>
      <c r="Y238" s="176">
        <v>1</v>
      </c>
      <c r="Z238" s="178">
        <v>1</v>
      </c>
      <c r="AA238" s="178">
        <v>1</v>
      </c>
      <c r="AB238" s="178">
        <v>1</v>
      </c>
      <c r="AC238" s="291">
        <v>1</v>
      </c>
      <c r="AD238" s="291">
        <v>1</v>
      </c>
      <c r="AE238" s="291">
        <v>1</v>
      </c>
      <c r="AF238" s="253">
        <f t="shared" si="46"/>
        <v>1</v>
      </c>
      <c r="AG238" s="261"/>
      <c r="AK238" s="339"/>
    </row>
    <row r="239" spans="1:37" hidden="1" outlineLevel="1" x14ac:dyDescent="0.25">
      <c r="A239" s="2147"/>
      <c r="D239" s="2638"/>
      <c r="E239" s="121" t="s">
        <v>1480</v>
      </c>
      <c r="F239" s="1474">
        <v>1</v>
      </c>
      <c r="G239" s="1278" t="s">
        <v>1524</v>
      </c>
      <c r="H239" s="1300" t="s">
        <v>1528</v>
      </c>
      <c r="V239" s="2489"/>
      <c r="W239" s="261">
        <v>1106</v>
      </c>
      <c r="X239" s="261">
        <v>1106</v>
      </c>
      <c r="Y239" s="176">
        <v>1</v>
      </c>
      <c r="Z239" s="178">
        <v>1</v>
      </c>
      <c r="AA239" s="178">
        <v>1</v>
      </c>
      <c r="AB239" s="178">
        <v>1</v>
      </c>
      <c r="AC239" s="291">
        <v>1</v>
      </c>
      <c r="AD239" s="291">
        <v>1</v>
      </c>
      <c r="AE239" s="291">
        <v>1</v>
      </c>
      <c r="AF239" s="253">
        <f t="shared" si="46"/>
        <v>1</v>
      </c>
      <c r="AG239" s="261"/>
      <c r="AK239" s="339"/>
    </row>
    <row r="240" spans="1:37" hidden="1" outlineLevel="1" x14ac:dyDescent="0.25">
      <c r="A240" s="2147"/>
      <c r="D240" s="2638"/>
      <c r="E240" s="121" t="s">
        <v>1482</v>
      </c>
      <c r="F240" s="1474">
        <v>1</v>
      </c>
      <c r="G240" s="1278" t="s">
        <v>1529</v>
      </c>
      <c r="H240" s="1300" t="s">
        <v>1527</v>
      </c>
      <c r="V240" s="2489"/>
      <c r="W240" s="261">
        <f>0.65*1106</f>
        <v>718.9</v>
      </c>
      <c r="X240" s="261">
        <v>718.9</v>
      </c>
      <c r="Y240" s="176">
        <v>1</v>
      </c>
      <c r="Z240" s="178">
        <v>1</v>
      </c>
      <c r="AA240" s="178">
        <v>1</v>
      </c>
      <c r="AB240" s="178">
        <v>1</v>
      </c>
      <c r="AC240" s="291">
        <v>1</v>
      </c>
      <c r="AD240" s="291">
        <v>1</v>
      </c>
      <c r="AE240" s="291">
        <v>1</v>
      </c>
      <c r="AF240" s="253">
        <f t="shared" si="46"/>
        <v>1</v>
      </c>
      <c r="AG240" s="261"/>
      <c r="AK240" s="339"/>
    </row>
    <row r="241" spans="1:37" hidden="1" outlineLevel="1" x14ac:dyDescent="0.25">
      <c r="A241" s="2147"/>
      <c r="D241" s="2638"/>
      <c r="E241" s="121" t="s">
        <v>1484</v>
      </c>
      <c r="F241" s="1474">
        <v>1</v>
      </c>
      <c r="G241" s="1278" t="s">
        <v>1529</v>
      </c>
      <c r="H241" s="1300" t="s">
        <v>1527</v>
      </c>
      <c r="V241" s="2489"/>
      <c r="W241" s="261">
        <f>0.65*1106</f>
        <v>718.9</v>
      </c>
      <c r="X241" s="261">
        <v>718.9</v>
      </c>
      <c r="Y241" s="176">
        <v>1</v>
      </c>
      <c r="Z241" s="178">
        <v>1</v>
      </c>
      <c r="AA241" s="178">
        <v>1</v>
      </c>
      <c r="AB241" s="178">
        <v>1</v>
      </c>
      <c r="AC241" s="291">
        <v>1</v>
      </c>
      <c r="AD241" s="291">
        <v>1</v>
      </c>
      <c r="AE241" s="291">
        <v>1</v>
      </c>
      <c r="AF241" s="253">
        <f t="shared" si="46"/>
        <v>1</v>
      </c>
      <c r="AG241" s="261"/>
      <c r="AK241" s="339"/>
    </row>
    <row r="242" spans="1:37" hidden="1" outlineLevel="1" x14ac:dyDescent="0.25">
      <c r="A242" s="2147"/>
      <c r="D242" s="2638"/>
      <c r="E242" s="121" t="s">
        <v>1486</v>
      </c>
      <c r="F242" s="1474">
        <v>1</v>
      </c>
      <c r="G242" s="1278" t="s">
        <v>1529</v>
      </c>
      <c r="H242" s="1300" t="s">
        <v>1527</v>
      </c>
      <c r="V242" s="2489"/>
      <c r="W242" s="261">
        <f>0.65*1106</f>
        <v>718.9</v>
      </c>
      <c r="X242" s="261">
        <v>718.9</v>
      </c>
      <c r="Y242" s="176">
        <v>1</v>
      </c>
      <c r="Z242" s="178">
        <v>1</v>
      </c>
      <c r="AA242" s="178">
        <v>1</v>
      </c>
      <c r="AB242" s="178">
        <v>1</v>
      </c>
      <c r="AC242" s="291">
        <v>1</v>
      </c>
      <c r="AD242" s="291">
        <v>1</v>
      </c>
      <c r="AE242" s="291">
        <v>1</v>
      </c>
      <c r="AF242" s="253">
        <f t="shared" si="46"/>
        <v>1</v>
      </c>
      <c r="AG242" s="261"/>
      <c r="AK242" s="339"/>
    </row>
    <row r="243" spans="1:37" hidden="1" outlineLevel="1" x14ac:dyDescent="0.25">
      <c r="A243" s="2147"/>
      <c r="D243" s="2638"/>
      <c r="E243" s="121" t="s">
        <v>1488</v>
      </c>
      <c r="F243" s="1474">
        <v>1</v>
      </c>
      <c r="G243" s="1278" t="s">
        <v>1529</v>
      </c>
      <c r="H243" s="1300" t="s">
        <v>1528</v>
      </c>
      <c r="V243" s="2489"/>
      <c r="W243" s="261">
        <v>1106</v>
      </c>
      <c r="X243" s="261">
        <v>1106</v>
      </c>
      <c r="Y243" s="176">
        <v>1</v>
      </c>
      <c r="Z243" s="178">
        <v>1</v>
      </c>
      <c r="AA243" s="178">
        <v>1</v>
      </c>
      <c r="AB243" s="178">
        <v>1</v>
      </c>
      <c r="AC243" s="291">
        <v>1</v>
      </c>
      <c r="AD243" s="291">
        <v>1</v>
      </c>
      <c r="AE243" s="291">
        <v>1</v>
      </c>
      <c r="AF243" s="253">
        <f t="shared" si="46"/>
        <v>1</v>
      </c>
      <c r="AG243" s="261"/>
      <c r="AK243" s="339"/>
    </row>
    <row r="244" spans="1:37" hidden="1" outlineLevel="1" x14ac:dyDescent="0.25">
      <c r="A244" s="2147"/>
      <c r="D244" s="2638"/>
      <c r="E244" s="121" t="s">
        <v>1490</v>
      </c>
      <c r="F244" s="1474">
        <v>1</v>
      </c>
      <c r="G244" s="1278" t="s">
        <v>1529</v>
      </c>
      <c r="H244" s="1300" t="s">
        <v>1528</v>
      </c>
      <c r="V244" s="2489"/>
      <c r="W244" s="261">
        <v>1106</v>
      </c>
      <c r="X244" s="261">
        <v>1106</v>
      </c>
      <c r="Y244" s="176">
        <v>1</v>
      </c>
      <c r="Z244" s="178">
        <v>1</v>
      </c>
      <c r="AA244" s="178">
        <v>1</v>
      </c>
      <c r="AB244" s="178">
        <v>1</v>
      </c>
      <c r="AC244" s="291">
        <v>1</v>
      </c>
      <c r="AD244" s="291">
        <v>1</v>
      </c>
      <c r="AE244" s="291">
        <v>1</v>
      </c>
      <c r="AF244" s="253">
        <f t="shared" si="46"/>
        <v>1</v>
      </c>
      <c r="AG244" s="261"/>
      <c r="AK244" s="339"/>
    </row>
    <row r="245" spans="1:37" hidden="1" outlineLevel="1" x14ac:dyDescent="0.25">
      <c r="A245" s="2147"/>
      <c r="D245" s="2638"/>
      <c r="E245" s="121" t="s">
        <v>1492</v>
      </c>
      <c r="F245" s="1474">
        <v>1</v>
      </c>
      <c r="G245" s="1278" t="s">
        <v>1529</v>
      </c>
      <c r="H245" s="1300" t="s">
        <v>1528</v>
      </c>
      <c r="V245" s="2489"/>
      <c r="W245" s="261">
        <v>1106</v>
      </c>
      <c r="X245" s="261">
        <v>1106</v>
      </c>
      <c r="Y245" s="176">
        <v>1</v>
      </c>
      <c r="Z245" s="178">
        <v>1</v>
      </c>
      <c r="AA245" s="178">
        <v>1</v>
      </c>
      <c r="AB245" s="178">
        <v>1</v>
      </c>
      <c r="AC245" s="291">
        <v>1</v>
      </c>
      <c r="AD245" s="291">
        <v>1</v>
      </c>
      <c r="AE245" s="291">
        <v>1</v>
      </c>
      <c r="AF245" s="253">
        <f t="shared" si="46"/>
        <v>1</v>
      </c>
      <c r="AG245" s="261"/>
      <c r="AK245" s="339"/>
    </row>
    <row r="246" spans="1:37" hidden="1" outlineLevel="1" x14ac:dyDescent="0.25">
      <c r="A246" s="2147"/>
      <c r="D246" s="2638"/>
      <c r="E246" s="121" t="s">
        <v>1494</v>
      </c>
      <c r="F246" s="1474">
        <v>1</v>
      </c>
      <c r="G246" s="1278" t="s">
        <v>1529</v>
      </c>
      <c r="H246" s="1300" t="s">
        <v>1527</v>
      </c>
      <c r="V246" s="2489"/>
      <c r="W246" s="261">
        <f>0.65*1106</f>
        <v>718.9</v>
      </c>
      <c r="X246" s="261">
        <v>718.9</v>
      </c>
      <c r="Y246" s="176">
        <v>1</v>
      </c>
      <c r="Z246" s="178">
        <v>1</v>
      </c>
      <c r="AA246" s="178">
        <v>1</v>
      </c>
      <c r="AB246" s="178">
        <v>1</v>
      </c>
      <c r="AC246" s="291">
        <v>1</v>
      </c>
      <c r="AD246" s="291">
        <v>1</v>
      </c>
      <c r="AE246" s="291">
        <v>1</v>
      </c>
      <c r="AF246" s="253">
        <f t="shared" si="46"/>
        <v>1</v>
      </c>
      <c r="AG246" s="261"/>
      <c r="AK246" s="339"/>
    </row>
    <row r="247" spans="1:37" hidden="1" outlineLevel="1" x14ac:dyDescent="0.25">
      <c r="A247" s="2147"/>
      <c r="D247" s="2638"/>
      <c r="E247" s="121" t="s">
        <v>1496</v>
      </c>
      <c r="F247" s="1474">
        <v>1</v>
      </c>
      <c r="G247" s="1278" t="s">
        <v>1529</v>
      </c>
      <c r="H247" s="1300" t="s">
        <v>1527</v>
      </c>
      <c r="V247" s="2489"/>
      <c r="W247" s="261">
        <f>0.65*1106</f>
        <v>718.9</v>
      </c>
      <c r="X247" s="261">
        <v>718.9</v>
      </c>
      <c r="Y247" s="176">
        <v>1</v>
      </c>
      <c r="Z247" s="178">
        <v>1</v>
      </c>
      <c r="AA247" s="178">
        <v>1</v>
      </c>
      <c r="AB247" s="178">
        <v>1</v>
      </c>
      <c r="AC247" s="291">
        <v>1</v>
      </c>
      <c r="AD247" s="291">
        <v>1</v>
      </c>
      <c r="AE247" s="291">
        <v>1</v>
      </c>
      <c r="AF247" s="253">
        <f t="shared" si="46"/>
        <v>1</v>
      </c>
      <c r="AG247" s="261"/>
      <c r="AK247" s="339"/>
    </row>
    <row r="248" spans="1:37" hidden="1" outlineLevel="1" x14ac:dyDescent="0.25">
      <c r="A248" s="2147"/>
      <c r="D248" s="2638"/>
      <c r="E248" s="121" t="s">
        <v>1498</v>
      </c>
      <c r="F248" s="1474">
        <v>1</v>
      </c>
      <c r="G248" s="1278" t="s">
        <v>1529</v>
      </c>
      <c r="H248" s="1300" t="s">
        <v>1527</v>
      </c>
      <c r="V248" s="2489"/>
      <c r="W248" s="261">
        <f>0.65*1106</f>
        <v>718.9</v>
      </c>
      <c r="X248" s="261">
        <v>718.9</v>
      </c>
      <c r="Y248" s="176">
        <v>1</v>
      </c>
      <c r="Z248" s="178">
        <v>1</v>
      </c>
      <c r="AA248" s="178">
        <v>1</v>
      </c>
      <c r="AB248" s="178">
        <v>1</v>
      </c>
      <c r="AC248" s="291">
        <v>1</v>
      </c>
      <c r="AD248" s="291">
        <v>1</v>
      </c>
      <c r="AE248" s="291">
        <v>1</v>
      </c>
      <c r="AF248" s="253">
        <f t="shared" si="46"/>
        <v>1</v>
      </c>
      <c r="AG248" s="261"/>
      <c r="AK248" s="339"/>
    </row>
    <row r="249" spans="1:37" hidden="1" outlineLevel="1" x14ac:dyDescent="0.25">
      <c r="A249" s="2147"/>
      <c r="D249" s="2638"/>
      <c r="E249" s="121" t="s">
        <v>1500</v>
      </c>
      <c r="F249" s="1474">
        <v>1</v>
      </c>
      <c r="G249" s="1278" t="s">
        <v>1529</v>
      </c>
      <c r="H249" s="1300" t="s">
        <v>1528</v>
      </c>
      <c r="V249" s="2489"/>
      <c r="W249" s="261">
        <v>1106</v>
      </c>
      <c r="X249" s="261">
        <v>1106</v>
      </c>
      <c r="Y249" s="176">
        <v>1</v>
      </c>
      <c r="Z249" s="178">
        <v>1</v>
      </c>
      <c r="AA249" s="178">
        <v>1</v>
      </c>
      <c r="AB249" s="178">
        <v>1</v>
      </c>
      <c r="AC249" s="291">
        <v>1</v>
      </c>
      <c r="AD249" s="291">
        <v>1</v>
      </c>
      <c r="AE249" s="291">
        <v>1</v>
      </c>
      <c r="AF249" s="253">
        <f t="shared" si="46"/>
        <v>1</v>
      </c>
      <c r="AG249" s="261"/>
      <c r="AK249" s="339"/>
    </row>
    <row r="250" spans="1:37" hidden="1" outlineLevel="1" x14ac:dyDescent="0.25">
      <c r="A250" s="2147"/>
      <c r="D250" s="2638"/>
      <c r="E250" s="121" t="s">
        <v>1502</v>
      </c>
      <c r="F250" s="1474">
        <v>1</v>
      </c>
      <c r="G250" s="1278" t="s">
        <v>1529</v>
      </c>
      <c r="H250" s="1300" t="s">
        <v>1528</v>
      </c>
      <c r="V250" s="2489"/>
      <c r="W250" s="261">
        <v>1106</v>
      </c>
      <c r="X250" s="261">
        <v>1106</v>
      </c>
      <c r="Y250" s="176">
        <v>1</v>
      </c>
      <c r="Z250" s="178">
        <v>1</v>
      </c>
      <c r="AA250" s="178">
        <v>1</v>
      </c>
      <c r="AB250" s="178">
        <v>1</v>
      </c>
      <c r="AC250" s="291">
        <v>1</v>
      </c>
      <c r="AD250" s="291">
        <v>1</v>
      </c>
      <c r="AE250" s="291">
        <v>1</v>
      </c>
      <c r="AF250" s="253">
        <f t="shared" si="46"/>
        <v>1</v>
      </c>
      <c r="AG250" s="261"/>
      <c r="AK250" s="339"/>
    </row>
    <row r="251" spans="1:37" hidden="1" outlineLevel="1" x14ac:dyDescent="0.25">
      <c r="A251" s="2147"/>
      <c r="D251" s="2638"/>
      <c r="E251" s="121" t="s">
        <v>1504</v>
      </c>
      <c r="F251" s="1474">
        <v>1</v>
      </c>
      <c r="G251" s="1278" t="s">
        <v>1529</v>
      </c>
      <c r="H251" s="1300" t="s">
        <v>1528</v>
      </c>
      <c r="V251" s="2489"/>
      <c r="W251" s="261">
        <v>1106</v>
      </c>
      <c r="X251" s="261">
        <v>1106</v>
      </c>
      <c r="Y251" s="176">
        <v>1</v>
      </c>
      <c r="Z251" s="178">
        <v>1</v>
      </c>
      <c r="AA251" s="178">
        <v>1</v>
      </c>
      <c r="AB251" s="178">
        <v>1</v>
      </c>
      <c r="AC251" s="291">
        <v>1</v>
      </c>
      <c r="AD251" s="291">
        <v>1</v>
      </c>
      <c r="AE251" s="291">
        <v>1</v>
      </c>
      <c r="AF251" s="253">
        <f t="shared" si="46"/>
        <v>1</v>
      </c>
      <c r="AG251" s="261"/>
      <c r="AK251" s="339"/>
    </row>
    <row r="252" spans="1:37" hidden="1" outlineLevel="1" x14ac:dyDescent="0.25">
      <c r="A252" s="2147"/>
      <c r="D252" s="2638"/>
      <c r="E252" s="121" t="s">
        <v>1506</v>
      </c>
      <c r="F252" s="1474">
        <v>1</v>
      </c>
      <c r="G252" s="1278" t="s">
        <v>1529</v>
      </c>
      <c r="H252" s="1300" t="s">
        <v>1527</v>
      </c>
      <c r="V252" s="2489"/>
      <c r="W252" s="261">
        <f>0.65*1106</f>
        <v>718.9</v>
      </c>
      <c r="X252" s="261">
        <v>718.9</v>
      </c>
      <c r="Y252" s="176">
        <v>1</v>
      </c>
      <c r="Z252" s="178">
        <v>1</v>
      </c>
      <c r="AA252" s="178">
        <v>1</v>
      </c>
      <c r="AB252" s="178">
        <v>1</v>
      </c>
      <c r="AC252" s="291">
        <v>1</v>
      </c>
      <c r="AD252" s="291">
        <v>1</v>
      </c>
      <c r="AE252" s="291">
        <v>1</v>
      </c>
      <c r="AF252" s="253">
        <f t="shared" si="46"/>
        <v>1</v>
      </c>
      <c r="AG252" s="261"/>
      <c r="AK252" s="339"/>
    </row>
    <row r="253" spans="1:37" hidden="1" outlineLevel="1" x14ac:dyDescent="0.25">
      <c r="A253" s="2147"/>
      <c r="D253" s="2638"/>
      <c r="E253" s="121" t="s">
        <v>1508</v>
      </c>
      <c r="F253" s="1474">
        <v>1</v>
      </c>
      <c r="G253" s="1278" t="s">
        <v>1529</v>
      </c>
      <c r="H253" s="1300" t="s">
        <v>1527</v>
      </c>
      <c r="V253" s="2489"/>
      <c r="W253" s="261">
        <f>0.65*1106</f>
        <v>718.9</v>
      </c>
      <c r="X253" s="261">
        <v>718.9</v>
      </c>
      <c r="Y253" s="176">
        <v>1</v>
      </c>
      <c r="Z253" s="178">
        <v>1</v>
      </c>
      <c r="AA253" s="178">
        <v>1</v>
      </c>
      <c r="AB253" s="178">
        <v>1</v>
      </c>
      <c r="AC253" s="291">
        <v>1</v>
      </c>
      <c r="AD253" s="291">
        <v>1</v>
      </c>
      <c r="AE253" s="291">
        <v>1</v>
      </c>
      <c r="AF253" s="253">
        <f t="shared" si="46"/>
        <v>1</v>
      </c>
      <c r="AG253" s="261"/>
      <c r="AK253" s="339"/>
    </row>
    <row r="254" spans="1:37" hidden="1" outlineLevel="1" x14ac:dyDescent="0.25">
      <c r="A254" s="2147"/>
      <c r="D254" s="2638"/>
      <c r="E254" s="121" t="s">
        <v>1510</v>
      </c>
      <c r="F254" s="1474">
        <v>1</v>
      </c>
      <c r="G254" s="1278" t="s">
        <v>1529</v>
      </c>
      <c r="H254" s="1300" t="s">
        <v>1527</v>
      </c>
      <c r="V254" s="2489"/>
      <c r="W254" s="261">
        <f>0.65*1106</f>
        <v>718.9</v>
      </c>
      <c r="X254" s="261">
        <v>718.9</v>
      </c>
      <c r="Y254" s="176">
        <v>1</v>
      </c>
      <c r="Z254" s="178">
        <v>1</v>
      </c>
      <c r="AA254" s="178">
        <v>1</v>
      </c>
      <c r="AB254" s="178">
        <v>1</v>
      </c>
      <c r="AC254" s="291">
        <v>1</v>
      </c>
      <c r="AD254" s="291">
        <v>1</v>
      </c>
      <c r="AE254" s="291">
        <v>1</v>
      </c>
      <c r="AF254" s="253">
        <f t="shared" si="46"/>
        <v>1</v>
      </c>
      <c r="AG254" s="261"/>
      <c r="AK254" s="339"/>
    </row>
    <row r="255" spans="1:37" hidden="1" outlineLevel="1" x14ac:dyDescent="0.25">
      <c r="A255" s="2147"/>
      <c r="D255" s="2638"/>
      <c r="E255" s="121" t="s">
        <v>1512</v>
      </c>
      <c r="F255" s="1474">
        <v>1</v>
      </c>
      <c r="G255" s="1278" t="s">
        <v>1529</v>
      </c>
      <c r="H255" s="1300" t="s">
        <v>1528</v>
      </c>
      <c r="V255" s="2489"/>
      <c r="W255" s="261">
        <v>1106</v>
      </c>
      <c r="X255" s="261">
        <v>1106</v>
      </c>
      <c r="Y255" s="176">
        <v>1</v>
      </c>
      <c r="Z255" s="178">
        <v>1</v>
      </c>
      <c r="AA255" s="178">
        <v>1</v>
      </c>
      <c r="AB255" s="178">
        <v>1</v>
      </c>
      <c r="AC255" s="291">
        <v>1</v>
      </c>
      <c r="AD255" s="291">
        <v>1</v>
      </c>
      <c r="AE255" s="291">
        <v>1</v>
      </c>
      <c r="AF255" s="253">
        <f t="shared" si="46"/>
        <v>1</v>
      </c>
      <c r="AG255" s="261"/>
      <c r="AK255" s="339"/>
    </row>
    <row r="256" spans="1:37" hidden="1" outlineLevel="1" x14ac:dyDescent="0.25">
      <c r="A256" s="2147"/>
      <c r="D256" s="2638"/>
      <c r="E256" s="121" t="s">
        <v>1514</v>
      </c>
      <c r="F256" s="1474">
        <v>1</v>
      </c>
      <c r="G256" s="1278" t="s">
        <v>1529</v>
      </c>
      <c r="H256" s="1300" t="s">
        <v>1528</v>
      </c>
      <c r="V256" s="2489"/>
      <c r="W256" s="261">
        <v>1106</v>
      </c>
      <c r="X256" s="261">
        <v>1106</v>
      </c>
      <c r="Y256" s="176">
        <v>1</v>
      </c>
      <c r="Z256" s="178">
        <v>1</v>
      </c>
      <c r="AA256" s="178">
        <v>1</v>
      </c>
      <c r="AB256" s="178">
        <v>1</v>
      </c>
      <c r="AC256" s="291">
        <v>1</v>
      </c>
      <c r="AD256" s="291">
        <v>1</v>
      </c>
      <c r="AE256" s="291">
        <v>1</v>
      </c>
      <c r="AF256" s="253">
        <f t="shared" si="46"/>
        <v>1</v>
      </c>
      <c r="AG256" s="261"/>
      <c r="AK256" s="339"/>
    </row>
    <row r="257" spans="1:37" hidden="1" outlineLevel="1" x14ac:dyDescent="0.25">
      <c r="A257" s="2147"/>
      <c r="D257" s="2638"/>
      <c r="E257" s="121" t="s">
        <v>1516</v>
      </c>
      <c r="F257" s="1474">
        <v>1</v>
      </c>
      <c r="G257" s="1278" t="s">
        <v>1529</v>
      </c>
      <c r="H257" s="1300" t="s">
        <v>1528</v>
      </c>
      <c r="V257" s="2636"/>
      <c r="W257" s="261">
        <v>1106</v>
      </c>
      <c r="X257" s="261">
        <v>1106</v>
      </c>
      <c r="Y257" s="176">
        <v>1</v>
      </c>
      <c r="Z257" s="178">
        <v>1</v>
      </c>
      <c r="AA257" s="178">
        <v>1</v>
      </c>
      <c r="AB257" s="178">
        <v>1</v>
      </c>
      <c r="AC257" s="291">
        <v>1</v>
      </c>
      <c r="AD257" s="291">
        <v>1</v>
      </c>
      <c r="AE257" s="291">
        <v>1</v>
      </c>
      <c r="AF257" s="253">
        <f t="shared" si="46"/>
        <v>1</v>
      </c>
      <c r="AG257" s="261"/>
      <c r="AK257" s="339"/>
    </row>
    <row r="258" spans="1:37" ht="75" hidden="1" outlineLevel="1" x14ac:dyDescent="0.25">
      <c r="A258" s="2147"/>
      <c r="D258" s="1263" t="s">
        <v>1530</v>
      </c>
      <c r="E258" s="121" t="s">
        <v>742</v>
      </c>
      <c r="F258" s="1458">
        <v>7.0000000000000007E-2</v>
      </c>
      <c r="G258" s="1278" t="s">
        <v>1531</v>
      </c>
      <c r="H258" s="1300"/>
      <c r="V258" s="271" t="str">
        <f>D258</f>
        <v>Framing FactorAttic</v>
      </c>
      <c r="W258" s="269">
        <v>7.0000000000000007E-2</v>
      </c>
      <c r="X258" s="269">
        <v>7.0000000000000007E-2</v>
      </c>
      <c r="Y258" s="269">
        <v>7.0000000000000007E-2</v>
      </c>
      <c r="Z258" s="295">
        <v>7.0000000000000007E-2</v>
      </c>
      <c r="AA258" s="295">
        <v>7.0000000000000007E-2</v>
      </c>
      <c r="AB258" s="295">
        <v>7.0000000000000007E-2</v>
      </c>
      <c r="AC258" s="295">
        <v>7.0000000000000007E-2</v>
      </c>
      <c r="AD258" s="295">
        <v>7.0000000000000007E-2</v>
      </c>
      <c r="AE258" s="295">
        <v>7.0000000000000007E-2</v>
      </c>
      <c r="AF258" s="253">
        <f t="shared" si="46"/>
        <v>7.0000000000000007E-2</v>
      </c>
      <c r="AG258" s="269"/>
      <c r="AK258" s="339"/>
    </row>
    <row r="259" spans="1:37" hidden="1" outlineLevel="1" x14ac:dyDescent="0.25">
      <c r="A259" s="2147"/>
      <c r="D259" s="1263" t="s">
        <v>1532</v>
      </c>
      <c r="E259" s="121" t="s">
        <v>742</v>
      </c>
      <c r="F259" s="1454">
        <v>4486</v>
      </c>
      <c r="G259" s="1278" t="s">
        <v>755</v>
      </c>
      <c r="H259" s="1300" t="s">
        <v>1533</v>
      </c>
      <c r="V259" s="271" t="str">
        <f>D259</f>
        <v>HDD</v>
      </c>
      <c r="W259" s="261">
        <v>4486</v>
      </c>
      <c r="X259" s="261">
        <v>4486</v>
      </c>
      <c r="Y259" s="261">
        <v>4486</v>
      </c>
      <c r="Z259" s="422">
        <v>4486</v>
      </c>
      <c r="AA259" s="422">
        <v>4486</v>
      </c>
      <c r="AB259" s="422">
        <v>4486</v>
      </c>
      <c r="AC259" s="422">
        <v>4486</v>
      </c>
      <c r="AD259" s="422">
        <v>4486</v>
      </c>
      <c r="AE259" s="422">
        <v>4486</v>
      </c>
      <c r="AF259" s="253">
        <f t="shared" si="46"/>
        <v>4486</v>
      </c>
      <c r="AG259" s="261"/>
      <c r="AK259" s="339"/>
    </row>
    <row r="260" spans="1:37" ht="30" hidden="1" outlineLevel="1" x14ac:dyDescent="0.25">
      <c r="A260" s="2147"/>
      <c r="D260" s="1263" t="s">
        <v>1534</v>
      </c>
      <c r="E260" s="121" t="s">
        <v>742</v>
      </c>
      <c r="F260" s="1458">
        <v>1.1399999999999999</v>
      </c>
      <c r="G260" s="1278" t="s">
        <v>1535</v>
      </c>
      <c r="H260" s="1300"/>
      <c r="V260" s="271" t="str">
        <f>D260</f>
        <v>AdjAtticCool</v>
      </c>
      <c r="W260" s="269">
        <v>0.74</v>
      </c>
      <c r="X260" s="269">
        <v>0.74</v>
      </c>
      <c r="Y260" s="269">
        <v>0.74</v>
      </c>
      <c r="Z260" s="295">
        <v>0.74</v>
      </c>
      <c r="AA260" s="295">
        <v>0.74</v>
      </c>
      <c r="AB260" s="295">
        <v>0.74</v>
      </c>
      <c r="AC260" s="295">
        <v>0.74</v>
      </c>
      <c r="AD260" s="295">
        <v>0.74</v>
      </c>
      <c r="AE260" s="295">
        <v>0.74</v>
      </c>
      <c r="AF260" s="253">
        <f t="shared" si="46"/>
        <v>1.1399999999999999</v>
      </c>
      <c r="AG260" s="269"/>
      <c r="AK260" s="339"/>
    </row>
    <row r="261" spans="1:37" ht="30" hidden="1" outlineLevel="1" x14ac:dyDescent="0.25">
      <c r="A261" s="2147"/>
      <c r="D261" s="1263" t="s">
        <v>1536</v>
      </c>
      <c r="E261" s="121" t="s">
        <v>742</v>
      </c>
      <c r="F261" s="1458">
        <v>0.63</v>
      </c>
      <c r="G261" s="1278" t="s">
        <v>1535</v>
      </c>
      <c r="H261" s="1300"/>
      <c r="V261" s="1287"/>
      <c r="W261" s="269"/>
      <c r="X261" s="269"/>
      <c r="Y261" s="269"/>
      <c r="Z261" s="295"/>
      <c r="AA261" s="295"/>
      <c r="AB261" s="295"/>
      <c r="AC261" s="295"/>
      <c r="AD261" s="295"/>
      <c r="AE261" s="295"/>
      <c r="AF261" s="253">
        <f t="shared" si="46"/>
        <v>0.63</v>
      </c>
      <c r="AG261" s="269"/>
      <c r="AK261" s="339"/>
    </row>
    <row r="262" spans="1:37" hidden="1" outlineLevel="1" x14ac:dyDescent="0.25">
      <c r="A262" s="2147"/>
      <c r="D262" s="2638" t="s">
        <v>1537</v>
      </c>
      <c r="E262" s="121" t="s">
        <v>1458</v>
      </c>
      <c r="F262" s="1475">
        <v>1</v>
      </c>
      <c r="G262" s="2637" t="s">
        <v>1538</v>
      </c>
      <c r="H262" s="2662"/>
      <c r="V262" s="2488" t="str">
        <f>D262</f>
        <v>ƞheat</v>
      </c>
      <c r="W262" s="272">
        <v>1</v>
      </c>
      <c r="X262" s="272">
        <v>1</v>
      </c>
      <c r="Y262" s="272">
        <v>1</v>
      </c>
      <c r="Z262" s="291">
        <v>1</v>
      </c>
      <c r="AA262" s="291">
        <v>1</v>
      </c>
      <c r="AB262" s="291">
        <v>1</v>
      </c>
      <c r="AC262" s="291">
        <v>1</v>
      </c>
      <c r="AD262" s="291">
        <v>1</v>
      </c>
      <c r="AE262" s="291">
        <v>1</v>
      </c>
      <c r="AF262" s="253">
        <f t="shared" si="46"/>
        <v>1</v>
      </c>
      <c r="AG262" s="272"/>
      <c r="AK262" s="339"/>
    </row>
    <row r="263" spans="1:37" hidden="1" outlineLevel="1" x14ac:dyDescent="0.25">
      <c r="A263" s="2147"/>
      <c r="D263" s="2638"/>
      <c r="E263" s="121" t="s">
        <v>1460</v>
      </c>
      <c r="F263" s="1475">
        <v>1.62</v>
      </c>
      <c r="G263" s="2637"/>
      <c r="H263" s="2383"/>
      <c r="V263" s="2489"/>
      <c r="W263" s="272">
        <f>7/3.412*0.85</f>
        <v>1.7438452520515826</v>
      </c>
      <c r="X263" s="272">
        <v>1.7438452520515826</v>
      </c>
      <c r="Y263" s="272">
        <v>1.7438452520515826</v>
      </c>
      <c r="Z263" s="291">
        <v>1.7438452520515826</v>
      </c>
      <c r="AA263" s="291">
        <v>1.7438452520515826</v>
      </c>
      <c r="AB263" s="291">
        <v>1.7438452520515826</v>
      </c>
      <c r="AC263" s="291">
        <v>1.7438452520515826</v>
      </c>
      <c r="AD263" s="291">
        <v>1.7438452520515826</v>
      </c>
      <c r="AE263" s="291">
        <v>1.7438452520515826</v>
      </c>
      <c r="AF263" s="253">
        <f t="shared" si="46"/>
        <v>1.62</v>
      </c>
      <c r="AG263" s="272"/>
      <c r="AK263" s="339"/>
    </row>
    <row r="264" spans="1:37" hidden="1" outlineLevel="1" x14ac:dyDescent="0.25">
      <c r="A264" s="2147"/>
      <c r="D264" s="2638"/>
      <c r="E264" s="121" t="s">
        <v>1462</v>
      </c>
      <c r="F264" s="1482">
        <v>0.71</v>
      </c>
      <c r="G264" s="2637"/>
      <c r="H264" s="2383"/>
      <c r="V264" s="2489"/>
      <c r="W264" s="273">
        <v>0.71</v>
      </c>
      <c r="X264" s="273">
        <v>0.71</v>
      </c>
      <c r="Y264" s="273">
        <v>0.71</v>
      </c>
      <c r="Z264" s="294">
        <v>0.71</v>
      </c>
      <c r="AA264" s="294">
        <v>0.71</v>
      </c>
      <c r="AB264" s="294">
        <v>0.71</v>
      </c>
      <c r="AC264" s="294">
        <v>0.71</v>
      </c>
      <c r="AD264" s="294">
        <v>0.71</v>
      </c>
      <c r="AE264" s="294">
        <v>0.71</v>
      </c>
      <c r="AF264" s="253">
        <f t="shared" si="46"/>
        <v>0.71</v>
      </c>
      <c r="AG264" s="273"/>
      <c r="AK264" s="339"/>
    </row>
    <row r="265" spans="1:37" hidden="1" outlineLevel="1" x14ac:dyDescent="0.25">
      <c r="A265" s="2147"/>
      <c r="D265" s="2638"/>
      <c r="E265" s="121" t="s">
        <v>1464</v>
      </c>
      <c r="F265" s="1475">
        <v>1</v>
      </c>
      <c r="G265" s="2637"/>
      <c r="H265" s="2383"/>
      <c r="V265" s="2489"/>
      <c r="W265" s="272">
        <v>1</v>
      </c>
      <c r="X265" s="272">
        <v>1</v>
      </c>
      <c r="Y265" s="272">
        <v>1</v>
      </c>
      <c r="Z265" s="291">
        <v>1</v>
      </c>
      <c r="AA265" s="291">
        <v>1</v>
      </c>
      <c r="AB265" s="291">
        <v>1</v>
      </c>
      <c r="AC265" s="291">
        <v>1</v>
      </c>
      <c r="AD265" s="291">
        <v>1</v>
      </c>
      <c r="AE265" s="291">
        <v>1</v>
      </c>
      <c r="AF265" s="253">
        <f t="shared" si="46"/>
        <v>1</v>
      </c>
      <c r="AG265" s="272"/>
      <c r="AK265" s="339"/>
    </row>
    <row r="266" spans="1:37" hidden="1" outlineLevel="1" x14ac:dyDescent="0.25">
      <c r="A266" s="2147"/>
      <c r="D266" s="2638"/>
      <c r="E266" s="121" t="s">
        <v>1466</v>
      </c>
      <c r="F266" s="1475">
        <v>1.62</v>
      </c>
      <c r="G266" s="2637"/>
      <c r="H266" s="2383"/>
      <c r="V266" s="2489"/>
      <c r="W266" s="272">
        <f>7/3.412*0.85</f>
        <v>1.7438452520515826</v>
      </c>
      <c r="X266" s="272">
        <v>1.7438452520515826</v>
      </c>
      <c r="Y266" s="272">
        <v>1.7438452520515826</v>
      </c>
      <c r="Z266" s="291">
        <v>1.7438452520515826</v>
      </c>
      <c r="AA266" s="291">
        <v>1.7438452520515826</v>
      </c>
      <c r="AB266" s="291">
        <v>1.7438452520515826</v>
      </c>
      <c r="AC266" s="291">
        <v>1.7438452520515826</v>
      </c>
      <c r="AD266" s="291">
        <v>1.7438452520515826</v>
      </c>
      <c r="AE266" s="291">
        <v>1.7438452520515826</v>
      </c>
      <c r="AF266" s="253">
        <f t="shared" ref="AF266:AF329" si="47">IF(F266&lt;&gt;"",F266,"")</f>
        <v>1.62</v>
      </c>
      <c r="AG266" s="272"/>
      <c r="AK266" s="339"/>
    </row>
    <row r="267" spans="1:37" hidden="1" outlineLevel="1" x14ac:dyDescent="0.25">
      <c r="A267" s="2147"/>
      <c r="D267" s="2638"/>
      <c r="E267" s="121" t="s">
        <v>1468</v>
      </c>
      <c r="F267" s="1482">
        <v>0.71</v>
      </c>
      <c r="G267" s="2637"/>
      <c r="H267" s="2383"/>
      <c r="V267" s="2489"/>
      <c r="W267" s="273">
        <v>0.71</v>
      </c>
      <c r="X267" s="273">
        <v>0.71</v>
      </c>
      <c r="Y267" s="273">
        <v>0.71</v>
      </c>
      <c r="Z267" s="294">
        <v>0.71</v>
      </c>
      <c r="AA267" s="294">
        <v>0.71</v>
      </c>
      <c r="AB267" s="294">
        <v>0.71</v>
      </c>
      <c r="AC267" s="294">
        <v>0.71</v>
      </c>
      <c r="AD267" s="294">
        <v>0.71</v>
      </c>
      <c r="AE267" s="294">
        <v>0.71</v>
      </c>
      <c r="AF267" s="253">
        <f t="shared" si="47"/>
        <v>0.71</v>
      </c>
      <c r="AG267" s="273"/>
      <c r="AK267" s="339"/>
    </row>
    <row r="268" spans="1:37" hidden="1" outlineLevel="1" x14ac:dyDescent="0.25">
      <c r="A268" s="2147"/>
      <c r="D268" s="2638"/>
      <c r="E268" s="121" t="s">
        <v>1470</v>
      </c>
      <c r="F268" s="1475">
        <v>1</v>
      </c>
      <c r="G268" s="2637"/>
      <c r="H268" s="2383"/>
      <c r="V268" s="2489"/>
      <c r="W268" s="272">
        <v>1</v>
      </c>
      <c r="X268" s="272">
        <v>1</v>
      </c>
      <c r="Y268" s="272">
        <v>1</v>
      </c>
      <c r="Z268" s="291">
        <v>1</v>
      </c>
      <c r="AA268" s="291">
        <v>1</v>
      </c>
      <c r="AB268" s="291">
        <v>1</v>
      </c>
      <c r="AC268" s="291">
        <v>1</v>
      </c>
      <c r="AD268" s="291">
        <v>1</v>
      </c>
      <c r="AE268" s="291">
        <v>1</v>
      </c>
      <c r="AF268" s="253">
        <f t="shared" si="47"/>
        <v>1</v>
      </c>
      <c r="AG268" s="272"/>
      <c r="AK268" s="339"/>
    </row>
    <row r="269" spans="1:37" hidden="1" outlineLevel="1" x14ac:dyDescent="0.25">
      <c r="A269" s="2147"/>
      <c r="D269" s="2638"/>
      <c r="E269" s="121" t="s">
        <v>1472</v>
      </c>
      <c r="F269" s="1475">
        <v>1.62</v>
      </c>
      <c r="G269" s="2637"/>
      <c r="H269" s="2383"/>
      <c r="V269" s="2489"/>
      <c r="W269" s="272">
        <f>7/3.412*0.85</f>
        <v>1.7438452520515826</v>
      </c>
      <c r="X269" s="272">
        <v>1.7438452520515826</v>
      </c>
      <c r="Y269" s="272">
        <v>1.7438452520515826</v>
      </c>
      <c r="Z269" s="291">
        <v>1.7438452520515826</v>
      </c>
      <c r="AA269" s="291">
        <v>1.7438452520515826</v>
      </c>
      <c r="AB269" s="291">
        <v>1.7438452520515826</v>
      </c>
      <c r="AC269" s="291">
        <v>1.7438452520515826</v>
      </c>
      <c r="AD269" s="291">
        <v>1.7438452520515826</v>
      </c>
      <c r="AE269" s="291">
        <v>1.7438452520515826</v>
      </c>
      <c r="AF269" s="253">
        <f t="shared" si="47"/>
        <v>1.62</v>
      </c>
      <c r="AG269" s="272"/>
      <c r="AK269" s="339"/>
    </row>
    <row r="270" spans="1:37" hidden="1" outlineLevel="1" x14ac:dyDescent="0.25">
      <c r="A270" s="2147"/>
      <c r="D270" s="2638"/>
      <c r="E270" s="121" t="s">
        <v>1474</v>
      </c>
      <c r="F270" s="1482">
        <v>0.71</v>
      </c>
      <c r="G270" s="2637"/>
      <c r="H270" s="2383"/>
      <c r="V270" s="2489"/>
      <c r="W270" s="273">
        <v>0.71</v>
      </c>
      <c r="X270" s="273">
        <v>0.71</v>
      </c>
      <c r="Y270" s="273">
        <v>0.71</v>
      </c>
      <c r="Z270" s="294">
        <v>0.71</v>
      </c>
      <c r="AA270" s="294">
        <v>0.71</v>
      </c>
      <c r="AB270" s="294">
        <v>0.71</v>
      </c>
      <c r="AC270" s="294">
        <v>0.71</v>
      </c>
      <c r="AD270" s="294">
        <v>0.71</v>
      </c>
      <c r="AE270" s="294">
        <v>0.71</v>
      </c>
      <c r="AF270" s="253">
        <f t="shared" si="47"/>
        <v>0.71</v>
      </c>
      <c r="AG270" s="273"/>
      <c r="AK270" s="339"/>
    </row>
    <row r="271" spans="1:37" hidden="1" outlineLevel="1" x14ac:dyDescent="0.25">
      <c r="A271" s="2147"/>
      <c r="D271" s="2638"/>
      <c r="E271" s="121" t="s">
        <v>1476</v>
      </c>
      <c r="F271" s="1475">
        <v>1</v>
      </c>
      <c r="G271" s="2637"/>
      <c r="H271" s="2383"/>
      <c r="V271" s="2489"/>
      <c r="W271" s="272">
        <v>1</v>
      </c>
      <c r="X271" s="272">
        <v>1</v>
      </c>
      <c r="Y271" s="272">
        <v>1</v>
      </c>
      <c r="Z271" s="291">
        <v>1</v>
      </c>
      <c r="AA271" s="291">
        <v>1</v>
      </c>
      <c r="AB271" s="291">
        <v>1</v>
      </c>
      <c r="AC271" s="291">
        <v>1</v>
      </c>
      <c r="AD271" s="291">
        <v>1</v>
      </c>
      <c r="AE271" s="291">
        <v>1</v>
      </c>
      <c r="AF271" s="253">
        <f t="shared" si="47"/>
        <v>1</v>
      </c>
      <c r="AG271" s="272"/>
      <c r="AK271" s="339"/>
    </row>
    <row r="272" spans="1:37" hidden="1" outlineLevel="1" x14ac:dyDescent="0.25">
      <c r="A272" s="2147"/>
      <c r="D272" s="2638"/>
      <c r="E272" s="121" t="s">
        <v>1478</v>
      </c>
      <c r="F272" s="1475">
        <v>1.62</v>
      </c>
      <c r="G272" s="2637"/>
      <c r="H272" s="2383"/>
      <c r="V272" s="2489"/>
      <c r="W272" s="272">
        <f>7/3.412*0.85</f>
        <v>1.7438452520515826</v>
      </c>
      <c r="X272" s="272">
        <v>1.7438452520515826</v>
      </c>
      <c r="Y272" s="272">
        <v>1.7438452520515826</v>
      </c>
      <c r="Z272" s="291">
        <v>1.7438452520515826</v>
      </c>
      <c r="AA272" s="291">
        <v>1.7438452520515826</v>
      </c>
      <c r="AB272" s="291">
        <v>1.7438452520515826</v>
      </c>
      <c r="AC272" s="291">
        <v>1.7438452520515826</v>
      </c>
      <c r="AD272" s="291">
        <v>1.7438452520515826</v>
      </c>
      <c r="AE272" s="291">
        <v>1.7438452520515826</v>
      </c>
      <c r="AF272" s="253">
        <f t="shared" si="47"/>
        <v>1.62</v>
      </c>
      <c r="AG272" s="272"/>
      <c r="AK272" s="339"/>
    </row>
    <row r="273" spans="1:37" hidden="1" outlineLevel="1" x14ac:dyDescent="0.25">
      <c r="A273" s="2147"/>
      <c r="D273" s="2638"/>
      <c r="E273" s="121" t="s">
        <v>1480</v>
      </c>
      <c r="F273" s="1482">
        <v>0.71</v>
      </c>
      <c r="G273" s="2637"/>
      <c r="H273" s="2383"/>
      <c r="V273" s="2489"/>
      <c r="W273" s="273">
        <v>0.71</v>
      </c>
      <c r="X273" s="273">
        <v>0.71</v>
      </c>
      <c r="Y273" s="273">
        <v>0.71</v>
      </c>
      <c r="Z273" s="294">
        <v>0.71</v>
      </c>
      <c r="AA273" s="294">
        <v>0.71</v>
      </c>
      <c r="AB273" s="294">
        <v>0.71</v>
      </c>
      <c r="AC273" s="294">
        <v>0.71</v>
      </c>
      <c r="AD273" s="294">
        <v>0.71</v>
      </c>
      <c r="AE273" s="294">
        <v>0.71</v>
      </c>
      <c r="AF273" s="253">
        <f t="shared" si="47"/>
        <v>0.71</v>
      </c>
      <c r="AG273" s="273"/>
      <c r="AK273" s="339"/>
    </row>
    <row r="274" spans="1:37" hidden="1" outlineLevel="1" x14ac:dyDescent="0.25">
      <c r="A274" s="2147"/>
      <c r="D274" s="2638"/>
      <c r="E274" s="121" t="s">
        <v>1482</v>
      </c>
      <c r="F274" s="1475">
        <v>1</v>
      </c>
      <c r="G274" s="2637"/>
      <c r="H274" s="2383"/>
      <c r="V274" s="2489"/>
      <c r="W274" s="272">
        <v>1</v>
      </c>
      <c r="X274" s="272">
        <v>1</v>
      </c>
      <c r="Y274" s="272">
        <v>1</v>
      </c>
      <c r="Z274" s="291">
        <v>1</v>
      </c>
      <c r="AA274" s="291">
        <v>1</v>
      </c>
      <c r="AB274" s="291">
        <v>1</v>
      </c>
      <c r="AC274" s="291">
        <v>1</v>
      </c>
      <c r="AD274" s="291">
        <v>1</v>
      </c>
      <c r="AE274" s="291">
        <v>1</v>
      </c>
      <c r="AF274" s="253">
        <f t="shared" si="47"/>
        <v>1</v>
      </c>
      <c r="AG274" s="272"/>
      <c r="AK274" s="339"/>
    </row>
    <row r="275" spans="1:37" hidden="1" outlineLevel="1" x14ac:dyDescent="0.25">
      <c r="A275" s="2147"/>
      <c r="D275" s="2638"/>
      <c r="E275" s="121" t="s">
        <v>1484</v>
      </c>
      <c r="F275" s="1475">
        <v>1.62</v>
      </c>
      <c r="G275" s="2637"/>
      <c r="H275" s="2383"/>
      <c r="V275" s="2489"/>
      <c r="W275" s="272">
        <f>7/3.412*0.85</f>
        <v>1.7438452520515826</v>
      </c>
      <c r="X275" s="272">
        <v>1.7438452520515826</v>
      </c>
      <c r="Y275" s="272">
        <v>1.7438452520515826</v>
      </c>
      <c r="Z275" s="291">
        <v>1.7438452520515826</v>
      </c>
      <c r="AA275" s="291">
        <v>1.7438452520515826</v>
      </c>
      <c r="AB275" s="291">
        <v>1.7438452520515826</v>
      </c>
      <c r="AC275" s="291">
        <v>1.7438452520515826</v>
      </c>
      <c r="AD275" s="291">
        <v>1.7438452520515826</v>
      </c>
      <c r="AE275" s="291">
        <v>1.7438452520515826</v>
      </c>
      <c r="AF275" s="253">
        <f t="shared" si="47"/>
        <v>1.62</v>
      </c>
      <c r="AG275" s="272"/>
      <c r="AK275" s="339"/>
    </row>
    <row r="276" spans="1:37" hidden="1" outlineLevel="1" x14ac:dyDescent="0.25">
      <c r="A276" s="2147"/>
      <c r="D276" s="2638"/>
      <c r="E276" s="121" t="s">
        <v>1486</v>
      </c>
      <c r="F276" s="1482">
        <v>0.71</v>
      </c>
      <c r="G276" s="2637"/>
      <c r="H276" s="2383"/>
      <c r="V276" s="2489"/>
      <c r="W276" s="273">
        <v>0.71</v>
      </c>
      <c r="X276" s="273">
        <v>0.71</v>
      </c>
      <c r="Y276" s="273">
        <v>0.71</v>
      </c>
      <c r="Z276" s="294">
        <v>0.71</v>
      </c>
      <c r="AA276" s="294">
        <v>0.71</v>
      </c>
      <c r="AB276" s="294">
        <v>0.71</v>
      </c>
      <c r="AC276" s="294">
        <v>0.71</v>
      </c>
      <c r="AD276" s="294">
        <v>0.71</v>
      </c>
      <c r="AE276" s="294">
        <v>0.71</v>
      </c>
      <c r="AF276" s="253">
        <f t="shared" si="47"/>
        <v>0.71</v>
      </c>
      <c r="AG276" s="273"/>
      <c r="AK276" s="339"/>
    </row>
    <row r="277" spans="1:37" hidden="1" outlineLevel="1" x14ac:dyDescent="0.25">
      <c r="A277" s="2147"/>
      <c r="D277" s="2638"/>
      <c r="E277" s="121" t="s">
        <v>1488</v>
      </c>
      <c r="F277" s="1475">
        <v>1</v>
      </c>
      <c r="G277" s="2637"/>
      <c r="H277" s="2383"/>
      <c r="V277" s="2489"/>
      <c r="W277" s="272">
        <v>1</v>
      </c>
      <c r="X277" s="272">
        <v>1</v>
      </c>
      <c r="Y277" s="272">
        <v>1</v>
      </c>
      <c r="Z277" s="291">
        <v>1</v>
      </c>
      <c r="AA277" s="291">
        <v>1</v>
      </c>
      <c r="AB277" s="291">
        <v>1</v>
      </c>
      <c r="AC277" s="291">
        <v>1</v>
      </c>
      <c r="AD277" s="291">
        <v>1</v>
      </c>
      <c r="AE277" s="291">
        <v>1</v>
      </c>
      <c r="AF277" s="253">
        <f t="shared" si="47"/>
        <v>1</v>
      </c>
      <c r="AG277" s="272"/>
      <c r="AK277" s="339"/>
    </row>
    <row r="278" spans="1:37" hidden="1" outlineLevel="1" x14ac:dyDescent="0.25">
      <c r="A278" s="2147"/>
      <c r="D278" s="2638"/>
      <c r="E278" s="121" t="s">
        <v>1490</v>
      </c>
      <c r="F278" s="1475">
        <v>1.62</v>
      </c>
      <c r="G278" s="2637"/>
      <c r="H278" s="2383"/>
      <c r="V278" s="2489"/>
      <c r="W278" s="272">
        <f>7/3.412*0.85</f>
        <v>1.7438452520515826</v>
      </c>
      <c r="X278" s="272">
        <v>1.7438452520515826</v>
      </c>
      <c r="Y278" s="272">
        <v>1.7438452520515826</v>
      </c>
      <c r="Z278" s="291">
        <v>1.7438452520515826</v>
      </c>
      <c r="AA278" s="291">
        <v>1.7438452520515826</v>
      </c>
      <c r="AB278" s="291">
        <v>1.7438452520515826</v>
      </c>
      <c r="AC278" s="291">
        <v>1.7438452520515826</v>
      </c>
      <c r="AD278" s="291">
        <v>1.7438452520515826</v>
      </c>
      <c r="AE278" s="291">
        <v>1.7438452520515826</v>
      </c>
      <c r="AF278" s="253">
        <f t="shared" si="47"/>
        <v>1.62</v>
      </c>
      <c r="AG278" s="272"/>
      <c r="AK278" s="339"/>
    </row>
    <row r="279" spans="1:37" hidden="1" outlineLevel="1" x14ac:dyDescent="0.25">
      <c r="A279" s="2147"/>
      <c r="D279" s="2638"/>
      <c r="E279" s="121" t="s">
        <v>1492</v>
      </c>
      <c r="F279" s="1482">
        <v>0.71</v>
      </c>
      <c r="G279" s="2637"/>
      <c r="H279" s="2383"/>
      <c r="V279" s="2489"/>
      <c r="W279" s="273">
        <v>0.71</v>
      </c>
      <c r="X279" s="273">
        <v>0.71</v>
      </c>
      <c r="Y279" s="273">
        <v>0.71</v>
      </c>
      <c r="Z279" s="294">
        <v>0.71</v>
      </c>
      <c r="AA279" s="294">
        <v>0.71</v>
      </c>
      <c r="AB279" s="294">
        <v>0.71</v>
      </c>
      <c r="AC279" s="294">
        <v>0.71</v>
      </c>
      <c r="AD279" s="294">
        <v>0.71</v>
      </c>
      <c r="AE279" s="294">
        <v>0.71</v>
      </c>
      <c r="AF279" s="253">
        <f t="shared" si="47"/>
        <v>0.71</v>
      </c>
      <c r="AG279" s="273"/>
      <c r="AK279" s="339"/>
    </row>
    <row r="280" spans="1:37" hidden="1" outlineLevel="1" x14ac:dyDescent="0.25">
      <c r="A280" s="2147"/>
      <c r="D280" s="2638"/>
      <c r="E280" s="121" t="s">
        <v>1494</v>
      </c>
      <c r="F280" s="1475">
        <v>1</v>
      </c>
      <c r="G280" s="2637"/>
      <c r="H280" s="2383"/>
      <c r="V280" s="2489"/>
      <c r="W280" s="272">
        <v>1</v>
      </c>
      <c r="X280" s="272">
        <v>1</v>
      </c>
      <c r="Y280" s="272">
        <v>1</v>
      </c>
      <c r="Z280" s="291">
        <v>1</v>
      </c>
      <c r="AA280" s="291">
        <v>1</v>
      </c>
      <c r="AB280" s="291">
        <v>1</v>
      </c>
      <c r="AC280" s="291">
        <v>1</v>
      </c>
      <c r="AD280" s="291">
        <v>1</v>
      </c>
      <c r="AE280" s="291">
        <v>1</v>
      </c>
      <c r="AF280" s="253">
        <f t="shared" si="47"/>
        <v>1</v>
      </c>
      <c r="AG280" s="272"/>
      <c r="AK280" s="339"/>
    </row>
    <row r="281" spans="1:37" hidden="1" outlineLevel="1" x14ac:dyDescent="0.25">
      <c r="A281" s="2147"/>
      <c r="D281" s="2638"/>
      <c r="E281" s="121" t="s">
        <v>1496</v>
      </c>
      <c r="F281" s="1475">
        <v>1.62</v>
      </c>
      <c r="G281" s="2637"/>
      <c r="H281" s="2383"/>
      <c r="V281" s="2489"/>
      <c r="W281" s="272">
        <f>7/3.412*0.85</f>
        <v>1.7438452520515826</v>
      </c>
      <c r="X281" s="272">
        <v>1.7438452520515826</v>
      </c>
      <c r="Y281" s="272">
        <v>1.7438452520515826</v>
      </c>
      <c r="Z281" s="291">
        <v>1.7438452520515826</v>
      </c>
      <c r="AA281" s="291">
        <v>1.7438452520515826</v>
      </c>
      <c r="AB281" s="291">
        <v>1.7438452520515826</v>
      </c>
      <c r="AC281" s="291">
        <v>1.7438452520515826</v>
      </c>
      <c r="AD281" s="291">
        <v>1.7438452520515826</v>
      </c>
      <c r="AE281" s="291">
        <v>1.7438452520515826</v>
      </c>
      <c r="AF281" s="253">
        <f t="shared" si="47"/>
        <v>1.62</v>
      </c>
      <c r="AG281" s="272"/>
      <c r="AK281" s="339"/>
    </row>
    <row r="282" spans="1:37" hidden="1" outlineLevel="1" x14ac:dyDescent="0.25">
      <c r="A282" s="2147"/>
      <c r="D282" s="2638"/>
      <c r="E282" s="121" t="s">
        <v>1498</v>
      </c>
      <c r="F282" s="1482">
        <v>0.71</v>
      </c>
      <c r="G282" s="2637"/>
      <c r="H282" s="2383"/>
      <c r="V282" s="2489"/>
      <c r="W282" s="273">
        <v>0.71</v>
      </c>
      <c r="X282" s="273">
        <v>0.71</v>
      </c>
      <c r="Y282" s="273">
        <v>0.71</v>
      </c>
      <c r="Z282" s="294">
        <v>0.71</v>
      </c>
      <c r="AA282" s="294">
        <v>0.71</v>
      </c>
      <c r="AB282" s="294">
        <v>0.71</v>
      </c>
      <c r="AC282" s="294">
        <v>0.71</v>
      </c>
      <c r="AD282" s="294">
        <v>0.71</v>
      </c>
      <c r="AE282" s="294">
        <v>0.71</v>
      </c>
      <c r="AF282" s="253">
        <f t="shared" si="47"/>
        <v>0.71</v>
      </c>
      <c r="AG282" s="273"/>
      <c r="AK282" s="339"/>
    </row>
    <row r="283" spans="1:37" hidden="1" outlineLevel="1" x14ac:dyDescent="0.25">
      <c r="A283" s="2147"/>
      <c r="D283" s="2638"/>
      <c r="E283" s="121" t="s">
        <v>1500</v>
      </c>
      <c r="F283" s="1475">
        <v>1</v>
      </c>
      <c r="G283" s="2637"/>
      <c r="H283" s="2383"/>
      <c r="V283" s="2489"/>
      <c r="W283" s="272">
        <v>1</v>
      </c>
      <c r="X283" s="272">
        <v>1</v>
      </c>
      <c r="Y283" s="272">
        <v>1</v>
      </c>
      <c r="Z283" s="291">
        <v>1</v>
      </c>
      <c r="AA283" s="291">
        <v>1</v>
      </c>
      <c r="AB283" s="291">
        <v>1</v>
      </c>
      <c r="AC283" s="291">
        <v>1</v>
      </c>
      <c r="AD283" s="291">
        <v>1</v>
      </c>
      <c r="AE283" s="291">
        <v>1</v>
      </c>
      <c r="AF283" s="253">
        <f t="shared" si="47"/>
        <v>1</v>
      </c>
      <c r="AG283" s="272"/>
      <c r="AK283" s="339"/>
    </row>
    <row r="284" spans="1:37" hidden="1" outlineLevel="1" x14ac:dyDescent="0.25">
      <c r="A284" s="2147"/>
      <c r="D284" s="2638"/>
      <c r="E284" s="121" t="s">
        <v>1502</v>
      </c>
      <c r="F284" s="1475">
        <v>1.62</v>
      </c>
      <c r="G284" s="2637"/>
      <c r="H284" s="2383"/>
      <c r="V284" s="2489"/>
      <c r="W284" s="272">
        <f>7/3.412*0.85</f>
        <v>1.7438452520515826</v>
      </c>
      <c r="X284" s="272">
        <v>1.7438452520515826</v>
      </c>
      <c r="Y284" s="272">
        <v>1.7438452520515826</v>
      </c>
      <c r="Z284" s="291">
        <v>1.7438452520515826</v>
      </c>
      <c r="AA284" s="291">
        <v>1.7438452520515826</v>
      </c>
      <c r="AB284" s="291">
        <v>1.7438452520515826</v>
      </c>
      <c r="AC284" s="291">
        <v>1.7438452520515826</v>
      </c>
      <c r="AD284" s="291">
        <v>1.7438452520515826</v>
      </c>
      <c r="AE284" s="291">
        <v>1.7438452520515826</v>
      </c>
      <c r="AF284" s="253">
        <f t="shared" si="47"/>
        <v>1.62</v>
      </c>
      <c r="AG284" s="272"/>
      <c r="AK284" s="339"/>
    </row>
    <row r="285" spans="1:37" hidden="1" outlineLevel="1" x14ac:dyDescent="0.25">
      <c r="A285" s="2147"/>
      <c r="D285" s="2638"/>
      <c r="E285" s="121" t="s">
        <v>1504</v>
      </c>
      <c r="F285" s="1482">
        <v>0.71</v>
      </c>
      <c r="G285" s="2637"/>
      <c r="H285" s="2383"/>
      <c r="V285" s="2489"/>
      <c r="W285" s="273">
        <v>0.71</v>
      </c>
      <c r="X285" s="273">
        <v>0.71</v>
      </c>
      <c r="Y285" s="273">
        <v>0.71</v>
      </c>
      <c r="Z285" s="294">
        <v>0.71</v>
      </c>
      <c r="AA285" s="294">
        <v>0.71</v>
      </c>
      <c r="AB285" s="294">
        <v>0.71</v>
      </c>
      <c r="AC285" s="294">
        <v>0.71</v>
      </c>
      <c r="AD285" s="294">
        <v>0.71</v>
      </c>
      <c r="AE285" s="294">
        <v>0.71</v>
      </c>
      <c r="AF285" s="253">
        <f t="shared" si="47"/>
        <v>0.71</v>
      </c>
      <c r="AG285" s="273"/>
      <c r="AK285" s="339"/>
    </row>
    <row r="286" spans="1:37" hidden="1" outlineLevel="1" x14ac:dyDescent="0.25">
      <c r="A286" s="2147"/>
      <c r="D286" s="2638"/>
      <c r="E286" s="121" t="s">
        <v>1506</v>
      </c>
      <c r="F286" s="1475">
        <v>1</v>
      </c>
      <c r="G286" s="2637"/>
      <c r="H286" s="2383"/>
      <c r="V286" s="2489"/>
      <c r="W286" s="272">
        <v>1</v>
      </c>
      <c r="X286" s="272">
        <v>1</v>
      </c>
      <c r="Y286" s="272">
        <v>1</v>
      </c>
      <c r="Z286" s="291">
        <v>1</v>
      </c>
      <c r="AA286" s="291">
        <v>1</v>
      </c>
      <c r="AB286" s="291">
        <v>1</v>
      </c>
      <c r="AC286" s="291">
        <v>1</v>
      </c>
      <c r="AD286" s="291">
        <v>1</v>
      </c>
      <c r="AE286" s="291">
        <v>1</v>
      </c>
      <c r="AF286" s="253">
        <f t="shared" si="47"/>
        <v>1</v>
      </c>
      <c r="AG286" s="272"/>
      <c r="AK286" s="339"/>
    </row>
    <row r="287" spans="1:37" hidden="1" outlineLevel="1" x14ac:dyDescent="0.25">
      <c r="A287" s="2147"/>
      <c r="D287" s="2638"/>
      <c r="E287" s="121" t="s">
        <v>1508</v>
      </c>
      <c r="F287" s="1475">
        <v>1.62</v>
      </c>
      <c r="G287" s="2637"/>
      <c r="H287" s="2383"/>
      <c r="V287" s="2489"/>
      <c r="W287" s="272">
        <f>7/3.412*0.85</f>
        <v>1.7438452520515826</v>
      </c>
      <c r="X287" s="272">
        <v>1.7438452520515826</v>
      </c>
      <c r="Y287" s="272">
        <v>1.7438452520515826</v>
      </c>
      <c r="Z287" s="291">
        <v>1.7438452520515826</v>
      </c>
      <c r="AA287" s="291">
        <v>1.7438452520515826</v>
      </c>
      <c r="AB287" s="291">
        <v>1.7438452520515826</v>
      </c>
      <c r="AC287" s="291">
        <v>1.7438452520515826</v>
      </c>
      <c r="AD287" s="291">
        <v>1.7438452520515826</v>
      </c>
      <c r="AE287" s="291">
        <v>1.7438452520515826</v>
      </c>
      <c r="AF287" s="253">
        <f t="shared" si="47"/>
        <v>1.62</v>
      </c>
      <c r="AG287" s="272"/>
      <c r="AK287" s="339"/>
    </row>
    <row r="288" spans="1:37" hidden="1" outlineLevel="1" x14ac:dyDescent="0.25">
      <c r="A288" s="2147"/>
      <c r="D288" s="2638"/>
      <c r="E288" s="121" t="s">
        <v>1510</v>
      </c>
      <c r="F288" s="1482">
        <v>0.71</v>
      </c>
      <c r="G288" s="2637"/>
      <c r="H288" s="2383"/>
      <c r="V288" s="2489"/>
      <c r="W288" s="273">
        <v>0.71</v>
      </c>
      <c r="X288" s="273">
        <v>0.71</v>
      </c>
      <c r="Y288" s="273">
        <v>0.71</v>
      </c>
      <c r="Z288" s="294">
        <v>0.71</v>
      </c>
      <c r="AA288" s="294">
        <v>0.71</v>
      </c>
      <c r="AB288" s="294">
        <v>0.71</v>
      </c>
      <c r="AC288" s="294">
        <v>0.71</v>
      </c>
      <c r="AD288" s="294">
        <v>0.71</v>
      </c>
      <c r="AE288" s="294">
        <v>0.71</v>
      </c>
      <c r="AF288" s="253">
        <f t="shared" si="47"/>
        <v>0.71</v>
      </c>
      <c r="AG288" s="273"/>
      <c r="AK288" s="339"/>
    </row>
    <row r="289" spans="1:37" hidden="1" outlineLevel="1" x14ac:dyDescent="0.25">
      <c r="A289" s="2147"/>
      <c r="D289" s="2638"/>
      <c r="E289" s="121" t="s">
        <v>1512</v>
      </c>
      <c r="F289" s="1475">
        <v>1</v>
      </c>
      <c r="G289" s="2637"/>
      <c r="H289" s="2383"/>
      <c r="V289" s="2489"/>
      <c r="W289" s="272">
        <v>1</v>
      </c>
      <c r="X289" s="272">
        <v>1</v>
      </c>
      <c r="Y289" s="272">
        <v>1</v>
      </c>
      <c r="Z289" s="291">
        <v>1</v>
      </c>
      <c r="AA289" s="291">
        <v>1</v>
      </c>
      <c r="AB289" s="291">
        <v>1</v>
      </c>
      <c r="AC289" s="291">
        <v>1</v>
      </c>
      <c r="AD289" s="291">
        <v>1</v>
      </c>
      <c r="AE289" s="291">
        <v>1</v>
      </c>
      <c r="AF289" s="253">
        <f t="shared" si="47"/>
        <v>1</v>
      </c>
      <c r="AG289" s="272"/>
      <c r="AK289" s="339"/>
    </row>
    <row r="290" spans="1:37" hidden="1" outlineLevel="1" x14ac:dyDescent="0.25">
      <c r="A290" s="2147"/>
      <c r="D290" s="2638"/>
      <c r="E290" s="121" t="s">
        <v>1514</v>
      </c>
      <c r="F290" s="1475">
        <v>1.62</v>
      </c>
      <c r="G290" s="2637"/>
      <c r="H290" s="2383"/>
      <c r="V290" s="2489"/>
      <c r="W290" s="272">
        <f>7/3.412*0.85</f>
        <v>1.7438452520515826</v>
      </c>
      <c r="X290" s="272">
        <v>1.7438452520515826</v>
      </c>
      <c r="Y290" s="272">
        <v>1.7438452520515826</v>
      </c>
      <c r="Z290" s="291">
        <v>1.7438452520515826</v>
      </c>
      <c r="AA290" s="291">
        <v>1.7438452520515826</v>
      </c>
      <c r="AB290" s="291">
        <v>1.7438452520515826</v>
      </c>
      <c r="AC290" s="291">
        <v>1.7438452520515826</v>
      </c>
      <c r="AD290" s="291">
        <v>1.7438452520515826</v>
      </c>
      <c r="AE290" s="291">
        <v>1.7438452520515826</v>
      </c>
      <c r="AF290" s="253">
        <f t="shared" si="47"/>
        <v>1.62</v>
      </c>
      <c r="AG290" s="272"/>
      <c r="AK290" s="339"/>
    </row>
    <row r="291" spans="1:37" hidden="1" outlineLevel="1" x14ac:dyDescent="0.25">
      <c r="A291" s="2147"/>
      <c r="D291" s="2638"/>
      <c r="E291" s="121" t="s">
        <v>1516</v>
      </c>
      <c r="F291" s="1482">
        <v>0.71</v>
      </c>
      <c r="G291" s="2637"/>
      <c r="H291" s="2490"/>
      <c r="V291" s="2636"/>
      <c r="W291" s="273">
        <v>0.71</v>
      </c>
      <c r="X291" s="273">
        <v>0.71</v>
      </c>
      <c r="Y291" s="273">
        <v>0.71</v>
      </c>
      <c r="Z291" s="294">
        <v>0.71</v>
      </c>
      <c r="AA291" s="294">
        <v>0.71</v>
      </c>
      <c r="AB291" s="294">
        <v>0.71</v>
      </c>
      <c r="AC291" s="294">
        <v>0.71</v>
      </c>
      <c r="AD291" s="294">
        <v>0.71</v>
      </c>
      <c r="AE291" s="294">
        <v>0.71</v>
      </c>
      <c r="AF291" s="253">
        <f t="shared" si="47"/>
        <v>0.71</v>
      </c>
      <c r="AG291" s="273"/>
      <c r="AK291" s="339"/>
    </row>
    <row r="292" spans="1:37" hidden="1" outlineLevel="1" x14ac:dyDescent="0.25">
      <c r="A292" s="2147"/>
      <c r="D292" s="2528" t="s">
        <v>745</v>
      </c>
      <c r="E292" s="121" t="s">
        <v>1458</v>
      </c>
      <c r="F292" s="1475">
        <f>(1-F138)*(1/(F168+5)-1/(F198+5))*F228*(1-F$258)*F$259*24*F$261/(100000*F262)</f>
        <v>0</v>
      </c>
      <c r="G292" s="1278" t="s">
        <v>746</v>
      </c>
      <c r="H292" s="1300"/>
      <c r="V292" s="2488" t="str">
        <f>D292</f>
        <v>∆Therms</v>
      </c>
      <c r="W292" s="272">
        <f t="shared" ref="W292:W321" si="48">(1-W138)*(1/(W168+5)-1/(W198+5))*W228*(1-W$258)*W$259*24*W$260/(100000*W262)</f>
        <v>0</v>
      </c>
      <c r="X292" s="272">
        <v>0</v>
      </c>
      <c r="Y292" s="272">
        <v>0</v>
      </c>
      <c r="Z292" s="291">
        <v>0</v>
      </c>
      <c r="AA292" s="291">
        <v>0</v>
      </c>
      <c r="AB292" s="291">
        <v>0</v>
      </c>
      <c r="AC292" s="291">
        <v>0</v>
      </c>
      <c r="AD292" s="291">
        <v>0</v>
      </c>
      <c r="AE292" s="291">
        <v>0</v>
      </c>
      <c r="AF292" s="253">
        <f t="shared" si="47"/>
        <v>0</v>
      </c>
      <c r="AG292" s="272"/>
      <c r="AK292" s="339"/>
    </row>
    <row r="293" spans="1:37" hidden="1" outlineLevel="1" x14ac:dyDescent="0.25">
      <c r="A293" s="2147"/>
      <c r="D293" s="2528"/>
      <c r="E293" s="121" t="s">
        <v>1460</v>
      </c>
      <c r="F293" s="1475">
        <f t="shared" ref="F293:F321" si="49">(1-F139)*(1/(F169+5)-1/(F199+5))*F229*(1-F$258)*F$259*24*F$261/(100000*F263)</f>
        <v>0</v>
      </c>
      <c r="G293" s="1278" t="s">
        <v>746</v>
      </c>
      <c r="H293" s="1300"/>
      <c r="V293" s="2489"/>
      <c r="W293" s="272">
        <f t="shared" si="48"/>
        <v>0</v>
      </c>
      <c r="X293" s="272">
        <v>0</v>
      </c>
      <c r="Y293" s="272">
        <v>0</v>
      </c>
      <c r="Z293" s="291">
        <v>0</v>
      </c>
      <c r="AA293" s="291">
        <v>0</v>
      </c>
      <c r="AB293" s="291">
        <v>0</v>
      </c>
      <c r="AC293" s="291">
        <v>0</v>
      </c>
      <c r="AD293" s="291">
        <v>0</v>
      </c>
      <c r="AE293" s="291">
        <v>0</v>
      </c>
      <c r="AF293" s="253">
        <f t="shared" si="47"/>
        <v>0</v>
      </c>
      <c r="AG293" s="272"/>
      <c r="AK293" s="339"/>
    </row>
    <row r="294" spans="1:37" hidden="1" outlineLevel="1" x14ac:dyDescent="0.25">
      <c r="A294" s="2147"/>
      <c r="D294" s="2528"/>
      <c r="E294" s="121" t="s">
        <v>1462</v>
      </c>
      <c r="F294" s="1475">
        <f t="shared" si="49"/>
        <v>3.9075587323943659E-2</v>
      </c>
      <c r="G294" s="1278" t="s">
        <v>746</v>
      </c>
      <c r="H294" s="1300"/>
      <c r="V294" s="2489"/>
      <c r="W294" s="272">
        <f t="shared" si="48"/>
        <v>40.186264375070415</v>
      </c>
      <c r="X294" s="272">
        <v>40.186264375070415</v>
      </c>
      <c r="Y294" s="272">
        <v>4.5898308920187786E-2</v>
      </c>
      <c r="Z294" s="291">
        <v>4.5898308920187786E-2</v>
      </c>
      <c r="AA294" s="291">
        <v>4.5898308920187786E-2</v>
      </c>
      <c r="AB294" s="291">
        <v>4.5898308920187786E-2</v>
      </c>
      <c r="AC294" s="291">
        <v>4.5898308920187786E-2</v>
      </c>
      <c r="AD294" s="291">
        <v>4.5898308920187786E-2</v>
      </c>
      <c r="AE294" s="291">
        <v>4.5898308920187786E-2</v>
      </c>
      <c r="AF294" s="253">
        <f t="shared" si="47"/>
        <v>3.9075587323943659E-2</v>
      </c>
      <c r="AG294" s="272"/>
      <c r="AK294" s="339"/>
    </row>
    <row r="295" spans="1:37" hidden="1" outlineLevel="1" x14ac:dyDescent="0.25">
      <c r="A295" s="2147"/>
      <c r="D295" s="2528"/>
      <c r="E295" s="121" t="s">
        <v>1464</v>
      </c>
      <c r="F295" s="1475">
        <f t="shared" si="49"/>
        <v>0</v>
      </c>
      <c r="G295" s="1278" t="s">
        <v>746</v>
      </c>
      <c r="H295" s="1300"/>
      <c r="V295" s="2489"/>
      <c r="W295" s="272">
        <f t="shared" si="48"/>
        <v>0</v>
      </c>
      <c r="X295" s="272">
        <v>0</v>
      </c>
      <c r="Y295" s="272">
        <v>0</v>
      </c>
      <c r="Z295" s="291">
        <v>0</v>
      </c>
      <c r="AA295" s="291">
        <v>0</v>
      </c>
      <c r="AB295" s="291">
        <v>0</v>
      </c>
      <c r="AC295" s="291">
        <v>0</v>
      </c>
      <c r="AD295" s="291">
        <v>0</v>
      </c>
      <c r="AE295" s="291">
        <v>0</v>
      </c>
      <c r="AF295" s="253">
        <f t="shared" si="47"/>
        <v>0</v>
      </c>
      <c r="AG295" s="272"/>
      <c r="AK295" s="339"/>
    </row>
    <row r="296" spans="1:37" hidden="1" outlineLevel="1" x14ac:dyDescent="0.25">
      <c r="A296" s="2147"/>
      <c r="D296" s="2528"/>
      <c r="E296" s="121" t="s">
        <v>1466</v>
      </c>
      <c r="F296" s="1475">
        <f t="shared" si="49"/>
        <v>0</v>
      </c>
      <c r="G296" s="1278" t="s">
        <v>746</v>
      </c>
      <c r="H296" s="1300"/>
      <c r="V296" s="2489"/>
      <c r="W296" s="272">
        <f t="shared" si="48"/>
        <v>0</v>
      </c>
      <c r="X296" s="272">
        <v>0</v>
      </c>
      <c r="Y296" s="272">
        <v>0</v>
      </c>
      <c r="Z296" s="291">
        <v>0</v>
      </c>
      <c r="AA296" s="291">
        <v>0</v>
      </c>
      <c r="AB296" s="291">
        <v>0</v>
      </c>
      <c r="AC296" s="291">
        <v>0</v>
      </c>
      <c r="AD296" s="291">
        <v>0</v>
      </c>
      <c r="AE296" s="291">
        <v>0</v>
      </c>
      <c r="AF296" s="253">
        <f t="shared" si="47"/>
        <v>0</v>
      </c>
      <c r="AG296" s="272"/>
      <c r="AK296" s="339"/>
    </row>
    <row r="297" spans="1:37" hidden="1" outlineLevel="1" x14ac:dyDescent="0.25">
      <c r="A297" s="2147"/>
      <c r="D297" s="2528"/>
      <c r="E297" s="121" t="s">
        <v>1468</v>
      </c>
      <c r="F297" s="1475">
        <f t="shared" si="49"/>
        <v>3.9075587323943659E-2</v>
      </c>
      <c r="G297" s="1278" t="s">
        <v>746</v>
      </c>
      <c r="H297" s="1300"/>
      <c r="V297" s="2489"/>
      <c r="W297" s="272">
        <f t="shared" si="48"/>
        <v>61.825022115492956</v>
      </c>
      <c r="X297" s="272">
        <v>61.825022115492956</v>
      </c>
      <c r="Y297" s="272">
        <v>4.5898308920187786E-2</v>
      </c>
      <c r="Z297" s="291">
        <v>4.5898308920187786E-2</v>
      </c>
      <c r="AA297" s="291">
        <v>4.5898308920187786E-2</v>
      </c>
      <c r="AB297" s="291">
        <v>4.5898308920187786E-2</v>
      </c>
      <c r="AC297" s="291">
        <v>4.5898308920187786E-2</v>
      </c>
      <c r="AD297" s="291">
        <v>4.5898308920187786E-2</v>
      </c>
      <c r="AE297" s="291">
        <v>4.5898308920187786E-2</v>
      </c>
      <c r="AF297" s="253">
        <f t="shared" si="47"/>
        <v>3.9075587323943659E-2</v>
      </c>
      <c r="AG297" s="272"/>
      <c r="AK297" s="339"/>
    </row>
    <row r="298" spans="1:37" hidden="1" outlineLevel="1" x14ac:dyDescent="0.25">
      <c r="A298" s="2147"/>
      <c r="D298" s="2528"/>
      <c r="E298" s="121" t="s">
        <v>1470</v>
      </c>
      <c r="F298" s="1475">
        <f t="shared" si="49"/>
        <v>0</v>
      </c>
      <c r="G298" s="1278" t="s">
        <v>746</v>
      </c>
      <c r="H298" s="1300"/>
      <c r="V298" s="2489"/>
      <c r="W298" s="272">
        <f t="shared" si="48"/>
        <v>0</v>
      </c>
      <c r="X298" s="272">
        <v>0</v>
      </c>
      <c r="Y298" s="272">
        <v>0</v>
      </c>
      <c r="Z298" s="291">
        <v>0</v>
      </c>
      <c r="AA298" s="291">
        <v>0</v>
      </c>
      <c r="AB298" s="291">
        <v>0</v>
      </c>
      <c r="AC298" s="291">
        <v>0</v>
      </c>
      <c r="AD298" s="291">
        <v>0</v>
      </c>
      <c r="AE298" s="291">
        <v>0</v>
      </c>
      <c r="AF298" s="253">
        <f t="shared" si="47"/>
        <v>0</v>
      </c>
      <c r="AG298" s="272"/>
      <c r="AK298" s="339"/>
    </row>
    <row r="299" spans="1:37" hidden="1" outlineLevel="1" x14ac:dyDescent="0.25">
      <c r="A299" s="2147"/>
      <c r="D299" s="2528"/>
      <c r="E299" s="121" t="s">
        <v>1472</v>
      </c>
      <c r="F299" s="1475">
        <f>(1-F145)*(1/(F175+5)-1/(F205+5))*F235*(1-F$258)*F$259*24*F$261/(100000*F269)</f>
        <v>0</v>
      </c>
      <c r="G299" s="1278" t="s">
        <v>746</v>
      </c>
      <c r="H299" s="1300"/>
      <c r="V299" s="2489"/>
      <c r="W299" s="272">
        <f t="shared" si="48"/>
        <v>0</v>
      </c>
      <c r="X299" s="272">
        <v>0</v>
      </c>
      <c r="Y299" s="272">
        <v>0</v>
      </c>
      <c r="Z299" s="291">
        <v>0</v>
      </c>
      <c r="AA299" s="291">
        <v>0</v>
      </c>
      <c r="AB299" s="291">
        <v>0</v>
      </c>
      <c r="AC299" s="291">
        <v>0</v>
      </c>
      <c r="AD299" s="291">
        <v>0</v>
      </c>
      <c r="AE299" s="291">
        <v>0</v>
      </c>
      <c r="AF299" s="253">
        <f t="shared" si="47"/>
        <v>0</v>
      </c>
      <c r="AG299" s="272"/>
      <c r="AK299" s="339"/>
    </row>
    <row r="300" spans="1:37" hidden="1" outlineLevel="1" x14ac:dyDescent="0.25">
      <c r="A300" s="2147"/>
      <c r="D300" s="2528"/>
      <c r="E300" s="121" t="s">
        <v>1474</v>
      </c>
      <c r="F300" s="1475">
        <f t="shared" si="49"/>
        <v>6.3461104225352116E-2</v>
      </c>
      <c r="G300" s="1278" t="s">
        <v>746</v>
      </c>
      <c r="H300" s="1300"/>
      <c r="V300" s="2489"/>
      <c r="W300" s="272">
        <f t="shared" si="48"/>
        <v>53.587966654647893</v>
      </c>
      <c r="X300" s="272">
        <v>53.587966654647893</v>
      </c>
      <c r="Y300" s="272">
        <v>7.4541614486921537E-2</v>
      </c>
      <c r="Z300" s="291">
        <v>7.4541614486921537E-2</v>
      </c>
      <c r="AA300" s="291">
        <v>7.4541614486921537E-2</v>
      </c>
      <c r="AB300" s="291">
        <v>7.4541614486921537E-2</v>
      </c>
      <c r="AC300" s="291">
        <v>7.4541614486921537E-2</v>
      </c>
      <c r="AD300" s="291">
        <v>7.4541614486921537E-2</v>
      </c>
      <c r="AE300" s="291">
        <v>7.4541614486921537E-2</v>
      </c>
      <c r="AF300" s="253">
        <f t="shared" si="47"/>
        <v>6.3461104225352116E-2</v>
      </c>
      <c r="AG300" s="272"/>
      <c r="AK300" s="339"/>
    </row>
    <row r="301" spans="1:37" hidden="1" outlineLevel="1" x14ac:dyDescent="0.25">
      <c r="A301" s="2147"/>
      <c r="D301" s="2528"/>
      <c r="E301" s="121" t="s">
        <v>1476</v>
      </c>
      <c r="F301" s="1475">
        <f t="shared" si="49"/>
        <v>0</v>
      </c>
      <c r="G301" s="1278" t="s">
        <v>746</v>
      </c>
      <c r="H301" s="1300"/>
      <c r="V301" s="2489"/>
      <c r="W301" s="272">
        <f t="shared" si="48"/>
        <v>0</v>
      </c>
      <c r="X301" s="272">
        <v>0</v>
      </c>
      <c r="Y301" s="272">
        <v>0</v>
      </c>
      <c r="Z301" s="291">
        <v>0</v>
      </c>
      <c r="AA301" s="291">
        <v>0</v>
      </c>
      <c r="AB301" s="291">
        <v>0</v>
      </c>
      <c r="AC301" s="291">
        <v>0</v>
      </c>
      <c r="AD301" s="291">
        <v>0</v>
      </c>
      <c r="AE301" s="291">
        <v>0</v>
      </c>
      <c r="AF301" s="253">
        <f t="shared" si="47"/>
        <v>0</v>
      </c>
      <c r="AG301" s="272"/>
      <c r="AK301" s="339"/>
    </row>
    <row r="302" spans="1:37" hidden="1" outlineLevel="1" x14ac:dyDescent="0.25">
      <c r="A302" s="2147"/>
      <c r="D302" s="2528"/>
      <c r="E302" s="121" t="s">
        <v>1478</v>
      </c>
      <c r="F302" s="1475">
        <f t="shared" si="49"/>
        <v>0</v>
      </c>
      <c r="G302" s="1278" t="s">
        <v>746</v>
      </c>
      <c r="H302" s="1300"/>
      <c r="V302" s="2489"/>
      <c r="W302" s="272">
        <f t="shared" si="48"/>
        <v>0</v>
      </c>
      <c r="X302" s="272">
        <v>0</v>
      </c>
      <c r="Y302" s="272">
        <v>0</v>
      </c>
      <c r="Z302" s="291">
        <v>0</v>
      </c>
      <c r="AA302" s="291">
        <v>0</v>
      </c>
      <c r="AB302" s="291">
        <v>0</v>
      </c>
      <c r="AC302" s="291">
        <v>0</v>
      </c>
      <c r="AD302" s="291">
        <v>0</v>
      </c>
      <c r="AE302" s="291">
        <v>0</v>
      </c>
      <c r="AF302" s="253">
        <f t="shared" si="47"/>
        <v>0</v>
      </c>
      <c r="AG302" s="272"/>
      <c r="AK302" s="339"/>
    </row>
    <row r="303" spans="1:37" hidden="1" outlineLevel="1" x14ac:dyDescent="0.25">
      <c r="A303" s="2147"/>
      <c r="D303" s="2528"/>
      <c r="E303" s="121" t="s">
        <v>1480</v>
      </c>
      <c r="F303" s="1475">
        <f t="shared" si="49"/>
        <v>6.3461104225352116E-2</v>
      </c>
      <c r="G303" s="1278" t="s">
        <v>746</v>
      </c>
      <c r="H303" s="1300"/>
      <c r="V303" s="2489"/>
      <c r="W303" s="272">
        <f t="shared" si="48"/>
        <v>82.443025622535217</v>
      </c>
      <c r="X303" s="272">
        <v>82.443025622535217</v>
      </c>
      <c r="Y303" s="272">
        <v>7.4541614486921537E-2</v>
      </c>
      <c r="Z303" s="291">
        <v>7.4541614486921537E-2</v>
      </c>
      <c r="AA303" s="291">
        <v>7.4541614486921537E-2</v>
      </c>
      <c r="AB303" s="291">
        <v>7.4541614486921537E-2</v>
      </c>
      <c r="AC303" s="291">
        <v>7.4541614486921537E-2</v>
      </c>
      <c r="AD303" s="291">
        <v>7.4541614486921537E-2</v>
      </c>
      <c r="AE303" s="291">
        <v>7.4541614486921537E-2</v>
      </c>
      <c r="AF303" s="253">
        <f t="shared" si="47"/>
        <v>6.3461104225352116E-2</v>
      </c>
      <c r="AG303" s="272"/>
      <c r="AK303" s="339"/>
    </row>
    <row r="304" spans="1:37" hidden="1" outlineLevel="1" x14ac:dyDescent="0.25">
      <c r="A304" s="2147"/>
      <c r="D304" s="2528"/>
      <c r="E304" s="121" t="s">
        <v>1482</v>
      </c>
      <c r="F304" s="1475">
        <f t="shared" si="49"/>
        <v>0</v>
      </c>
      <c r="G304" s="1278" t="s">
        <v>746</v>
      </c>
      <c r="H304" s="1300"/>
      <c r="V304" s="2489"/>
      <c r="W304" s="272">
        <f t="shared" si="48"/>
        <v>0</v>
      </c>
      <c r="X304" s="272">
        <v>0</v>
      </c>
      <c r="Y304" s="272">
        <v>0</v>
      </c>
      <c r="Z304" s="291">
        <v>0</v>
      </c>
      <c r="AA304" s="291">
        <v>0</v>
      </c>
      <c r="AB304" s="291">
        <v>0</v>
      </c>
      <c r="AC304" s="291">
        <v>0</v>
      </c>
      <c r="AD304" s="291">
        <v>0</v>
      </c>
      <c r="AE304" s="291">
        <v>0</v>
      </c>
      <c r="AF304" s="253">
        <f t="shared" si="47"/>
        <v>0</v>
      </c>
      <c r="AG304" s="272"/>
      <c r="AK304" s="339"/>
    </row>
    <row r="305" spans="1:37" hidden="1" outlineLevel="1" x14ac:dyDescent="0.25">
      <c r="A305" s="2147"/>
      <c r="D305" s="2528"/>
      <c r="E305" s="121" t="s">
        <v>1484</v>
      </c>
      <c r="F305" s="1475">
        <f t="shared" si="49"/>
        <v>0</v>
      </c>
      <c r="G305" s="1278" t="s">
        <v>746</v>
      </c>
      <c r="H305" s="1300"/>
      <c r="V305" s="2489"/>
      <c r="W305" s="272">
        <f t="shared" si="48"/>
        <v>0</v>
      </c>
      <c r="X305" s="272">
        <v>0</v>
      </c>
      <c r="Y305" s="272">
        <v>0</v>
      </c>
      <c r="Z305" s="291">
        <v>0</v>
      </c>
      <c r="AA305" s="291">
        <v>0</v>
      </c>
      <c r="AB305" s="291">
        <v>0</v>
      </c>
      <c r="AC305" s="291">
        <v>0</v>
      </c>
      <c r="AD305" s="291">
        <v>0</v>
      </c>
      <c r="AE305" s="291">
        <v>0</v>
      </c>
      <c r="AF305" s="253">
        <f t="shared" si="47"/>
        <v>0</v>
      </c>
      <c r="AG305" s="272"/>
      <c r="AK305" s="339"/>
    </row>
    <row r="306" spans="1:37" hidden="1" outlineLevel="1" x14ac:dyDescent="0.25">
      <c r="A306" s="2147"/>
      <c r="D306" s="2528"/>
      <c r="E306" s="121" t="s">
        <v>1486</v>
      </c>
      <c r="F306" s="1475">
        <f t="shared" si="49"/>
        <v>6.818379105142483E-2</v>
      </c>
      <c r="G306" s="1278" t="s">
        <v>746</v>
      </c>
      <c r="H306" s="1300"/>
      <c r="V306" s="2489"/>
      <c r="W306" s="272">
        <f t="shared" si="48"/>
        <v>57.57590835917982</v>
      </c>
      <c r="X306" s="272">
        <v>57.57590835917982</v>
      </c>
      <c r="Y306" s="272">
        <v>8.0088897425483141E-2</v>
      </c>
      <c r="Z306" s="291">
        <v>8.0088897425483141E-2</v>
      </c>
      <c r="AA306" s="291">
        <v>8.0088897425483141E-2</v>
      </c>
      <c r="AB306" s="291">
        <v>8.0088897425483141E-2</v>
      </c>
      <c r="AC306" s="291">
        <v>8.0088897425483141E-2</v>
      </c>
      <c r="AD306" s="291">
        <v>8.0088897425483141E-2</v>
      </c>
      <c r="AE306" s="291">
        <v>8.0088897425483141E-2</v>
      </c>
      <c r="AF306" s="253">
        <f t="shared" si="47"/>
        <v>6.818379105142483E-2</v>
      </c>
      <c r="AG306" s="272"/>
      <c r="AK306" s="339"/>
    </row>
    <row r="307" spans="1:37" hidden="1" outlineLevel="1" x14ac:dyDescent="0.25">
      <c r="A307" s="2147"/>
      <c r="D307" s="2528"/>
      <c r="E307" s="121" t="s">
        <v>1488</v>
      </c>
      <c r="F307" s="1475">
        <f t="shared" si="49"/>
        <v>0</v>
      </c>
      <c r="G307" s="1278" t="s">
        <v>746</v>
      </c>
      <c r="H307" s="1300"/>
      <c r="V307" s="2489"/>
      <c r="W307" s="272">
        <f t="shared" si="48"/>
        <v>0</v>
      </c>
      <c r="X307" s="272">
        <v>0</v>
      </c>
      <c r="Y307" s="272">
        <v>0</v>
      </c>
      <c r="Z307" s="291">
        <v>0</v>
      </c>
      <c r="AA307" s="291">
        <v>0</v>
      </c>
      <c r="AB307" s="291">
        <v>0</v>
      </c>
      <c r="AC307" s="291">
        <v>0</v>
      </c>
      <c r="AD307" s="291">
        <v>0</v>
      </c>
      <c r="AE307" s="291">
        <v>0</v>
      </c>
      <c r="AF307" s="253">
        <f t="shared" si="47"/>
        <v>0</v>
      </c>
      <c r="AG307" s="272"/>
      <c r="AK307" s="339"/>
    </row>
    <row r="308" spans="1:37" hidden="1" outlineLevel="1" x14ac:dyDescent="0.25">
      <c r="A308" s="2147"/>
      <c r="D308" s="2528"/>
      <c r="E308" s="121" t="s">
        <v>1490</v>
      </c>
      <c r="F308" s="1475">
        <f t="shared" si="49"/>
        <v>0</v>
      </c>
      <c r="G308" s="1278" t="s">
        <v>746</v>
      </c>
      <c r="H308" s="1300"/>
      <c r="V308" s="2489"/>
      <c r="W308" s="272">
        <f t="shared" si="48"/>
        <v>0</v>
      </c>
      <c r="X308" s="272">
        <v>0</v>
      </c>
      <c r="Y308" s="272">
        <v>0</v>
      </c>
      <c r="Z308" s="291">
        <v>0</v>
      </c>
      <c r="AA308" s="291">
        <v>0</v>
      </c>
      <c r="AB308" s="291">
        <v>0</v>
      </c>
      <c r="AC308" s="291">
        <v>0</v>
      </c>
      <c r="AD308" s="291">
        <v>0</v>
      </c>
      <c r="AE308" s="291">
        <v>0</v>
      </c>
      <c r="AF308" s="253">
        <f t="shared" si="47"/>
        <v>0</v>
      </c>
      <c r="AG308" s="272"/>
      <c r="AK308" s="339"/>
    </row>
    <row r="309" spans="1:37" hidden="1" outlineLevel="1" x14ac:dyDescent="0.25">
      <c r="A309" s="2147"/>
      <c r="D309" s="2528"/>
      <c r="E309" s="121" t="s">
        <v>1492</v>
      </c>
      <c r="F309" s="1475">
        <f t="shared" si="49"/>
        <v>6.818379105142483E-2</v>
      </c>
      <c r="G309" s="1278" t="s">
        <v>746</v>
      </c>
      <c r="H309" s="1300"/>
      <c r="V309" s="2489"/>
      <c r="W309" s="272">
        <f t="shared" si="48"/>
        <v>88.578320552584344</v>
      </c>
      <c r="X309" s="272">
        <v>88.578320552584344</v>
      </c>
      <c r="Y309" s="272">
        <v>8.0088897425483141E-2</v>
      </c>
      <c r="Z309" s="291">
        <v>8.0088897425483141E-2</v>
      </c>
      <c r="AA309" s="291">
        <v>8.0088897425483141E-2</v>
      </c>
      <c r="AB309" s="291">
        <v>8.0088897425483141E-2</v>
      </c>
      <c r="AC309" s="291">
        <v>8.0088897425483141E-2</v>
      </c>
      <c r="AD309" s="291">
        <v>8.0088897425483141E-2</v>
      </c>
      <c r="AE309" s="291">
        <v>8.0088897425483141E-2</v>
      </c>
      <c r="AF309" s="253">
        <f t="shared" si="47"/>
        <v>6.818379105142483E-2</v>
      </c>
      <c r="AG309" s="272"/>
      <c r="AK309" s="339"/>
    </row>
    <row r="310" spans="1:37" hidden="1" outlineLevel="1" x14ac:dyDescent="0.25">
      <c r="A310" s="2147"/>
      <c r="D310" s="2528"/>
      <c r="E310" s="121" t="s">
        <v>1494</v>
      </c>
      <c r="F310" s="1475">
        <f t="shared" si="49"/>
        <v>0</v>
      </c>
      <c r="G310" s="1278" t="s">
        <v>746</v>
      </c>
      <c r="H310" s="1300"/>
      <c r="V310" s="2489"/>
      <c r="W310" s="272">
        <f t="shared" si="48"/>
        <v>0</v>
      </c>
      <c r="X310" s="272">
        <v>0</v>
      </c>
      <c r="Y310" s="272">
        <v>0</v>
      </c>
      <c r="Z310" s="291">
        <v>0</v>
      </c>
      <c r="AA310" s="291">
        <v>0</v>
      </c>
      <c r="AB310" s="291">
        <v>0</v>
      </c>
      <c r="AC310" s="291">
        <v>0</v>
      </c>
      <c r="AD310" s="291">
        <v>0</v>
      </c>
      <c r="AE310" s="291">
        <v>0</v>
      </c>
      <c r="AF310" s="253">
        <f t="shared" si="47"/>
        <v>0</v>
      </c>
      <c r="AG310" s="272"/>
      <c r="AK310" s="339"/>
    </row>
    <row r="311" spans="1:37" hidden="1" outlineLevel="1" x14ac:dyDescent="0.25">
      <c r="A311" s="2147"/>
      <c r="D311" s="2528"/>
      <c r="E311" s="121" t="s">
        <v>1496</v>
      </c>
      <c r="F311" s="1475">
        <f t="shared" si="49"/>
        <v>0</v>
      </c>
      <c r="G311" s="1278" t="s">
        <v>746</v>
      </c>
      <c r="H311" s="1300"/>
      <c r="V311" s="2489"/>
      <c r="W311" s="272">
        <f t="shared" si="48"/>
        <v>0</v>
      </c>
      <c r="X311" s="272">
        <v>0</v>
      </c>
      <c r="Y311" s="272">
        <v>0</v>
      </c>
      <c r="Z311" s="291">
        <v>0</v>
      </c>
      <c r="AA311" s="291">
        <v>0</v>
      </c>
      <c r="AB311" s="291">
        <v>0</v>
      </c>
      <c r="AC311" s="291">
        <v>0</v>
      </c>
      <c r="AD311" s="291">
        <v>0</v>
      </c>
      <c r="AE311" s="291">
        <v>0</v>
      </c>
      <c r="AF311" s="253">
        <f t="shared" si="47"/>
        <v>0</v>
      </c>
      <c r="AG311" s="272"/>
      <c r="AK311" s="339"/>
    </row>
    <row r="312" spans="1:37" hidden="1" outlineLevel="1" x14ac:dyDescent="0.25">
      <c r="A312" s="2147"/>
      <c r="D312" s="2528"/>
      <c r="E312" s="121" t="s">
        <v>1498</v>
      </c>
      <c r="F312" s="1475">
        <f t="shared" si="49"/>
        <v>7.2392667042253528E-2</v>
      </c>
      <c r="G312" s="1278" t="s">
        <v>746</v>
      </c>
      <c r="H312" s="1300"/>
      <c r="V312" s="2489"/>
      <c r="W312" s="272">
        <f t="shared" si="48"/>
        <v>61.129976776413137</v>
      </c>
      <c r="X312" s="272">
        <v>61.129976776413137</v>
      </c>
      <c r="Y312" s="272">
        <v>8.5032656525821607E-2</v>
      </c>
      <c r="Z312" s="291">
        <v>8.5032656525821607E-2</v>
      </c>
      <c r="AA312" s="291">
        <v>8.5032656525821607E-2</v>
      </c>
      <c r="AB312" s="291">
        <v>8.5032656525821607E-2</v>
      </c>
      <c r="AC312" s="291">
        <v>8.5032656525821607E-2</v>
      </c>
      <c r="AD312" s="291">
        <v>8.5032656525821607E-2</v>
      </c>
      <c r="AE312" s="291">
        <v>8.5032656525821607E-2</v>
      </c>
      <c r="AF312" s="253">
        <f t="shared" si="47"/>
        <v>7.2392667042253528E-2</v>
      </c>
      <c r="AG312" s="272"/>
      <c r="AK312" s="339"/>
    </row>
    <row r="313" spans="1:37" hidden="1" outlineLevel="1" x14ac:dyDescent="0.25">
      <c r="A313" s="2147"/>
      <c r="D313" s="2528"/>
      <c r="E313" s="121" t="s">
        <v>1500</v>
      </c>
      <c r="F313" s="1475">
        <f t="shared" si="49"/>
        <v>0</v>
      </c>
      <c r="G313" s="1278" t="s">
        <v>746</v>
      </c>
      <c r="H313" s="1300"/>
      <c r="V313" s="2489"/>
      <c r="W313" s="272">
        <f t="shared" si="48"/>
        <v>0</v>
      </c>
      <c r="X313" s="272">
        <v>0</v>
      </c>
      <c r="Y313" s="272">
        <v>0</v>
      </c>
      <c r="Z313" s="291">
        <v>0</v>
      </c>
      <c r="AA313" s="291">
        <v>0</v>
      </c>
      <c r="AB313" s="291">
        <v>0</v>
      </c>
      <c r="AC313" s="291">
        <v>0</v>
      </c>
      <c r="AD313" s="291">
        <v>0</v>
      </c>
      <c r="AE313" s="291">
        <v>0</v>
      </c>
      <c r="AF313" s="253">
        <f t="shared" si="47"/>
        <v>0</v>
      </c>
      <c r="AG313" s="272"/>
      <c r="AK313" s="339"/>
    </row>
    <row r="314" spans="1:37" hidden="1" outlineLevel="1" x14ac:dyDescent="0.25">
      <c r="A314" s="2147"/>
      <c r="D314" s="2528"/>
      <c r="E314" s="121" t="s">
        <v>1502</v>
      </c>
      <c r="F314" s="1475">
        <f t="shared" si="49"/>
        <v>0</v>
      </c>
      <c r="G314" s="1278" t="s">
        <v>746</v>
      </c>
      <c r="H314" s="1300"/>
      <c r="V314" s="2489"/>
      <c r="W314" s="272">
        <f t="shared" si="48"/>
        <v>0</v>
      </c>
      <c r="X314" s="272">
        <v>0</v>
      </c>
      <c r="Y314" s="272">
        <v>0</v>
      </c>
      <c r="Z314" s="291">
        <v>0</v>
      </c>
      <c r="AA314" s="291">
        <v>0</v>
      </c>
      <c r="AB314" s="291">
        <v>0</v>
      </c>
      <c r="AC314" s="291">
        <v>0</v>
      </c>
      <c r="AD314" s="291">
        <v>0</v>
      </c>
      <c r="AE314" s="291">
        <v>0</v>
      </c>
      <c r="AF314" s="253">
        <f t="shared" si="47"/>
        <v>0</v>
      </c>
      <c r="AG314" s="272"/>
      <c r="AK314" s="339"/>
    </row>
    <row r="315" spans="1:37" hidden="1" outlineLevel="1" x14ac:dyDescent="0.25">
      <c r="A315" s="2147"/>
      <c r="D315" s="2528"/>
      <c r="E315" s="121" t="s">
        <v>1504</v>
      </c>
      <c r="F315" s="1475">
        <f t="shared" si="49"/>
        <v>7.2392667042253528E-2</v>
      </c>
      <c r="G315" s="1278" t="s">
        <v>746</v>
      </c>
      <c r="H315" s="1300"/>
      <c r="V315" s="2489"/>
      <c r="W315" s="272">
        <f t="shared" si="48"/>
        <v>94.046118117558692</v>
      </c>
      <c r="X315" s="272">
        <v>94.046118117558692</v>
      </c>
      <c r="Y315" s="272">
        <v>8.5032656525821607E-2</v>
      </c>
      <c r="Z315" s="291">
        <v>8.5032656525821607E-2</v>
      </c>
      <c r="AA315" s="291">
        <v>8.5032656525821607E-2</v>
      </c>
      <c r="AB315" s="291">
        <v>8.5032656525821607E-2</v>
      </c>
      <c r="AC315" s="291">
        <v>8.5032656525821607E-2</v>
      </c>
      <c r="AD315" s="291">
        <v>8.5032656525821607E-2</v>
      </c>
      <c r="AE315" s="291">
        <v>8.5032656525821607E-2</v>
      </c>
      <c r="AF315" s="253">
        <f t="shared" si="47"/>
        <v>7.2392667042253528E-2</v>
      </c>
      <c r="AG315" s="272"/>
      <c r="AK315" s="339"/>
    </row>
    <row r="316" spans="1:37" hidden="1" outlineLevel="1" x14ac:dyDescent="0.25">
      <c r="A316" s="2147"/>
      <c r="D316" s="2528"/>
      <c r="E316" s="121" t="s">
        <v>1506</v>
      </c>
      <c r="F316" s="1475">
        <f t="shared" si="49"/>
        <v>0</v>
      </c>
      <c r="G316" s="1278" t="s">
        <v>746</v>
      </c>
      <c r="H316" s="1300"/>
      <c r="V316" s="2489"/>
      <c r="W316" s="272">
        <f t="shared" si="48"/>
        <v>0</v>
      </c>
      <c r="X316" s="272">
        <v>0</v>
      </c>
      <c r="Y316" s="272">
        <v>0</v>
      </c>
      <c r="Z316" s="291">
        <v>0</v>
      </c>
      <c r="AA316" s="291">
        <v>0</v>
      </c>
      <c r="AB316" s="291">
        <v>0</v>
      </c>
      <c r="AC316" s="291">
        <v>0</v>
      </c>
      <c r="AD316" s="291">
        <v>0</v>
      </c>
      <c r="AE316" s="291">
        <v>0</v>
      </c>
      <c r="AF316" s="253">
        <f t="shared" si="47"/>
        <v>0</v>
      </c>
      <c r="AG316" s="272"/>
      <c r="AK316" s="339"/>
    </row>
    <row r="317" spans="1:37" hidden="1" outlineLevel="1" x14ac:dyDescent="0.25">
      <c r="A317" s="2147"/>
      <c r="D317" s="2528"/>
      <c r="E317" s="121" t="s">
        <v>1508</v>
      </c>
      <c r="F317" s="1475">
        <f t="shared" si="49"/>
        <v>0</v>
      </c>
      <c r="G317" s="1278" t="s">
        <v>746</v>
      </c>
      <c r="H317" s="1300"/>
      <c r="V317" s="2489"/>
      <c r="W317" s="272">
        <f t="shared" si="48"/>
        <v>0</v>
      </c>
      <c r="X317" s="272">
        <v>0</v>
      </c>
      <c r="Y317" s="272">
        <v>0</v>
      </c>
      <c r="Z317" s="291">
        <v>0</v>
      </c>
      <c r="AA317" s="291">
        <v>0</v>
      </c>
      <c r="AB317" s="291">
        <v>0</v>
      </c>
      <c r="AC317" s="291">
        <v>0</v>
      </c>
      <c r="AD317" s="291">
        <v>0</v>
      </c>
      <c r="AE317" s="291">
        <v>0</v>
      </c>
      <c r="AF317" s="253">
        <f t="shared" si="47"/>
        <v>0</v>
      </c>
      <c r="AG317" s="272"/>
      <c r="AK317" s="339"/>
    </row>
    <row r="318" spans="1:37" hidden="1" outlineLevel="1" x14ac:dyDescent="0.25">
      <c r="A318" s="2147"/>
      <c r="D318" s="2528"/>
      <c r="E318" s="121" t="s">
        <v>1510</v>
      </c>
      <c r="F318" s="1475">
        <f t="shared" si="49"/>
        <v>7.51770003900325E-2</v>
      </c>
      <c r="G318" s="1278" t="s">
        <v>746</v>
      </c>
      <c r="H318" s="1300"/>
      <c r="V318" s="2489"/>
      <c r="W318" s="272">
        <f t="shared" si="48"/>
        <v>63.481129729352105</v>
      </c>
      <c r="X318" s="272">
        <v>63.481129729352105</v>
      </c>
      <c r="Y318" s="272">
        <v>8.8303143315276264E-2</v>
      </c>
      <c r="Z318" s="291">
        <v>8.8303143315276264E-2</v>
      </c>
      <c r="AA318" s="291">
        <v>8.8303143315276264E-2</v>
      </c>
      <c r="AB318" s="291">
        <v>8.8303143315276264E-2</v>
      </c>
      <c r="AC318" s="291">
        <v>8.8303143315276264E-2</v>
      </c>
      <c r="AD318" s="291">
        <v>8.8303143315276264E-2</v>
      </c>
      <c r="AE318" s="291">
        <v>8.8303143315276264E-2</v>
      </c>
      <c r="AF318" s="253">
        <f t="shared" si="47"/>
        <v>7.51770003900325E-2</v>
      </c>
      <c r="AG318" s="272"/>
      <c r="AK318" s="339"/>
    </row>
    <row r="319" spans="1:37" hidden="1" outlineLevel="1" x14ac:dyDescent="0.25">
      <c r="A319" s="2147"/>
      <c r="D319" s="2528"/>
      <c r="E319" s="121" t="s">
        <v>1512</v>
      </c>
      <c r="F319" s="1475">
        <f t="shared" si="49"/>
        <v>0</v>
      </c>
      <c r="G319" s="1278" t="s">
        <v>746</v>
      </c>
      <c r="H319" s="1300"/>
      <c r="V319" s="2489"/>
      <c r="W319" s="272">
        <f t="shared" si="48"/>
        <v>0</v>
      </c>
      <c r="X319" s="272">
        <v>0</v>
      </c>
      <c r="Y319" s="272">
        <v>0</v>
      </c>
      <c r="Z319" s="291">
        <v>0</v>
      </c>
      <c r="AA319" s="291">
        <v>0</v>
      </c>
      <c r="AB319" s="291">
        <v>0</v>
      </c>
      <c r="AC319" s="291">
        <v>0</v>
      </c>
      <c r="AD319" s="291">
        <v>0</v>
      </c>
      <c r="AE319" s="291">
        <v>0</v>
      </c>
      <c r="AF319" s="253">
        <f t="shared" si="47"/>
        <v>0</v>
      </c>
      <c r="AG319" s="272"/>
      <c r="AK319" s="339"/>
    </row>
    <row r="320" spans="1:37" hidden="1" outlineLevel="1" x14ac:dyDescent="0.25">
      <c r="A320" s="2147"/>
      <c r="D320" s="2528"/>
      <c r="E320" s="121" t="s">
        <v>1514</v>
      </c>
      <c r="F320" s="1475">
        <f t="shared" si="49"/>
        <v>0</v>
      </c>
      <c r="G320" s="1278" t="s">
        <v>746</v>
      </c>
      <c r="H320" s="1300"/>
      <c r="V320" s="2489"/>
      <c r="W320" s="272">
        <f t="shared" si="48"/>
        <v>0</v>
      </c>
      <c r="X320" s="272">
        <v>0</v>
      </c>
      <c r="Y320" s="272">
        <v>0</v>
      </c>
      <c r="Z320" s="291">
        <v>0</v>
      </c>
      <c r="AA320" s="291">
        <v>0</v>
      </c>
      <c r="AB320" s="291">
        <v>0</v>
      </c>
      <c r="AC320" s="291">
        <v>0</v>
      </c>
      <c r="AD320" s="291">
        <v>0</v>
      </c>
      <c r="AE320" s="291">
        <v>0</v>
      </c>
      <c r="AF320" s="253">
        <f t="shared" si="47"/>
        <v>0</v>
      </c>
      <c r="AG320" s="272"/>
      <c r="AK320" s="339"/>
    </row>
    <row r="321" spans="1:37" hidden="1" outlineLevel="1" x14ac:dyDescent="0.25">
      <c r="A321" s="2147"/>
      <c r="D321" s="2528"/>
      <c r="E321" s="121" t="s">
        <v>1516</v>
      </c>
      <c r="F321" s="1475">
        <f t="shared" si="49"/>
        <v>7.51770003900325E-2</v>
      </c>
      <c r="G321" s="1278" t="s">
        <v>746</v>
      </c>
      <c r="H321" s="1300"/>
      <c r="V321" s="2636"/>
      <c r="W321" s="272">
        <f t="shared" si="48"/>
        <v>97.663276506695567</v>
      </c>
      <c r="X321" s="272">
        <v>97.663276506695567</v>
      </c>
      <c r="Y321" s="272">
        <v>8.8303143315276264E-2</v>
      </c>
      <c r="Z321" s="291">
        <v>8.8303143315276264E-2</v>
      </c>
      <c r="AA321" s="291">
        <v>8.8303143315276264E-2</v>
      </c>
      <c r="AB321" s="291">
        <v>8.8303143315276264E-2</v>
      </c>
      <c r="AC321" s="291">
        <v>8.8303143315276264E-2</v>
      </c>
      <c r="AD321" s="291">
        <v>8.8303143315276264E-2</v>
      </c>
      <c r="AE321" s="291">
        <v>8.8303143315276264E-2</v>
      </c>
      <c r="AF321" s="253">
        <f t="shared" si="47"/>
        <v>7.51770003900325E-2</v>
      </c>
      <c r="AG321" s="272"/>
      <c r="AK321" s="339"/>
    </row>
    <row r="322" spans="1:37" hidden="1" outlineLevel="1" x14ac:dyDescent="0.25">
      <c r="A322" s="2147"/>
      <c r="D322" s="1263" t="s">
        <v>747</v>
      </c>
      <c r="E322" s="121" t="s">
        <v>742</v>
      </c>
      <c r="F322" s="1457">
        <v>3.1399999999999997E-2</v>
      </c>
      <c r="G322" s="1278" t="s">
        <v>1539</v>
      </c>
      <c r="H322" s="1300"/>
      <c r="V322" s="271" t="str">
        <f>D322</f>
        <v>Fe</v>
      </c>
      <c r="W322" s="273">
        <v>3.1399999999999997E-2</v>
      </c>
      <c r="X322" s="273">
        <v>3.1399999999999997E-2</v>
      </c>
      <c r="Y322" s="273">
        <v>3.1399999999999997E-2</v>
      </c>
      <c r="Z322" s="294">
        <v>3.1399999999999997E-2</v>
      </c>
      <c r="AA322" s="294">
        <v>3.1399999999999997E-2</v>
      </c>
      <c r="AB322" s="294">
        <v>3.1399999999999997E-2</v>
      </c>
      <c r="AC322" s="294">
        <v>3.1399999999999997E-2</v>
      </c>
      <c r="AD322" s="294">
        <v>3.1399999999999997E-2</v>
      </c>
      <c r="AE322" s="294">
        <v>3.1399999999999997E-2</v>
      </c>
      <c r="AF322" s="253">
        <f t="shared" si="47"/>
        <v>3.1399999999999997E-2</v>
      </c>
      <c r="AG322" s="273"/>
      <c r="AK322" s="339"/>
    </row>
    <row r="323" spans="1:37" hidden="1" outlineLevel="1" x14ac:dyDescent="0.25">
      <c r="A323" s="2147"/>
      <c r="D323" s="1263" t="s">
        <v>1540</v>
      </c>
      <c r="E323" s="121" t="s">
        <v>742</v>
      </c>
      <c r="F323" s="1454">
        <v>1646</v>
      </c>
      <c r="G323" s="1278" t="s">
        <v>755</v>
      </c>
      <c r="H323" s="1300" t="s">
        <v>1541</v>
      </c>
      <c r="V323" s="271" t="str">
        <f>D323</f>
        <v>CDD</v>
      </c>
      <c r="W323" s="261">
        <v>1646</v>
      </c>
      <c r="X323" s="261">
        <v>1646</v>
      </c>
      <c r="Y323" s="261">
        <v>1646</v>
      </c>
      <c r="Z323" s="422">
        <v>1646</v>
      </c>
      <c r="AA323" s="422">
        <v>1646</v>
      </c>
      <c r="AB323" s="422">
        <v>1646</v>
      </c>
      <c r="AC323" s="422">
        <v>1646</v>
      </c>
      <c r="AD323" s="422">
        <v>1646</v>
      </c>
      <c r="AE323" s="422">
        <v>1646</v>
      </c>
      <c r="AF323" s="253">
        <f t="shared" si="47"/>
        <v>1646</v>
      </c>
      <c r="AG323" s="261"/>
      <c r="AK323" s="339"/>
    </row>
    <row r="324" spans="1:37" ht="45" hidden="1" outlineLevel="1" x14ac:dyDescent="0.25">
      <c r="A324" s="2147"/>
      <c r="D324" s="1263" t="s">
        <v>1542</v>
      </c>
      <c r="E324" s="121" t="s">
        <v>742</v>
      </c>
      <c r="F324" s="1458">
        <v>0.75</v>
      </c>
      <c r="G324" s="1278" t="s">
        <v>1543</v>
      </c>
      <c r="H324" s="1300"/>
      <c r="V324" s="271" t="str">
        <f>D324</f>
        <v>DUA</v>
      </c>
      <c r="W324" s="269">
        <v>0.75</v>
      </c>
      <c r="X324" s="269">
        <v>0.75</v>
      </c>
      <c r="Y324" s="269">
        <v>0.75</v>
      </c>
      <c r="Z324" s="295">
        <v>0.75</v>
      </c>
      <c r="AA324" s="295">
        <v>0.75</v>
      </c>
      <c r="AB324" s="295">
        <v>0.75</v>
      </c>
      <c r="AC324" s="295">
        <v>0.75</v>
      </c>
      <c r="AD324" s="295">
        <v>0.75</v>
      </c>
      <c r="AE324" s="295">
        <v>0.75</v>
      </c>
      <c r="AF324" s="253">
        <f t="shared" si="47"/>
        <v>0.75</v>
      </c>
      <c r="AG324" s="269"/>
      <c r="AK324" s="339"/>
    </row>
    <row r="325" spans="1:37" hidden="1" outlineLevel="1" x14ac:dyDescent="0.25">
      <c r="A325" s="2147"/>
      <c r="D325" s="2638" t="s">
        <v>1544</v>
      </c>
      <c r="E325" s="121" t="s">
        <v>1458</v>
      </c>
      <c r="F325" s="503">
        <v>0.91</v>
      </c>
      <c r="G325" s="2637" t="s">
        <v>1545</v>
      </c>
      <c r="H325" s="1300" t="s">
        <v>1546</v>
      </c>
      <c r="V325" s="2488" t="str">
        <f>D325</f>
        <v>%cool</v>
      </c>
      <c r="W325" s="269">
        <v>0.91</v>
      </c>
      <c r="X325" s="269">
        <v>0.91</v>
      </c>
      <c r="Y325" s="269">
        <v>0.91</v>
      </c>
      <c r="Z325" s="295">
        <v>0.91</v>
      </c>
      <c r="AA325" s="295">
        <v>0.91</v>
      </c>
      <c r="AB325" s="295">
        <v>0.91</v>
      </c>
      <c r="AC325" s="295">
        <v>0.91</v>
      </c>
      <c r="AD325" s="295">
        <v>0.91</v>
      </c>
      <c r="AE325" s="295">
        <v>0.91</v>
      </c>
      <c r="AF325" s="253">
        <f t="shared" si="47"/>
        <v>0.91</v>
      </c>
      <c r="AG325" s="269"/>
      <c r="AK325" s="339"/>
    </row>
    <row r="326" spans="1:37" hidden="1" outlineLevel="1" x14ac:dyDescent="0.25">
      <c r="A326" s="2147"/>
      <c r="D326" s="2638"/>
      <c r="E326" s="121" t="s">
        <v>1460</v>
      </c>
      <c r="F326" s="503">
        <v>1</v>
      </c>
      <c r="G326" s="2637"/>
      <c r="H326" s="1300" t="s">
        <v>1547</v>
      </c>
      <c r="V326" s="2489"/>
      <c r="W326" s="269">
        <v>1</v>
      </c>
      <c r="X326" s="269">
        <v>1</v>
      </c>
      <c r="Y326" s="269">
        <v>1</v>
      </c>
      <c r="Z326" s="295">
        <v>1</v>
      </c>
      <c r="AA326" s="295">
        <v>1</v>
      </c>
      <c r="AB326" s="295">
        <v>1</v>
      </c>
      <c r="AC326" s="295">
        <v>1</v>
      </c>
      <c r="AD326" s="295">
        <v>1</v>
      </c>
      <c r="AE326" s="295">
        <v>1</v>
      </c>
      <c r="AF326" s="253">
        <f t="shared" si="47"/>
        <v>1</v>
      </c>
      <c r="AG326" s="269"/>
      <c r="AK326" s="339"/>
    </row>
    <row r="327" spans="1:37" hidden="1" outlineLevel="1" x14ac:dyDescent="0.25">
      <c r="A327" s="2147"/>
      <c r="D327" s="2638"/>
      <c r="E327" s="121" t="s">
        <v>1462</v>
      </c>
      <c r="F327" s="503">
        <v>0.91</v>
      </c>
      <c r="G327" s="2637"/>
      <c r="H327" s="1300" t="s">
        <v>1546</v>
      </c>
      <c r="V327" s="2489"/>
      <c r="W327" s="269">
        <v>0.91</v>
      </c>
      <c r="X327" s="269">
        <v>0.91</v>
      </c>
      <c r="Y327" s="269">
        <v>0.91</v>
      </c>
      <c r="Z327" s="295">
        <v>0.91</v>
      </c>
      <c r="AA327" s="295">
        <v>0.91</v>
      </c>
      <c r="AB327" s="295">
        <v>0.91</v>
      </c>
      <c r="AC327" s="295">
        <v>0.91</v>
      </c>
      <c r="AD327" s="295">
        <v>0.91</v>
      </c>
      <c r="AE327" s="295">
        <v>0.91</v>
      </c>
      <c r="AF327" s="253">
        <f t="shared" si="47"/>
        <v>0.91</v>
      </c>
      <c r="AG327" s="269"/>
      <c r="AK327" s="339"/>
    </row>
    <row r="328" spans="1:37" hidden="1" outlineLevel="1" x14ac:dyDescent="0.25">
      <c r="A328" s="2147"/>
      <c r="D328" s="2638"/>
      <c r="E328" s="121" t="s">
        <v>1464</v>
      </c>
      <c r="F328" s="503">
        <v>0.91</v>
      </c>
      <c r="G328" s="2637"/>
      <c r="H328" s="1300" t="s">
        <v>1546</v>
      </c>
      <c r="V328" s="2489"/>
      <c r="W328" s="269">
        <v>0.91</v>
      </c>
      <c r="X328" s="269">
        <v>0.91</v>
      </c>
      <c r="Y328" s="269">
        <v>0.91</v>
      </c>
      <c r="Z328" s="295">
        <v>0.91</v>
      </c>
      <c r="AA328" s="295">
        <v>0.91</v>
      </c>
      <c r="AB328" s="295">
        <v>0.91</v>
      </c>
      <c r="AC328" s="295">
        <v>0.91</v>
      </c>
      <c r="AD328" s="295">
        <v>0.91</v>
      </c>
      <c r="AE328" s="295">
        <v>0.91</v>
      </c>
      <c r="AF328" s="253">
        <f t="shared" si="47"/>
        <v>0.91</v>
      </c>
      <c r="AG328" s="269"/>
      <c r="AK328" s="339"/>
    </row>
    <row r="329" spans="1:37" hidden="1" outlineLevel="1" x14ac:dyDescent="0.25">
      <c r="A329" s="2147"/>
      <c r="D329" s="2638"/>
      <c r="E329" s="121" t="s">
        <v>1466</v>
      </c>
      <c r="F329" s="503">
        <v>1</v>
      </c>
      <c r="G329" s="2637"/>
      <c r="H329" s="1300" t="s">
        <v>1547</v>
      </c>
      <c r="V329" s="2489"/>
      <c r="W329" s="269">
        <v>1</v>
      </c>
      <c r="X329" s="269">
        <v>1</v>
      </c>
      <c r="Y329" s="269">
        <v>1</v>
      </c>
      <c r="Z329" s="295">
        <v>1</v>
      </c>
      <c r="AA329" s="295">
        <v>1</v>
      </c>
      <c r="AB329" s="295">
        <v>1</v>
      </c>
      <c r="AC329" s="295">
        <v>1</v>
      </c>
      <c r="AD329" s="295">
        <v>1</v>
      </c>
      <c r="AE329" s="295">
        <v>1</v>
      </c>
      <c r="AF329" s="253">
        <f t="shared" si="47"/>
        <v>1</v>
      </c>
      <c r="AG329" s="269"/>
      <c r="AK329" s="339"/>
    </row>
    <row r="330" spans="1:37" hidden="1" outlineLevel="1" x14ac:dyDescent="0.25">
      <c r="A330" s="2147"/>
      <c r="D330" s="2638"/>
      <c r="E330" s="121" t="s">
        <v>1468</v>
      </c>
      <c r="F330" s="503">
        <v>0.91</v>
      </c>
      <c r="G330" s="2637"/>
      <c r="H330" s="1300" t="s">
        <v>1546</v>
      </c>
      <c r="V330" s="2489"/>
      <c r="W330" s="269">
        <v>0.91</v>
      </c>
      <c r="X330" s="269">
        <v>0.91</v>
      </c>
      <c r="Y330" s="269">
        <v>0.91</v>
      </c>
      <c r="Z330" s="295">
        <v>0.91</v>
      </c>
      <c r="AA330" s="295">
        <v>0.91</v>
      </c>
      <c r="AB330" s="295">
        <v>0.91</v>
      </c>
      <c r="AC330" s="295">
        <v>0.91</v>
      </c>
      <c r="AD330" s="295">
        <v>0.91</v>
      </c>
      <c r="AE330" s="295">
        <v>0.91</v>
      </c>
      <c r="AF330" s="253">
        <f t="shared" ref="AF330:AF393" si="50">IF(F330&lt;&gt;"",F330,"")</f>
        <v>0.91</v>
      </c>
      <c r="AG330" s="269"/>
      <c r="AK330" s="339"/>
    </row>
    <row r="331" spans="1:37" hidden="1" outlineLevel="1" x14ac:dyDescent="0.25">
      <c r="A331" s="2147"/>
      <c r="D331" s="2638"/>
      <c r="E331" s="121" t="s">
        <v>1470</v>
      </c>
      <c r="F331" s="503">
        <v>0.91</v>
      </c>
      <c r="G331" s="2637"/>
      <c r="H331" s="1300" t="s">
        <v>1546</v>
      </c>
      <c r="V331" s="2489"/>
      <c r="W331" s="269">
        <v>0.91</v>
      </c>
      <c r="X331" s="269">
        <v>0.91</v>
      </c>
      <c r="Y331" s="269">
        <v>0.91</v>
      </c>
      <c r="Z331" s="295">
        <v>0.91</v>
      </c>
      <c r="AA331" s="295">
        <v>0.91</v>
      </c>
      <c r="AB331" s="295">
        <v>0.91</v>
      </c>
      <c r="AC331" s="295">
        <v>0.91</v>
      </c>
      <c r="AD331" s="295">
        <v>0.91</v>
      </c>
      <c r="AE331" s="295">
        <v>0.91</v>
      </c>
      <c r="AF331" s="253">
        <f t="shared" si="50"/>
        <v>0.91</v>
      </c>
      <c r="AG331" s="269"/>
      <c r="AK331" s="339"/>
    </row>
    <row r="332" spans="1:37" hidden="1" outlineLevel="1" x14ac:dyDescent="0.25">
      <c r="A332" s="2147"/>
      <c r="D332" s="2638"/>
      <c r="E332" s="121" t="s">
        <v>1472</v>
      </c>
      <c r="F332" s="503">
        <v>1</v>
      </c>
      <c r="G332" s="2637"/>
      <c r="H332" s="1300" t="s">
        <v>1547</v>
      </c>
      <c r="V332" s="2489"/>
      <c r="W332" s="269">
        <v>1</v>
      </c>
      <c r="X332" s="269">
        <v>1</v>
      </c>
      <c r="Y332" s="269">
        <v>1</v>
      </c>
      <c r="Z332" s="295">
        <v>1</v>
      </c>
      <c r="AA332" s="295">
        <v>1</v>
      </c>
      <c r="AB332" s="295">
        <v>1</v>
      </c>
      <c r="AC332" s="295">
        <v>1</v>
      </c>
      <c r="AD332" s="295">
        <v>1</v>
      </c>
      <c r="AE332" s="295">
        <v>1</v>
      </c>
      <c r="AF332" s="253">
        <f t="shared" si="50"/>
        <v>1</v>
      </c>
      <c r="AG332" s="269"/>
      <c r="AK332" s="339"/>
    </row>
    <row r="333" spans="1:37" hidden="1" outlineLevel="1" x14ac:dyDescent="0.25">
      <c r="A333" s="2147"/>
      <c r="D333" s="2638"/>
      <c r="E333" s="121" t="s">
        <v>1474</v>
      </c>
      <c r="F333" s="503">
        <v>0.91</v>
      </c>
      <c r="G333" s="2637"/>
      <c r="H333" s="1300" t="s">
        <v>1546</v>
      </c>
      <c r="V333" s="2489"/>
      <c r="W333" s="269">
        <v>0.91</v>
      </c>
      <c r="X333" s="269">
        <v>0.91</v>
      </c>
      <c r="Y333" s="269">
        <v>0.91</v>
      </c>
      <c r="Z333" s="295">
        <v>0.91</v>
      </c>
      <c r="AA333" s="295">
        <v>0.91</v>
      </c>
      <c r="AB333" s="295">
        <v>0.91</v>
      </c>
      <c r="AC333" s="295">
        <v>0.91</v>
      </c>
      <c r="AD333" s="295">
        <v>0.91</v>
      </c>
      <c r="AE333" s="295">
        <v>0.91</v>
      </c>
      <c r="AF333" s="253">
        <f t="shared" si="50"/>
        <v>0.91</v>
      </c>
      <c r="AG333" s="269"/>
      <c r="AK333" s="339"/>
    </row>
    <row r="334" spans="1:37" hidden="1" outlineLevel="1" x14ac:dyDescent="0.25">
      <c r="A334" s="2147"/>
      <c r="D334" s="2638"/>
      <c r="E334" s="121" t="s">
        <v>1476</v>
      </c>
      <c r="F334" s="503">
        <v>0.91</v>
      </c>
      <c r="G334" s="2637"/>
      <c r="H334" s="1300" t="s">
        <v>1546</v>
      </c>
      <c r="V334" s="2489"/>
      <c r="W334" s="269">
        <v>0.91</v>
      </c>
      <c r="X334" s="269">
        <v>0.91</v>
      </c>
      <c r="Y334" s="269">
        <v>0.91</v>
      </c>
      <c r="Z334" s="295">
        <v>0.91</v>
      </c>
      <c r="AA334" s="295">
        <v>0.91</v>
      </c>
      <c r="AB334" s="295">
        <v>0.91</v>
      </c>
      <c r="AC334" s="295">
        <v>0.91</v>
      </c>
      <c r="AD334" s="295">
        <v>0.91</v>
      </c>
      <c r="AE334" s="295">
        <v>0.91</v>
      </c>
      <c r="AF334" s="253">
        <f t="shared" si="50"/>
        <v>0.91</v>
      </c>
      <c r="AG334" s="269"/>
      <c r="AK334" s="339"/>
    </row>
    <row r="335" spans="1:37" hidden="1" outlineLevel="1" x14ac:dyDescent="0.25">
      <c r="A335" s="2147"/>
      <c r="D335" s="2638"/>
      <c r="E335" s="121" t="s">
        <v>1478</v>
      </c>
      <c r="F335" s="503">
        <v>1</v>
      </c>
      <c r="G335" s="2637"/>
      <c r="H335" s="1300" t="s">
        <v>1547</v>
      </c>
      <c r="V335" s="2489"/>
      <c r="W335" s="269">
        <v>1</v>
      </c>
      <c r="X335" s="269">
        <v>1</v>
      </c>
      <c r="Y335" s="269">
        <v>1</v>
      </c>
      <c r="Z335" s="295">
        <v>1</v>
      </c>
      <c r="AA335" s="295">
        <v>1</v>
      </c>
      <c r="AB335" s="295">
        <v>1</v>
      </c>
      <c r="AC335" s="295">
        <v>1</v>
      </c>
      <c r="AD335" s="295">
        <v>1</v>
      </c>
      <c r="AE335" s="295">
        <v>1</v>
      </c>
      <c r="AF335" s="253">
        <f t="shared" si="50"/>
        <v>1</v>
      </c>
      <c r="AG335" s="269"/>
      <c r="AK335" s="339"/>
    </row>
    <row r="336" spans="1:37" hidden="1" outlineLevel="1" x14ac:dyDescent="0.25">
      <c r="A336" s="2147"/>
      <c r="D336" s="2638"/>
      <c r="E336" s="121" t="s">
        <v>1480</v>
      </c>
      <c r="F336" s="503">
        <v>0.91</v>
      </c>
      <c r="G336" s="2637"/>
      <c r="H336" s="1300" t="s">
        <v>1546</v>
      </c>
      <c r="V336" s="2489"/>
      <c r="W336" s="269">
        <v>0.91</v>
      </c>
      <c r="X336" s="269">
        <v>0.91</v>
      </c>
      <c r="Y336" s="269">
        <v>0.91</v>
      </c>
      <c r="Z336" s="295">
        <v>0.91</v>
      </c>
      <c r="AA336" s="295">
        <v>0.91</v>
      </c>
      <c r="AB336" s="295">
        <v>0.91</v>
      </c>
      <c r="AC336" s="295">
        <v>0.91</v>
      </c>
      <c r="AD336" s="295">
        <v>0.91</v>
      </c>
      <c r="AE336" s="295">
        <v>0.91</v>
      </c>
      <c r="AF336" s="253">
        <f t="shared" si="50"/>
        <v>0.91</v>
      </c>
      <c r="AG336" s="269"/>
      <c r="AK336" s="339"/>
    </row>
    <row r="337" spans="1:37" hidden="1" outlineLevel="1" x14ac:dyDescent="0.25">
      <c r="A337" s="2147"/>
      <c r="D337" s="2638"/>
      <c r="E337" s="121" t="s">
        <v>1482</v>
      </c>
      <c r="F337" s="503">
        <v>0.91</v>
      </c>
      <c r="G337" s="2637"/>
      <c r="H337" s="1300" t="s">
        <v>1546</v>
      </c>
      <c r="V337" s="2489"/>
      <c r="W337" s="269">
        <v>0.91</v>
      </c>
      <c r="X337" s="269">
        <v>0.91</v>
      </c>
      <c r="Y337" s="269">
        <v>0.91</v>
      </c>
      <c r="Z337" s="295">
        <v>0.91</v>
      </c>
      <c r="AA337" s="295">
        <v>0.91</v>
      </c>
      <c r="AB337" s="295">
        <v>0.91</v>
      </c>
      <c r="AC337" s="295">
        <v>0.91</v>
      </c>
      <c r="AD337" s="295">
        <v>0.91</v>
      </c>
      <c r="AE337" s="295">
        <v>0.91</v>
      </c>
      <c r="AF337" s="253">
        <f t="shared" si="50"/>
        <v>0.91</v>
      </c>
      <c r="AG337" s="269"/>
      <c r="AK337" s="339"/>
    </row>
    <row r="338" spans="1:37" hidden="1" outlineLevel="1" x14ac:dyDescent="0.25">
      <c r="A338" s="2147"/>
      <c r="D338" s="2638"/>
      <c r="E338" s="121" t="s">
        <v>1484</v>
      </c>
      <c r="F338" s="503">
        <v>1</v>
      </c>
      <c r="G338" s="2637"/>
      <c r="H338" s="1300" t="s">
        <v>1547</v>
      </c>
      <c r="V338" s="2489"/>
      <c r="W338" s="269">
        <v>1</v>
      </c>
      <c r="X338" s="269">
        <v>1</v>
      </c>
      <c r="Y338" s="269">
        <v>1</v>
      </c>
      <c r="Z338" s="295">
        <v>1</v>
      </c>
      <c r="AA338" s="295">
        <v>1</v>
      </c>
      <c r="AB338" s="295">
        <v>1</v>
      </c>
      <c r="AC338" s="295">
        <v>1</v>
      </c>
      <c r="AD338" s="295">
        <v>1</v>
      </c>
      <c r="AE338" s="295">
        <v>1</v>
      </c>
      <c r="AF338" s="253">
        <f t="shared" si="50"/>
        <v>1</v>
      </c>
      <c r="AG338" s="269"/>
      <c r="AK338" s="339"/>
    </row>
    <row r="339" spans="1:37" hidden="1" outlineLevel="1" x14ac:dyDescent="0.25">
      <c r="A339" s="2147"/>
      <c r="D339" s="2638"/>
      <c r="E339" s="121" t="s">
        <v>1486</v>
      </c>
      <c r="F339" s="503">
        <v>0.91</v>
      </c>
      <c r="G339" s="2637"/>
      <c r="H339" s="1300" t="s">
        <v>1546</v>
      </c>
      <c r="V339" s="2489"/>
      <c r="W339" s="269">
        <v>0.91</v>
      </c>
      <c r="X339" s="269">
        <v>0.91</v>
      </c>
      <c r="Y339" s="269">
        <v>0.91</v>
      </c>
      <c r="Z339" s="295">
        <v>0.91</v>
      </c>
      <c r="AA339" s="295">
        <v>0.91</v>
      </c>
      <c r="AB339" s="295">
        <v>0.91</v>
      </c>
      <c r="AC339" s="295">
        <v>0.91</v>
      </c>
      <c r="AD339" s="295">
        <v>0.91</v>
      </c>
      <c r="AE339" s="295">
        <v>0.91</v>
      </c>
      <c r="AF339" s="253">
        <f t="shared" si="50"/>
        <v>0.91</v>
      </c>
      <c r="AG339" s="269"/>
      <c r="AK339" s="339"/>
    </row>
    <row r="340" spans="1:37" hidden="1" outlineLevel="1" x14ac:dyDescent="0.25">
      <c r="A340" s="2147"/>
      <c r="D340" s="2638"/>
      <c r="E340" s="121" t="s">
        <v>1488</v>
      </c>
      <c r="F340" s="503">
        <v>0.91</v>
      </c>
      <c r="G340" s="2637"/>
      <c r="H340" s="1300" t="s">
        <v>1546</v>
      </c>
      <c r="V340" s="2489"/>
      <c r="W340" s="269">
        <v>0.91</v>
      </c>
      <c r="X340" s="269">
        <v>0.91</v>
      </c>
      <c r="Y340" s="269">
        <v>0.91</v>
      </c>
      <c r="Z340" s="295">
        <v>0.91</v>
      </c>
      <c r="AA340" s="295">
        <v>0.91</v>
      </c>
      <c r="AB340" s="295">
        <v>0.91</v>
      </c>
      <c r="AC340" s="295">
        <v>0.91</v>
      </c>
      <c r="AD340" s="295">
        <v>0.91</v>
      </c>
      <c r="AE340" s="295">
        <v>0.91</v>
      </c>
      <c r="AF340" s="253">
        <f t="shared" si="50"/>
        <v>0.91</v>
      </c>
      <c r="AG340" s="269"/>
      <c r="AK340" s="339"/>
    </row>
    <row r="341" spans="1:37" hidden="1" outlineLevel="1" x14ac:dyDescent="0.25">
      <c r="A341" s="2147"/>
      <c r="D341" s="2638"/>
      <c r="E341" s="121" t="s">
        <v>1490</v>
      </c>
      <c r="F341" s="503">
        <v>1</v>
      </c>
      <c r="G341" s="2637"/>
      <c r="H341" s="1300" t="s">
        <v>1547</v>
      </c>
      <c r="V341" s="2489"/>
      <c r="W341" s="269">
        <v>1</v>
      </c>
      <c r="X341" s="269">
        <v>1</v>
      </c>
      <c r="Y341" s="269">
        <v>1</v>
      </c>
      <c r="Z341" s="295">
        <v>1</v>
      </c>
      <c r="AA341" s="295">
        <v>1</v>
      </c>
      <c r="AB341" s="295">
        <v>1</v>
      </c>
      <c r="AC341" s="295">
        <v>1</v>
      </c>
      <c r="AD341" s="295">
        <v>1</v>
      </c>
      <c r="AE341" s="295">
        <v>1</v>
      </c>
      <c r="AF341" s="253">
        <f t="shared" si="50"/>
        <v>1</v>
      </c>
      <c r="AG341" s="269"/>
      <c r="AK341" s="339"/>
    </row>
    <row r="342" spans="1:37" hidden="1" outlineLevel="1" x14ac:dyDescent="0.25">
      <c r="A342" s="2147"/>
      <c r="D342" s="2638"/>
      <c r="E342" s="121" t="s">
        <v>1492</v>
      </c>
      <c r="F342" s="503">
        <v>0.91</v>
      </c>
      <c r="G342" s="2637"/>
      <c r="H342" s="1300" t="s">
        <v>1546</v>
      </c>
      <c r="V342" s="2489"/>
      <c r="W342" s="269">
        <v>0.91</v>
      </c>
      <c r="X342" s="269">
        <v>0.91</v>
      </c>
      <c r="Y342" s="269">
        <v>0.91</v>
      </c>
      <c r="Z342" s="295">
        <v>0.91</v>
      </c>
      <c r="AA342" s="295">
        <v>0.91</v>
      </c>
      <c r="AB342" s="295">
        <v>0.91</v>
      </c>
      <c r="AC342" s="295">
        <v>0.91</v>
      </c>
      <c r="AD342" s="295">
        <v>0.91</v>
      </c>
      <c r="AE342" s="295">
        <v>0.91</v>
      </c>
      <c r="AF342" s="253">
        <f t="shared" si="50"/>
        <v>0.91</v>
      </c>
      <c r="AG342" s="269"/>
      <c r="AK342" s="339"/>
    </row>
    <row r="343" spans="1:37" hidden="1" outlineLevel="1" x14ac:dyDescent="0.25">
      <c r="A343" s="2147"/>
      <c r="D343" s="2638"/>
      <c r="E343" s="121" t="s">
        <v>1494</v>
      </c>
      <c r="F343" s="503">
        <v>0.91</v>
      </c>
      <c r="G343" s="2637"/>
      <c r="H343" s="1300" t="s">
        <v>1546</v>
      </c>
      <c r="V343" s="2489"/>
      <c r="W343" s="269">
        <v>0.91</v>
      </c>
      <c r="X343" s="269">
        <v>0.91</v>
      </c>
      <c r="Y343" s="269">
        <v>0.91</v>
      </c>
      <c r="Z343" s="295">
        <v>0.91</v>
      </c>
      <c r="AA343" s="295">
        <v>0.91</v>
      </c>
      <c r="AB343" s="295">
        <v>0.91</v>
      </c>
      <c r="AC343" s="295">
        <v>0.91</v>
      </c>
      <c r="AD343" s="295">
        <v>0.91</v>
      </c>
      <c r="AE343" s="295">
        <v>0.91</v>
      </c>
      <c r="AF343" s="253">
        <f t="shared" si="50"/>
        <v>0.91</v>
      </c>
      <c r="AG343" s="269"/>
      <c r="AK343" s="339"/>
    </row>
    <row r="344" spans="1:37" hidden="1" outlineLevel="1" x14ac:dyDescent="0.25">
      <c r="A344" s="2147"/>
      <c r="D344" s="2638"/>
      <c r="E344" s="121" t="s">
        <v>1496</v>
      </c>
      <c r="F344" s="503">
        <v>1</v>
      </c>
      <c r="G344" s="2637"/>
      <c r="H344" s="1300" t="s">
        <v>1547</v>
      </c>
      <c r="V344" s="2489"/>
      <c r="W344" s="269">
        <v>1</v>
      </c>
      <c r="X344" s="269">
        <v>1</v>
      </c>
      <c r="Y344" s="269">
        <v>1</v>
      </c>
      <c r="Z344" s="295">
        <v>1</v>
      </c>
      <c r="AA344" s="295">
        <v>1</v>
      </c>
      <c r="AB344" s="295">
        <v>1</v>
      </c>
      <c r="AC344" s="295">
        <v>1</v>
      </c>
      <c r="AD344" s="295">
        <v>1</v>
      </c>
      <c r="AE344" s="295">
        <v>1</v>
      </c>
      <c r="AF344" s="253">
        <f t="shared" si="50"/>
        <v>1</v>
      </c>
      <c r="AG344" s="269"/>
      <c r="AK344" s="339"/>
    </row>
    <row r="345" spans="1:37" hidden="1" outlineLevel="1" x14ac:dyDescent="0.25">
      <c r="A345" s="2147"/>
      <c r="D345" s="2638"/>
      <c r="E345" s="121" t="s">
        <v>1498</v>
      </c>
      <c r="F345" s="503">
        <v>0.91</v>
      </c>
      <c r="G345" s="2637"/>
      <c r="H345" s="1300" t="s">
        <v>1546</v>
      </c>
      <c r="V345" s="2489"/>
      <c r="W345" s="269">
        <v>0.91</v>
      </c>
      <c r="X345" s="269">
        <v>0.91</v>
      </c>
      <c r="Y345" s="269">
        <v>0.91</v>
      </c>
      <c r="Z345" s="295">
        <v>0.91</v>
      </c>
      <c r="AA345" s="295">
        <v>0.91</v>
      </c>
      <c r="AB345" s="295">
        <v>0.91</v>
      </c>
      <c r="AC345" s="295">
        <v>0.91</v>
      </c>
      <c r="AD345" s="295">
        <v>0.91</v>
      </c>
      <c r="AE345" s="295">
        <v>0.91</v>
      </c>
      <c r="AF345" s="253">
        <f t="shared" si="50"/>
        <v>0.91</v>
      </c>
      <c r="AG345" s="269"/>
      <c r="AK345" s="339"/>
    </row>
    <row r="346" spans="1:37" hidden="1" outlineLevel="1" x14ac:dyDescent="0.25">
      <c r="A346" s="2147"/>
      <c r="D346" s="2638"/>
      <c r="E346" s="121" t="s">
        <v>1500</v>
      </c>
      <c r="F346" s="503">
        <v>0.91</v>
      </c>
      <c r="G346" s="2637"/>
      <c r="H346" s="1300" t="s">
        <v>1546</v>
      </c>
      <c r="V346" s="2489"/>
      <c r="W346" s="269">
        <v>0.91</v>
      </c>
      <c r="X346" s="269">
        <v>0.91</v>
      </c>
      <c r="Y346" s="269">
        <v>0.91</v>
      </c>
      <c r="Z346" s="295">
        <v>0.91</v>
      </c>
      <c r="AA346" s="295">
        <v>0.91</v>
      </c>
      <c r="AB346" s="295">
        <v>0.91</v>
      </c>
      <c r="AC346" s="295">
        <v>0.91</v>
      </c>
      <c r="AD346" s="295">
        <v>0.91</v>
      </c>
      <c r="AE346" s="295">
        <v>0.91</v>
      </c>
      <c r="AF346" s="253">
        <f t="shared" si="50"/>
        <v>0.91</v>
      </c>
      <c r="AG346" s="269"/>
      <c r="AK346" s="339"/>
    </row>
    <row r="347" spans="1:37" hidden="1" outlineLevel="1" x14ac:dyDescent="0.25">
      <c r="A347" s="2147"/>
      <c r="D347" s="2638"/>
      <c r="E347" s="121" t="s">
        <v>1502</v>
      </c>
      <c r="F347" s="503">
        <v>1</v>
      </c>
      <c r="G347" s="2637"/>
      <c r="H347" s="1300" t="s">
        <v>1547</v>
      </c>
      <c r="V347" s="2489"/>
      <c r="W347" s="269">
        <v>1</v>
      </c>
      <c r="X347" s="269">
        <v>1</v>
      </c>
      <c r="Y347" s="269">
        <v>1</v>
      </c>
      <c r="Z347" s="295">
        <v>1</v>
      </c>
      <c r="AA347" s="295">
        <v>1</v>
      </c>
      <c r="AB347" s="295">
        <v>1</v>
      </c>
      <c r="AC347" s="295">
        <v>1</v>
      </c>
      <c r="AD347" s="295">
        <v>1</v>
      </c>
      <c r="AE347" s="295">
        <v>1</v>
      </c>
      <c r="AF347" s="253">
        <f t="shared" si="50"/>
        <v>1</v>
      </c>
      <c r="AG347" s="269"/>
      <c r="AK347" s="339"/>
    </row>
    <row r="348" spans="1:37" hidden="1" outlineLevel="1" x14ac:dyDescent="0.25">
      <c r="A348" s="2147"/>
      <c r="D348" s="2638"/>
      <c r="E348" s="121" t="s">
        <v>1504</v>
      </c>
      <c r="F348" s="503">
        <v>0.91</v>
      </c>
      <c r="G348" s="2637"/>
      <c r="H348" s="1300" t="s">
        <v>1546</v>
      </c>
      <c r="V348" s="2489"/>
      <c r="W348" s="269">
        <v>0.91</v>
      </c>
      <c r="X348" s="269">
        <v>0.91</v>
      </c>
      <c r="Y348" s="269">
        <v>0.91</v>
      </c>
      <c r="Z348" s="295">
        <v>0.91</v>
      </c>
      <c r="AA348" s="295">
        <v>0.91</v>
      </c>
      <c r="AB348" s="295">
        <v>0.91</v>
      </c>
      <c r="AC348" s="295">
        <v>0.91</v>
      </c>
      <c r="AD348" s="295">
        <v>0.91</v>
      </c>
      <c r="AE348" s="295">
        <v>0.91</v>
      </c>
      <c r="AF348" s="253">
        <f t="shared" si="50"/>
        <v>0.91</v>
      </c>
      <c r="AG348" s="269"/>
      <c r="AK348" s="339"/>
    </row>
    <row r="349" spans="1:37" hidden="1" outlineLevel="1" x14ac:dyDescent="0.25">
      <c r="A349" s="2147"/>
      <c r="D349" s="2638"/>
      <c r="E349" s="121" t="s">
        <v>1506</v>
      </c>
      <c r="F349" s="503">
        <v>0.91</v>
      </c>
      <c r="G349" s="2637"/>
      <c r="H349" s="1300" t="s">
        <v>1546</v>
      </c>
      <c r="V349" s="2489"/>
      <c r="W349" s="269">
        <v>0.91</v>
      </c>
      <c r="X349" s="269">
        <v>0.91</v>
      </c>
      <c r="Y349" s="269">
        <v>0.91</v>
      </c>
      <c r="Z349" s="295">
        <v>0.91</v>
      </c>
      <c r="AA349" s="295">
        <v>0.91</v>
      </c>
      <c r="AB349" s="295">
        <v>0.91</v>
      </c>
      <c r="AC349" s="295">
        <v>0.91</v>
      </c>
      <c r="AD349" s="295">
        <v>0.91</v>
      </c>
      <c r="AE349" s="295">
        <v>0.91</v>
      </c>
      <c r="AF349" s="253">
        <f t="shared" si="50"/>
        <v>0.91</v>
      </c>
      <c r="AG349" s="269"/>
      <c r="AK349" s="339"/>
    </row>
    <row r="350" spans="1:37" hidden="1" outlineLevel="1" x14ac:dyDescent="0.25">
      <c r="A350" s="2147"/>
      <c r="D350" s="2638"/>
      <c r="E350" s="121" t="s">
        <v>1508</v>
      </c>
      <c r="F350" s="503">
        <v>1</v>
      </c>
      <c r="G350" s="2637"/>
      <c r="H350" s="1300" t="s">
        <v>1547</v>
      </c>
      <c r="V350" s="2489"/>
      <c r="W350" s="269">
        <v>1</v>
      </c>
      <c r="X350" s="269">
        <v>1</v>
      </c>
      <c r="Y350" s="269">
        <v>1</v>
      </c>
      <c r="Z350" s="295">
        <v>1</v>
      </c>
      <c r="AA350" s="295">
        <v>1</v>
      </c>
      <c r="AB350" s="295">
        <v>1</v>
      </c>
      <c r="AC350" s="295">
        <v>1</v>
      </c>
      <c r="AD350" s="295">
        <v>1</v>
      </c>
      <c r="AE350" s="295">
        <v>1</v>
      </c>
      <c r="AF350" s="253">
        <f t="shared" si="50"/>
        <v>1</v>
      </c>
      <c r="AG350" s="269"/>
      <c r="AK350" s="339"/>
    </row>
    <row r="351" spans="1:37" hidden="1" outlineLevel="1" x14ac:dyDescent="0.25">
      <c r="A351" s="2147"/>
      <c r="D351" s="2638"/>
      <c r="E351" s="121" t="s">
        <v>1510</v>
      </c>
      <c r="F351" s="503">
        <v>0.91</v>
      </c>
      <c r="G351" s="2637"/>
      <c r="H351" s="1300" t="s">
        <v>1546</v>
      </c>
      <c r="V351" s="2489"/>
      <c r="W351" s="269">
        <v>0.91</v>
      </c>
      <c r="X351" s="269">
        <v>0.91</v>
      </c>
      <c r="Y351" s="269">
        <v>0.91</v>
      </c>
      <c r="Z351" s="295">
        <v>0.91</v>
      </c>
      <c r="AA351" s="295">
        <v>0.91</v>
      </c>
      <c r="AB351" s="295">
        <v>0.91</v>
      </c>
      <c r="AC351" s="295">
        <v>0.91</v>
      </c>
      <c r="AD351" s="295">
        <v>0.91</v>
      </c>
      <c r="AE351" s="295">
        <v>0.91</v>
      </c>
      <c r="AF351" s="253">
        <f t="shared" si="50"/>
        <v>0.91</v>
      </c>
      <c r="AG351" s="269"/>
      <c r="AK351" s="339"/>
    </row>
    <row r="352" spans="1:37" hidden="1" outlineLevel="1" x14ac:dyDescent="0.25">
      <c r="A352" s="2147"/>
      <c r="D352" s="2638"/>
      <c r="E352" s="121" t="s">
        <v>1512</v>
      </c>
      <c r="F352" s="503">
        <v>0.91</v>
      </c>
      <c r="G352" s="2637"/>
      <c r="H352" s="1300" t="s">
        <v>1546</v>
      </c>
      <c r="V352" s="2489"/>
      <c r="W352" s="269">
        <v>0.91</v>
      </c>
      <c r="X352" s="269">
        <v>0.91</v>
      </c>
      <c r="Y352" s="269">
        <v>0.91</v>
      </c>
      <c r="Z352" s="295">
        <v>0.91</v>
      </c>
      <c r="AA352" s="295">
        <v>0.91</v>
      </c>
      <c r="AB352" s="295">
        <v>0.91</v>
      </c>
      <c r="AC352" s="295">
        <v>0.91</v>
      </c>
      <c r="AD352" s="295">
        <v>0.91</v>
      </c>
      <c r="AE352" s="295">
        <v>0.91</v>
      </c>
      <c r="AF352" s="253">
        <f t="shared" si="50"/>
        <v>0.91</v>
      </c>
      <c r="AG352" s="269"/>
      <c r="AK352" s="339"/>
    </row>
    <row r="353" spans="1:37" hidden="1" outlineLevel="1" x14ac:dyDescent="0.25">
      <c r="A353" s="2147"/>
      <c r="D353" s="2638"/>
      <c r="E353" s="121" t="s">
        <v>1514</v>
      </c>
      <c r="F353" s="503">
        <v>1</v>
      </c>
      <c r="G353" s="2637"/>
      <c r="H353" s="1300" t="s">
        <v>1547</v>
      </c>
      <c r="V353" s="2489"/>
      <c r="W353" s="269">
        <v>1</v>
      </c>
      <c r="X353" s="269">
        <v>1</v>
      </c>
      <c r="Y353" s="269">
        <v>1</v>
      </c>
      <c r="Z353" s="295">
        <v>1</v>
      </c>
      <c r="AA353" s="295">
        <v>1</v>
      </c>
      <c r="AB353" s="295">
        <v>1</v>
      </c>
      <c r="AC353" s="295">
        <v>1</v>
      </c>
      <c r="AD353" s="295">
        <v>1</v>
      </c>
      <c r="AE353" s="295">
        <v>1</v>
      </c>
      <c r="AF353" s="253">
        <f t="shared" si="50"/>
        <v>1</v>
      </c>
      <c r="AG353" s="269"/>
      <c r="AK353" s="339"/>
    </row>
    <row r="354" spans="1:37" hidden="1" outlineLevel="1" x14ac:dyDescent="0.25">
      <c r="A354" s="2147"/>
      <c r="D354" s="2638"/>
      <c r="E354" s="121" t="s">
        <v>1516</v>
      </c>
      <c r="F354" s="503">
        <v>0.91</v>
      </c>
      <c r="G354" s="2637"/>
      <c r="H354" s="1300" t="s">
        <v>1546</v>
      </c>
      <c r="V354" s="2636"/>
      <c r="W354" s="269">
        <v>0.91</v>
      </c>
      <c r="X354" s="269">
        <v>0.91</v>
      </c>
      <c r="Y354" s="269">
        <v>0.91</v>
      </c>
      <c r="Z354" s="295">
        <v>0.91</v>
      </c>
      <c r="AA354" s="295">
        <v>0.91</v>
      </c>
      <c r="AB354" s="295">
        <v>0.91</v>
      </c>
      <c r="AC354" s="295">
        <v>0.91</v>
      </c>
      <c r="AD354" s="295">
        <v>0.91</v>
      </c>
      <c r="AE354" s="295">
        <v>0.91</v>
      </c>
      <c r="AF354" s="253">
        <f t="shared" si="50"/>
        <v>0.91</v>
      </c>
      <c r="AG354" s="269"/>
      <c r="AK354" s="339"/>
    </row>
    <row r="355" spans="1:37" hidden="1" outlineLevel="1" x14ac:dyDescent="0.25">
      <c r="A355" s="2147"/>
      <c r="D355" s="2638" t="s">
        <v>1548</v>
      </c>
      <c r="E355" s="121" t="s">
        <v>1458</v>
      </c>
      <c r="F355" s="1448">
        <v>12.4</v>
      </c>
      <c r="G355" s="1300"/>
      <c r="H355" s="1300"/>
      <c r="V355" s="2488" t="str">
        <f>D355</f>
        <v>ƞcool</v>
      </c>
      <c r="W355" s="261">
        <v>11</v>
      </c>
      <c r="X355" s="261">
        <v>11</v>
      </c>
      <c r="Y355" s="261">
        <v>11</v>
      </c>
      <c r="Z355" s="422">
        <v>11</v>
      </c>
      <c r="AA355" s="422">
        <v>11</v>
      </c>
      <c r="AB355" s="422">
        <v>11</v>
      </c>
      <c r="AC355" s="422">
        <v>11</v>
      </c>
      <c r="AD355" s="422">
        <v>11</v>
      </c>
      <c r="AE355" s="422">
        <v>11</v>
      </c>
      <c r="AF355" s="253">
        <f t="shared" si="50"/>
        <v>12.4</v>
      </c>
      <c r="AG355" s="261"/>
      <c r="AK355" s="339"/>
    </row>
    <row r="356" spans="1:37" hidden="1" outlineLevel="1" x14ac:dyDescent="0.25">
      <c r="A356" s="2147"/>
      <c r="D356" s="2638"/>
      <c r="E356" s="121" t="s">
        <v>1460</v>
      </c>
      <c r="F356" s="1448">
        <v>12.4</v>
      </c>
      <c r="G356" s="1300"/>
      <c r="H356" s="2658" t="s">
        <v>725</v>
      </c>
      <c r="V356" s="2489"/>
      <c r="W356" s="261">
        <v>11</v>
      </c>
      <c r="X356" s="261">
        <v>11</v>
      </c>
      <c r="Y356" s="261">
        <v>11</v>
      </c>
      <c r="Z356" s="422">
        <v>11</v>
      </c>
      <c r="AA356" s="422">
        <v>11</v>
      </c>
      <c r="AB356" s="422">
        <v>11</v>
      </c>
      <c r="AC356" s="422">
        <v>11</v>
      </c>
      <c r="AD356" s="422">
        <v>11</v>
      </c>
      <c r="AE356" s="422">
        <v>11</v>
      </c>
      <c r="AF356" s="253">
        <f t="shared" si="50"/>
        <v>12.4</v>
      </c>
      <c r="AG356" s="261"/>
      <c r="AK356" s="339"/>
    </row>
    <row r="357" spans="1:37" hidden="1" outlineLevel="1" x14ac:dyDescent="0.25">
      <c r="A357" s="2147"/>
      <c r="D357" s="2638"/>
      <c r="E357" s="121" t="s">
        <v>1462</v>
      </c>
      <c r="F357" s="1448">
        <v>12.4</v>
      </c>
      <c r="G357" s="1300"/>
      <c r="H357" s="2383"/>
      <c r="V357" s="2489"/>
      <c r="W357" s="261">
        <v>11</v>
      </c>
      <c r="X357" s="261">
        <v>11</v>
      </c>
      <c r="Y357" s="261">
        <v>11</v>
      </c>
      <c r="Z357" s="422">
        <v>11</v>
      </c>
      <c r="AA357" s="422">
        <v>11</v>
      </c>
      <c r="AB357" s="422">
        <v>11</v>
      </c>
      <c r="AC357" s="422">
        <v>11</v>
      </c>
      <c r="AD357" s="422">
        <v>11</v>
      </c>
      <c r="AE357" s="422">
        <v>11</v>
      </c>
      <c r="AF357" s="253">
        <f t="shared" si="50"/>
        <v>12.4</v>
      </c>
      <c r="AG357" s="261"/>
      <c r="AK357" s="339"/>
    </row>
    <row r="358" spans="1:37" hidden="1" outlineLevel="1" x14ac:dyDescent="0.25">
      <c r="A358" s="2147"/>
      <c r="D358" s="2638"/>
      <c r="E358" s="121" t="s">
        <v>1464</v>
      </c>
      <c r="F358" s="1448">
        <v>12.4</v>
      </c>
      <c r="G358" s="1300"/>
      <c r="H358" s="2383"/>
      <c r="V358" s="2489"/>
      <c r="W358" s="261">
        <v>11</v>
      </c>
      <c r="X358" s="261">
        <v>11</v>
      </c>
      <c r="Y358" s="261">
        <v>11</v>
      </c>
      <c r="Z358" s="422">
        <v>11</v>
      </c>
      <c r="AA358" s="422">
        <v>11</v>
      </c>
      <c r="AB358" s="422">
        <v>11</v>
      </c>
      <c r="AC358" s="422">
        <v>11</v>
      </c>
      <c r="AD358" s="422">
        <v>11</v>
      </c>
      <c r="AE358" s="422">
        <v>11</v>
      </c>
      <c r="AF358" s="253">
        <f t="shared" si="50"/>
        <v>12.4</v>
      </c>
      <c r="AG358" s="261"/>
      <c r="AK358" s="339"/>
    </row>
    <row r="359" spans="1:37" hidden="1" outlineLevel="1" x14ac:dyDescent="0.25">
      <c r="A359" s="2147"/>
      <c r="D359" s="2638"/>
      <c r="E359" s="121" t="s">
        <v>1466</v>
      </c>
      <c r="F359" s="1448">
        <v>12.4</v>
      </c>
      <c r="G359" s="1300"/>
      <c r="H359" s="2383"/>
      <c r="V359" s="2489"/>
      <c r="W359" s="261">
        <v>11</v>
      </c>
      <c r="X359" s="261">
        <v>11</v>
      </c>
      <c r="Y359" s="261">
        <v>11</v>
      </c>
      <c r="Z359" s="422">
        <v>11</v>
      </c>
      <c r="AA359" s="422">
        <v>11</v>
      </c>
      <c r="AB359" s="422">
        <v>11</v>
      </c>
      <c r="AC359" s="422">
        <v>11</v>
      </c>
      <c r="AD359" s="422">
        <v>11</v>
      </c>
      <c r="AE359" s="422">
        <v>11</v>
      </c>
      <c r="AF359" s="253">
        <f t="shared" si="50"/>
        <v>12.4</v>
      </c>
      <c r="AG359" s="261"/>
      <c r="AK359" s="339"/>
    </row>
    <row r="360" spans="1:37" hidden="1" outlineLevel="1" x14ac:dyDescent="0.25">
      <c r="A360" s="2147"/>
      <c r="D360" s="2638"/>
      <c r="E360" s="121" t="s">
        <v>1468</v>
      </c>
      <c r="F360" s="1448">
        <v>12.4</v>
      </c>
      <c r="G360" s="1300"/>
      <c r="H360" s="2383"/>
      <c r="V360" s="2489"/>
      <c r="W360" s="261">
        <v>11</v>
      </c>
      <c r="X360" s="261">
        <v>11</v>
      </c>
      <c r="Y360" s="261">
        <v>11</v>
      </c>
      <c r="Z360" s="422">
        <v>11</v>
      </c>
      <c r="AA360" s="422">
        <v>11</v>
      </c>
      <c r="AB360" s="422">
        <v>11</v>
      </c>
      <c r="AC360" s="422">
        <v>11</v>
      </c>
      <c r="AD360" s="422">
        <v>11</v>
      </c>
      <c r="AE360" s="422">
        <v>11</v>
      </c>
      <c r="AF360" s="253">
        <f t="shared" si="50"/>
        <v>12.4</v>
      </c>
      <c r="AG360" s="261"/>
      <c r="AK360" s="339"/>
    </row>
    <row r="361" spans="1:37" hidden="1" outlineLevel="1" x14ac:dyDescent="0.25">
      <c r="A361" s="2147"/>
      <c r="D361" s="2638"/>
      <c r="E361" s="121" t="s">
        <v>1470</v>
      </c>
      <c r="F361" s="1448">
        <v>12.4</v>
      </c>
      <c r="G361" s="1300"/>
      <c r="H361" s="2383"/>
      <c r="V361" s="2489"/>
      <c r="W361" s="261">
        <v>11</v>
      </c>
      <c r="X361" s="261">
        <v>11</v>
      </c>
      <c r="Y361" s="261">
        <v>11</v>
      </c>
      <c r="Z361" s="422">
        <v>11</v>
      </c>
      <c r="AA361" s="422">
        <v>11</v>
      </c>
      <c r="AB361" s="422">
        <v>11</v>
      </c>
      <c r="AC361" s="422">
        <v>11</v>
      </c>
      <c r="AD361" s="422">
        <v>11</v>
      </c>
      <c r="AE361" s="422">
        <v>11</v>
      </c>
      <c r="AF361" s="253">
        <f t="shared" si="50"/>
        <v>12.4</v>
      </c>
      <c r="AG361" s="261"/>
      <c r="AK361" s="339"/>
    </row>
    <row r="362" spans="1:37" hidden="1" outlineLevel="1" x14ac:dyDescent="0.25">
      <c r="A362" s="2147"/>
      <c r="D362" s="2638"/>
      <c r="E362" s="121" t="s">
        <v>1472</v>
      </c>
      <c r="F362" s="1448">
        <v>12.4</v>
      </c>
      <c r="G362" s="1300"/>
      <c r="H362" s="2383"/>
      <c r="V362" s="2489"/>
      <c r="W362" s="261">
        <v>11</v>
      </c>
      <c r="X362" s="261">
        <v>11</v>
      </c>
      <c r="Y362" s="261">
        <v>11</v>
      </c>
      <c r="Z362" s="422">
        <v>11</v>
      </c>
      <c r="AA362" s="422">
        <v>11</v>
      </c>
      <c r="AB362" s="422">
        <v>11</v>
      </c>
      <c r="AC362" s="422">
        <v>11</v>
      </c>
      <c r="AD362" s="422">
        <v>11</v>
      </c>
      <c r="AE362" s="422">
        <v>11</v>
      </c>
      <c r="AF362" s="253">
        <f t="shared" si="50"/>
        <v>12.4</v>
      </c>
      <c r="AG362" s="261"/>
      <c r="AK362" s="339"/>
    </row>
    <row r="363" spans="1:37" hidden="1" outlineLevel="1" x14ac:dyDescent="0.25">
      <c r="A363" s="2147"/>
      <c r="D363" s="2638"/>
      <c r="E363" s="121" t="s">
        <v>1474</v>
      </c>
      <c r="F363" s="1448">
        <v>12.4</v>
      </c>
      <c r="G363" s="1300"/>
      <c r="H363" s="2383"/>
      <c r="V363" s="2489"/>
      <c r="W363" s="261">
        <v>11</v>
      </c>
      <c r="X363" s="261">
        <v>11</v>
      </c>
      <c r="Y363" s="261">
        <v>11</v>
      </c>
      <c r="Z363" s="422">
        <v>11</v>
      </c>
      <c r="AA363" s="422">
        <v>11</v>
      </c>
      <c r="AB363" s="422">
        <v>11</v>
      </c>
      <c r="AC363" s="422">
        <v>11</v>
      </c>
      <c r="AD363" s="422">
        <v>11</v>
      </c>
      <c r="AE363" s="422">
        <v>11</v>
      </c>
      <c r="AF363" s="253">
        <f t="shared" si="50"/>
        <v>12.4</v>
      </c>
      <c r="AG363" s="261"/>
      <c r="AK363" s="339"/>
    </row>
    <row r="364" spans="1:37" hidden="1" outlineLevel="1" x14ac:dyDescent="0.25">
      <c r="A364" s="2147"/>
      <c r="D364" s="2638"/>
      <c r="E364" s="121" t="s">
        <v>1476</v>
      </c>
      <c r="F364" s="1448">
        <v>12.4</v>
      </c>
      <c r="G364" s="1300"/>
      <c r="H364" s="2383"/>
      <c r="V364" s="2489"/>
      <c r="W364" s="261">
        <v>11</v>
      </c>
      <c r="X364" s="261">
        <v>11</v>
      </c>
      <c r="Y364" s="261">
        <v>11</v>
      </c>
      <c r="Z364" s="422">
        <v>11</v>
      </c>
      <c r="AA364" s="422">
        <v>11</v>
      </c>
      <c r="AB364" s="422">
        <v>11</v>
      </c>
      <c r="AC364" s="422">
        <v>11</v>
      </c>
      <c r="AD364" s="422">
        <v>11</v>
      </c>
      <c r="AE364" s="422">
        <v>11</v>
      </c>
      <c r="AF364" s="253">
        <f t="shared" si="50"/>
        <v>12.4</v>
      </c>
      <c r="AG364" s="261"/>
      <c r="AK364" s="339"/>
    </row>
    <row r="365" spans="1:37" hidden="1" outlineLevel="1" x14ac:dyDescent="0.25">
      <c r="A365" s="2147"/>
      <c r="D365" s="2638"/>
      <c r="E365" s="121" t="s">
        <v>1478</v>
      </c>
      <c r="F365" s="1448">
        <v>12.4</v>
      </c>
      <c r="G365" s="1300"/>
      <c r="H365" s="2383"/>
      <c r="V365" s="2489"/>
      <c r="W365" s="261">
        <v>11</v>
      </c>
      <c r="X365" s="261">
        <v>11</v>
      </c>
      <c r="Y365" s="261">
        <v>11</v>
      </c>
      <c r="Z365" s="422">
        <v>11</v>
      </c>
      <c r="AA365" s="422">
        <v>11</v>
      </c>
      <c r="AB365" s="422">
        <v>11</v>
      </c>
      <c r="AC365" s="422">
        <v>11</v>
      </c>
      <c r="AD365" s="422">
        <v>11</v>
      </c>
      <c r="AE365" s="422">
        <v>11</v>
      </c>
      <c r="AF365" s="253">
        <f t="shared" si="50"/>
        <v>12.4</v>
      </c>
      <c r="AG365" s="261"/>
      <c r="AK365" s="339"/>
    </row>
    <row r="366" spans="1:37" hidden="1" outlineLevel="1" x14ac:dyDescent="0.25">
      <c r="A366" s="2147"/>
      <c r="D366" s="2638"/>
      <c r="E366" s="121" t="s">
        <v>1480</v>
      </c>
      <c r="F366" s="1448">
        <v>12.4</v>
      </c>
      <c r="G366" s="1300"/>
      <c r="H366" s="2383"/>
      <c r="V366" s="2489"/>
      <c r="W366" s="261">
        <v>11</v>
      </c>
      <c r="X366" s="261">
        <v>11</v>
      </c>
      <c r="Y366" s="261">
        <v>11</v>
      </c>
      <c r="Z366" s="422">
        <v>11</v>
      </c>
      <c r="AA366" s="422">
        <v>11</v>
      </c>
      <c r="AB366" s="422">
        <v>11</v>
      </c>
      <c r="AC366" s="422">
        <v>11</v>
      </c>
      <c r="AD366" s="422">
        <v>11</v>
      </c>
      <c r="AE366" s="422">
        <v>11</v>
      </c>
      <c r="AF366" s="253">
        <f t="shared" si="50"/>
        <v>12.4</v>
      </c>
      <c r="AG366" s="261"/>
      <c r="AK366" s="339"/>
    </row>
    <row r="367" spans="1:37" hidden="1" outlineLevel="1" x14ac:dyDescent="0.25">
      <c r="A367" s="2147"/>
      <c r="D367" s="2638"/>
      <c r="E367" s="121" t="s">
        <v>1482</v>
      </c>
      <c r="F367" s="1448">
        <v>12.4</v>
      </c>
      <c r="G367" s="1300"/>
      <c r="H367" s="2383"/>
      <c r="V367" s="2489"/>
      <c r="W367" s="261">
        <v>11</v>
      </c>
      <c r="X367" s="261">
        <v>11</v>
      </c>
      <c r="Y367" s="261">
        <v>11</v>
      </c>
      <c r="Z367" s="422">
        <v>11</v>
      </c>
      <c r="AA367" s="422">
        <v>11</v>
      </c>
      <c r="AB367" s="422">
        <v>11</v>
      </c>
      <c r="AC367" s="422">
        <v>11</v>
      </c>
      <c r="AD367" s="422">
        <v>11</v>
      </c>
      <c r="AE367" s="422">
        <v>11</v>
      </c>
      <c r="AF367" s="253">
        <f t="shared" si="50"/>
        <v>12.4</v>
      </c>
      <c r="AG367" s="261"/>
      <c r="AK367" s="339"/>
    </row>
    <row r="368" spans="1:37" hidden="1" outlineLevel="1" x14ac:dyDescent="0.25">
      <c r="A368" s="2147"/>
      <c r="D368" s="2638"/>
      <c r="E368" s="121" t="s">
        <v>1484</v>
      </c>
      <c r="F368" s="1448">
        <v>12.4</v>
      </c>
      <c r="G368" s="1300"/>
      <c r="H368" s="2383"/>
      <c r="V368" s="2489"/>
      <c r="W368" s="261">
        <v>11</v>
      </c>
      <c r="X368" s="261">
        <v>11</v>
      </c>
      <c r="Y368" s="261">
        <v>11</v>
      </c>
      <c r="Z368" s="422">
        <v>11</v>
      </c>
      <c r="AA368" s="422">
        <v>11</v>
      </c>
      <c r="AB368" s="422">
        <v>11</v>
      </c>
      <c r="AC368" s="422">
        <v>11</v>
      </c>
      <c r="AD368" s="422">
        <v>11</v>
      </c>
      <c r="AE368" s="422">
        <v>11</v>
      </c>
      <c r="AF368" s="253">
        <f t="shared" si="50"/>
        <v>12.4</v>
      </c>
      <c r="AG368" s="261"/>
      <c r="AK368" s="339"/>
    </row>
    <row r="369" spans="1:37" hidden="1" outlineLevel="1" x14ac:dyDescent="0.25">
      <c r="A369" s="2147"/>
      <c r="D369" s="2638"/>
      <c r="E369" s="121" t="s">
        <v>1486</v>
      </c>
      <c r="F369" s="1448">
        <v>12.4</v>
      </c>
      <c r="G369" s="1300"/>
      <c r="H369" s="2383"/>
      <c r="V369" s="2489"/>
      <c r="W369" s="261">
        <v>11</v>
      </c>
      <c r="X369" s="261">
        <v>11</v>
      </c>
      <c r="Y369" s="261">
        <v>11</v>
      </c>
      <c r="Z369" s="422">
        <v>11</v>
      </c>
      <c r="AA369" s="422">
        <v>11</v>
      </c>
      <c r="AB369" s="422">
        <v>11</v>
      </c>
      <c r="AC369" s="422">
        <v>11</v>
      </c>
      <c r="AD369" s="422">
        <v>11</v>
      </c>
      <c r="AE369" s="422">
        <v>11</v>
      </c>
      <c r="AF369" s="253">
        <f t="shared" si="50"/>
        <v>12.4</v>
      </c>
      <c r="AG369" s="261"/>
      <c r="AK369" s="339"/>
    </row>
    <row r="370" spans="1:37" hidden="1" outlineLevel="1" x14ac:dyDescent="0.25">
      <c r="A370" s="2147"/>
      <c r="D370" s="2638"/>
      <c r="E370" s="121" t="s">
        <v>1488</v>
      </c>
      <c r="F370" s="1448">
        <v>12.4</v>
      </c>
      <c r="G370" s="1300"/>
      <c r="H370" s="2383"/>
      <c r="V370" s="2489"/>
      <c r="W370" s="261">
        <v>11</v>
      </c>
      <c r="X370" s="261">
        <v>11</v>
      </c>
      <c r="Y370" s="261">
        <v>11</v>
      </c>
      <c r="Z370" s="422">
        <v>11</v>
      </c>
      <c r="AA370" s="422">
        <v>11</v>
      </c>
      <c r="AB370" s="422">
        <v>11</v>
      </c>
      <c r="AC370" s="422">
        <v>11</v>
      </c>
      <c r="AD370" s="422">
        <v>11</v>
      </c>
      <c r="AE370" s="422">
        <v>11</v>
      </c>
      <c r="AF370" s="253">
        <f t="shared" si="50"/>
        <v>12.4</v>
      </c>
      <c r="AG370" s="261"/>
      <c r="AK370" s="339"/>
    </row>
    <row r="371" spans="1:37" hidden="1" outlineLevel="1" x14ac:dyDescent="0.25">
      <c r="A371" s="2147"/>
      <c r="D371" s="2638"/>
      <c r="E371" s="121" t="s">
        <v>1490</v>
      </c>
      <c r="F371" s="1448">
        <v>12.4</v>
      </c>
      <c r="G371" s="1300"/>
      <c r="H371" s="2383"/>
      <c r="V371" s="2489"/>
      <c r="W371" s="274">
        <v>11</v>
      </c>
      <c r="X371" s="274">
        <v>11</v>
      </c>
      <c r="Y371" s="274">
        <v>11</v>
      </c>
      <c r="Z371" s="561">
        <v>11</v>
      </c>
      <c r="AA371" s="561">
        <v>11</v>
      </c>
      <c r="AB371" s="561">
        <v>11</v>
      </c>
      <c r="AC371" s="561">
        <v>11</v>
      </c>
      <c r="AD371" s="561">
        <v>11</v>
      </c>
      <c r="AE371" s="561">
        <v>11</v>
      </c>
      <c r="AF371" s="253">
        <f t="shared" si="50"/>
        <v>12.4</v>
      </c>
      <c r="AG371" s="274"/>
      <c r="AK371" s="339"/>
    </row>
    <row r="372" spans="1:37" hidden="1" outlineLevel="1" x14ac:dyDescent="0.25">
      <c r="A372" s="2147"/>
      <c r="D372" s="2638"/>
      <c r="E372" s="121" t="s">
        <v>1492</v>
      </c>
      <c r="F372" s="1448">
        <v>12.4</v>
      </c>
      <c r="G372" s="1300"/>
      <c r="H372" s="2383"/>
      <c r="V372" s="2489"/>
      <c r="W372" s="275">
        <v>11</v>
      </c>
      <c r="X372" s="275">
        <v>11</v>
      </c>
      <c r="Y372" s="275">
        <v>11</v>
      </c>
      <c r="Z372" s="562">
        <v>11</v>
      </c>
      <c r="AA372" s="562">
        <v>11</v>
      </c>
      <c r="AB372" s="562">
        <v>11</v>
      </c>
      <c r="AC372" s="562">
        <v>11</v>
      </c>
      <c r="AD372" s="562">
        <v>11</v>
      </c>
      <c r="AE372" s="562">
        <v>11</v>
      </c>
      <c r="AF372" s="253">
        <f t="shared" si="50"/>
        <v>12.4</v>
      </c>
      <c r="AG372" s="275"/>
      <c r="AK372" s="339"/>
    </row>
    <row r="373" spans="1:37" hidden="1" outlineLevel="1" x14ac:dyDescent="0.25">
      <c r="A373" s="2147"/>
      <c r="D373" s="2638"/>
      <c r="E373" s="121" t="s">
        <v>1494</v>
      </c>
      <c r="F373" s="1448">
        <v>12.4</v>
      </c>
      <c r="G373" s="1300"/>
      <c r="H373" s="2383"/>
      <c r="V373" s="2489"/>
      <c r="W373" s="275">
        <v>11</v>
      </c>
      <c r="X373" s="275">
        <v>11</v>
      </c>
      <c r="Y373" s="275">
        <v>11</v>
      </c>
      <c r="Z373" s="562">
        <v>11</v>
      </c>
      <c r="AA373" s="562">
        <v>11</v>
      </c>
      <c r="AB373" s="562">
        <v>11</v>
      </c>
      <c r="AC373" s="562">
        <v>11</v>
      </c>
      <c r="AD373" s="562">
        <v>11</v>
      </c>
      <c r="AE373" s="562">
        <v>11</v>
      </c>
      <c r="AF373" s="253">
        <f t="shared" si="50"/>
        <v>12.4</v>
      </c>
      <c r="AG373" s="275"/>
      <c r="AK373" s="339"/>
    </row>
    <row r="374" spans="1:37" hidden="1" outlineLevel="1" x14ac:dyDescent="0.25">
      <c r="A374" s="2147"/>
      <c r="D374" s="2638"/>
      <c r="E374" s="121" t="s">
        <v>1496</v>
      </c>
      <c r="F374" s="1448">
        <v>12.4</v>
      </c>
      <c r="G374" s="1300"/>
      <c r="H374" s="2383"/>
      <c r="V374" s="2489"/>
      <c r="W374" s="275">
        <v>11</v>
      </c>
      <c r="X374" s="275">
        <v>11</v>
      </c>
      <c r="Y374" s="275">
        <v>11</v>
      </c>
      <c r="Z374" s="562">
        <v>11</v>
      </c>
      <c r="AA374" s="562">
        <v>11</v>
      </c>
      <c r="AB374" s="562">
        <v>11</v>
      </c>
      <c r="AC374" s="562">
        <v>11</v>
      </c>
      <c r="AD374" s="562">
        <v>11</v>
      </c>
      <c r="AE374" s="562">
        <v>11</v>
      </c>
      <c r="AF374" s="253">
        <f t="shared" si="50"/>
        <v>12.4</v>
      </c>
      <c r="AG374" s="275"/>
      <c r="AK374" s="339"/>
    </row>
    <row r="375" spans="1:37" hidden="1" outlineLevel="1" x14ac:dyDescent="0.25">
      <c r="A375" s="2147"/>
      <c r="D375" s="2638"/>
      <c r="E375" s="121" t="s">
        <v>1498</v>
      </c>
      <c r="F375" s="1448">
        <v>12.4</v>
      </c>
      <c r="G375" s="1300"/>
      <c r="H375" s="2383"/>
      <c r="V375" s="2489"/>
      <c r="W375" s="275">
        <v>11</v>
      </c>
      <c r="X375" s="275">
        <v>11</v>
      </c>
      <c r="Y375" s="275">
        <v>11</v>
      </c>
      <c r="Z375" s="562">
        <v>11</v>
      </c>
      <c r="AA375" s="562">
        <v>11</v>
      </c>
      <c r="AB375" s="562">
        <v>11</v>
      </c>
      <c r="AC375" s="562">
        <v>11</v>
      </c>
      <c r="AD375" s="562">
        <v>11</v>
      </c>
      <c r="AE375" s="562">
        <v>11</v>
      </c>
      <c r="AF375" s="253">
        <f t="shared" si="50"/>
        <v>12.4</v>
      </c>
      <c r="AG375" s="275"/>
      <c r="AK375" s="339"/>
    </row>
    <row r="376" spans="1:37" hidden="1" outlineLevel="1" x14ac:dyDescent="0.25">
      <c r="A376" s="2147"/>
      <c r="D376" s="2638"/>
      <c r="E376" s="121" t="s">
        <v>1500</v>
      </c>
      <c r="F376" s="1448">
        <v>12.4</v>
      </c>
      <c r="G376" s="1300"/>
      <c r="H376" s="2383"/>
      <c r="V376" s="2489"/>
      <c r="W376" s="275">
        <v>11</v>
      </c>
      <c r="X376" s="275">
        <v>11</v>
      </c>
      <c r="Y376" s="275">
        <v>11</v>
      </c>
      <c r="Z376" s="562">
        <v>11</v>
      </c>
      <c r="AA376" s="562">
        <v>11</v>
      </c>
      <c r="AB376" s="562">
        <v>11</v>
      </c>
      <c r="AC376" s="562">
        <v>11</v>
      </c>
      <c r="AD376" s="562">
        <v>11</v>
      </c>
      <c r="AE376" s="562">
        <v>11</v>
      </c>
      <c r="AF376" s="253">
        <f t="shared" si="50"/>
        <v>12.4</v>
      </c>
      <c r="AG376" s="275"/>
      <c r="AK376" s="339"/>
    </row>
    <row r="377" spans="1:37" hidden="1" outlineLevel="1" x14ac:dyDescent="0.25">
      <c r="A377" s="2147"/>
      <c r="D377" s="2638"/>
      <c r="E377" s="121" t="s">
        <v>1502</v>
      </c>
      <c r="F377" s="1448">
        <v>12.4</v>
      </c>
      <c r="G377" s="1300"/>
      <c r="H377" s="2383"/>
      <c r="V377" s="2489"/>
      <c r="W377" s="275">
        <v>11</v>
      </c>
      <c r="X377" s="275">
        <v>11</v>
      </c>
      <c r="Y377" s="275">
        <v>11</v>
      </c>
      <c r="Z377" s="562">
        <v>11</v>
      </c>
      <c r="AA377" s="562">
        <v>11</v>
      </c>
      <c r="AB377" s="562">
        <v>11</v>
      </c>
      <c r="AC377" s="562">
        <v>11</v>
      </c>
      <c r="AD377" s="562">
        <v>11</v>
      </c>
      <c r="AE377" s="562">
        <v>11</v>
      </c>
      <c r="AF377" s="253">
        <f t="shared" si="50"/>
        <v>12.4</v>
      </c>
      <c r="AG377" s="275"/>
      <c r="AK377" s="339"/>
    </row>
    <row r="378" spans="1:37" hidden="1" outlineLevel="1" x14ac:dyDescent="0.25">
      <c r="A378" s="2147"/>
      <c r="D378" s="2638"/>
      <c r="E378" s="121" t="s">
        <v>1504</v>
      </c>
      <c r="F378" s="1448">
        <v>12.4</v>
      </c>
      <c r="G378" s="1300"/>
      <c r="H378" s="2383"/>
      <c r="V378" s="2489"/>
      <c r="W378" s="275">
        <v>11</v>
      </c>
      <c r="X378" s="275">
        <v>11</v>
      </c>
      <c r="Y378" s="275">
        <v>11</v>
      </c>
      <c r="Z378" s="562">
        <v>11</v>
      </c>
      <c r="AA378" s="562">
        <v>11</v>
      </c>
      <c r="AB378" s="562">
        <v>11</v>
      </c>
      <c r="AC378" s="562">
        <v>11</v>
      </c>
      <c r="AD378" s="562">
        <v>11</v>
      </c>
      <c r="AE378" s="562">
        <v>11</v>
      </c>
      <c r="AF378" s="253">
        <f t="shared" si="50"/>
        <v>12.4</v>
      </c>
      <c r="AG378" s="275"/>
      <c r="AK378" s="339"/>
    </row>
    <row r="379" spans="1:37" hidden="1" outlineLevel="1" x14ac:dyDescent="0.25">
      <c r="A379" s="2147"/>
      <c r="D379" s="2638"/>
      <c r="E379" s="121" t="s">
        <v>1506</v>
      </c>
      <c r="F379" s="1448">
        <v>12.4</v>
      </c>
      <c r="G379" s="1300"/>
      <c r="H379" s="2383"/>
      <c r="V379" s="2489"/>
      <c r="W379" s="275">
        <v>11</v>
      </c>
      <c r="X379" s="275">
        <v>11</v>
      </c>
      <c r="Y379" s="275">
        <v>11</v>
      </c>
      <c r="Z379" s="562">
        <v>11</v>
      </c>
      <c r="AA379" s="562">
        <v>11</v>
      </c>
      <c r="AB379" s="562">
        <v>11</v>
      </c>
      <c r="AC379" s="562">
        <v>11</v>
      </c>
      <c r="AD379" s="562">
        <v>11</v>
      </c>
      <c r="AE379" s="562">
        <v>11</v>
      </c>
      <c r="AF379" s="253">
        <f t="shared" si="50"/>
        <v>12.4</v>
      </c>
      <c r="AG379" s="275"/>
      <c r="AK379" s="339"/>
    </row>
    <row r="380" spans="1:37" hidden="1" outlineLevel="1" x14ac:dyDescent="0.25">
      <c r="A380" s="2147"/>
      <c r="D380" s="2638"/>
      <c r="E380" s="121" t="s">
        <v>1508</v>
      </c>
      <c r="F380" s="1448">
        <v>12.4</v>
      </c>
      <c r="G380" s="1300"/>
      <c r="H380" s="2383"/>
      <c r="V380" s="2489"/>
      <c r="W380" s="275">
        <v>11</v>
      </c>
      <c r="X380" s="275">
        <v>11</v>
      </c>
      <c r="Y380" s="275">
        <v>11</v>
      </c>
      <c r="Z380" s="562">
        <v>11</v>
      </c>
      <c r="AA380" s="562">
        <v>11</v>
      </c>
      <c r="AB380" s="562">
        <v>11</v>
      </c>
      <c r="AC380" s="562">
        <v>11</v>
      </c>
      <c r="AD380" s="562">
        <v>11</v>
      </c>
      <c r="AE380" s="562">
        <v>11</v>
      </c>
      <c r="AF380" s="253">
        <f t="shared" si="50"/>
        <v>12.4</v>
      </c>
      <c r="AG380" s="275"/>
      <c r="AK380" s="339"/>
    </row>
    <row r="381" spans="1:37" hidden="1" outlineLevel="1" x14ac:dyDescent="0.25">
      <c r="A381" s="2147"/>
      <c r="D381" s="2638"/>
      <c r="E381" s="121" t="s">
        <v>1510</v>
      </c>
      <c r="F381" s="1448">
        <v>12.4</v>
      </c>
      <c r="G381" s="1300"/>
      <c r="H381" s="2383"/>
      <c r="V381" s="2489"/>
      <c r="W381" s="275">
        <v>11</v>
      </c>
      <c r="X381" s="275">
        <v>11</v>
      </c>
      <c r="Y381" s="275">
        <v>11</v>
      </c>
      <c r="Z381" s="562">
        <v>11</v>
      </c>
      <c r="AA381" s="562">
        <v>11</v>
      </c>
      <c r="AB381" s="562">
        <v>11</v>
      </c>
      <c r="AC381" s="562">
        <v>11</v>
      </c>
      <c r="AD381" s="562">
        <v>11</v>
      </c>
      <c r="AE381" s="562">
        <v>11</v>
      </c>
      <c r="AF381" s="253">
        <f t="shared" si="50"/>
        <v>12.4</v>
      </c>
      <c r="AG381" s="275"/>
      <c r="AK381" s="339"/>
    </row>
    <row r="382" spans="1:37" hidden="1" outlineLevel="1" x14ac:dyDescent="0.25">
      <c r="A382" s="2147"/>
      <c r="D382" s="2638"/>
      <c r="E382" s="121" t="s">
        <v>1512</v>
      </c>
      <c r="F382" s="1448">
        <v>12.4</v>
      </c>
      <c r="G382" s="1300"/>
      <c r="H382" s="2383"/>
      <c r="V382" s="2489"/>
      <c r="W382" s="275">
        <v>11</v>
      </c>
      <c r="X382" s="275">
        <v>11</v>
      </c>
      <c r="Y382" s="275">
        <v>11</v>
      </c>
      <c r="Z382" s="562">
        <v>11</v>
      </c>
      <c r="AA382" s="562">
        <v>11</v>
      </c>
      <c r="AB382" s="562">
        <v>11</v>
      </c>
      <c r="AC382" s="562">
        <v>11</v>
      </c>
      <c r="AD382" s="562">
        <v>11</v>
      </c>
      <c r="AE382" s="562">
        <v>11</v>
      </c>
      <c r="AF382" s="253">
        <f t="shared" si="50"/>
        <v>12.4</v>
      </c>
      <c r="AG382" s="275"/>
      <c r="AK382" s="339"/>
    </row>
    <row r="383" spans="1:37" hidden="1" outlineLevel="1" x14ac:dyDescent="0.25">
      <c r="A383" s="2147"/>
      <c r="D383" s="2638"/>
      <c r="E383" s="121" t="s">
        <v>1514</v>
      </c>
      <c r="F383" s="1448">
        <v>12.4</v>
      </c>
      <c r="G383" s="1300"/>
      <c r="H383" s="2383"/>
      <c r="V383" s="2489"/>
      <c r="W383" s="275">
        <v>11</v>
      </c>
      <c r="X383" s="275">
        <v>11</v>
      </c>
      <c r="Y383" s="275">
        <v>11</v>
      </c>
      <c r="Z383" s="562">
        <v>11</v>
      </c>
      <c r="AA383" s="562">
        <v>11</v>
      </c>
      <c r="AB383" s="562">
        <v>11</v>
      </c>
      <c r="AC383" s="562">
        <v>11</v>
      </c>
      <c r="AD383" s="562">
        <v>11</v>
      </c>
      <c r="AE383" s="562">
        <v>11</v>
      </c>
      <c r="AF383" s="253">
        <f t="shared" si="50"/>
        <v>12.4</v>
      </c>
      <c r="AG383" s="275"/>
      <c r="AK383" s="339"/>
    </row>
    <row r="384" spans="1:37" hidden="1" outlineLevel="1" x14ac:dyDescent="0.25">
      <c r="A384" s="2147"/>
      <c r="D384" s="2638"/>
      <c r="E384" s="121" t="s">
        <v>1516</v>
      </c>
      <c r="F384" s="1448">
        <v>12.4</v>
      </c>
      <c r="G384" s="1300"/>
      <c r="H384" s="2383"/>
      <c r="V384" s="2636"/>
      <c r="W384" s="261">
        <v>11</v>
      </c>
      <c r="X384" s="261">
        <v>11</v>
      </c>
      <c r="Y384" s="261">
        <v>11</v>
      </c>
      <c r="Z384" s="422">
        <v>11</v>
      </c>
      <c r="AA384" s="422">
        <v>11</v>
      </c>
      <c r="AB384" s="422">
        <v>11</v>
      </c>
      <c r="AC384" s="422">
        <v>11</v>
      </c>
      <c r="AD384" s="422">
        <v>11</v>
      </c>
      <c r="AE384" s="422">
        <v>11</v>
      </c>
      <c r="AF384" s="253">
        <f t="shared" si="50"/>
        <v>12.4</v>
      </c>
      <c r="AG384" s="261"/>
      <c r="AK384" s="339"/>
    </row>
    <row r="385" spans="1:37" ht="30" hidden="1" outlineLevel="1" x14ac:dyDescent="0.25">
      <c r="A385" s="2147"/>
      <c r="D385" s="1306" t="str">
        <f>D25</f>
        <v>EUL</v>
      </c>
      <c r="E385" s="121" t="s">
        <v>742</v>
      </c>
      <c r="F385" s="1456">
        <v>30</v>
      </c>
      <c r="G385" s="1278" t="s">
        <v>1549</v>
      </c>
      <c r="H385" s="1300"/>
      <c r="I385" s="126"/>
      <c r="V385" s="277" t="str">
        <f>D385</f>
        <v>EUL</v>
      </c>
      <c r="W385" s="278">
        <v>25</v>
      </c>
      <c r="X385" s="278">
        <v>25</v>
      </c>
      <c r="Y385" s="278">
        <v>25</v>
      </c>
      <c r="Z385" s="299">
        <v>25</v>
      </c>
      <c r="AA385" s="299">
        <v>25</v>
      </c>
      <c r="AB385" s="299">
        <v>25</v>
      </c>
      <c r="AC385" s="321">
        <v>25</v>
      </c>
      <c r="AD385" s="321">
        <v>25</v>
      </c>
      <c r="AE385" s="321">
        <v>25</v>
      </c>
      <c r="AF385" s="253">
        <f t="shared" si="50"/>
        <v>30</v>
      </c>
      <c r="AG385" s="278"/>
      <c r="AK385" s="339"/>
    </row>
    <row r="386" spans="1:37" hidden="1" outlineLevel="1" x14ac:dyDescent="0.25">
      <c r="A386" s="2147"/>
      <c r="D386" s="2638" t="str">
        <f>D88</f>
        <v>Inc. Cost</v>
      </c>
      <c r="E386" s="121" t="s">
        <v>1458</v>
      </c>
      <c r="F386" s="1476">
        <f>1860.46/(1347*0.65)</f>
        <v>2.1249043458397576</v>
      </c>
      <c r="G386" s="2649" t="s">
        <v>1453</v>
      </c>
      <c r="H386" s="1300" t="s">
        <v>1525</v>
      </c>
      <c r="I386" s="126">
        <f>0.65*1347</f>
        <v>875.55000000000007</v>
      </c>
      <c r="V386" s="2659" t="str">
        <f>D386</f>
        <v>Inc. Cost</v>
      </c>
      <c r="W386" s="280">
        <v>1860.46</v>
      </c>
      <c r="X386" s="280">
        <v>1860.46</v>
      </c>
      <c r="Y386" s="189">
        <v>2.1249043458397576</v>
      </c>
      <c r="Z386" s="128">
        <v>2.1249043458397576</v>
      </c>
      <c r="AA386" s="128">
        <v>2.1249043458397576</v>
      </c>
      <c r="AB386" s="128">
        <v>2.1249043458397576</v>
      </c>
      <c r="AC386" s="128">
        <v>2.1249043458397576</v>
      </c>
      <c r="AD386" s="128">
        <v>2.1249043458397576</v>
      </c>
      <c r="AE386" s="128">
        <v>2.1249043458397576</v>
      </c>
      <c r="AF386" s="253">
        <f t="shared" si="50"/>
        <v>2.1249043458397576</v>
      </c>
      <c r="AG386" s="280"/>
      <c r="AK386" s="339"/>
    </row>
    <row r="387" spans="1:37" hidden="1" outlineLevel="1" x14ac:dyDescent="0.25">
      <c r="A387" s="2147"/>
      <c r="D387" s="2638"/>
      <c r="E387" s="121" t="s">
        <v>1460</v>
      </c>
      <c r="F387" s="1476">
        <f>1860.46/(1347*0.65)</f>
        <v>2.1249043458397576</v>
      </c>
      <c r="G387" s="2608"/>
      <c r="H387" s="1300" t="s">
        <v>1525</v>
      </c>
      <c r="I387" s="126">
        <f>0.65*1347</f>
        <v>875.55000000000007</v>
      </c>
      <c r="V387" s="2660"/>
      <c r="W387" s="280">
        <v>1860.46</v>
      </c>
      <c r="X387" s="280">
        <v>1860.46</v>
      </c>
      <c r="Y387" s="189">
        <v>2.1249043458397576</v>
      </c>
      <c r="Z387" s="128">
        <v>2.1249043458397576</v>
      </c>
      <c r="AA387" s="128">
        <v>2.1249043458397576</v>
      </c>
      <c r="AB387" s="128">
        <v>2.1249043458397576</v>
      </c>
      <c r="AC387" s="128">
        <v>2.1249043458397576</v>
      </c>
      <c r="AD387" s="128">
        <v>2.1249043458397576</v>
      </c>
      <c r="AE387" s="128">
        <v>2.1249043458397576</v>
      </c>
      <c r="AF387" s="253">
        <f t="shared" si="50"/>
        <v>2.1249043458397576</v>
      </c>
      <c r="AG387" s="280"/>
      <c r="AK387" s="339"/>
    </row>
    <row r="388" spans="1:37" hidden="1" outlineLevel="1" x14ac:dyDescent="0.25">
      <c r="A388" s="2147"/>
      <c r="D388" s="2638"/>
      <c r="E388" s="121" t="s">
        <v>1462</v>
      </c>
      <c r="F388" s="1476">
        <f>1860.46/(1347*0.65)</f>
        <v>2.1249043458397576</v>
      </c>
      <c r="G388" s="2608"/>
      <c r="H388" s="1300" t="s">
        <v>1525</v>
      </c>
      <c r="I388" s="126">
        <f>0.65*1347</f>
        <v>875.55000000000007</v>
      </c>
      <c r="V388" s="2660"/>
      <c r="W388" s="280">
        <v>1860.46</v>
      </c>
      <c r="X388" s="280">
        <v>1860.46</v>
      </c>
      <c r="Y388" s="189">
        <v>2.1249043458397576</v>
      </c>
      <c r="Z388" s="128">
        <v>2.1249043458397576</v>
      </c>
      <c r="AA388" s="128">
        <v>2.1249043458397576</v>
      </c>
      <c r="AB388" s="128">
        <v>2.1249043458397576</v>
      </c>
      <c r="AC388" s="128">
        <v>2.1249043458397576</v>
      </c>
      <c r="AD388" s="128">
        <v>2.1249043458397576</v>
      </c>
      <c r="AE388" s="128">
        <v>2.1249043458397576</v>
      </c>
      <c r="AF388" s="253">
        <f t="shared" si="50"/>
        <v>2.1249043458397576</v>
      </c>
      <c r="AG388" s="280"/>
      <c r="AK388" s="339"/>
    </row>
    <row r="389" spans="1:37" hidden="1" outlineLevel="1" x14ac:dyDescent="0.25">
      <c r="A389" s="2147"/>
      <c r="D389" s="2638"/>
      <c r="E389" s="121" t="s">
        <v>1464</v>
      </c>
      <c r="F389" s="1476">
        <f>2862.25/1347</f>
        <v>2.1249072011878249</v>
      </c>
      <c r="G389" s="2608"/>
      <c r="H389" s="1300" t="s">
        <v>1526</v>
      </c>
      <c r="I389" s="126">
        <v>1347</v>
      </c>
      <c r="V389" s="2660"/>
      <c r="W389" s="280">
        <v>2862.25</v>
      </c>
      <c r="X389" s="280">
        <v>2862.25</v>
      </c>
      <c r="Y389" s="189">
        <v>2.1249072011878249</v>
      </c>
      <c r="Z389" s="128">
        <v>2.1249072011878249</v>
      </c>
      <c r="AA389" s="128">
        <v>2.1249072011878249</v>
      </c>
      <c r="AB389" s="128">
        <v>2.1249072011878249</v>
      </c>
      <c r="AC389" s="128">
        <v>2.1249072011878249</v>
      </c>
      <c r="AD389" s="128">
        <v>2.1249072011878249</v>
      </c>
      <c r="AE389" s="128">
        <v>2.1249072011878249</v>
      </c>
      <c r="AF389" s="253">
        <f t="shared" si="50"/>
        <v>2.1249072011878249</v>
      </c>
      <c r="AG389" s="280"/>
      <c r="AK389" s="339"/>
    </row>
    <row r="390" spans="1:37" hidden="1" outlineLevel="1" x14ac:dyDescent="0.25">
      <c r="A390" s="2147"/>
      <c r="D390" s="2638"/>
      <c r="E390" s="121" t="s">
        <v>1466</v>
      </c>
      <c r="F390" s="1476">
        <f>2862.25/1347</f>
        <v>2.1249072011878249</v>
      </c>
      <c r="G390" s="2608"/>
      <c r="H390" s="1300" t="s">
        <v>1526</v>
      </c>
      <c r="I390" s="126">
        <v>1347</v>
      </c>
      <c r="V390" s="2660"/>
      <c r="W390" s="280">
        <v>2862.25</v>
      </c>
      <c r="X390" s="280">
        <v>2862.25</v>
      </c>
      <c r="Y390" s="189">
        <v>2.1249072011878249</v>
      </c>
      <c r="Z390" s="128">
        <v>2.1249072011878249</v>
      </c>
      <c r="AA390" s="128">
        <v>2.1249072011878249</v>
      </c>
      <c r="AB390" s="128">
        <v>2.1249072011878249</v>
      </c>
      <c r="AC390" s="128">
        <v>2.1249072011878249</v>
      </c>
      <c r="AD390" s="128">
        <v>2.1249072011878249</v>
      </c>
      <c r="AE390" s="128">
        <v>2.1249072011878249</v>
      </c>
      <c r="AF390" s="253">
        <f t="shared" si="50"/>
        <v>2.1249072011878249</v>
      </c>
      <c r="AG390" s="280"/>
      <c r="AK390" s="339"/>
    </row>
    <row r="391" spans="1:37" hidden="1" outlineLevel="1" x14ac:dyDescent="0.25">
      <c r="A391" s="2147"/>
      <c r="D391" s="2638"/>
      <c r="E391" s="121" t="s">
        <v>1468</v>
      </c>
      <c r="F391" s="1476">
        <f>2862.25/1347</f>
        <v>2.1249072011878249</v>
      </c>
      <c r="G391" s="2608"/>
      <c r="H391" s="1300" t="s">
        <v>1526</v>
      </c>
      <c r="I391" s="126">
        <v>1347</v>
      </c>
      <c r="V391" s="2660"/>
      <c r="W391" s="280">
        <v>2862.25</v>
      </c>
      <c r="X391" s="280">
        <v>2862.25</v>
      </c>
      <c r="Y391" s="189">
        <v>2.1249072011878249</v>
      </c>
      <c r="Z391" s="128">
        <v>2.1249072011878249</v>
      </c>
      <c r="AA391" s="128">
        <v>2.1249072011878249</v>
      </c>
      <c r="AB391" s="128">
        <v>2.1249072011878249</v>
      </c>
      <c r="AC391" s="128">
        <v>2.1249072011878249</v>
      </c>
      <c r="AD391" s="128">
        <v>2.1249072011878249</v>
      </c>
      <c r="AE391" s="128">
        <v>2.1249072011878249</v>
      </c>
      <c r="AF391" s="253">
        <f t="shared" si="50"/>
        <v>2.1249072011878249</v>
      </c>
      <c r="AG391" s="280"/>
      <c r="AK391" s="339"/>
    </row>
    <row r="392" spans="1:37" hidden="1" outlineLevel="1" x14ac:dyDescent="0.25">
      <c r="A392" s="2147"/>
      <c r="D392" s="2638"/>
      <c r="E392" s="121" t="s">
        <v>1470</v>
      </c>
      <c r="F392" s="1476">
        <f>836.16/(1106*0.65)</f>
        <v>1.1631103074141049</v>
      </c>
      <c r="G392" s="2608"/>
      <c r="H392" s="1300" t="s">
        <v>1527</v>
      </c>
      <c r="I392" s="126">
        <f>0.65*1106</f>
        <v>718.9</v>
      </c>
      <c r="V392" s="2660"/>
      <c r="W392" s="280">
        <v>836.16</v>
      </c>
      <c r="X392" s="280">
        <v>836.16</v>
      </c>
      <c r="Y392" s="189">
        <v>1.1631103074141049</v>
      </c>
      <c r="Z392" s="128">
        <v>1.1631103074141049</v>
      </c>
      <c r="AA392" s="128">
        <v>1.1631103074141049</v>
      </c>
      <c r="AB392" s="128">
        <v>1.1631103074141049</v>
      </c>
      <c r="AC392" s="128">
        <v>1.1631103074141049</v>
      </c>
      <c r="AD392" s="128">
        <v>1.1631103074141049</v>
      </c>
      <c r="AE392" s="128">
        <v>1.1631103074141049</v>
      </c>
      <c r="AF392" s="253">
        <f t="shared" si="50"/>
        <v>1.1631103074141049</v>
      </c>
      <c r="AG392" s="280"/>
      <c r="AK392" s="339"/>
    </row>
    <row r="393" spans="1:37" hidden="1" outlineLevel="1" x14ac:dyDescent="0.25">
      <c r="A393" s="2147"/>
      <c r="D393" s="2638"/>
      <c r="E393" s="121" t="s">
        <v>1472</v>
      </c>
      <c r="F393" s="1476">
        <f>836.16/(1106*0.65)</f>
        <v>1.1631103074141049</v>
      </c>
      <c r="G393" s="2608"/>
      <c r="H393" s="1300" t="s">
        <v>1527</v>
      </c>
      <c r="I393" s="126">
        <f>0.65*1106</f>
        <v>718.9</v>
      </c>
      <c r="V393" s="2660"/>
      <c r="W393" s="280">
        <v>836.16</v>
      </c>
      <c r="X393" s="280">
        <v>836.16</v>
      </c>
      <c r="Y393" s="189">
        <v>1.1631103074141049</v>
      </c>
      <c r="Z393" s="128">
        <v>1.1631103074141049</v>
      </c>
      <c r="AA393" s="128">
        <v>1.1631103074141049</v>
      </c>
      <c r="AB393" s="128">
        <v>1.1631103074141049</v>
      </c>
      <c r="AC393" s="128">
        <v>1.1631103074141049</v>
      </c>
      <c r="AD393" s="128">
        <v>1.1631103074141049</v>
      </c>
      <c r="AE393" s="128">
        <v>1.1631103074141049</v>
      </c>
      <c r="AF393" s="253">
        <f t="shared" si="50"/>
        <v>1.1631103074141049</v>
      </c>
      <c r="AG393" s="280"/>
      <c r="AK393" s="339"/>
    </row>
    <row r="394" spans="1:37" hidden="1" outlineLevel="1" x14ac:dyDescent="0.25">
      <c r="A394" s="2147"/>
      <c r="D394" s="2638"/>
      <c r="E394" s="121" t="s">
        <v>1474</v>
      </c>
      <c r="F394" s="1476">
        <f>836.16/(1106*0.65)</f>
        <v>1.1631103074141049</v>
      </c>
      <c r="G394" s="2490"/>
      <c r="H394" s="1300" t="s">
        <v>1527</v>
      </c>
      <c r="I394" s="126">
        <f>0.65*1106</f>
        <v>718.9</v>
      </c>
      <c r="V394" s="2660"/>
      <c r="W394" s="280">
        <v>836.16</v>
      </c>
      <c r="X394" s="280">
        <v>836.16</v>
      </c>
      <c r="Y394" s="189">
        <v>1.1631103074141049</v>
      </c>
      <c r="Z394" s="128">
        <v>1.1631103074141049</v>
      </c>
      <c r="AA394" s="128">
        <v>1.1631103074141049</v>
      </c>
      <c r="AB394" s="128">
        <v>1.1631103074141049</v>
      </c>
      <c r="AC394" s="128">
        <v>1.1631103074141049</v>
      </c>
      <c r="AD394" s="128">
        <v>1.1631103074141049</v>
      </c>
      <c r="AE394" s="128">
        <v>1.1631103074141049</v>
      </c>
      <c r="AF394" s="253">
        <f t="shared" ref="AF394:AF415" si="51">IF(F394&lt;&gt;"",F394,"")</f>
        <v>1.1631103074141049</v>
      </c>
      <c r="AG394" s="280"/>
      <c r="AK394" s="339"/>
    </row>
    <row r="395" spans="1:37" hidden="1" outlineLevel="1" x14ac:dyDescent="0.25">
      <c r="A395" s="2147"/>
      <c r="D395" s="2638"/>
      <c r="E395" s="121" t="s">
        <v>1476</v>
      </c>
      <c r="F395" s="1476">
        <f>1286.39/1106</f>
        <v>1.1631012658227848</v>
      </c>
      <c r="G395" s="2490"/>
      <c r="H395" s="1300" t="s">
        <v>1528</v>
      </c>
      <c r="I395" s="126">
        <v>1106</v>
      </c>
      <c r="V395" s="2660"/>
      <c r="W395" s="280">
        <v>1286.3900000000001</v>
      </c>
      <c r="X395" s="280">
        <v>1286.3900000000001</v>
      </c>
      <c r="Y395" s="189">
        <v>1.1631012658227848</v>
      </c>
      <c r="Z395" s="128">
        <v>1.1631012658227848</v>
      </c>
      <c r="AA395" s="128">
        <v>1.1631012658227848</v>
      </c>
      <c r="AB395" s="128">
        <v>1.1631012658227848</v>
      </c>
      <c r="AC395" s="128">
        <v>1.1631012658227848</v>
      </c>
      <c r="AD395" s="128">
        <v>1.1631012658227848</v>
      </c>
      <c r="AE395" s="128">
        <v>1.1631012658227848</v>
      </c>
      <c r="AF395" s="253">
        <f t="shared" si="51"/>
        <v>1.1631012658227848</v>
      </c>
      <c r="AG395" s="280"/>
      <c r="AK395" s="339"/>
    </row>
    <row r="396" spans="1:37" hidden="1" outlineLevel="1" x14ac:dyDescent="0.25">
      <c r="A396" s="2147"/>
      <c r="D396" s="2638"/>
      <c r="E396" s="121" t="s">
        <v>1478</v>
      </c>
      <c r="F396" s="1476">
        <f>1286.39/1106</f>
        <v>1.1631012658227848</v>
      </c>
      <c r="G396" s="2490"/>
      <c r="H396" s="1300" t="s">
        <v>1528</v>
      </c>
      <c r="I396" s="126">
        <v>1106</v>
      </c>
      <c r="V396" s="2660"/>
      <c r="W396" s="280">
        <v>1286.3900000000001</v>
      </c>
      <c r="X396" s="280">
        <v>1286.3900000000001</v>
      </c>
      <c r="Y396" s="189">
        <v>1.1631012658227848</v>
      </c>
      <c r="Z396" s="128">
        <v>1.1631012658227848</v>
      </c>
      <c r="AA396" s="128">
        <v>1.1631012658227848</v>
      </c>
      <c r="AB396" s="128">
        <v>1.1631012658227848</v>
      </c>
      <c r="AC396" s="128">
        <v>1.1631012658227848</v>
      </c>
      <c r="AD396" s="128">
        <v>1.1631012658227848</v>
      </c>
      <c r="AE396" s="128">
        <v>1.1631012658227848</v>
      </c>
      <c r="AF396" s="253">
        <f t="shared" si="51"/>
        <v>1.1631012658227848</v>
      </c>
      <c r="AG396" s="280"/>
      <c r="AK396" s="339"/>
    </row>
    <row r="397" spans="1:37" hidden="1" outlineLevel="1" x14ac:dyDescent="0.25">
      <c r="A397" s="2147"/>
      <c r="D397" s="2638"/>
      <c r="E397" s="121" t="s">
        <v>1480</v>
      </c>
      <c r="F397" s="1476">
        <f>1286.39/1106</f>
        <v>1.1631012658227848</v>
      </c>
      <c r="G397" s="2490"/>
      <c r="H397" s="1300" t="s">
        <v>1528</v>
      </c>
      <c r="I397" s="126">
        <v>1106</v>
      </c>
      <c r="V397" s="2660"/>
      <c r="W397" s="280">
        <v>1286.3900000000001</v>
      </c>
      <c r="X397" s="280">
        <v>1286.3900000000001</v>
      </c>
      <c r="Y397" s="189">
        <v>1.1631012658227848</v>
      </c>
      <c r="Z397" s="128">
        <v>1.1631012658227848</v>
      </c>
      <c r="AA397" s="128">
        <v>1.1631012658227848</v>
      </c>
      <c r="AB397" s="128">
        <v>1.1631012658227848</v>
      </c>
      <c r="AC397" s="128">
        <v>1.1631012658227848</v>
      </c>
      <c r="AD397" s="128">
        <v>1.1631012658227848</v>
      </c>
      <c r="AE397" s="128">
        <v>1.1631012658227848</v>
      </c>
      <c r="AF397" s="253">
        <f t="shared" si="51"/>
        <v>1.1631012658227848</v>
      </c>
      <c r="AG397" s="280"/>
      <c r="AK397" s="339"/>
    </row>
    <row r="398" spans="1:37" hidden="1" outlineLevel="1" x14ac:dyDescent="0.25">
      <c r="A398" s="2147"/>
      <c r="D398" s="2638"/>
      <c r="E398" s="121" t="s">
        <v>1482</v>
      </c>
      <c r="F398" s="1476">
        <f>1208.5/(1106*0.65)</f>
        <v>1.6810404785088331</v>
      </c>
      <c r="G398" s="2490"/>
      <c r="H398" s="1300" t="s">
        <v>1527</v>
      </c>
      <c r="I398" s="126">
        <f>0.65*1106</f>
        <v>718.9</v>
      </c>
      <c r="V398" s="2660"/>
      <c r="W398" s="280">
        <v>1208.5</v>
      </c>
      <c r="X398" s="280">
        <v>1208.5</v>
      </c>
      <c r="Y398" s="189">
        <v>1.6810404785088331</v>
      </c>
      <c r="Z398" s="128">
        <v>1.6810404785088331</v>
      </c>
      <c r="AA398" s="128">
        <v>1.6810404785088331</v>
      </c>
      <c r="AB398" s="128">
        <v>1.6810404785088331</v>
      </c>
      <c r="AC398" s="128">
        <v>1.6810404785088331</v>
      </c>
      <c r="AD398" s="128">
        <v>1.6810404785088331</v>
      </c>
      <c r="AE398" s="128">
        <v>1.6810404785088331</v>
      </c>
      <c r="AF398" s="253">
        <f t="shared" si="51"/>
        <v>1.6810404785088331</v>
      </c>
      <c r="AG398" s="280"/>
      <c r="AK398" s="339"/>
    </row>
    <row r="399" spans="1:37" hidden="1" outlineLevel="1" x14ac:dyDescent="0.25">
      <c r="A399" s="2147"/>
      <c r="D399" s="2638"/>
      <c r="E399" s="121" t="s">
        <v>1484</v>
      </c>
      <c r="F399" s="1476">
        <f>1208.5/(1106*0.65)</f>
        <v>1.6810404785088331</v>
      </c>
      <c r="G399" s="2490"/>
      <c r="H399" s="1300" t="s">
        <v>1527</v>
      </c>
      <c r="I399" s="126">
        <f>0.65*1106</f>
        <v>718.9</v>
      </c>
      <c r="V399" s="2660"/>
      <c r="W399" s="280">
        <v>1208.5</v>
      </c>
      <c r="X399" s="280">
        <v>1208.5</v>
      </c>
      <c r="Y399" s="189">
        <v>1.6810404785088331</v>
      </c>
      <c r="Z399" s="128">
        <v>1.6810404785088331</v>
      </c>
      <c r="AA399" s="128">
        <v>1.6810404785088331</v>
      </c>
      <c r="AB399" s="128">
        <v>1.6810404785088331</v>
      </c>
      <c r="AC399" s="128">
        <v>1.6810404785088331</v>
      </c>
      <c r="AD399" s="128">
        <v>1.6810404785088331</v>
      </c>
      <c r="AE399" s="128">
        <v>1.6810404785088331</v>
      </c>
      <c r="AF399" s="253">
        <f t="shared" si="51"/>
        <v>1.6810404785088331</v>
      </c>
      <c r="AG399" s="280"/>
      <c r="AK399" s="339"/>
    </row>
    <row r="400" spans="1:37" hidden="1" outlineLevel="1" x14ac:dyDescent="0.25">
      <c r="A400" s="2147"/>
      <c r="D400" s="2638"/>
      <c r="E400" s="121" t="s">
        <v>1486</v>
      </c>
      <c r="F400" s="1476">
        <f>1208.5/(1106*0.65)</f>
        <v>1.6810404785088331</v>
      </c>
      <c r="G400" s="2490"/>
      <c r="H400" s="1300" t="s">
        <v>1527</v>
      </c>
      <c r="I400" s="126">
        <f>0.65*1106</f>
        <v>718.9</v>
      </c>
      <c r="V400" s="2660"/>
      <c r="W400" s="280">
        <v>1208.5</v>
      </c>
      <c r="X400" s="280">
        <v>1208.5</v>
      </c>
      <c r="Y400" s="189">
        <v>1.6810404785088331</v>
      </c>
      <c r="Z400" s="128">
        <v>1.6810404785088331</v>
      </c>
      <c r="AA400" s="128">
        <v>1.6810404785088331</v>
      </c>
      <c r="AB400" s="128">
        <v>1.6810404785088331</v>
      </c>
      <c r="AC400" s="128">
        <v>1.6810404785088331</v>
      </c>
      <c r="AD400" s="128">
        <v>1.6810404785088331</v>
      </c>
      <c r="AE400" s="128">
        <v>1.6810404785088331</v>
      </c>
      <c r="AF400" s="253">
        <f t="shared" si="51"/>
        <v>1.6810404785088331</v>
      </c>
      <c r="AG400" s="280"/>
      <c r="AK400" s="339"/>
    </row>
    <row r="401" spans="1:37" hidden="1" outlineLevel="1" x14ac:dyDescent="0.25">
      <c r="A401" s="2147"/>
      <c r="D401" s="2638"/>
      <c r="E401" s="121" t="s">
        <v>1488</v>
      </c>
      <c r="F401" s="1476">
        <f>1859.23/1106</f>
        <v>1.6810397830018082</v>
      </c>
      <c r="G401" s="2490"/>
      <c r="H401" s="1300" t="s">
        <v>1528</v>
      </c>
      <c r="I401" s="126">
        <v>1106</v>
      </c>
      <c r="V401" s="2660"/>
      <c r="W401" s="280">
        <v>1859.23</v>
      </c>
      <c r="X401" s="280">
        <v>1859.23</v>
      </c>
      <c r="Y401" s="189">
        <v>1.6810397830018082</v>
      </c>
      <c r="Z401" s="128">
        <v>1.6810397830018082</v>
      </c>
      <c r="AA401" s="128">
        <v>1.6810397830018082</v>
      </c>
      <c r="AB401" s="128">
        <v>1.6810397830018082</v>
      </c>
      <c r="AC401" s="128">
        <v>1.6810397830018082</v>
      </c>
      <c r="AD401" s="128">
        <v>1.6810397830018082</v>
      </c>
      <c r="AE401" s="128">
        <v>1.6810397830018082</v>
      </c>
      <c r="AF401" s="253">
        <f t="shared" si="51"/>
        <v>1.6810397830018082</v>
      </c>
      <c r="AG401" s="280"/>
      <c r="AK401" s="339"/>
    </row>
    <row r="402" spans="1:37" hidden="1" outlineLevel="1" x14ac:dyDescent="0.25">
      <c r="A402" s="2147"/>
      <c r="D402" s="2638"/>
      <c r="E402" s="121" t="s">
        <v>1490</v>
      </c>
      <c r="F402" s="1476">
        <f>1859.23/1106</f>
        <v>1.6810397830018082</v>
      </c>
      <c r="G402" s="2490"/>
      <c r="H402" s="1300" t="s">
        <v>1528</v>
      </c>
      <c r="I402" s="126">
        <v>1106</v>
      </c>
      <c r="V402" s="2660"/>
      <c r="W402" s="280">
        <v>1859.23</v>
      </c>
      <c r="X402" s="280">
        <v>1859.23</v>
      </c>
      <c r="Y402" s="189">
        <v>1.6810397830018082</v>
      </c>
      <c r="Z402" s="128">
        <v>1.6810397830018082</v>
      </c>
      <c r="AA402" s="128">
        <v>1.6810397830018082</v>
      </c>
      <c r="AB402" s="128">
        <v>1.6810397830018082</v>
      </c>
      <c r="AC402" s="128">
        <v>1.6810397830018082</v>
      </c>
      <c r="AD402" s="128">
        <v>1.6810397830018082</v>
      </c>
      <c r="AE402" s="128">
        <v>1.6810397830018082</v>
      </c>
      <c r="AF402" s="253">
        <f t="shared" si="51"/>
        <v>1.6810397830018082</v>
      </c>
      <c r="AG402" s="280"/>
      <c r="AK402" s="339"/>
    </row>
    <row r="403" spans="1:37" hidden="1" outlineLevel="1" x14ac:dyDescent="0.25">
      <c r="A403" s="2147"/>
      <c r="D403" s="2638"/>
      <c r="E403" s="121" t="s">
        <v>1492</v>
      </c>
      <c r="F403" s="1476">
        <f>1859.23/1106</f>
        <v>1.6810397830018082</v>
      </c>
      <c r="G403" s="2490"/>
      <c r="H403" s="1300" t="s">
        <v>1528</v>
      </c>
      <c r="I403" s="126">
        <v>1106</v>
      </c>
      <c r="V403" s="2660"/>
      <c r="W403" s="280">
        <v>1859.23</v>
      </c>
      <c r="X403" s="280">
        <v>1859.23</v>
      </c>
      <c r="Y403" s="189">
        <v>1.6810397830018082</v>
      </c>
      <c r="Z403" s="128">
        <v>1.6810397830018082</v>
      </c>
      <c r="AA403" s="128">
        <v>1.6810397830018082</v>
      </c>
      <c r="AB403" s="128">
        <v>1.6810397830018082</v>
      </c>
      <c r="AC403" s="128">
        <v>1.6810397830018082</v>
      </c>
      <c r="AD403" s="128">
        <v>1.6810397830018082</v>
      </c>
      <c r="AE403" s="128">
        <v>1.6810397830018082</v>
      </c>
      <c r="AF403" s="253">
        <f t="shared" si="51"/>
        <v>1.6810397830018082</v>
      </c>
      <c r="AG403" s="280"/>
      <c r="AK403" s="339"/>
    </row>
    <row r="404" spans="1:37" hidden="1" outlineLevel="1" x14ac:dyDescent="0.25">
      <c r="A404" s="2147"/>
      <c r="D404" s="2638"/>
      <c r="E404" s="121" t="s">
        <v>1494</v>
      </c>
      <c r="F404" s="1476">
        <f>1846.68/(1106*0.65)</f>
        <v>2.568757824454027</v>
      </c>
      <c r="G404" s="2490"/>
      <c r="H404" s="1300" t="s">
        <v>1527</v>
      </c>
      <c r="I404" s="126">
        <f>0.65*1106</f>
        <v>718.9</v>
      </c>
      <c r="V404" s="2660"/>
      <c r="W404" s="280">
        <v>1846.68</v>
      </c>
      <c r="X404" s="280">
        <v>1846.68</v>
      </c>
      <c r="Y404" s="189">
        <v>2.568757824454027</v>
      </c>
      <c r="Z404" s="128">
        <v>2.568757824454027</v>
      </c>
      <c r="AA404" s="128">
        <v>2.568757824454027</v>
      </c>
      <c r="AB404" s="128">
        <v>2.568757824454027</v>
      </c>
      <c r="AC404" s="128">
        <v>2.568757824454027</v>
      </c>
      <c r="AD404" s="128">
        <v>2.568757824454027</v>
      </c>
      <c r="AE404" s="128">
        <v>2.568757824454027</v>
      </c>
      <c r="AF404" s="253">
        <f t="shared" si="51"/>
        <v>2.568757824454027</v>
      </c>
      <c r="AG404" s="280"/>
      <c r="AK404" s="339"/>
    </row>
    <row r="405" spans="1:37" hidden="1" outlineLevel="1" x14ac:dyDescent="0.25">
      <c r="A405" s="2147"/>
      <c r="D405" s="2638"/>
      <c r="E405" s="121" t="s">
        <v>1496</v>
      </c>
      <c r="F405" s="1476">
        <f>1846.68/(1106*0.65)</f>
        <v>2.568757824454027</v>
      </c>
      <c r="G405" s="2490"/>
      <c r="H405" s="1300" t="s">
        <v>1527</v>
      </c>
      <c r="I405" s="126">
        <f>0.65*1106</f>
        <v>718.9</v>
      </c>
      <c r="V405" s="2660"/>
      <c r="W405" s="280">
        <v>1846.68</v>
      </c>
      <c r="X405" s="280">
        <v>1846.68</v>
      </c>
      <c r="Y405" s="189">
        <v>2.568757824454027</v>
      </c>
      <c r="Z405" s="128">
        <v>2.568757824454027</v>
      </c>
      <c r="AA405" s="128">
        <v>2.568757824454027</v>
      </c>
      <c r="AB405" s="128">
        <v>2.568757824454027</v>
      </c>
      <c r="AC405" s="128">
        <v>2.568757824454027</v>
      </c>
      <c r="AD405" s="128">
        <v>2.568757824454027</v>
      </c>
      <c r="AE405" s="128">
        <v>2.568757824454027</v>
      </c>
      <c r="AF405" s="253">
        <f t="shared" si="51"/>
        <v>2.568757824454027</v>
      </c>
      <c r="AG405" s="280"/>
      <c r="AK405" s="339"/>
    </row>
    <row r="406" spans="1:37" hidden="1" outlineLevel="1" x14ac:dyDescent="0.25">
      <c r="A406" s="2147"/>
      <c r="D406" s="2638"/>
      <c r="E406" s="121" t="s">
        <v>1498</v>
      </c>
      <c r="F406" s="1476">
        <f>1846.68/(1106*0.65)</f>
        <v>2.568757824454027</v>
      </c>
      <c r="G406" s="2490"/>
      <c r="H406" s="1300" t="s">
        <v>1527</v>
      </c>
      <c r="I406" s="126">
        <f>0.65*1106</f>
        <v>718.9</v>
      </c>
      <c r="V406" s="2660"/>
      <c r="W406" s="280">
        <v>1846.68</v>
      </c>
      <c r="X406" s="280">
        <v>1846.68</v>
      </c>
      <c r="Y406" s="189">
        <v>2.568757824454027</v>
      </c>
      <c r="Z406" s="128">
        <v>2.568757824454027</v>
      </c>
      <c r="AA406" s="128">
        <v>2.568757824454027</v>
      </c>
      <c r="AB406" s="128">
        <v>2.568757824454027</v>
      </c>
      <c r="AC406" s="128">
        <v>2.568757824454027</v>
      </c>
      <c r="AD406" s="128">
        <v>2.568757824454027</v>
      </c>
      <c r="AE406" s="128">
        <v>2.568757824454027</v>
      </c>
      <c r="AF406" s="253">
        <f t="shared" si="51"/>
        <v>2.568757824454027</v>
      </c>
      <c r="AG406" s="280"/>
      <c r="AK406" s="339"/>
    </row>
    <row r="407" spans="1:37" hidden="1" outlineLevel="1" x14ac:dyDescent="0.25">
      <c r="A407" s="2147"/>
      <c r="D407" s="2638"/>
      <c r="E407" s="121" t="s">
        <v>1500</v>
      </c>
      <c r="F407" s="1476">
        <f>2841.04/1106</f>
        <v>2.5687522603978299</v>
      </c>
      <c r="G407" s="2490"/>
      <c r="H407" s="1300" t="s">
        <v>1528</v>
      </c>
      <c r="I407" s="126">
        <v>1106</v>
      </c>
      <c r="V407" s="2660"/>
      <c r="W407" s="280">
        <v>2841.04</v>
      </c>
      <c r="X407" s="280">
        <v>2841.04</v>
      </c>
      <c r="Y407" s="189">
        <v>2.5687522603978299</v>
      </c>
      <c r="Z407" s="128">
        <v>2.5687522603978299</v>
      </c>
      <c r="AA407" s="128">
        <v>2.5687522603978299</v>
      </c>
      <c r="AB407" s="128">
        <v>2.5687522603978299</v>
      </c>
      <c r="AC407" s="128">
        <v>2.5687522603978299</v>
      </c>
      <c r="AD407" s="128">
        <v>2.5687522603978299</v>
      </c>
      <c r="AE407" s="128">
        <v>2.5687522603978299</v>
      </c>
      <c r="AF407" s="253">
        <f t="shared" si="51"/>
        <v>2.5687522603978299</v>
      </c>
      <c r="AG407" s="280"/>
      <c r="AK407" s="339"/>
    </row>
    <row r="408" spans="1:37" hidden="1" outlineLevel="1" x14ac:dyDescent="0.25">
      <c r="A408" s="2147"/>
      <c r="D408" s="2638"/>
      <c r="E408" s="121" t="s">
        <v>1502</v>
      </c>
      <c r="F408" s="1476">
        <f>2841.04/1106</f>
        <v>2.5687522603978299</v>
      </c>
      <c r="G408" s="2490"/>
      <c r="H408" s="1300" t="s">
        <v>1528</v>
      </c>
      <c r="I408" s="126">
        <v>1106</v>
      </c>
      <c r="V408" s="2660"/>
      <c r="W408" s="280">
        <v>2841.04</v>
      </c>
      <c r="X408" s="280">
        <v>2841.04</v>
      </c>
      <c r="Y408" s="189">
        <v>2.5687522603978299</v>
      </c>
      <c r="Z408" s="128">
        <v>2.5687522603978299</v>
      </c>
      <c r="AA408" s="128">
        <v>2.5687522603978299</v>
      </c>
      <c r="AB408" s="128">
        <v>2.5687522603978299</v>
      </c>
      <c r="AC408" s="128">
        <v>2.5687522603978299</v>
      </c>
      <c r="AD408" s="128">
        <v>2.5687522603978299</v>
      </c>
      <c r="AE408" s="128">
        <v>2.5687522603978299</v>
      </c>
      <c r="AF408" s="253">
        <f t="shared" si="51"/>
        <v>2.5687522603978299</v>
      </c>
      <c r="AG408" s="280"/>
      <c r="AK408" s="339"/>
    </row>
    <row r="409" spans="1:37" hidden="1" outlineLevel="1" x14ac:dyDescent="0.25">
      <c r="A409" s="2147"/>
      <c r="D409" s="2638"/>
      <c r="E409" s="121" t="s">
        <v>1504</v>
      </c>
      <c r="F409" s="1476">
        <f>2841.04/1106</f>
        <v>2.5687522603978299</v>
      </c>
      <c r="G409" s="2490"/>
      <c r="H409" s="1300" t="s">
        <v>1528</v>
      </c>
      <c r="I409" s="126">
        <v>1106</v>
      </c>
      <c r="V409" s="2660"/>
      <c r="W409" s="280">
        <v>2841.04</v>
      </c>
      <c r="X409" s="280">
        <v>2841.04</v>
      </c>
      <c r="Y409" s="189">
        <v>2.5687522603978299</v>
      </c>
      <c r="Z409" s="128">
        <v>2.5687522603978299</v>
      </c>
      <c r="AA409" s="128">
        <v>2.5687522603978299</v>
      </c>
      <c r="AB409" s="128">
        <v>2.5687522603978299</v>
      </c>
      <c r="AC409" s="128">
        <v>2.5687522603978299</v>
      </c>
      <c r="AD409" s="128">
        <v>2.5687522603978299</v>
      </c>
      <c r="AE409" s="128">
        <v>2.5687522603978299</v>
      </c>
      <c r="AF409" s="253">
        <f t="shared" si="51"/>
        <v>2.5687522603978299</v>
      </c>
      <c r="AG409" s="280"/>
      <c r="AK409" s="339"/>
    </row>
    <row r="410" spans="1:37" hidden="1" outlineLevel="1" x14ac:dyDescent="0.25">
      <c r="A410" s="2147"/>
      <c r="D410" s="2638"/>
      <c r="E410" s="121" t="s">
        <v>1506</v>
      </c>
      <c r="F410" s="1476">
        <f>2461.73/(1106*0.65)</f>
        <v>3.424301015440256</v>
      </c>
      <c r="G410" s="2490"/>
      <c r="H410" s="1300" t="s">
        <v>1527</v>
      </c>
      <c r="I410" s="126">
        <f>0.65*1106</f>
        <v>718.9</v>
      </c>
      <c r="V410" s="2660"/>
      <c r="W410" s="280">
        <v>2461.73</v>
      </c>
      <c r="X410" s="280">
        <v>2461.73</v>
      </c>
      <c r="Y410" s="189">
        <v>3.424301015440256</v>
      </c>
      <c r="Z410" s="128">
        <v>3.424301015440256</v>
      </c>
      <c r="AA410" s="128">
        <v>3.424301015440256</v>
      </c>
      <c r="AB410" s="128">
        <v>3.424301015440256</v>
      </c>
      <c r="AC410" s="128">
        <v>3.424301015440256</v>
      </c>
      <c r="AD410" s="128">
        <v>3.424301015440256</v>
      </c>
      <c r="AE410" s="128">
        <v>3.424301015440256</v>
      </c>
      <c r="AF410" s="253">
        <f t="shared" si="51"/>
        <v>3.424301015440256</v>
      </c>
      <c r="AG410" s="280"/>
      <c r="AK410" s="339"/>
    </row>
    <row r="411" spans="1:37" hidden="1" outlineLevel="1" x14ac:dyDescent="0.25">
      <c r="A411" s="2147"/>
      <c r="D411" s="2638"/>
      <c r="E411" s="121" t="s">
        <v>1508</v>
      </c>
      <c r="F411" s="1476">
        <f>2461.73/(1106*0.65)</f>
        <v>3.424301015440256</v>
      </c>
      <c r="G411" s="2490"/>
      <c r="H411" s="1300" t="s">
        <v>1527</v>
      </c>
      <c r="I411" s="126">
        <f>0.65*1106</f>
        <v>718.9</v>
      </c>
      <c r="V411" s="2660"/>
      <c r="W411" s="280">
        <v>2461.73</v>
      </c>
      <c r="X411" s="280">
        <v>2461.73</v>
      </c>
      <c r="Y411" s="189">
        <v>3.424301015440256</v>
      </c>
      <c r="Z411" s="128">
        <v>3.424301015440256</v>
      </c>
      <c r="AA411" s="128">
        <v>3.424301015440256</v>
      </c>
      <c r="AB411" s="128">
        <v>3.424301015440256</v>
      </c>
      <c r="AC411" s="128">
        <v>3.424301015440256</v>
      </c>
      <c r="AD411" s="128">
        <v>3.424301015440256</v>
      </c>
      <c r="AE411" s="128">
        <v>3.424301015440256</v>
      </c>
      <c r="AF411" s="253">
        <f t="shared" si="51"/>
        <v>3.424301015440256</v>
      </c>
      <c r="AG411" s="280"/>
      <c r="AK411" s="339"/>
    </row>
    <row r="412" spans="1:37" hidden="1" outlineLevel="1" x14ac:dyDescent="0.25">
      <c r="A412" s="2147"/>
      <c r="D412" s="2638"/>
      <c r="E412" s="121" t="s">
        <v>1510</v>
      </c>
      <c r="F412" s="1476">
        <f>2461.73/(1106*0.65)</f>
        <v>3.424301015440256</v>
      </c>
      <c r="G412" s="2490"/>
      <c r="H412" s="1300" t="s">
        <v>1527</v>
      </c>
      <c r="I412" s="126">
        <f>0.65*1106</f>
        <v>718.9</v>
      </c>
      <c r="V412" s="2660"/>
      <c r="W412" s="280">
        <v>2461.73</v>
      </c>
      <c r="X412" s="280">
        <v>2461.73</v>
      </c>
      <c r="Y412" s="189">
        <v>3.424301015440256</v>
      </c>
      <c r="Z412" s="128">
        <v>3.424301015440256</v>
      </c>
      <c r="AA412" s="128">
        <v>3.424301015440256</v>
      </c>
      <c r="AB412" s="128">
        <v>3.424301015440256</v>
      </c>
      <c r="AC412" s="128">
        <v>3.424301015440256</v>
      </c>
      <c r="AD412" s="128">
        <v>3.424301015440256</v>
      </c>
      <c r="AE412" s="128">
        <v>3.424301015440256</v>
      </c>
      <c r="AF412" s="253">
        <f t="shared" si="51"/>
        <v>3.424301015440256</v>
      </c>
      <c r="AG412" s="280"/>
      <c r="AK412" s="339"/>
    </row>
    <row r="413" spans="1:37" hidden="1" outlineLevel="1" x14ac:dyDescent="0.25">
      <c r="A413" s="2147"/>
      <c r="D413" s="2638"/>
      <c r="E413" s="121" t="s">
        <v>1512</v>
      </c>
      <c r="F413" s="1476">
        <f>3787.28/1106</f>
        <v>3.4243037974683546</v>
      </c>
      <c r="G413" s="2490"/>
      <c r="H413" s="1300" t="s">
        <v>1528</v>
      </c>
      <c r="I413" s="126">
        <v>1106</v>
      </c>
      <c r="V413" s="2660"/>
      <c r="W413" s="280">
        <v>3787.28</v>
      </c>
      <c r="X413" s="280">
        <v>3787.28</v>
      </c>
      <c r="Y413" s="189">
        <v>3.4243037974683546</v>
      </c>
      <c r="Z413" s="128">
        <v>3.4243037974683546</v>
      </c>
      <c r="AA413" s="128">
        <v>3.4243037974683546</v>
      </c>
      <c r="AB413" s="128">
        <v>3.4243037974683546</v>
      </c>
      <c r="AC413" s="128">
        <v>3.4243037974683546</v>
      </c>
      <c r="AD413" s="128">
        <v>3.4243037974683546</v>
      </c>
      <c r="AE413" s="128">
        <v>3.4243037974683546</v>
      </c>
      <c r="AF413" s="253">
        <f t="shared" si="51"/>
        <v>3.4243037974683546</v>
      </c>
      <c r="AG413" s="280"/>
      <c r="AK413" s="339"/>
    </row>
    <row r="414" spans="1:37" hidden="1" outlineLevel="1" x14ac:dyDescent="0.25">
      <c r="A414" s="2147"/>
      <c r="D414" s="2638"/>
      <c r="E414" s="121" t="s">
        <v>1514</v>
      </c>
      <c r="F414" s="1476">
        <f>3787.28/1106</f>
        <v>3.4243037974683546</v>
      </c>
      <c r="G414" s="2490"/>
      <c r="H414" s="1300" t="s">
        <v>1528</v>
      </c>
      <c r="I414" s="126">
        <v>1106</v>
      </c>
      <c r="V414" s="2660"/>
      <c r="W414" s="280">
        <v>3787.28</v>
      </c>
      <c r="X414" s="280">
        <v>3787.28</v>
      </c>
      <c r="Y414" s="189">
        <v>3.4243037974683546</v>
      </c>
      <c r="Z414" s="128">
        <v>3.4243037974683546</v>
      </c>
      <c r="AA414" s="128">
        <v>3.4243037974683546</v>
      </c>
      <c r="AB414" s="128">
        <v>3.4243037974683546</v>
      </c>
      <c r="AC414" s="128">
        <v>3.4243037974683546</v>
      </c>
      <c r="AD414" s="128">
        <v>3.4243037974683546</v>
      </c>
      <c r="AE414" s="128">
        <v>3.4243037974683546</v>
      </c>
      <c r="AF414" s="253">
        <f t="shared" si="51"/>
        <v>3.4243037974683546</v>
      </c>
      <c r="AG414" s="280"/>
      <c r="AK414" s="339"/>
    </row>
    <row r="415" spans="1:37" hidden="1" outlineLevel="1" x14ac:dyDescent="0.25">
      <c r="A415" s="2147"/>
      <c r="D415" s="2638"/>
      <c r="E415" s="121" t="s">
        <v>1516</v>
      </c>
      <c r="F415" s="1476">
        <f>3787.28/1106</f>
        <v>3.4243037974683546</v>
      </c>
      <c r="G415" s="2490"/>
      <c r="H415" s="1300" t="s">
        <v>1528</v>
      </c>
      <c r="I415" s="126">
        <v>1106</v>
      </c>
      <c r="V415" s="2661"/>
      <c r="W415" s="280">
        <v>3787.28</v>
      </c>
      <c r="X415" s="280">
        <v>3787.28</v>
      </c>
      <c r="Y415" s="189">
        <v>3.4243037974683546</v>
      </c>
      <c r="Z415" s="128">
        <v>3.4243037974683546</v>
      </c>
      <c r="AA415" s="128">
        <v>3.4243037974683546</v>
      </c>
      <c r="AB415" s="128">
        <v>3.4243037974683546</v>
      </c>
      <c r="AC415" s="128">
        <v>3.4243037974683546</v>
      </c>
      <c r="AD415" s="128">
        <v>3.4243037974683546</v>
      </c>
      <c r="AE415" s="128">
        <v>3.4243037974683546</v>
      </c>
      <c r="AF415" s="253">
        <f t="shared" si="51"/>
        <v>3.4243037974683546</v>
      </c>
      <c r="AG415" s="280"/>
      <c r="AK415" s="339"/>
    </row>
    <row r="416" spans="1:37" hidden="1" outlineLevel="1" x14ac:dyDescent="0.25">
      <c r="A416" s="2147"/>
      <c r="B416" s="549"/>
      <c r="Y416" s="516" t="s">
        <v>1454</v>
      </c>
      <c r="AK416" s="339"/>
    </row>
    <row r="417" spans="1:114" collapsed="1" x14ac:dyDescent="0.25">
      <c r="A417" s="2147"/>
      <c r="B417" s="549"/>
      <c r="AK417" s="339"/>
    </row>
    <row r="418" spans="1:114" x14ac:dyDescent="0.25">
      <c r="A418" s="2147"/>
      <c r="B418" s="2388" t="s">
        <v>1550</v>
      </c>
      <c r="C418" s="2389"/>
      <c r="D418" s="2389"/>
      <c r="E418" s="2389"/>
      <c r="F418" s="2389"/>
      <c r="G418" s="2389"/>
      <c r="H418" s="2389"/>
      <c r="I418" s="2390"/>
      <c r="J418" s="2390"/>
      <c r="K418" s="2390"/>
      <c r="L418" s="2390"/>
      <c r="M418" s="2390"/>
      <c r="N418" s="2390"/>
      <c r="O418" s="2390"/>
      <c r="P418" s="2390"/>
      <c r="Q418" s="2390"/>
      <c r="R418" s="2391"/>
      <c r="V418" s="2339" t="str">
        <f>B418</f>
        <v>Floor Insulation</v>
      </c>
      <c r="W418" s="2340"/>
      <c r="X418" s="2340"/>
      <c r="Y418" s="2340"/>
      <c r="Z418" s="2340"/>
      <c r="AA418" s="2340"/>
      <c r="AB418" s="2340"/>
      <c r="AC418" s="2341"/>
      <c r="AD418" s="2341"/>
      <c r="AE418" s="2341"/>
      <c r="AF418" s="2341"/>
      <c r="AG418" s="2341"/>
      <c r="AH418" s="2341"/>
      <c r="AI418" s="2342"/>
      <c r="AK418" s="339"/>
    </row>
    <row r="419" spans="1:114" x14ac:dyDescent="0.25">
      <c r="A419" s="2147"/>
      <c r="B419" s="549"/>
      <c r="D419" s="553"/>
      <c r="E419" s="553" t="s">
        <v>1551</v>
      </c>
      <c r="F419" s="264"/>
      <c r="G419" s="264"/>
      <c r="H419" s="264"/>
      <c r="I419" s="264"/>
      <c r="J419" s="264"/>
      <c r="K419" s="264"/>
      <c r="L419" s="554"/>
      <c r="AK419" s="339"/>
    </row>
    <row r="420" spans="1:114" ht="30" x14ac:dyDescent="0.25">
      <c r="A420" s="2147"/>
      <c r="B420" s="549"/>
      <c r="C420" s="1242" t="s">
        <v>43</v>
      </c>
      <c r="D420" s="1242" t="s">
        <v>597</v>
      </c>
      <c r="E420" s="1242" t="s">
        <v>45</v>
      </c>
      <c r="F420" s="1242" t="s">
        <v>46</v>
      </c>
      <c r="G420" s="1242" t="s">
        <v>47</v>
      </c>
      <c r="H420" s="1242" t="s">
        <v>48</v>
      </c>
      <c r="I420" s="1242" t="s">
        <v>807</v>
      </c>
      <c r="J420" s="1242" t="s">
        <v>808</v>
      </c>
      <c r="K420" s="1242" t="s">
        <v>49</v>
      </c>
      <c r="L420" s="1254" t="s">
        <v>50</v>
      </c>
      <c r="M420" s="1242" t="s">
        <v>51</v>
      </c>
      <c r="N420" s="1242" t="s">
        <v>1552</v>
      </c>
      <c r="V420" s="636" t="s">
        <v>53</v>
      </c>
      <c r="W420" s="637">
        <f>W$6</f>
        <v>43252</v>
      </c>
      <c r="X420" s="637">
        <f t="shared" ref="X420:AG420" si="52">X$6</f>
        <v>43465</v>
      </c>
      <c r="Y420" s="110">
        <f t="shared" si="52"/>
        <v>43800</v>
      </c>
      <c r="Z420" s="637">
        <f t="shared" si="52"/>
        <v>43862</v>
      </c>
      <c r="AA420" s="637">
        <f t="shared" si="52"/>
        <v>44013</v>
      </c>
      <c r="AB420" s="637">
        <f t="shared" si="52"/>
        <v>44166</v>
      </c>
      <c r="AC420" s="637">
        <f t="shared" si="52"/>
        <v>44531</v>
      </c>
      <c r="AD420" s="637">
        <f t="shared" si="52"/>
        <v>44774</v>
      </c>
      <c r="AE420" s="637">
        <f t="shared" si="52"/>
        <v>45139</v>
      </c>
      <c r="AF420" s="637">
        <f t="shared" si="52"/>
        <v>45672</v>
      </c>
      <c r="AG420" s="637">
        <f t="shared" si="52"/>
        <v>45971</v>
      </c>
      <c r="AK420" s="339"/>
      <c r="DG420" s="991" t="str">
        <f>$DG$6</f>
        <v>TRC (2025)</v>
      </c>
      <c r="DH420" s="761" t="str">
        <f>$DH$6</f>
        <v>Benefit Lookup</v>
      </c>
      <c r="DI420" s="1006" t="str">
        <f>$DI$6</f>
        <v>Benefits (2025 $)</v>
      </c>
      <c r="DJ420" s="1031" t="str">
        <f>$DJ$6</f>
        <v>Incremental Cost (2025 $)</v>
      </c>
    </row>
    <row r="421" spans="1:114" x14ac:dyDescent="0.25">
      <c r="A421" s="2147" t="s">
        <v>840</v>
      </c>
      <c r="B421" s="1318">
        <f t="shared" ref="B421:B426" si="53">VALUE(LEFT(C421,6))</f>
        <v>402200</v>
      </c>
      <c r="C421" s="327" t="s">
        <v>1553</v>
      </c>
      <c r="D421" s="1994" t="s">
        <v>810</v>
      </c>
      <c r="E421" s="121" t="s">
        <v>1554</v>
      </c>
      <c r="F421" s="170">
        <f t="shared" ref="F421:F425" si="54">ROUND(I421+J421,2)</f>
        <v>2.0499999999999998</v>
      </c>
      <c r="G421" s="132" t="s">
        <v>1417</v>
      </c>
      <c r="H421" s="66">
        <f>VLOOKUP(G421,'CP FACTORS'!$A$3:$B$38, 2, FALSE)</f>
        <v>4.6608050000000002E-4</v>
      </c>
      <c r="I421" s="515">
        <f>(1/F$434-1/F$436)*F$437*(1-F$438)*F439*24*F$443/(F444*3412)</f>
        <v>1.8130236039175185</v>
      </c>
      <c r="J421" s="515">
        <f>(1/$F$434-1/$F$436)*$F$437*(1-$F$438)*F447*24*$F$450/($F$451*1000)</f>
        <v>0.23681313862743308</v>
      </c>
      <c r="K421" s="256">
        <f>ROUND(H421*F421,6)</f>
        <v>9.5500000000000001E-4</v>
      </c>
      <c r="L421" s="318">
        <f t="shared" ref="L421:L426" si="55">$F$452</f>
        <v>30</v>
      </c>
      <c r="M421" s="697">
        <f t="shared" ref="M421:M426" si="56">$F$453</f>
        <v>0.67966666666666664</v>
      </c>
      <c r="N421" s="318">
        <f t="shared" ref="N421:N426" si="57">$F$437</f>
        <v>1</v>
      </c>
      <c r="V421" s="337" t="str">
        <f t="shared" ref="V421:V426" si="58">$F$33</f>
        <v>kWh Annual Savings</v>
      </c>
      <c r="W421" s="84">
        <v>2641.1109246458486</v>
      </c>
      <c r="X421" s="123">
        <v>2641.1109246458486</v>
      </c>
      <c r="Y421" s="254">
        <v>2.4500000000000002</v>
      </c>
      <c r="Z421" s="252">
        <v>2.4500000000000002</v>
      </c>
      <c r="AA421" s="252">
        <v>2.4500000000000002</v>
      </c>
      <c r="AB421" s="252">
        <v>2.4500000000000002</v>
      </c>
      <c r="AC421" s="252">
        <v>2.4500000000000002</v>
      </c>
      <c r="AD421" s="252">
        <v>2.4500000000000002</v>
      </c>
      <c r="AE421" s="252">
        <v>2.4500000000000002</v>
      </c>
      <c r="AF421" s="253">
        <f t="shared" ref="AF421:AF426" si="59">IF(F421&lt;&gt;"",F421,"")</f>
        <v>2.0499999999999998</v>
      </c>
      <c r="AG421" s="337"/>
      <c r="AK421" s="339"/>
      <c r="DG421" s="998">
        <f t="shared" ref="DG421:DG426" si="60">(DI421)/(DJ421)</f>
        <v>5.6659779555419325</v>
      </c>
      <c r="DH421" s="1272" t="str">
        <f t="shared" ref="DH421:DH426" si="61">CONCATENATE(G421," ",L421," Year EUL")</f>
        <v>Building Shell RES 30 Year EUL</v>
      </c>
      <c r="DI421" s="1008">
        <f>(INDEX('Avoided Cost Benefits'!$B$4:$B$865,MATCH(DH421,'Avoided Cost Benefits'!$A$4:$A$865,0)))*F421</f>
        <v>3.8509763504499999</v>
      </c>
      <c r="DJ421" s="1848">
        <f t="shared" ref="DJ421:DJ426" si="62">IFERROR(M421/((1+DiscountRate)^(CurrentYear-DiscountYear)),0)</f>
        <v>0.67966666666666664</v>
      </c>
    </row>
    <row r="422" spans="1:114" x14ac:dyDescent="0.25">
      <c r="A422" s="2147" t="s">
        <v>840</v>
      </c>
      <c r="B422" s="1318">
        <f t="shared" si="53"/>
        <v>402201</v>
      </c>
      <c r="C422" s="327" t="s">
        <v>1555</v>
      </c>
      <c r="D422" s="1994" t="s">
        <v>810</v>
      </c>
      <c r="E422" s="121" t="s">
        <v>1556</v>
      </c>
      <c r="F422" s="170">
        <f t="shared" si="54"/>
        <v>1.36</v>
      </c>
      <c r="G422" s="132" t="s">
        <v>1417</v>
      </c>
      <c r="H422" s="66">
        <f>VLOOKUP(G422,'CP FACTORS'!$A$3:$B$38, 2, FALSE)</f>
        <v>4.6608050000000002E-4</v>
      </c>
      <c r="I422" s="515">
        <f>(1/F$434-1/F$436)*F$437*(1-F$438)*F440*24*F$443/(F445*3412)</f>
        <v>1.1191503727885916</v>
      </c>
      <c r="J422" s="515">
        <f>(1/$F$434-1/$F$436)*$F$437*(1-$F$438)*F448*24*$F$450/($F$451*1000)</f>
        <v>0.23681313862743308</v>
      </c>
      <c r="K422" s="256">
        <f t="shared" ref="K422:K426" si="63">ROUND(H422*F422,6)</f>
        <v>6.3400000000000001E-4</v>
      </c>
      <c r="L422" s="318">
        <f t="shared" si="55"/>
        <v>30</v>
      </c>
      <c r="M422" s="697">
        <f t="shared" si="56"/>
        <v>0.67966666666666664</v>
      </c>
      <c r="N422" s="318">
        <f t="shared" si="57"/>
        <v>1</v>
      </c>
      <c r="V422" s="337" t="str">
        <f t="shared" si="58"/>
        <v>kWh Annual Savings</v>
      </c>
      <c r="W422" s="84"/>
      <c r="X422" s="123"/>
      <c r="Y422" s="254">
        <v>1.42</v>
      </c>
      <c r="Z422" s="252">
        <v>1.42</v>
      </c>
      <c r="AA422" s="252">
        <v>1.42</v>
      </c>
      <c r="AB422" s="252">
        <v>1.42</v>
      </c>
      <c r="AC422" s="252">
        <v>1.42</v>
      </c>
      <c r="AD422" s="252">
        <v>1.42</v>
      </c>
      <c r="AE422" s="252">
        <v>1.42</v>
      </c>
      <c r="AF422" s="253">
        <f t="shared" si="59"/>
        <v>1.36</v>
      </c>
      <c r="AG422" s="337"/>
      <c r="AK422" s="339"/>
      <c r="DG422" s="630">
        <f t="shared" si="60"/>
        <v>3.7588926924570876</v>
      </c>
      <c r="DH422" s="1272" t="str">
        <f t="shared" si="61"/>
        <v>Building Shell RES 30 Year EUL</v>
      </c>
      <c r="DI422" s="1009">
        <f>(INDEX('Avoided Cost Benefits'!$B$4:$B$865,MATCH(DH422,'Avoided Cost Benefits'!$A$4:$A$865,0)))*F422</f>
        <v>2.5547940666400004</v>
      </c>
      <c r="DJ422" s="1849">
        <f t="shared" si="62"/>
        <v>0.67966666666666664</v>
      </c>
    </row>
    <row r="423" spans="1:114" x14ac:dyDescent="0.25">
      <c r="A423" s="2147" t="s">
        <v>840</v>
      </c>
      <c r="B423" s="1318">
        <f t="shared" si="53"/>
        <v>402202</v>
      </c>
      <c r="C423" s="327" t="s">
        <v>1557</v>
      </c>
      <c r="D423" s="1994" t="s">
        <v>810</v>
      </c>
      <c r="E423" s="121" t="s">
        <v>1558</v>
      </c>
      <c r="F423" s="170">
        <f t="shared" si="54"/>
        <v>0.24</v>
      </c>
      <c r="G423" s="132" t="s">
        <v>1417</v>
      </c>
      <c r="H423" s="66">
        <f>VLOOKUP(G423,'CP FACTORS'!$A$3:$B$38, 2, FALSE)</f>
        <v>4.6608050000000002E-4</v>
      </c>
      <c r="I423" s="300">
        <f>(1/F$434-1/F$436)*F$437*(1-F$438)*F441*24*F$443/(F446*3412)</f>
        <v>0</v>
      </c>
      <c r="J423" s="515">
        <f>(1/$F$434-1/$F$436)*$F$437*(1-$F$438)*F449*24*$F$450/($F$451*1000)</f>
        <v>0.23681313862743308</v>
      </c>
      <c r="K423" s="256">
        <f t="shared" si="63"/>
        <v>1.12E-4</v>
      </c>
      <c r="L423" s="318">
        <f t="shared" si="55"/>
        <v>30</v>
      </c>
      <c r="M423" s="697">
        <f t="shared" si="56"/>
        <v>0.67966666666666664</v>
      </c>
      <c r="N423" s="318">
        <f t="shared" si="57"/>
        <v>1</v>
      </c>
      <c r="V423" s="337" t="str">
        <f t="shared" si="58"/>
        <v>kWh Annual Savings</v>
      </c>
      <c r="W423" s="84"/>
      <c r="X423" s="123"/>
      <c r="Y423" s="254">
        <v>0.23</v>
      </c>
      <c r="Z423" s="252">
        <v>0.23</v>
      </c>
      <c r="AA423" s="252">
        <v>0.23</v>
      </c>
      <c r="AB423" s="252">
        <v>0.23</v>
      </c>
      <c r="AC423" s="252">
        <v>0.23</v>
      </c>
      <c r="AD423" s="252">
        <v>0.23</v>
      </c>
      <c r="AE423" s="252">
        <v>0.23</v>
      </c>
      <c r="AF423" s="253">
        <f t="shared" si="59"/>
        <v>0.24</v>
      </c>
      <c r="AG423" s="337"/>
      <c r="AK423" s="339"/>
      <c r="DG423" s="630">
        <f t="shared" si="60"/>
        <v>0.66333400455125069</v>
      </c>
      <c r="DH423" s="1272" t="str">
        <f t="shared" si="61"/>
        <v>Building Shell RES 30 Year EUL</v>
      </c>
      <c r="DI423" s="1009">
        <f>(INDEX('Avoided Cost Benefits'!$B$4:$B$865,MATCH(DH423,'Avoided Cost Benefits'!$A$4:$A$865,0)))*F423</f>
        <v>0.45084601176</v>
      </c>
      <c r="DJ423" s="1849">
        <f t="shared" si="62"/>
        <v>0.67966666666666664</v>
      </c>
    </row>
    <row r="424" spans="1:114" x14ac:dyDescent="0.25">
      <c r="A424" s="2147" t="s">
        <v>840</v>
      </c>
      <c r="B424" s="1318">
        <f t="shared" si="53"/>
        <v>402203</v>
      </c>
      <c r="C424" s="327" t="s">
        <v>1559</v>
      </c>
      <c r="D424" s="1994" t="s">
        <v>810</v>
      </c>
      <c r="E424" s="121" t="s">
        <v>1560</v>
      </c>
      <c r="F424" s="170">
        <f t="shared" si="54"/>
        <v>0.2</v>
      </c>
      <c r="G424" s="132" t="s">
        <v>1417</v>
      </c>
      <c r="H424" s="66">
        <f>VLOOKUP(G424,'CP FACTORS'!$A$3:$B$38, 2, FALSE)</f>
        <v>4.6608050000000002E-4</v>
      </c>
      <c r="I424" s="515">
        <f>(1/F$435-1/F$436)*F$437*(1-F$438)*F439*24*F$442/(F444*3412)</f>
        <v>0.18183496190449847</v>
      </c>
      <c r="J424" s="515">
        <f>(1/$F$435-1/$F$436)*$F$437*(1-$F$438)*F447*24*$F$450/($F$451*1000)</f>
        <v>1.9950740120601836E-2</v>
      </c>
      <c r="K424" s="256">
        <f t="shared" si="63"/>
        <v>9.2999999999999997E-5</v>
      </c>
      <c r="L424" s="318">
        <f t="shared" si="55"/>
        <v>30</v>
      </c>
      <c r="M424" s="697">
        <f t="shared" si="56"/>
        <v>0.67966666666666664</v>
      </c>
      <c r="N424" s="318">
        <f t="shared" si="57"/>
        <v>1</v>
      </c>
      <c r="V424" s="337" t="str">
        <f t="shared" si="58"/>
        <v>kWh Annual Savings</v>
      </c>
      <c r="W424" s="84"/>
      <c r="X424" s="123"/>
      <c r="Y424" s="254"/>
      <c r="Z424" s="650">
        <v>0.22</v>
      </c>
      <c r="AA424" s="18">
        <v>0.22</v>
      </c>
      <c r="AB424" s="18">
        <v>0.22</v>
      </c>
      <c r="AC424" s="18">
        <v>0.22</v>
      </c>
      <c r="AD424" s="18">
        <v>0.22</v>
      </c>
      <c r="AE424" s="18">
        <v>0.22</v>
      </c>
      <c r="AF424" s="253">
        <f t="shared" si="59"/>
        <v>0.2</v>
      </c>
      <c r="AG424" s="337"/>
      <c r="AK424" s="339"/>
      <c r="DG424" s="998">
        <f t="shared" si="60"/>
        <v>0.5527783371260423</v>
      </c>
      <c r="DH424" s="1272" t="str">
        <f t="shared" si="61"/>
        <v>Building Shell RES 30 Year EUL</v>
      </c>
      <c r="DI424" s="1008">
        <f>(INDEX('Avoided Cost Benefits'!$B$4:$B$865,MATCH(DH424,'Avoided Cost Benefits'!$A$4:$A$865,0)))*F424</f>
        <v>0.37570500980000004</v>
      </c>
      <c r="DJ424" s="1849">
        <f t="shared" si="62"/>
        <v>0.67966666666666664</v>
      </c>
    </row>
    <row r="425" spans="1:114" x14ac:dyDescent="0.25">
      <c r="A425" s="2147" t="s">
        <v>840</v>
      </c>
      <c r="B425" s="1318">
        <f t="shared" si="53"/>
        <v>402204</v>
      </c>
      <c r="C425" s="327" t="s">
        <v>1561</v>
      </c>
      <c r="D425" s="1994" t="s">
        <v>810</v>
      </c>
      <c r="E425" s="121" t="s">
        <v>1562</v>
      </c>
      <c r="F425" s="170">
        <f t="shared" si="54"/>
        <v>0.11</v>
      </c>
      <c r="G425" s="132" t="s">
        <v>1417</v>
      </c>
      <c r="H425" s="66">
        <f>VLOOKUP(G425,'CP FACTORS'!$A$3:$B$38, 2, FALSE)</f>
        <v>4.6608050000000002E-4</v>
      </c>
      <c r="I425" s="515">
        <f>(1/F$435-1/F$436)*F$437*(1-F$438)*F440*24*F$443/(F445*3412)</f>
        <v>9.4284795061591792E-2</v>
      </c>
      <c r="J425" s="515">
        <f>(1/$F$435-1/$F$436)*$F$437*(1-$F$438)*F448*24*$F$450/($F$451*1000)</f>
        <v>1.9950740120601836E-2</v>
      </c>
      <c r="K425" s="256">
        <f t="shared" si="63"/>
        <v>5.1E-5</v>
      </c>
      <c r="L425" s="318">
        <f t="shared" si="55"/>
        <v>30</v>
      </c>
      <c r="M425" s="697">
        <f t="shared" si="56"/>
        <v>0.67966666666666664</v>
      </c>
      <c r="N425" s="318">
        <f t="shared" si="57"/>
        <v>1</v>
      </c>
      <c r="V425" s="337" t="str">
        <f t="shared" si="58"/>
        <v>kWh Annual Savings</v>
      </c>
      <c r="W425" s="84"/>
      <c r="X425" s="123"/>
      <c r="Y425" s="254"/>
      <c r="Z425" s="650">
        <v>0.13</v>
      </c>
      <c r="AA425" s="18">
        <v>0.13</v>
      </c>
      <c r="AB425" s="18">
        <v>0.13</v>
      </c>
      <c r="AC425" s="18">
        <v>0.13</v>
      </c>
      <c r="AD425" s="18">
        <v>0.13</v>
      </c>
      <c r="AE425" s="18">
        <v>0.13</v>
      </c>
      <c r="AF425" s="253">
        <f t="shared" si="59"/>
        <v>0.11</v>
      </c>
      <c r="AG425" s="337"/>
      <c r="AK425" s="339"/>
      <c r="DG425" s="630">
        <f t="shared" si="60"/>
        <v>0.30402808541932325</v>
      </c>
      <c r="DH425" s="1272" t="str">
        <f t="shared" si="61"/>
        <v>Building Shell RES 30 Year EUL</v>
      </c>
      <c r="DI425" s="1009">
        <f>(INDEX('Avoided Cost Benefits'!$B$4:$B$865,MATCH(DH425,'Avoided Cost Benefits'!$A$4:$A$865,0)))*F425</f>
        <v>0.20663775539000001</v>
      </c>
      <c r="DJ425" s="1849">
        <f t="shared" si="62"/>
        <v>0.67966666666666664</v>
      </c>
    </row>
    <row r="426" spans="1:114" x14ac:dyDescent="0.25">
      <c r="A426" s="2147" t="s">
        <v>840</v>
      </c>
      <c r="B426" s="1318">
        <f t="shared" si="53"/>
        <v>402205</v>
      </c>
      <c r="C426" s="327" t="s">
        <v>1563</v>
      </c>
      <c r="D426" s="1994" t="s">
        <v>810</v>
      </c>
      <c r="E426" s="121" t="s">
        <v>1564</v>
      </c>
      <c r="F426" s="170">
        <f>ROUND(I426+J426,2)</f>
        <v>0.02</v>
      </c>
      <c r="G426" s="132" t="s">
        <v>1417</v>
      </c>
      <c r="H426" s="66">
        <f>VLOOKUP(G426,'CP FACTORS'!$A$3:$B$38, 2, FALSE)</f>
        <v>4.6608050000000002E-4</v>
      </c>
      <c r="I426" s="515">
        <f>(1/F$435-1/F$436)*F$437*(1-F$438)*F441*24*F$443/(F446*3412)</f>
        <v>0</v>
      </c>
      <c r="J426" s="515">
        <f>(1/$F$435-1/$F$436)*$F$437*(1-$F$438)*F449*24*$F$450/($F$451*1000)</f>
        <v>1.9950740120601836E-2</v>
      </c>
      <c r="K426" s="256">
        <f t="shared" si="63"/>
        <v>9.0000000000000002E-6</v>
      </c>
      <c r="L426" s="318">
        <f t="shared" si="55"/>
        <v>30</v>
      </c>
      <c r="M426" s="697">
        <f t="shared" si="56"/>
        <v>0.67966666666666664</v>
      </c>
      <c r="N426" s="318">
        <f t="shared" si="57"/>
        <v>1</v>
      </c>
      <c r="V426" s="337" t="str">
        <f t="shared" si="58"/>
        <v>kWh Annual Savings</v>
      </c>
      <c r="W426" s="84"/>
      <c r="X426" s="123"/>
      <c r="Y426" s="254"/>
      <c r="Z426" s="650">
        <v>0.02</v>
      </c>
      <c r="AA426" s="18">
        <v>0.02</v>
      </c>
      <c r="AB426" s="18">
        <v>0.02</v>
      </c>
      <c r="AC426" s="18">
        <v>0.02</v>
      </c>
      <c r="AD426" s="18">
        <v>0.02</v>
      </c>
      <c r="AE426" s="18">
        <v>0.02</v>
      </c>
      <c r="AF426" s="253">
        <f t="shared" si="59"/>
        <v>0.02</v>
      </c>
      <c r="AG426" s="337"/>
      <c r="AK426" s="339"/>
      <c r="DG426" s="630">
        <f t="shared" si="60"/>
        <v>5.5277833712604224E-2</v>
      </c>
      <c r="DH426" s="1272" t="str">
        <f t="shared" si="61"/>
        <v>Building Shell RES 30 Year EUL</v>
      </c>
      <c r="DI426" s="1009">
        <f>(INDEX('Avoided Cost Benefits'!$B$4:$B$865,MATCH(DH426,'Avoided Cost Benefits'!$A$4:$A$865,0)))*F426</f>
        <v>3.7570500980000004E-2</v>
      </c>
      <c r="DJ426" s="1850">
        <f t="shared" si="62"/>
        <v>0.67966666666666664</v>
      </c>
    </row>
    <row r="427" spans="1:114" hidden="1" outlineLevel="1" x14ac:dyDescent="0.25">
      <c r="A427" s="2147"/>
      <c r="B427" s="549"/>
      <c r="D427" s="71" t="s">
        <v>95</v>
      </c>
      <c r="E427" s="126" t="s">
        <v>1565</v>
      </c>
      <c r="F427" s="518"/>
      <c r="AK427" s="339"/>
    </row>
    <row r="428" spans="1:114" hidden="1" outlineLevel="1" x14ac:dyDescent="0.25">
      <c r="A428" s="2147"/>
      <c r="B428" s="549"/>
      <c r="D428" s="71" t="s">
        <v>609</v>
      </c>
      <c r="E428" s="126" t="s">
        <v>1566</v>
      </c>
      <c r="F428" s="604"/>
      <c r="G428" s="304"/>
      <c r="AK428" s="339"/>
    </row>
    <row r="429" spans="1:114" hidden="1" outlineLevel="1" x14ac:dyDescent="0.25">
      <c r="A429" s="2147"/>
      <c r="B429" s="549"/>
      <c r="D429" s="71" t="s">
        <v>609</v>
      </c>
      <c r="E429" s="126" t="s">
        <v>1567</v>
      </c>
      <c r="F429" s="604"/>
      <c r="G429" s="304"/>
      <c r="AK429" s="339"/>
    </row>
    <row r="430" spans="1:114" hidden="1" outlineLevel="1" x14ac:dyDescent="0.25">
      <c r="A430" s="2147"/>
      <c r="B430" s="549"/>
      <c r="D430" s="71"/>
      <c r="E430" s="565" t="s">
        <v>612</v>
      </c>
      <c r="F430" s="604"/>
      <c r="G430" s="304"/>
      <c r="AK430" s="339"/>
    </row>
    <row r="431" spans="1:114" hidden="1" outlineLevel="1" x14ac:dyDescent="0.25">
      <c r="A431" s="2147"/>
      <c r="B431" s="549"/>
      <c r="D431" s="71"/>
      <c r="E431" s="565"/>
      <c r="F431" s="604"/>
      <c r="G431" s="304"/>
      <c r="AK431" s="339"/>
    </row>
    <row r="432" spans="1:114" hidden="1" outlineLevel="1" x14ac:dyDescent="0.25">
      <c r="A432" s="2147"/>
      <c r="B432" s="549"/>
      <c r="AK432" s="339"/>
    </row>
    <row r="433" spans="1:37" hidden="1" outlineLevel="1" x14ac:dyDescent="0.25">
      <c r="A433" s="2147"/>
      <c r="B433" s="549"/>
      <c r="D433" s="1309" t="s">
        <v>720</v>
      </c>
      <c r="E433" s="1309" t="s">
        <v>613</v>
      </c>
      <c r="F433" s="1242" t="s">
        <v>615</v>
      </c>
      <c r="G433" s="1242" t="s">
        <v>616</v>
      </c>
      <c r="H433" s="1242" t="s">
        <v>721</v>
      </c>
      <c r="V433" s="636" t="s">
        <v>53</v>
      </c>
      <c r="W433" s="637">
        <f>W$6</f>
        <v>43252</v>
      </c>
      <c r="X433" s="637">
        <f t="shared" ref="X433:AG433" si="64">X$6</f>
        <v>43465</v>
      </c>
      <c r="Y433" s="110">
        <f t="shared" si="64"/>
        <v>43800</v>
      </c>
      <c r="Z433" s="637">
        <f t="shared" si="64"/>
        <v>43862</v>
      </c>
      <c r="AA433" s="637">
        <f t="shared" si="64"/>
        <v>44013</v>
      </c>
      <c r="AB433" s="637">
        <f t="shared" si="64"/>
        <v>44166</v>
      </c>
      <c r="AC433" s="637">
        <f t="shared" si="64"/>
        <v>44531</v>
      </c>
      <c r="AD433" s="637">
        <f t="shared" si="64"/>
        <v>44774</v>
      </c>
      <c r="AE433" s="637">
        <f t="shared" si="64"/>
        <v>45139</v>
      </c>
      <c r="AF433" s="637">
        <f t="shared" si="64"/>
        <v>45672</v>
      </c>
      <c r="AG433" s="637">
        <f t="shared" si="64"/>
        <v>45971</v>
      </c>
      <c r="AK433" s="339"/>
    </row>
    <row r="434" spans="1:37" ht="30" hidden="1" outlineLevel="1" x14ac:dyDescent="0.25">
      <c r="A434" s="2147"/>
      <c r="B434" s="549"/>
      <c r="D434" s="2353" t="s">
        <v>1520</v>
      </c>
      <c r="E434" s="121" t="s">
        <v>1568</v>
      </c>
      <c r="F434" s="1475">
        <v>3.53</v>
      </c>
      <c r="G434" s="1278" t="s">
        <v>1569</v>
      </c>
      <c r="H434" s="1300"/>
      <c r="V434" s="2488" t="str">
        <f>D434</f>
        <v>Rold</v>
      </c>
      <c r="W434" s="272">
        <v>3.96</v>
      </c>
      <c r="X434" s="272">
        <v>3.96</v>
      </c>
      <c r="Y434" s="272">
        <v>3.96</v>
      </c>
      <c r="Z434" s="272">
        <v>3.96</v>
      </c>
      <c r="AA434" s="291">
        <v>3.96</v>
      </c>
      <c r="AB434" s="291">
        <v>3.96</v>
      </c>
      <c r="AC434" s="291">
        <v>3.96</v>
      </c>
      <c r="AD434" s="291">
        <v>3.96</v>
      </c>
      <c r="AE434" s="291">
        <v>3.96</v>
      </c>
      <c r="AF434" s="253">
        <f t="shared" ref="AF434:AF453" si="65">IF(F434&lt;&gt;"",F434,"")</f>
        <v>3.53</v>
      </c>
      <c r="AG434" s="272"/>
      <c r="AK434" s="339"/>
    </row>
    <row r="435" spans="1:37" hidden="1" outlineLevel="1" x14ac:dyDescent="0.25">
      <c r="A435" s="2147"/>
      <c r="B435" s="549"/>
      <c r="D435" s="2643"/>
      <c r="E435" s="121" t="s">
        <v>1570</v>
      </c>
      <c r="F435" s="1475">
        <f>F434+13</f>
        <v>16.53</v>
      </c>
      <c r="G435" s="1278" t="s">
        <v>1571</v>
      </c>
      <c r="H435" s="1300"/>
      <c r="V435" s="2644"/>
      <c r="W435" s="272"/>
      <c r="X435" s="272"/>
      <c r="Y435" s="270"/>
      <c r="Z435" s="270">
        <v>16.96</v>
      </c>
      <c r="AA435" s="291">
        <v>16.96</v>
      </c>
      <c r="AB435" s="291">
        <v>16.96</v>
      </c>
      <c r="AC435" s="291">
        <f>AC434+13</f>
        <v>16.96</v>
      </c>
      <c r="AD435" s="291">
        <f>AD434+13</f>
        <v>16.96</v>
      </c>
      <c r="AE435" s="291">
        <f>AE434+13</f>
        <v>16.96</v>
      </c>
      <c r="AF435" s="253">
        <f t="shared" si="65"/>
        <v>16.53</v>
      </c>
      <c r="AG435" s="272"/>
      <c r="AK435" s="339"/>
    </row>
    <row r="436" spans="1:37" ht="18" hidden="1" outlineLevel="1" x14ac:dyDescent="0.25">
      <c r="A436" s="2147"/>
      <c r="B436" s="549"/>
      <c r="D436" s="1262" t="s">
        <v>1572</v>
      </c>
      <c r="E436" s="121" t="s">
        <v>1573</v>
      </c>
      <c r="F436" s="1463">
        <v>25</v>
      </c>
      <c r="G436" s="1278"/>
      <c r="H436" s="1300"/>
      <c r="V436" s="1287" t="str">
        <f t="shared" ref="V436:V451" si="66">D436</f>
        <v>Radded</v>
      </c>
      <c r="W436" s="261">
        <v>25</v>
      </c>
      <c r="X436" s="261">
        <v>25</v>
      </c>
      <c r="Y436" s="261">
        <v>25</v>
      </c>
      <c r="Z436" s="261">
        <v>25</v>
      </c>
      <c r="AA436" s="422">
        <v>25</v>
      </c>
      <c r="AB436" s="422">
        <v>25</v>
      </c>
      <c r="AC436" s="422">
        <v>25</v>
      </c>
      <c r="AD436" s="422">
        <v>25</v>
      </c>
      <c r="AE436" s="422">
        <v>25</v>
      </c>
      <c r="AF436" s="253">
        <f t="shared" si="65"/>
        <v>25</v>
      </c>
      <c r="AG436" s="261"/>
      <c r="AK436" s="339"/>
    </row>
    <row r="437" spans="1:37" ht="45" hidden="1" outlineLevel="1" x14ac:dyDescent="0.25">
      <c r="A437" s="2147"/>
      <c r="D437" s="1263" t="s">
        <v>1574</v>
      </c>
      <c r="E437" s="121" t="s">
        <v>1573</v>
      </c>
      <c r="F437" s="1484">
        <v>1</v>
      </c>
      <c r="G437" s="1278"/>
      <c r="H437" s="1278" t="s">
        <v>1575</v>
      </c>
      <c r="V437" s="271" t="str">
        <f t="shared" si="66"/>
        <v>AFloor</v>
      </c>
      <c r="W437" s="261">
        <f>72*15</f>
        <v>1080</v>
      </c>
      <c r="X437" s="261">
        <v>1080</v>
      </c>
      <c r="Y437" s="176">
        <v>1</v>
      </c>
      <c r="Z437" s="261">
        <v>1</v>
      </c>
      <c r="AA437" s="422">
        <v>1</v>
      </c>
      <c r="AB437" s="422">
        <v>1</v>
      </c>
      <c r="AC437" s="422">
        <v>1</v>
      </c>
      <c r="AD437" s="422">
        <v>1</v>
      </c>
      <c r="AE437" s="422">
        <v>1</v>
      </c>
      <c r="AF437" s="253">
        <f t="shared" si="65"/>
        <v>1</v>
      </c>
      <c r="AG437" s="261"/>
      <c r="AK437" s="339"/>
    </row>
    <row r="438" spans="1:37" ht="90" hidden="1" outlineLevel="1" x14ac:dyDescent="0.25">
      <c r="A438" s="2147"/>
      <c r="D438" s="1263" t="s">
        <v>1576</v>
      </c>
      <c r="E438" s="121" t="s">
        <v>1573</v>
      </c>
      <c r="F438" s="1458">
        <v>0.12</v>
      </c>
      <c r="G438" s="1278" t="s">
        <v>1577</v>
      </c>
      <c r="H438" s="1300"/>
      <c r="J438" s="563"/>
      <c r="V438" s="271" t="str">
        <f t="shared" si="66"/>
        <v>Framing FactorFloor</v>
      </c>
      <c r="W438" s="269">
        <v>0.12</v>
      </c>
      <c r="X438" s="269">
        <v>0.12</v>
      </c>
      <c r="Y438" s="269">
        <v>0.12</v>
      </c>
      <c r="Z438" s="269">
        <v>0.12</v>
      </c>
      <c r="AA438" s="295">
        <v>0.12</v>
      </c>
      <c r="AB438" s="295">
        <v>0.12</v>
      </c>
      <c r="AC438" s="295">
        <v>0.12</v>
      </c>
      <c r="AD438" s="295">
        <v>0.12</v>
      </c>
      <c r="AE438" s="295">
        <v>0.12</v>
      </c>
      <c r="AF438" s="253">
        <f t="shared" si="65"/>
        <v>0.12</v>
      </c>
      <c r="AG438" s="269"/>
      <c r="AK438" s="339"/>
    </row>
    <row r="439" spans="1:37" hidden="1" outlineLevel="1" x14ac:dyDescent="0.25">
      <c r="A439" s="2147"/>
      <c r="D439" s="2353" t="s">
        <v>1532</v>
      </c>
      <c r="E439" s="121" t="str">
        <f>E421</f>
        <v>Floor Insulation R25 (R-3.96 base) MH electric furnace/baseboard and electric cooling</v>
      </c>
      <c r="F439" s="1454">
        <v>1911</v>
      </c>
      <c r="G439" s="2639" t="s">
        <v>755</v>
      </c>
      <c r="H439" s="2641" t="s">
        <v>1578</v>
      </c>
      <c r="V439" s="2488" t="str">
        <f t="shared" si="66"/>
        <v>HDD</v>
      </c>
      <c r="W439" s="261">
        <v>1911</v>
      </c>
      <c r="X439" s="261">
        <v>1911</v>
      </c>
      <c r="Y439" s="261">
        <v>1911</v>
      </c>
      <c r="Z439" s="283">
        <v>1911</v>
      </c>
      <c r="AA439" s="297">
        <v>1911</v>
      </c>
      <c r="AB439" s="297">
        <v>1911</v>
      </c>
      <c r="AC439" s="422">
        <v>1911</v>
      </c>
      <c r="AD439" s="422">
        <v>1911</v>
      </c>
      <c r="AE439" s="422">
        <v>1911</v>
      </c>
      <c r="AF439" s="253">
        <f t="shared" si="65"/>
        <v>1911</v>
      </c>
      <c r="AG439" s="261"/>
      <c r="AK439" s="339"/>
    </row>
    <row r="440" spans="1:37" hidden="1" outlineLevel="1" x14ac:dyDescent="0.25">
      <c r="A440" s="2147"/>
      <c r="D440" s="2354"/>
      <c r="E440" s="121" t="str">
        <f>E422</f>
        <v>Floor Insulation R25 (R-3.96 base) MH heat pump and electric cooling</v>
      </c>
      <c r="F440" s="1454">
        <f>F439</f>
        <v>1911</v>
      </c>
      <c r="G440" s="2640"/>
      <c r="H440" s="2642"/>
      <c r="V440" s="2489"/>
      <c r="W440" s="261"/>
      <c r="X440" s="261"/>
      <c r="Y440" s="282">
        <v>1911</v>
      </c>
      <c r="Z440" s="283">
        <v>1911</v>
      </c>
      <c r="AA440" s="297">
        <v>1911</v>
      </c>
      <c r="AB440" s="297">
        <v>1911</v>
      </c>
      <c r="AC440" s="422">
        <f>AC439</f>
        <v>1911</v>
      </c>
      <c r="AD440" s="422">
        <f>AD439</f>
        <v>1911</v>
      </c>
      <c r="AE440" s="422">
        <f>AE439</f>
        <v>1911</v>
      </c>
      <c r="AF440" s="253">
        <f t="shared" si="65"/>
        <v>1911</v>
      </c>
      <c r="AG440" s="261"/>
      <c r="AK440" s="339"/>
    </row>
    <row r="441" spans="1:37" hidden="1" outlineLevel="1" x14ac:dyDescent="0.25">
      <c r="A441" s="2147"/>
      <c r="D441" s="2362"/>
      <c r="E441" s="121" t="str">
        <f>E423</f>
        <v>Floor Insulation R25 (R-3.96 base) MH gas furnace/baseboard and electric cooling</v>
      </c>
      <c r="F441" s="1454">
        <v>0</v>
      </c>
      <c r="G441" s="1278"/>
      <c r="H441" s="1300"/>
      <c r="V441" s="2636"/>
      <c r="W441" s="261"/>
      <c r="X441" s="261"/>
      <c r="Y441" s="282">
        <v>0</v>
      </c>
      <c r="Z441" s="283">
        <v>0</v>
      </c>
      <c r="AA441" s="297">
        <v>0</v>
      </c>
      <c r="AB441" s="297">
        <v>0</v>
      </c>
      <c r="AC441" s="422">
        <v>0</v>
      </c>
      <c r="AD441" s="422">
        <v>0</v>
      </c>
      <c r="AE441" s="422">
        <v>0</v>
      </c>
      <c r="AF441" s="253">
        <f t="shared" si="65"/>
        <v>0</v>
      </c>
      <c r="AG441" s="261"/>
      <c r="AK441" s="339"/>
    </row>
    <row r="442" spans="1:37" ht="30" hidden="1" outlineLevel="1" x14ac:dyDescent="0.25">
      <c r="A442" s="2147"/>
      <c r="D442" s="1263" t="s">
        <v>1579</v>
      </c>
      <c r="E442" s="121" t="s">
        <v>1580</v>
      </c>
      <c r="F442" s="1458">
        <v>0.75</v>
      </c>
      <c r="G442" s="1278" t="s">
        <v>1581</v>
      </c>
      <c r="H442" s="1300"/>
      <c r="I442" s="564"/>
      <c r="V442" s="271" t="str">
        <f t="shared" si="66"/>
        <v>AdjFloorCool</v>
      </c>
      <c r="W442" s="269">
        <v>0.88</v>
      </c>
      <c r="X442" s="269">
        <v>0.88</v>
      </c>
      <c r="Y442" s="269">
        <v>0.88</v>
      </c>
      <c r="Z442" s="284">
        <v>0.88</v>
      </c>
      <c r="AA442" s="173">
        <v>0.88</v>
      </c>
      <c r="AB442" s="173">
        <v>0.88</v>
      </c>
      <c r="AC442" s="295">
        <v>0.88</v>
      </c>
      <c r="AD442" s="295">
        <v>0.88</v>
      </c>
      <c r="AE442" s="295">
        <v>0.88</v>
      </c>
      <c r="AF442" s="253">
        <f t="shared" si="65"/>
        <v>0.75</v>
      </c>
      <c r="AG442" s="269"/>
      <c r="AK442" s="339"/>
    </row>
    <row r="443" spans="1:37" ht="30" hidden="1" outlineLevel="1" x14ac:dyDescent="0.25">
      <c r="A443" s="2147"/>
      <c r="D443" s="1263" t="s">
        <v>1582</v>
      </c>
      <c r="E443" s="121" t="s">
        <v>1580</v>
      </c>
      <c r="F443" s="1458">
        <v>0.63</v>
      </c>
      <c r="G443" s="1278" t="s">
        <v>1583</v>
      </c>
      <c r="H443" s="1288"/>
      <c r="I443" s="564"/>
      <c r="V443" s="1287"/>
      <c r="W443" s="269"/>
      <c r="X443" s="269"/>
      <c r="Y443" s="269"/>
      <c r="Z443" s="284"/>
      <c r="AA443" s="173"/>
      <c r="AB443" s="173"/>
      <c r="AC443" s="295"/>
      <c r="AD443" s="295"/>
      <c r="AE443" s="295"/>
      <c r="AF443" s="253">
        <f t="shared" si="65"/>
        <v>0.63</v>
      </c>
      <c r="AG443" s="269"/>
      <c r="AK443" s="339"/>
    </row>
    <row r="444" spans="1:37" hidden="1" outlineLevel="1" x14ac:dyDescent="0.25">
      <c r="A444" s="2147"/>
      <c r="D444" s="2353" t="s">
        <v>1537</v>
      </c>
      <c r="E444" s="121" t="str">
        <f>E421</f>
        <v>Floor Insulation R25 (R-3.96 base) MH electric furnace/baseboard and electric cooling</v>
      </c>
      <c r="F444" s="1483">
        <v>1</v>
      </c>
      <c r="G444" s="1278"/>
      <c r="H444" s="2639" t="s">
        <v>725</v>
      </c>
      <c r="V444" s="2488" t="str">
        <f t="shared" si="66"/>
        <v>ƞheat</v>
      </c>
      <c r="W444" s="272">
        <v>1</v>
      </c>
      <c r="X444" s="272">
        <v>1</v>
      </c>
      <c r="Y444" s="272">
        <v>1</v>
      </c>
      <c r="Z444" s="285">
        <v>1</v>
      </c>
      <c r="AA444" s="379">
        <v>1</v>
      </c>
      <c r="AB444" s="379">
        <v>1</v>
      </c>
      <c r="AC444" s="291">
        <v>1</v>
      </c>
      <c r="AD444" s="291">
        <v>1</v>
      </c>
      <c r="AE444" s="291">
        <v>1</v>
      </c>
      <c r="AF444" s="253">
        <f t="shared" si="65"/>
        <v>1</v>
      </c>
      <c r="AG444" s="272"/>
      <c r="AK444" s="339"/>
    </row>
    <row r="445" spans="1:37" hidden="1" outlineLevel="1" x14ac:dyDescent="0.25">
      <c r="A445" s="2147"/>
      <c r="D445" s="2354"/>
      <c r="E445" s="121" t="str">
        <f>E422</f>
        <v>Floor Insulation R25 (R-3.96 base) MH heat pump and electric cooling</v>
      </c>
      <c r="F445" s="1483">
        <v>1.62</v>
      </c>
      <c r="G445" s="174"/>
      <c r="H445" s="2645"/>
      <c r="V445" s="2489"/>
      <c r="W445" s="272"/>
      <c r="X445" s="272"/>
      <c r="Y445" s="286">
        <v>1.8666666666666665</v>
      </c>
      <c r="Z445" s="285">
        <v>1.8666666666666665</v>
      </c>
      <c r="AA445" s="379">
        <v>1.8666666666666665</v>
      </c>
      <c r="AB445" s="379">
        <v>1.8666666666666665</v>
      </c>
      <c r="AC445" s="379">
        <f>AVERAGE(1.7,1.9,2)</f>
        <v>1.8666666666666665</v>
      </c>
      <c r="AD445" s="379">
        <f>AVERAGE(1.7,1.9,2)</f>
        <v>1.8666666666666665</v>
      </c>
      <c r="AE445" s="379">
        <f>AVERAGE(1.7,1.9,2)</f>
        <v>1.8666666666666665</v>
      </c>
      <c r="AF445" s="253">
        <f t="shared" si="65"/>
        <v>1.62</v>
      </c>
      <c r="AG445" s="272"/>
      <c r="AK445" s="339"/>
    </row>
    <row r="446" spans="1:37" hidden="1" outlineLevel="1" x14ac:dyDescent="0.25">
      <c r="A446" s="2147"/>
      <c r="D446" s="2362"/>
      <c r="E446" s="121" t="str">
        <f>E423</f>
        <v>Floor Insulation R25 (R-3.96 base) MH gas furnace/baseboard and electric cooling</v>
      </c>
      <c r="F446" s="1483">
        <v>1.0000000000000001E-17</v>
      </c>
      <c r="G446" s="1278"/>
      <c r="H446" s="2640"/>
      <c r="V446" s="2636"/>
      <c r="W446" s="272"/>
      <c r="X446" s="272"/>
      <c r="Y446" s="270">
        <v>1.0000000000000001E-17</v>
      </c>
      <c r="Z446" s="285">
        <v>1.0000000000000001E-17</v>
      </c>
      <c r="AA446" s="379">
        <v>1.0000000000000001E-17</v>
      </c>
      <c r="AB446" s="379">
        <v>1.0000000000000001E-17</v>
      </c>
      <c r="AC446" s="291">
        <v>1.0000000000000001E-17</v>
      </c>
      <c r="AD446" s="291">
        <v>1.0000000000000001E-17</v>
      </c>
      <c r="AE446" s="291">
        <v>1.0000000000000001E-17</v>
      </c>
      <c r="AF446" s="253">
        <f t="shared" si="65"/>
        <v>1.0000000000000001E-17</v>
      </c>
      <c r="AG446" s="272"/>
      <c r="AK446" s="339"/>
    </row>
    <row r="447" spans="1:37" hidden="1" outlineLevel="1" x14ac:dyDescent="0.25">
      <c r="A447" s="2147"/>
      <c r="D447" s="2353" t="s">
        <v>1540</v>
      </c>
      <c r="E447" s="121" t="str">
        <f>E421</f>
        <v>Floor Insulation R25 (R-3.96 base) MH electric furnace/baseboard and electric cooling</v>
      </c>
      <c r="F447" s="1454">
        <v>762</v>
      </c>
      <c r="G447" s="2641" t="s">
        <v>755</v>
      </c>
      <c r="H447" s="2641" t="s">
        <v>1584</v>
      </c>
      <c r="V447" s="2488" t="str">
        <f t="shared" si="66"/>
        <v>CDD</v>
      </c>
      <c r="W447" s="261">
        <v>762</v>
      </c>
      <c r="X447" s="261">
        <v>762</v>
      </c>
      <c r="Y447" s="261">
        <v>762</v>
      </c>
      <c r="Z447" s="283">
        <v>762</v>
      </c>
      <c r="AA447" s="297">
        <v>762</v>
      </c>
      <c r="AB447" s="297">
        <v>762</v>
      </c>
      <c r="AC447" s="422">
        <v>762</v>
      </c>
      <c r="AD447" s="422">
        <v>762</v>
      </c>
      <c r="AE447" s="422">
        <v>762</v>
      </c>
      <c r="AF447" s="253">
        <f t="shared" si="65"/>
        <v>762</v>
      </c>
      <c r="AG447" s="261"/>
      <c r="AK447" s="339"/>
    </row>
    <row r="448" spans="1:37" hidden="1" outlineLevel="1" x14ac:dyDescent="0.25">
      <c r="A448" s="2147"/>
      <c r="D448" s="2354"/>
      <c r="E448" s="121" t="str">
        <f>E422</f>
        <v>Floor Insulation R25 (R-3.96 base) MH heat pump and electric cooling</v>
      </c>
      <c r="F448" s="1454">
        <v>762</v>
      </c>
      <c r="G448" s="2663"/>
      <c r="H448" s="2663"/>
      <c r="V448" s="2489"/>
      <c r="W448" s="261"/>
      <c r="X448" s="261"/>
      <c r="Y448" s="282">
        <v>762</v>
      </c>
      <c r="Z448" s="283">
        <v>762</v>
      </c>
      <c r="AA448" s="297">
        <v>762</v>
      </c>
      <c r="AB448" s="297">
        <v>762</v>
      </c>
      <c r="AC448" s="422">
        <v>762</v>
      </c>
      <c r="AD448" s="422">
        <v>762</v>
      </c>
      <c r="AE448" s="422">
        <v>762</v>
      </c>
      <c r="AF448" s="253">
        <f t="shared" si="65"/>
        <v>762</v>
      </c>
      <c r="AG448" s="261"/>
      <c r="AK448" s="339"/>
    </row>
    <row r="449" spans="1:114" hidden="1" outlineLevel="1" x14ac:dyDescent="0.25">
      <c r="A449" s="2147"/>
      <c r="D449" s="2362"/>
      <c r="E449" s="121" t="str">
        <f>E423</f>
        <v>Floor Insulation R25 (R-3.96 base) MH gas furnace/baseboard and electric cooling</v>
      </c>
      <c r="F449" s="1454">
        <v>762</v>
      </c>
      <c r="G449" s="2642"/>
      <c r="H449" s="2642"/>
      <c r="V449" s="2636"/>
      <c r="W449" s="261"/>
      <c r="X449" s="261"/>
      <c r="Y449" s="282">
        <v>762</v>
      </c>
      <c r="Z449" s="283">
        <v>762</v>
      </c>
      <c r="AA449" s="297">
        <v>762</v>
      </c>
      <c r="AB449" s="297">
        <v>762</v>
      </c>
      <c r="AC449" s="422">
        <v>762</v>
      </c>
      <c r="AD449" s="422">
        <v>762</v>
      </c>
      <c r="AE449" s="422">
        <v>762</v>
      </c>
      <c r="AF449" s="253">
        <f t="shared" si="65"/>
        <v>762</v>
      </c>
      <c r="AG449" s="261"/>
      <c r="AK449" s="339"/>
    </row>
    <row r="450" spans="1:114" ht="30" hidden="1" outlineLevel="1" x14ac:dyDescent="0.25">
      <c r="A450" s="2147"/>
      <c r="D450" s="1263" t="s">
        <v>1542</v>
      </c>
      <c r="E450" s="121" t="s">
        <v>1573</v>
      </c>
      <c r="F450" s="1458">
        <v>0.75</v>
      </c>
      <c r="G450" s="1278" t="s">
        <v>1585</v>
      </c>
      <c r="H450" s="1300"/>
      <c r="V450" s="271" t="str">
        <f t="shared" si="66"/>
        <v>DUA</v>
      </c>
      <c r="W450" s="269">
        <v>0.75</v>
      </c>
      <c r="X450" s="269">
        <v>0.75</v>
      </c>
      <c r="Y450" s="287">
        <v>0.75</v>
      </c>
      <c r="Z450" s="269">
        <v>0.75</v>
      </c>
      <c r="AA450" s="295">
        <v>0.75</v>
      </c>
      <c r="AB450" s="295">
        <v>0.75</v>
      </c>
      <c r="AC450" s="139">
        <v>0.75</v>
      </c>
      <c r="AD450" s="139">
        <v>0.75</v>
      </c>
      <c r="AE450" s="139">
        <v>0.75</v>
      </c>
      <c r="AF450" s="253">
        <f t="shared" si="65"/>
        <v>0.75</v>
      </c>
      <c r="AG450" s="269"/>
      <c r="AK450" s="339"/>
    </row>
    <row r="451" spans="1:114" ht="75" hidden="1" outlineLevel="1" x14ac:dyDescent="0.25">
      <c r="A451" s="2147"/>
      <c r="D451" s="1263" t="s">
        <v>1548</v>
      </c>
      <c r="E451" s="121" t="s">
        <v>1573</v>
      </c>
      <c r="F451" s="1448">
        <v>12.4</v>
      </c>
      <c r="G451" s="1300"/>
      <c r="H451" s="1278" t="s">
        <v>725</v>
      </c>
      <c r="V451" s="271" t="str">
        <f t="shared" si="66"/>
        <v>ƞcool</v>
      </c>
      <c r="W451" s="261">
        <v>11</v>
      </c>
      <c r="X451" s="261">
        <v>11</v>
      </c>
      <c r="Y451" s="288">
        <v>11</v>
      </c>
      <c r="Z451" s="261">
        <v>11</v>
      </c>
      <c r="AA451" s="422">
        <v>11</v>
      </c>
      <c r="AB451" s="422">
        <v>11</v>
      </c>
      <c r="AC451" s="319">
        <v>11</v>
      </c>
      <c r="AD451" s="319">
        <v>11</v>
      </c>
      <c r="AE451" s="319">
        <v>11</v>
      </c>
      <c r="AF451" s="253">
        <f t="shared" si="65"/>
        <v>12.4</v>
      </c>
      <c r="AG451" s="261"/>
      <c r="AK451" s="339"/>
    </row>
    <row r="452" spans="1:114" ht="30" hidden="1" outlineLevel="1" x14ac:dyDescent="0.25">
      <c r="A452" s="2147"/>
      <c r="D452" s="1306" t="str">
        <f>L420</f>
        <v>EUL</v>
      </c>
      <c r="E452" s="1259" t="str">
        <f>E25</f>
        <v>Effective Useful Life</v>
      </c>
      <c r="F452" s="1456">
        <v>30</v>
      </c>
      <c r="G452" s="1278" t="s">
        <v>1586</v>
      </c>
      <c r="H452" s="1300"/>
      <c r="V452" s="289" t="str">
        <f>D452</f>
        <v>EUL</v>
      </c>
      <c r="W452" s="278">
        <v>25</v>
      </c>
      <c r="X452" s="278">
        <v>25</v>
      </c>
      <c r="Y452" s="276">
        <v>25</v>
      </c>
      <c r="Z452" s="261">
        <v>25</v>
      </c>
      <c r="AA452" s="422">
        <v>25</v>
      </c>
      <c r="AB452" s="422">
        <v>25</v>
      </c>
      <c r="AC452" s="321">
        <v>25</v>
      </c>
      <c r="AD452" s="321">
        <v>25</v>
      </c>
      <c r="AE452" s="321">
        <v>25</v>
      </c>
      <c r="AF452" s="253">
        <f t="shared" si="65"/>
        <v>30</v>
      </c>
      <c r="AG452" s="261"/>
      <c r="AK452" s="339"/>
    </row>
    <row r="453" spans="1:114" ht="45" hidden="1" outlineLevel="1" x14ac:dyDescent="0.25">
      <c r="A453" s="2147"/>
      <c r="D453" s="1306" t="str">
        <f>M420</f>
        <v>Inc. Cost</v>
      </c>
      <c r="E453" s="1259" t="s">
        <v>688</v>
      </c>
      <c r="F453" s="1476">
        <f>734.04/1080</f>
        <v>0.67966666666666664</v>
      </c>
      <c r="G453" s="1278"/>
      <c r="H453" s="1278" t="s">
        <v>1575</v>
      </c>
      <c r="V453" s="289" t="str">
        <f>D453</f>
        <v>Inc. Cost</v>
      </c>
      <c r="W453" s="280">
        <v>734.04</v>
      </c>
      <c r="X453" s="280">
        <v>734.04</v>
      </c>
      <c r="Y453" s="158">
        <v>0.67966666666666664</v>
      </c>
      <c r="Z453" s="261">
        <v>0.67966666666666664</v>
      </c>
      <c r="AA453" s="422">
        <v>0.67966666666666664</v>
      </c>
      <c r="AB453" s="422">
        <v>0.67966666666666664</v>
      </c>
      <c r="AC453" s="697">
        <f>734.04/1080</f>
        <v>0.67966666666666664</v>
      </c>
      <c r="AD453" s="697">
        <f>734.04/1080</f>
        <v>0.67966666666666664</v>
      </c>
      <c r="AE453" s="697">
        <f>734.04/1080</f>
        <v>0.67966666666666664</v>
      </c>
      <c r="AF453" s="253">
        <f t="shared" si="65"/>
        <v>0.67966666666666664</v>
      </c>
      <c r="AG453" s="261"/>
      <c r="AK453" s="339"/>
    </row>
    <row r="454" spans="1:114" hidden="1" outlineLevel="1" x14ac:dyDescent="0.25">
      <c r="A454" s="2147"/>
      <c r="B454" s="549"/>
      <c r="Y454" s="516" t="s">
        <v>1454</v>
      </c>
      <c r="AK454" s="339"/>
    </row>
    <row r="455" spans="1:114" collapsed="1" x14ac:dyDescent="0.25">
      <c r="A455" s="2147"/>
      <c r="AK455" s="339"/>
    </row>
    <row r="456" spans="1:114" x14ac:dyDescent="0.25">
      <c r="A456" s="2147"/>
      <c r="B456" s="2388" t="s">
        <v>806</v>
      </c>
      <c r="C456" s="2389"/>
      <c r="D456" s="2389"/>
      <c r="E456" s="2389"/>
      <c r="F456" s="2389"/>
      <c r="G456" s="2389"/>
      <c r="H456" s="2389"/>
      <c r="I456" s="2390"/>
      <c r="J456" s="2390"/>
      <c r="K456" s="2390"/>
      <c r="L456" s="2390"/>
      <c r="M456" s="2390"/>
      <c r="N456" s="2390"/>
      <c r="O456" s="2390"/>
      <c r="P456" s="2390"/>
      <c r="Q456" s="2390"/>
      <c r="R456" s="2391"/>
      <c r="V456" s="2339" t="str">
        <f>B456</f>
        <v>Dirty Filter Alarm</v>
      </c>
      <c r="W456" s="2340"/>
      <c r="X456" s="2340"/>
      <c r="Y456" s="2340"/>
      <c r="Z456" s="2340"/>
      <c r="AA456" s="2340"/>
      <c r="AB456" s="2340"/>
      <c r="AC456" s="2341"/>
      <c r="AD456" s="2341"/>
      <c r="AE456" s="2341"/>
      <c r="AF456" s="2341"/>
      <c r="AG456" s="2341"/>
      <c r="AH456" s="2341"/>
      <c r="AI456" s="2342"/>
      <c r="AK456" s="339"/>
    </row>
    <row r="457" spans="1:114" x14ac:dyDescent="0.25">
      <c r="A457" s="2147"/>
      <c r="B457" s="549"/>
      <c r="D457" s="100"/>
      <c r="E457" s="553"/>
      <c r="F457" s="264"/>
      <c r="G457" s="264"/>
      <c r="H457" s="264"/>
      <c r="I457" s="264"/>
      <c r="J457" s="264"/>
      <c r="K457" s="264"/>
      <c r="L457" s="554"/>
      <c r="AK457" s="339"/>
    </row>
    <row r="458" spans="1:114" ht="30" x14ac:dyDescent="0.25">
      <c r="A458" s="2147"/>
      <c r="B458" s="549"/>
      <c r="C458" s="1242" t="s">
        <v>43</v>
      </c>
      <c r="D458" s="1242" t="s">
        <v>597</v>
      </c>
      <c r="E458" s="1242" t="s">
        <v>45</v>
      </c>
      <c r="F458" s="1242" t="s">
        <v>46</v>
      </c>
      <c r="G458" s="1242" t="s">
        <v>47</v>
      </c>
      <c r="H458" s="1242" t="s">
        <v>48</v>
      </c>
      <c r="I458" s="1242" t="s">
        <v>807</v>
      </c>
      <c r="J458" s="1242" t="s">
        <v>808</v>
      </c>
      <c r="K458" s="1242" t="s">
        <v>49</v>
      </c>
      <c r="L458" s="1254" t="s">
        <v>50</v>
      </c>
      <c r="M458" s="1242" t="s">
        <v>51</v>
      </c>
      <c r="N458" s="1242" t="s">
        <v>52</v>
      </c>
      <c r="V458" s="636" t="s">
        <v>53</v>
      </c>
      <c r="W458" s="637">
        <f>W$6</f>
        <v>43252</v>
      </c>
      <c r="X458" s="637">
        <f t="shared" ref="X458:AG458" si="67">X$6</f>
        <v>43465</v>
      </c>
      <c r="Y458" s="110">
        <f t="shared" si="67"/>
        <v>43800</v>
      </c>
      <c r="Z458" s="637">
        <f t="shared" si="67"/>
        <v>43862</v>
      </c>
      <c r="AA458" s="637">
        <v>44013</v>
      </c>
      <c r="AB458" s="637">
        <f t="shared" si="67"/>
        <v>44166</v>
      </c>
      <c r="AC458" s="637">
        <f t="shared" si="67"/>
        <v>44531</v>
      </c>
      <c r="AD458" s="637">
        <f t="shared" si="67"/>
        <v>44774</v>
      </c>
      <c r="AE458" s="637">
        <f t="shared" si="67"/>
        <v>45139</v>
      </c>
      <c r="AF458" s="637">
        <f t="shared" si="67"/>
        <v>45672</v>
      </c>
      <c r="AG458" s="637">
        <f t="shared" si="67"/>
        <v>45971</v>
      </c>
      <c r="AK458" s="339"/>
      <c r="DG458" s="991" t="str">
        <f>$DG$6</f>
        <v>TRC (2025)</v>
      </c>
      <c r="DH458" s="761" t="str">
        <f>$DH$6</f>
        <v>Benefit Lookup</v>
      </c>
      <c r="DI458" s="1006" t="str">
        <f>$DI$6</f>
        <v>Benefits (2025 $)</v>
      </c>
      <c r="DJ458" s="1031" t="str">
        <f>$DJ$6</f>
        <v>Incremental Cost (2025 $)</v>
      </c>
    </row>
    <row r="459" spans="1:114" x14ac:dyDescent="0.25">
      <c r="A459" s="2147" t="s">
        <v>1587</v>
      </c>
      <c r="B459" s="1318">
        <f t="shared" ref="B459" si="68">VALUE(LEFT(C459,6))</f>
        <v>402250</v>
      </c>
      <c r="C459" s="132" t="s">
        <v>1588</v>
      </c>
      <c r="D459" s="1994" t="s">
        <v>810</v>
      </c>
      <c r="E459" s="121" t="s">
        <v>828</v>
      </c>
      <c r="F459" s="666">
        <f>ROUND(I459+J459,2)</f>
        <v>68.45</v>
      </c>
      <c r="G459" s="132" t="s">
        <v>812</v>
      </c>
      <c r="H459" s="66">
        <f>VLOOKUP(G459,'CP FACTORS'!$A$3:$B$38, 2, FALSE)</f>
        <v>4.6608050000000002E-4</v>
      </c>
      <c r="I459" s="1320">
        <f>F$470*F$471*F$472*F$473*F474*F475*F476</f>
        <v>43.301719999999996</v>
      </c>
      <c r="J459" s="1320">
        <f>F$477*F$471*F$478*F$473*F474*F475*F476</f>
        <v>25.153205</v>
      </c>
      <c r="K459" s="256">
        <f>ROUND(H459*F459,6)</f>
        <v>3.1903000000000001E-2</v>
      </c>
      <c r="L459" s="318">
        <f>F480</f>
        <v>5</v>
      </c>
      <c r="M459" s="697">
        <f>F481</f>
        <v>5</v>
      </c>
      <c r="N459" s="132" t="s">
        <v>63</v>
      </c>
      <c r="R459" s="510"/>
      <c r="V459" s="337" t="str">
        <f>F458</f>
        <v>kWh Annual Savings</v>
      </c>
      <c r="W459" s="364">
        <v>168.50624999999999</v>
      </c>
      <c r="X459" s="252">
        <v>141.0499999999999</v>
      </c>
      <c r="Y459" s="188">
        <v>102.68</v>
      </c>
      <c r="Z459" s="170">
        <v>102.68</v>
      </c>
      <c r="AA459" s="170">
        <v>102.68</v>
      </c>
      <c r="AB459" s="170">
        <v>102.68</v>
      </c>
      <c r="AC459" s="170">
        <v>102.68</v>
      </c>
      <c r="AD459" s="170">
        <v>102.68</v>
      </c>
      <c r="AE459" s="170">
        <v>102.68</v>
      </c>
      <c r="AF459" s="253">
        <f>IF(F459&lt;&gt;"",F459,"")</f>
        <v>68.45</v>
      </c>
      <c r="AG459" s="373">
        <v>68.45</v>
      </c>
      <c r="AH459" s="114"/>
      <c r="AK459" s="339"/>
      <c r="DG459" s="993">
        <f>(DI459)/(DJ459)</f>
        <v>7.2802575529565017</v>
      </c>
      <c r="DH459" s="1272" t="str">
        <f>CONCATENATE(G459," ",L459," Year EUL")</f>
        <v>HVAC RES 5 Year EUL</v>
      </c>
      <c r="DI459" s="945">
        <f>(INDEX('Avoided Cost Benefits'!$B$4:$B$865,MATCH(DH459,'Avoided Cost Benefits'!$A$4:$A$865,0)))*F459</f>
        <v>36.401287764782509</v>
      </c>
      <c r="DJ459" s="1848">
        <f>IFERROR(M459/((1+DiscountRate)^(CurrentYear-DiscountYear)),0)</f>
        <v>5</v>
      </c>
    </row>
    <row r="460" spans="1:114" hidden="1" outlineLevel="1" x14ac:dyDescent="0.25">
      <c r="A460" s="2147"/>
      <c r="B460" s="549"/>
      <c r="D460" s="71" t="s">
        <v>95</v>
      </c>
      <c r="E460" s="126" t="s">
        <v>813</v>
      </c>
      <c r="F460" s="518"/>
      <c r="V460" s="73"/>
      <c r="W460" s="73"/>
      <c r="X460" s="73"/>
      <c r="Y460" s="365"/>
      <c r="Z460" s="73"/>
      <c r="AA460" s="73"/>
      <c r="AB460" s="73"/>
      <c r="AC460" s="73"/>
      <c r="AD460" s="73"/>
      <c r="AE460" s="73"/>
      <c r="AF460" s="73"/>
      <c r="AG460" s="73"/>
      <c r="AK460" s="339"/>
    </row>
    <row r="461" spans="1:114" hidden="1" outlineLevel="1" x14ac:dyDescent="0.25">
      <c r="A461" s="2147"/>
      <c r="B461" s="549"/>
      <c r="D461" s="71" t="s">
        <v>609</v>
      </c>
      <c r="E461" s="126" t="s">
        <v>814</v>
      </c>
      <c r="F461" s="518"/>
      <c r="V461" s="73"/>
      <c r="W461" s="73"/>
      <c r="X461" s="73"/>
      <c r="Y461" s="365"/>
      <c r="Z461" s="73"/>
      <c r="AA461" s="73"/>
      <c r="AB461" s="73"/>
      <c r="AC461" s="73"/>
      <c r="AD461" s="73"/>
      <c r="AE461" s="73"/>
      <c r="AF461" s="73"/>
      <c r="AG461" s="73"/>
      <c r="AK461" s="339"/>
    </row>
    <row r="462" spans="1:114" hidden="1" outlineLevel="1" x14ac:dyDescent="0.25">
      <c r="A462" s="2147"/>
      <c r="B462" s="549"/>
      <c r="E462" s="126" t="s">
        <v>1589</v>
      </c>
      <c r="F462" s="518"/>
      <c r="V462" s="73"/>
      <c r="W462" s="73"/>
      <c r="X462" s="73"/>
      <c r="Y462" s="365"/>
      <c r="Z462" s="73"/>
      <c r="AA462" s="73"/>
      <c r="AB462" s="73"/>
      <c r="AC462" s="73"/>
      <c r="AD462" s="73"/>
      <c r="AE462" s="73"/>
      <c r="AF462" s="73"/>
      <c r="AG462" s="73"/>
      <c r="AK462" s="339"/>
    </row>
    <row r="463" spans="1:114" hidden="1" outlineLevel="1" x14ac:dyDescent="0.25">
      <c r="A463" s="2147"/>
      <c r="B463" s="549"/>
      <c r="E463" s="126" t="s">
        <v>1590</v>
      </c>
      <c r="F463" s="518"/>
      <c r="V463" s="73"/>
      <c r="W463" s="73"/>
      <c r="X463" s="73"/>
      <c r="Y463" s="365"/>
      <c r="Z463" s="73"/>
      <c r="AA463" s="73"/>
      <c r="AB463" s="73"/>
      <c r="AC463" s="73"/>
      <c r="AD463" s="73"/>
      <c r="AE463" s="73"/>
      <c r="AF463" s="73"/>
      <c r="AG463" s="73"/>
      <c r="AK463" s="339"/>
    </row>
    <row r="464" spans="1:114" hidden="1" outlineLevel="1" x14ac:dyDescent="0.25">
      <c r="A464" s="2147"/>
      <c r="B464" s="549"/>
      <c r="E464" s="126" t="s">
        <v>612</v>
      </c>
      <c r="F464" s="518"/>
      <c r="V464" s="73"/>
      <c r="W464" s="73"/>
      <c r="X464" s="73"/>
      <c r="Y464" s="365"/>
      <c r="Z464" s="73"/>
      <c r="AA464" s="73"/>
      <c r="AB464" s="73"/>
      <c r="AC464" s="73"/>
      <c r="AD464" s="73"/>
      <c r="AE464" s="73"/>
      <c r="AF464" s="73"/>
      <c r="AG464" s="73"/>
      <c r="AK464" s="339"/>
    </row>
    <row r="465" spans="1:114" hidden="1" outlineLevel="1" x14ac:dyDescent="0.25">
      <c r="A465" s="2147"/>
      <c r="B465" s="549"/>
      <c r="F465" s="518"/>
      <c r="V465" s="73"/>
      <c r="W465" s="73"/>
      <c r="X465" s="73"/>
      <c r="Y465" s="365"/>
      <c r="Z465" s="73"/>
      <c r="AA465" s="73"/>
      <c r="AB465" s="73"/>
      <c r="AC465" s="73"/>
      <c r="AD465" s="73"/>
      <c r="AE465" s="73"/>
      <c r="AF465" s="73"/>
      <c r="AG465" s="73"/>
      <c r="AK465" s="339"/>
    </row>
    <row r="466" spans="1:114" hidden="1" outlineLevel="1" x14ac:dyDescent="0.25">
      <c r="A466" s="2147"/>
      <c r="B466" s="549"/>
      <c r="F466" s="518"/>
      <c r="V466" s="73"/>
      <c r="W466" s="73"/>
      <c r="X466" s="73"/>
      <c r="Y466" s="365"/>
      <c r="Z466" s="73"/>
      <c r="AA466" s="73"/>
      <c r="AB466" s="73"/>
      <c r="AC466" s="73"/>
      <c r="AD466" s="73"/>
      <c r="AE466" s="73"/>
      <c r="AF466" s="73"/>
      <c r="AG466" s="73"/>
      <c r="AK466" s="339"/>
    </row>
    <row r="467" spans="1:114" hidden="1" outlineLevel="1" x14ac:dyDescent="0.25">
      <c r="A467" s="2147"/>
      <c r="B467" s="549"/>
      <c r="F467" s="518"/>
      <c r="V467" s="73"/>
      <c r="W467" s="73"/>
      <c r="X467" s="73"/>
      <c r="Y467" s="365"/>
      <c r="Z467" s="73"/>
      <c r="AA467" s="73"/>
      <c r="AB467" s="73"/>
      <c r="AC467" s="73"/>
      <c r="AD467" s="73"/>
      <c r="AE467" s="73"/>
      <c r="AF467" s="73"/>
      <c r="AG467" s="73"/>
      <c r="AK467" s="339"/>
    </row>
    <row r="468" spans="1:114" hidden="1" outlineLevel="1" x14ac:dyDescent="0.25">
      <c r="A468" s="2147"/>
      <c r="B468" s="549"/>
      <c r="V468" s="73"/>
      <c r="W468" s="73"/>
      <c r="X468" s="73"/>
      <c r="Y468" s="365"/>
      <c r="Z468" s="73"/>
      <c r="AA468" s="73"/>
      <c r="AB468" s="73"/>
      <c r="AC468" s="73"/>
      <c r="AD468" s="73"/>
      <c r="AE468" s="73"/>
      <c r="AF468" s="73"/>
      <c r="AG468" s="73"/>
      <c r="AK468" s="339"/>
    </row>
    <row r="469" spans="1:114" hidden="1" outlineLevel="1" x14ac:dyDescent="0.25">
      <c r="A469" s="2147"/>
      <c r="B469" s="549"/>
      <c r="D469" s="1309" t="s">
        <v>720</v>
      </c>
      <c r="E469" s="1309" t="s">
        <v>613</v>
      </c>
      <c r="F469" s="1242" t="s">
        <v>615</v>
      </c>
      <c r="G469" s="1242" t="s">
        <v>616</v>
      </c>
      <c r="H469" s="1242" t="s">
        <v>721</v>
      </c>
      <c r="V469" s="636" t="s">
        <v>53</v>
      </c>
      <c r="W469" s="637">
        <f>W$6</f>
        <v>43252</v>
      </c>
      <c r="X469" s="637">
        <f t="shared" ref="X469:AG469" si="69">X$6</f>
        <v>43465</v>
      </c>
      <c r="Y469" s="110">
        <f t="shared" si="69"/>
        <v>43800</v>
      </c>
      <c r="Z469" s="637">
        <f t="shared" si="69"/>
        <v>43862</v>
      </c>
      <c r="AA469" s="637">
        <f t="shared" si="69"/>
        <v>44013</v>
      </c>
      <c r="AB469" s="637">
        <f t="shared" si="69"/>
        <v>44166</v>
      </c>
      <c r="AC469" s="637">
        <f t="shared" si="69"/>
        <v>44531</v>
      </c>
      <c r="AD469" s="637">
        <f t="shared" si="69"/>
        <v>44774</v>
      </c>
      <c r="AE469" s="637">
        <f t="shared" si="69"/>
        <v>45139</v>
      </c>
      <c r="AF469" s="637">
        <f t="shared" si="69"/>
        <v>45672</v>
      </c>
      <c r="AG469" s="637">
        <f t="shared" si="69"/>
        <v>45971</v>
      </c>
      <c r="AK469" s="339"/>
    </row>
    <row r="470" spans="1:114" ht="30" hidden="1" outlineLevel="1" x14ac:dyDescent="0.25">
      <c r="A470" s="2147"/>
      <c r="B470" s="549"/>
      <c r="D470" s="290" t="s">
        <v>1591</v>
      </c>
      <c r="E470" s="1272" t="s">
        <v>828</v>
      </c>
      <c r="F470" s="1445">
        <v>1</v>
      </c>
      <c r="G470" s="1238" t="s">
        <v>1592</v>
      </c>
      <c r="H470" s="174"/>
      <c r="V470" s="271" t="s">
        <v>817</v>
      </c>
      <c r="W470" s="287">
        <v>0.95</v>
      </c>
      <c r="X470" s="175">
        <v>1</v>
      </c>
      <c r="Y470" s="175">
        <v>1</v>
      </c>
      <c r="Z470" s="173">
        <v>1</v>
      </c>
      <c r="AA470" s="173">
        <v>1</v>
      </c>
      <c r="AB470" s="173">
        <v>1</v>
      </c>
      <c r="AC470" s="173">
        <v>1</v>
      </c>
      <c r="AD470" s="173">
        <v>1</v>
      </c>
      <c r="AE470" s="173">
        <v>1</v>
      </c>
      <c r="AF470" s="253">
        <f t="shared" ref="AF470:AF481" si="70">IF(F470&lt;&gt;"",F470,"")</f>
        <v>1</v>
      </c>
      <c r="AG470" s="269"/>
      <c r="AK470" s="339"/>
    </row>
    <row r="471" spans="1:114" ht="36" hidden="1" customHeight="1" outlineLevel="1" x14ac:dyDescent="0.25">
      <c r="A471" s="2147"/>
      <c r="B471" s="549"/>
      <c r="D471" s="290" t="s">
        <v>49</v>
      </c>
      <c r="E471" s="1272" t="s">
        <v>828</v>
      </c>
      <c r="F471" s="1455">
        <v>0.5</v>
      </c>
      <c r="G471" s="1238" t="s">
        <v>1593</v>
      </c>
      <c r="H471" s="174"/>
      <c r="V471" s="271" t="s">
        <v>49</v>
      </c>
      <c r="W471" s="292">
        <v>0.5</v>
      </c>
      <c r="X471" s="292">
        <v>0.5</v>
      </c>
      <c r="Y471" s="272">
        <v>0.5</v>
      </c>
      <c r="Z471" s="291">
        <v>0.5</v>
      </c>
      <c r="AA471" s="291">
        <v>0.5</v>
      </c>
      <c r="AB471" s="291">
        <v>0.5</v>
      </c>
      <c r="AC471" s="291">
        <v>0.5</v>
      </c>
      <c r="AD471" s="291">
        <v>0.5</v>
      </c>
      <c r="AE471" s="291">
        <v>0.5</v>
      </c>
      <c r="AF471" s="253">
        <f t="shared" si="70"/>
        <v>0.5</v>
      </c>
      <c r="AG471" s="272"/>
      <c r="AK471" s="339"/>
    </row>
    <row r="472" spans="1:114" ht="30.75" hidden="1" customHeight="1" outlineLevel="1" x14ac:dyDescent="0.25">
      <c r="A472" s="2147"/>
      <c r="B472" s="549"/>
      <c r="D472" s="1289" t="s">
        <v>820</v>
      </c>
      <c r="E472" s="1272" t="s">
        <v>828</v>
      </c>
      <c r="F472" s="1454">
        <v>1496</v>
      </c>
      <c r="G472" s="1238" t="s">
        <v>1593</v>
      </c>
      <c r="H472" s="174"/>
      <c r="V472" s="1287" t="s">
        <v>1594</v>
      </c>
      <c r="W472" s="288">
        <v>1496</v>
      </c>
      <c r="X472" s="282">
        <v>2009</v>
      </c>
      <c r="Y472" s="282">
        <v>1496</v>
      </c>
      <c r="Z472" s="422">
        <v>1496</v>
      </c>
      <c r="AA472" s="422">
        <v>1496</v>
      </c>
      <c r="AB472" s="422">
        <v>1496</v>
      </c>
      <c r="AC472" s="297">
        <v>1496</v>
      </c>
      <c r="AD472" s="297">
        <v>1496</v>
      </c>
      <c r="AE472" s="297">
        <v>1496</v>
      </c>
      <c r="AF472" s="253">
        <f t="shared" si="70"/>
        <v>1496</v>
      </c>
      <c r="AG472" s="261"/>
      <c r="AK472" s="339"/>
    </row>
    <row r="473" spans="1:114" ht="30" hidden="1" outlineLevel="1" x14ac:dyDescent="0.25">
      <c r="A473" s="2147"/>
      <c r="B473" s="549"/>
      <c r="D473" s="1272" t="s">
        <v>823</v>
      </c>
      <c r="E473" s="1272" t="s">
        <v>828</v>
      </c>
      <c r="F473" s="1458">
        <v>0.1</v>
      </c>
      <c r="G473" s="1238" t="s">
        <v>824</v>
      </c>
      <c r="H473" s="174"/>
      <c r="V473" s="279" t="s">
        <v>823</v>
      </c>
      <c r="W473" s="287">
        <v>0.15</v>
      </c>
      <c r="X473" s="269">
        <v>0.15</v>
      </c>
      <c r="Y473" s="273">
        <v>0.15</v>
      </c>
      <c r="Z473" s="294">
        <v>0.15</v>
      </c>
      <c r="AA473" s="294">
        <v>0.15</v>
      </c>
      <c r="AB473" s="294">
        <v>0.15</v>
      </c>
      <c r="AC473" s="294">
        <v>0.15</v>
      </c>
      <c r="AD473" s="294">
        <v>0.15</v>
      </c>
      <c r="AE473" s="294">
        <v>0.15</v>
      </c>
      <c r="AF473" s="253">
        <f t="shared" si="70"/>
        <v>0.1</v>
      </c>
      <c r="AG473" s="269"/>
      <c r="AK473" s="339"/>
    </row>
    <row r="474" spans="1:114" hidden="1" outlineLevel="1" x14ac:dyDescent="0.25">
      <c r="A474" s="2147"/>
      <c r="B474" s="549"/>
      <c r="D474" s="1289" t="s">
        <v>1595</v>
      </c>
      <c r="E474" s="1272" t="s">
        <v>828</v>
      </c>
      <c r="F474" s="1458">
        <v>1</v>
      </c>
      <c r="G474" s="1238" t="s">
        <v>1596</v>
      </c>
      <c r="H474" s="174" t="s">
        <v>826</v>
      </c>
      <c r="V474" s="1287" t="s">
        <v>825</v>
      </c>
      <c r="W474" s="287">
        <v>1</v>
      </c>
      <c r="X474" s="269">
        <v>1</v>
      </c>
      <c r="Y474" s="269">
        <v>1</v>
      </c>
      <c r="Z474" s="295">
        <v>1</v>
      </c>
      <c r="AA474" s="295">
        <v>1</v>
      </c>
      <c r="AB474" s="295">
        <v>1</v>
      </c>
      <c r="AC474" s="295">
        <v>1</v>
      </c>
      <c r="AD474" s="295">
        <v>1</v>
      </c>
      <c r="AE474" s="295">
        <v>1</v>
      </c>
      <c r="AF474" s="269">
        <f t="shared" si="70"/>
        <v>1</v>
      </c>
      <c r="AG474" s="269">
        <v>1</v>
      </c>
      <c r="AK474" s="339"/>
    </row>
    <row r="475" spans="1:114" ht="45" hidden="1" outlineLevel="1" x14ac:dyDescent="0.25">
      <c r="A475" s="2147"/>
      <c r="B475" s="549"/>
      <c r="D475" s="1951" t="s">
        <v>827</v>
      </c>
      <c r="E475" s="1291" t="s">
        <v>828</v>
      </c>
      <c r="F475" s="140">
        <v>0.57889999999999997</v>
      </c>
      <c r="G475" s="2113" t="s">
        <v>829</v>
      </c>
      <c r="H475" s="1300"/>
      <c r="V475" s="1951" t="s">
        <v>827</v>
      </c>
      <c r="W475" s="287"/>
      <c r="X475" s="269"/>
      <c r="Y475" s="269"/>
      <c r="Z475" s="295"/>
      <c r="AA475" s="295"/>
      <c r="AB475" s="295"/>
      <c r="AC475" s="295"/>
      <c r="AD475" s="295"/>
      <c r="AE475" s="295"/>
      <c r="AF475" s="253"/>
      <c r="AG475" s="296">
        <v>0.57889999999999997</v>
      </c>
      <c r="AK475" s="339"/>
    </row>
    <row r="476" spans="1:114" ht="75" hidden="1" outlineLevel="1" x14ac:dyDescent="0.25">
      <c r="A476" s="2147"/>
      <c r="B476" s="549"/>
      <c r="D476" s="1262" t="s">
        <v>105</v>
      </c>
      <c r="E476" s="1291" t="s">
        <v>828</v>
      </c>
      <c r="F476" s="2114">
        <v>1</v>
      </c>
      <c r="G476" s="2113" t="s">
        <v>1597</v>
      </c>
      <c r="H476" s="2115"/>
      <c r="V476" s="1287" t="s">
        <v>105</v>
      </c>
      <c r="W476" s="287">
        <v>1</v>
      </c>
      <c r="X476" s="296">
        <v>0.58333333333333304</v>
      </c>
      <c r="Y476" s="296">
        <v>0.57889999999999997</v>
      </c>
      <c r="Z476" s="294">
        <v>0.57889999999999997</v>
      </c>
      <c r="AA476" s="294">
        <v>0.57889999999999997</v>
      </c>
      <c r="AB476" s="294">
        <v>0.57889999999999997</v>
      </c>
      <c r="AC476" s="294">
        <v>0.57889999999999997</v>
      </c>
      <c r="AD476" s="294">
        <v>0.57889999999999997</v>
      </c>
      <c r="AE476" s="294">
        <v>0.57889999999999997</v>
      </c>
      <c r="AF476" s="253">
        <f t="shared" si="70"/>
        <v>1</v>
      </c>
      <c r="AG476" s="1323">
        <v>1</v>
      </c>
      <c r="AK476" s="339"/>
    </row>
    <row r="477" spans="1:114" ht="30" hidden="1" outlineLevel="1" x14ac:dyDescent="0.25">
      <c r="A477" s="2147"/>
      <c r="B477" s="549"/>
      <c r="D477" s="290" t="s">
        <v>750</v>
      </c>
      <c r="E477" s="1272" t="s">
        <v>828</v>
      </c>
      <c r="F477" s="1445">
        <v>1</v>
      </c>
      <c r="G477" s="1238" t="s">
        <v>1592</v>
      </c>
      <c r="H477" s="174"/>
      <c r="V477" s="271" t="s">
        <v>750</v>
      </c>
      <c r="W477" s="287">
        <v>0.95</v>
      </c>
      <c r="X477" s="175">
        <v>1</v>
      </c>
      <c r="Y477" s="175">
        <v>1</v>
      </c>
      <c r="Z477" s="173">
        <v>1</v>
      </c>
      <c r="AA477" s="173">
        <v>1</v>
      </c>
      <c r="AB477" s="173">
        <v>1</v>
      </c>
      <c r="AC477" s="173">
        <v>1</v>
      </c>
      <c r="AD477" s="173">
        <v>1</v>
      </c>
      <c r="AE477" s="173">
        <v>1</v>
      </c>
      <c r="AF477" s="253">
        <f t="shared" si="70"/>
        <v>1</v>
      </c>
      <c r="AG477" s="269"/>
      <c r="AK477" s="339"/>
    </row>
    <row r="478" spans="1:114" ht="30" hidden="1" outlineLevel="1" x14ac:dyDescent="0.25">
      <c r="A478" s="2147"/>
      <c r="B478" s="549"/>
      <c r="D478" s="1289" t="s">
        <v>831</v>
      </c>
      <c r="E478" s="1272" t="s">
        <v>828</v>
      </c>
      <c r="F478" s="1468">
        <v>869</v>
      </c>
      <c r="G478" s="1238" t="s">
        <v>1593</v>
      </c>
      <c r="H478" s="174"/>
      <c r="V478" s="1287" t="s">
        <v>1598</v>
      </c>
      <c r="W478" s="261">
        <v>869</v>
      </c>
      <c r="X478" s="293">
        <v>1215</v>
      </c>
      <c r="Y478" s="293">
        <v>869</v>
      </c>
      <c r="Z478" s="297">
        <v>869</v>
      </c>
      <c r="AA478" s="297">
        <v>869</v>
      </c>
      <c r="AB478" s="297">
        <v>869</v>
      </c>
      <c r="AC478" s="297">
        <v>869</v>
      </c>
      <c r="AD478" s="297">
        <v>869</v>
      </c>
      <c r="AE478" s="297">
        <v>869</v>
      </c>
      <c r="AF478" s="253">
        <f t="shared" si="70"/>
        <v>869</v>
      </c>
      <c r="AG478" s="261"/>
      <c r="AK478" s="339"/>
    </row>
    <row r="479" spans="1:114" s="2143" customFormat="1" ht="30" hidden="1" outlineLevel="1" x14ac:dyDescent="0.25">
      <c r="A479" s="2147"/>
      <c r="B479" s="2180"/>
      <c r="C479" s="2181"/>
      <c r="D479" s="2176" t="s">
        <v>836</v>
      </c>
      <c r="E479" s="2177" t="s">
        <v>837</v>
      </c>
      <c r="F479" s="2178" t="s">
        <v>838</v>
      </c>
      <c r="G479" s="2175" t="s">
        <v>1592</v>
      </c>
      <c r="H479" s="2179"/>
      <c r="I479" s="2147"/>
      <c r="J479" s="2147"/>
      <c r="K479" s="2147"/>
      <c r="L479" s="2147"/>
      <c r="M479" s="2182"/>
      <c r="N479" s="2147"/>
      <c r="O479" s="2147"/>
      <c r="P479" s="2147"/>
      <c r="Q479" s="2147"/>
      <c r="V479" s="2183" t="str">
        <f>D479</f>
        <v>P</v>
      </c>
      <c r="W479" s="2184" t="s">
        <v>838</v>
      </c>
      <c r="X479" s="2184" t="s">
        <v>838</v>
      </c>
      <c r="Y479" s="2184" t="s">
        <v>838</v>
      </c>
      <c r="Z479" s="2184" t="s">
        <v>838</v>
      </c>
      <c r="AA479" s="2184" t="s">
        <v>838</v>
      </c>
      <c r="AB479" s="2184" t="s">
        <v>838</v>
      </c>
      <c r="AC479" s="2184" t="s">
        <v>838</v>
      </c>
      <c r="AD479" s="2184" t="s">
        <v>838</v>
      </c>
      <c r="AE479" s="2184" t="s">
        <v>838</v>
      </c>
      <c r="AF479" s="2185" t="str">
        <f t="shared" si="70"/>
        <v>None</v>
      </c>
      <c r="AG479" s="2184"/>
      <c r="DG479" s="2186"/>
      <c r="DJ479" s="2187"/>
    </row>
    <row r="480" spans="1:114" ht="60" hidden="1" outlineLevel="1" x14ac:dyDescent="0.25">
      <c r="A480" s="2147"/>
      <c r="D480" s="298" t="str">
        <f>D452</f>
        <v>EUL</v>
      </c>
      <c r="E480" s="298" t="str">
        <f>E452</f>
        <v>Effective Useful Life</v>
      </c>
      <c r="F480" s="1468">
        <v>5</v>
      </c>
      <c r="G480" s="1238" t="s">
        <v>1599</v>
      </c>
      <c r="H480" s="174"/>
      <c r="V480" s="271" t="str">
        <f>D480</f>
        <v>EUL</v>
      </c>
      <c r="W480" s="278">
        <v>14</v>
      </c>
      <c r="X480" s="278">
        <v>14</v>
      </c>
      <c r="Y480" s="278">
        <v>14</v>
      </c>
      <c r="Z480" s="299">
        <v>14</v>
      </c>
      <c r="AA480" s="299">
        <v>14</v>
      </c>
      <c r="AB480" s="299">
        <v>14</v>
      </c>
      <c r="AC480" s="299">
        <v>14</v>
      </c>
      <c r="AD480" s="299">
        <v>14</v>
      </c>
      <c r="AE480" s="299">
        <v>14</v>
      </c>
      <c r="AF480" s="253">
        <f t="shared" si="70"/>
        <v>5</v>
      </c>
      <c r="AG480" s="261"/>
      <c r="AK480" s="339"/>
    </row>
    <row r="481" spans="1:114" hidden="1" outlineLevel="1" x14ac:dyDescent="0.25">
      <c r="A481" s="2147"/>
      <c r="D481" s="298" t="str">
        <f>D453</f>
        <v>Inc. Cost</v>
      </c>
      <c r="E481" s="298" t="s">
        <v>688</v>
      </c>
      <c r="F481" s="1443">
        <v>5</v>
      </c>
      <c r="G481" s="1238"/>
      <c r="H481" s="174"/>
      <c r="V481" s="271" t="str">
        <f>D481</f>
        <v>Inc. Cost</v>
      </c>
      <c r="W481" s="280">
        <v>5</v>
      </c>
      <c r="X481" s="280">
        <v>5</v>
      </c>
      <c r="Y481" s="280">
        <v>5</v>
      </c>
      <c r="Z481" s="128">
        <v>5</v>
      </c>
      <c r="AA481" s="128">
        <v>5</v>
      </c>
      <c r="AB481" s="128">
        <v>5</v>
      </c>
      <c r="AC481" s="128">
        <v>5</v>
      </c>
      <c r="AD481" s="128">
        <v>5</v>
      </c>
      <c r="AE481" s="128">
        <v>5</v>
      </c>
      <c r="AF481" s="253">
        <f t="shared" si="70"/>
        <v>5</v>
      </c>
      <c r="AG481" s="261"/>
      <c r="AK481" s="339"/>
    </row>
    <row r="482" spans="1:114" hidden="1" outlineLevel="1" x14ac:dyDescent="0.25">
      <c r="A482" s="2147"/>
      <c r="D482" s="864"/>
      <c r="E482" s="864"/>
      <c r="F482" s="865"/>
      <c r="G482" s="571"/>
      <c r="H482" s="304"/>
      <c r="V482" s="866"/>
      <c r="W482" s="867"/>
      <c r="X482" s="867"/>
      <c r="Y482" s="867"/>
      <c r="Z482" s="865"/>
      <c r="AA482" s="865"/>
      <c r="AB482" s="865"/>
      <c r="AC482" s="865"/>
      <c r="AD482" s="868"/>
      <c r="AE482" s="868"/>
      <c r="AF482" s="868"/>
      <c r="AG482" s="868"/>
      <c r="AK482" s="339"/>
    </row>
    <row r="483" spans="1:114" collapsed="1" x14ac:dyDescent="0.25">
      <c r="A483" s="2147"/>
      <c r="AK483" s="339"/>
    </row>
    <row r="484" spans="1:114" x14ac:dyDescent="0.25">
      <c r="A484" s="2147"/>
      <c r="B484" s="2388" t="s">
        <v>1600</v>
      </c>
      <c r="C484" s="2389"/>
      <c r="D484" s="2389"/>
      <c r="E484" s="2389"/>
      <c r="F484" s="2389"/>
      <c r="G484" s="2389"/>
      <c r="H484" s="2389"/>
      <c r="I484" s="2390"/>
      <c r="J484" s="2390"/>
      <c r="K484" s="2390"/>
      <c r="L484" s="2390"/>
      <c r="M484" s="2390"/>
      <c r="N484" s="2390"/>
      <c r="O484" s="2390"/>
      <c r="P484" s="2390"/>
      <c r="Q484" s="2390"/>
      <c r="R484" s="2391"/>
      <c r="V484" s="2339" t="str">
        <f>B484</f>
        <v>Duct Insulation</v>
      </c>
      <c r="W484" s="2340"/>
      <c r="X484" s="2340"/>
      <c r="Y484" s="2340"/>
      <c r="Z484" s="2340"/>
      <c r="AA484" s="2340"/>
      <c r="AB484" s="2340"/>
      <c r="AC484" s="2341"/>
      <c r="AD484" s="2341"/>
      <c r="AE484" s="2341"/>
      <c r="AF484" s="2341"/>
      <c r="AG484" s="2341"/>
      <c r="AH484" s="2341"/>
      <c r="AI484" s="2342"/>
      <c r="AK484" s="339"/>
    </row>
    <row r="485" spans="1:114" ht="15" customHeight="1" x14ac:dyDescent="0.25">
      <c r="A485" s="2147"/>
      <c r="AK485" s="339"/>
    </row>
    <row r="486" spans="1:114" ht="45" x14ac:dyDescent="0.25">
      <c r="A486" s="2147"/>
      <c r="C486" s="1242" t="s">
        <v>43</v>
      </c>
      <c r="D486" s="1242" t="s">
        <v>597</v>
      </c>
      <c r="E486" s="1309" t="s">
        <v>45</v>
      </c>
      <c r="F486" s="1242" t="s">
        <v>1601</v>
      </c>
      <c r="G486" s="1242" t="s">
        <v>47</v>
      </c>
      <c r="H486" s="1242" t="s">
        <v>48</v>
      </c>
      <c r="I486" s="1242" t="s">
        <v>1602</v>
      </c>
      <c r="J486" s="1242" t="s">
        <v>1603</v>
      </c>
      <c r="K486" s="1242" t="s">
        <v>1604</v>
      </c>
      <c r="L486" s="1242" t="s">
        <v>49</v>
      </c>
      <c r="M486" s="1242" t="s">
        <v>50</v>
      </c>
      <c r="N486" s="1242" t="s">
        <v>1605</v>
      </c>
      <c r="O486" s="1242" t="s">
        <v>1606</v>
      </c>
      <c r="V486" s="636" t="s">
        <v>53</v>
      </c>
      <c r="W486" s="637">
        <f>W$6</f>
        <v>43252</v>
      </c>
      <c r="X486" s="637">
        <f t="shared" ref="X486:AG486" si="71">X$6</f>
        <v>43465</v>
      </c>
      <c r="Y486" s="110">
        <f t="shared" si="71"/>
        <v>43800</v>
      </c>
      <c r="Z486" s="637">
        <f t="shared" si="71"/>
        <v>43862</v>
      </c>
      <c r="AA486" s="637">
        <f t="shared" si="71"/>
        <v>44013</v>
      </c>
      <c r="AB486" s="637">
        <f t="shared" si="71"/>
        <v>44166</v>
      </c>
      <c r="AC486" s="637">
        <f t="shared" si="71"/>
        <v>44531</v>
      </c>
      <c r="AD486" s="637">
        <f t="shared" si="71"/>
        <v>44774</v>
      </c>
      <c r="AE486" s="637">
        <f t="shared" si="71"/>
        <v>45139</v>
      </c>
      <c r="AF486" s="637">
        <f t="shared" si="71"/>
        <v>45672</v>
      </c>
      <c r="AG486" s="637">
        <f t="shared" si="71"/>
        <v>45971</v>
      </c>
      <c r="AK486" s="339"/>
      <c r="DG486" s="991" t="str">
        <f>$DG$6</f>
        <v>TRC (2025)</v>
      </c>
      <c r="DH486" s="761" t="str">
        <f>$DH$6</f>
        <v>Benefit Lookup</v>
      </c>
      <c r="DI486" s="1006" t="str">
        <f>$DI$6</f>
        <v>Benefits (2025 $)</v>
      </c>
      <c r="DJ486" s="1031" t="str">
        <f>$DJ$6</f>
        <v>Incremental Cost (2025 $)</v>
      </c>
    </row>
    <row r="487" spans="1:114" ht="15" customHeight="1" x14ac:dyDescent="0.25">
      <c r="A487" s="2147" t="s">
        <v>861</v>
      </c>
      <c r="B487" s="1318">
        <f t="shared" ref="B487:B489" si="72">VALUE(LEFT(C487,6))</f>
        <v>402300</v>
      </c>
      <c r="C487" s="1273" t="s">
        <v>1607</v>
      </c>
      <c r="D487" s="1384" t="s">
        <v>863</v>
      </c>
      <c r="E487" s="1272" t="s">
        <v>1608</v>
      </c>
      <c r="F487" s="300">
        <f>ROUND((I487+J487)*G512*G513*G514,2)</f>
        <v>22.8</v>
      </c>
      <c r="G487" s="1273" t="s">
        <v>812</v>
      </c>
      <c r="H487" s="66">
        <f>VLOOKUP(G487,'CP FACTORS'!$A$3:$B$38, 2, FALSE)</f>
        <v>4.6608050000000002E-4</v>
      </c>
      <c r="I487" s="127">
        <f>(1/G496-1/G497)*G498*G500*G501/(G502*G503)</f>
        <v>1.2754677419354841</v>
      </c>
      <c r="J487" s="127">
        <f>(1/G496-1/G497)*G498*G504*G505/(G506*G507)</f>
        <v>21.520140313599065</v>
      </c>
      <c r="K487" s="300">
        <v>0</v>
      </c>
      <c r="L487" s="1764">
        <f>ROUND(H487*F487,6)</f>
        <v>1.0626999999999999E-2</v>
      </c>
      <c r="M487" s="127">
        <f>$G$515</f>
        <v>20</v>
      </c>
      <c r="N487" s="128">
        <f>$G$516</f>
        <v>4.2205065958870298</v>
      </c>
      <c r="O487" s="127">
        <v>1</v>
      </c>
      <c r="V487" s="337" t="str">
        <f>$F$486</f>
        <v>kWh
Annual Savings</v>
      </c>
      <c r="W487" s="84">
        <v>1436.5606215435027</v>
      </c>
      <c r="X487" s="301">
        <v>1436.5606215435027</v>
      </c>
      <c r="Y487" s="302">
        <v>29.13</v>
      </c>
      <c r="Z487" s="699">
        <v>29.13</v>
      </c>
      <c r="AA487" s="699">
        <v>29.13</v>
      </c>
      <c r="AB487" s="699">
        <v>29.13</v>
      </c>
      <c r="AC487" s="699">
        <v>29.13</v>
      </c>
      <c r="AD487" s="699">
        <v>29.13</v>
      </c>
      <c r="AE487" s="699">
        <v>29.13</v>
      </c>
      <c r="AF487" s="253">
        <f>IF(F487&lt;&gt;"",F487,"")</f>
        <v>22.8</v>
      </c>
      <c r="AG487" s="337"/>
      <c r="AK487" s="339"/>
      <c r="DG487" s="993">
        <f>(DI487)/(DJ487)</f>
        <v>8.2251191963232539</v>
      </c>
      <c r="DH487" s="1272" t="str">
        <f>CONCATENATE(G487," ",M487," Year EUL")</f>
        <v>HVAC RES 20 Year EUL</v>
      </c>
      <c r="DI487" s="945">
        <f>(INDEX('Avoided Cost Benefits'!$B$4:$B$865,MATCH(DH487,'Avoided Cost Benefits'!$A$4:$A$865,0)))*F487</f>
        <v>34.714169820039317</v>
      </c>
      <c r="DJ487" s="1851">
        <f>IFERROR(N487/((1+DiscountRate)^(CurrentYear-DiscountYear)),0)</f>
        <v>4.2205065958870298</v>
      </c>
    </row>
    <row r="488" spans="1:114" ht="15" customHeight="1" x14ac:dyDescent="0.25">
      <c r="A488" s="2147" t="s">
        <v>861</v>
      </c>
      <c r="B488" s="1318">
        <f t="shared" si="72"/>
        <v>402350</v>
      </c>
      <c r="C488" s="1273" t="s">
        <v>1609</v>
      </c>
      <c r="D488" s="1384" t="s">
        <v>863</v>
      </c>
      <c r="E488" s="1272" t="s">
        <v>1610</v>
      </c>
      <c r="F488" s="300">
        <f>ROUND((I488+J488)*G512*G513*G514,2)</f>
        <v>22.8</v>
      </c>
      <c r="G488" s="1273" t="s">
        <v>812</v>
      </c>
      <c r="H488" s="66">
        <f>VLOOKUP(G488,'CP FACTORS'!$A$3:$B$38, 2, FALSE)</f>
        <v>4.6608050000000002E-4</v>
      </c>
      <c r="I488" s="127">
        <f>(1/G496-1/G497)*G499*G500*G501/(G502*G503)</f>
        <v>1.2754677419354841</v>
      </c>
      <c r="J488" s="127">
        <f>(1/G496-1/G497)*G499*G504*G505/(G506*G507)</f>
        <v>21.520140313599065</v>
      </c>
      <c r="K488" s="300">
        <v>0</v>
      </c>
      <c r="L488" s="1764">
        <f>ROUND(H488*F488,6)</f>
        <v>1.0626999999999999E-2</v>
      </c>
      <c r="M488" s="127">
        <f>$G$515</f>
        <v>20</v>
      </c>
      <c r="N488" s="128">
        <f>$G$516</f>
        <v>4.2205065958870298</v>
      </c>
      <c r="O488" s="127">
        <v>1</v>
      </c>
      <c r="V488" s="337" t="str">
        <f>$F$486</f>
        <v>kWh
Annual Savings</v>
      </c>
      <c r="W488" s="84">
        <v>1267.6448744421125</v>
      </c>
      <c r="X488" s="301">
        <v>1267.6448744421125</v>
      </c>
      <c r="Y488" s="302">
        <v>29.13</v>
      </c>
      <c r="Z488" s="699">
        <v>29.13</v>
      </c>
      <c r="AA488" s="699">
        <v>29.13</v>
      </c>
      <c r="AB488" s="699">
        <v>29.13</v>
      </c>
      <c r="AC488" s="699">
        <v>29.13</v>
      </c>
      <c r="AD488" s="699">
        <v>29.13</v>
      </c>
      <c r="AE488" s="699">
        <v>29.13</v>
      </c>
      <c r="AF488" s="253">
        <f>IF(F488&lt;&gt;"",F488,"")</f>
        <v>22.8</v>
      </c>
      <c r="AG488" s="337"/>
      <c r="AK488" s="339"/>
      <c r="DG488" s="994">
        <f>(DI488)/(DJ488)</f>
        <v>8.2251191963232539</v>
      </c>
      <c r="DH488" s="641" t="str">
        <f>CONCATENATE(G488," ",M488," Year EUL")</f>
        <v>HVAC RES 20 Year EUL</v>
      </c>
      <c r="DI488" s="527">
        <f>(INDEX('Avoided Cost Benefits'!$B$4:$B$865,MATCH(DH488,'Avoided Cost Benefits'!$A$4:$A$865,0)))*F488</f>
        <v>34.714169820039317</v>
      </c>
      <c r="DJ488" s="1852">
        <f>IFERROR(N488/((1+DiscountRate)^(CurrentYear-DiscountYear)),0)</f>
        <v>4.2205065958870298</v>
      </c>
    </row>
    <row r="489" spans="1:114" x14ac:dyDescent="0.25">
      <c r="A489" s="2147" t="s">
        <v>861</v>
      </c>
      <c r="B489" s="1318">
        <f t="shared" si="72"/>
        <v>402400</v>
      </c>
      <c r="C489" s="1273" t="s">
        <v>1611</v>
      </c>
      <c r="D489" s="1384" t="s">
        <v>863</v>
      </c>
      <c r="E489" s="1272" t="s">
        <v>1612</v>
      </c>
      <c r="F489" s="300">
        <f>ROUND((I489+J489)*G512*G513*G514,2)</f>
        <v>2.4900000000000002</v>
      </c>
      <c r="G489" s="1273" t="s">
        <v>812</v>
      </c>
      <c r="H489" s="66">
        <f>VLOOKUP(G489,'CP FACTORS'!$A$3:$B$38, 2, FALSE)</f>
        <v>4.6608050000000002E-4</v>
      </c>
      <c r="I489" s="127">
        <f>(1/G496-1/G497)*G498*G500*G501/(G502*G503)</f>
        <v>1.2754677419354841</v>
      </c>
      <c r="J489" s="127">
        <f>K489*G508*G509</f>
        <v>1.2178758270985914</v>
      </c>
      <c r="K489" s="300">
        <f>(1/G496-1/G497)*G498*G504*G505/(100000*G511)</f>
        <v>1.3237492957746479</v>
      </c>
      <c r="L489" s="1764">
        <f>ROUND(H489*F489,6)</f>
        <v>1.1609999999999999E-3</v>
      </c>
      <c r="M489" s="127">
        <f>$G$515</f>
        <v>20</v>
      </c>
      <c r="N489" s="128">
        <f>$G$516</f>
        <v>4.2205065958870298</v>
      </c>
      <c r="O489" s="127">
        <v>1</v>
      </c>
      <c r="V489" s="337" t="str">
        <f>$F$486</f>
        <v>kWh
Annual Savings</v>
      </c>
      <c r="W489" s="84">
        <v>114.3457559964678</v>
      </c>
      <c r="X489" s="301">
        <v>114.3457559964678</v>
      </c>
      <c r="Y489" s="302">
        <v>2.69</v>
      </c>
      <c r="Z489" s="699">
        <v>2.69</v>
      </c>
      <c r="AA489" s="699">
        <v>2.69</v>
      </c>
      <c r="AB489" s="699">
        <v>2.69</v>
      </c>
      <c r="AC489" s="699">
        <v>2.69</v>
      </c>
      <c r="AD489" s="699">
        <v>2.69</v>
      </c>
      <c r="AE489" s="699">
        <v>2.69</v>
      </c>
      <c r="AF489" s="253">
        <f>IF(F489&lt;&gt;"",F489,"")</f>
        <v>2.4900000000000002</v>
      </c>
      <c r="AG489" s="337"/>
      <c r="AK489" s="339"/>
      <c r="DG489" s="995">
        <f>(DI489)/(DJ489)</f>
        <v>0.89826959644056592</v>
      </c>
      <c r="DH489" s="641" t="str">
        <f>CONCATENATE(G489," ",M489," Year EUL")</f>
        <v>HVAC RES 20 Year EUL</v>
      </c>
      <c r="DI489" s="1003">
        <f>(INDEX('Avoided Cost Benefits'!$B$4:$B$865,MATCH(DH489,'Avoided Cost Benefits'!$A$4:$A$865,0)))*F489</f>
        <v>3.7911527566621888</v>
      </c>
      <c r="DJ489" s="1853">
        <f>IFERROR(N489/((1+DiscountRate)^(CurrentYear-DiscountYear)),0)</f>
        <v>4.2205065958870298</v>
      </c>
    </row>
    <row r="490" spans="1:114" ht="15" hidden="1" customHeight="1" outlineLevel="1" x14ac:dyDescent="0.25">
      <c r="A490" s="2147"/>
      <c r="D490" s="265" t="s">
        <v>95</v>
      </c>
      <c r="E490" s="265" t="s">
        <v>1613</v>
      </c>
      <c r="I490" s="265" t="s">
        <v>1614</v>
      </c>
      <c r="Y490" s="516" t="s">
        <v>1454</v>
      </c>
      <c r="AK490" s="339"/>
    </row>
    <row r="491" spans="1:114" ht="15" hidden="1" customHeight="1" outlineLevel="1" x14ac:dyDescent="0.25">
      <c r="A491" s="2147"/>
      <c r="D491" s="265" t="s">
        <v>609</v>
      </c>
      <c r="E491" s="265" t="s">
        <v>1615</v>
      </c>
      <c r="AK491" s="339"/>
    </row>
    <row r="492" spans="1:114" ht="15" hidden="1" customHeight="1" outlineLevel="1" x14ac:dyDescent="0.25">
      <c r="A492" s="2147"/>
      <c r="D492" s="265" t="s">
        <v>609</v>
      </c>
      <c r="E492" s="265" t="s">
        <v>1616</v>
      </c>
      <c r="AK492" s="339"/>
    </row>
    <row r="493" spans="1:114" ht="27.75" hidden="1" customHeight="1" outlineLevel="1" x14ac:dyDescent="0.25">
      <c r="A493" s="2147"/>
      <c r="D493" s="265"/>
      <c r="E493" s="265" t="s">
        <v>612</v>
      </c>
      <c r="AK493" s="339"/>
    </row>
    <row r="494" spans="1:114" ht="15" hidden="1" customHeight="1" outlineLevel="1" x14ac:dyDescent="0.25">
      <c r="A494" s="2147"/>
      <c r="D494" s="265"/>
      <c r="E494" s="265"/>
      <c r="AK494" s="339"/>
    </row>
    <row r="495" spans="1:114" ht="15" hidden="1" customHeight="1" outlineLevel="1" x14ac:dyDescent="0.25">
      <c r="A495" s="2147"/>
      <c r="D495" s="1309" t="s">
        <v>720</v>
      </c>
      <c r="E495" s="1309" t="s">
        <v>613</v>
      </c>
      <c r="F495" s="1242" t="s">
        <v>614</v>
      </c>
      <c r="G495" s="1242" t="s">
        <v>615</v>
      </c>
      <c r="H495" s="2378" t="s">
        <v>616</v>
      </c>
      <c r="I495" s="2523"/>
      <c r="J495" s="2378" t="s">
        <v>617</v>
      </c>
      <c r="K495" s="2378"/>
      <c r="L495" s="2378"/>
      <c r="V495" s="636" t="s">
        <v>53</v>
      </c>
      <c r="W495" s="637">
        <f>W$6</f>
        <v>43252</v>
      </c>
      <c r="X495" s="637">
        <f t="shared" ref="X495:AG495" si="73">X$6</f>
        <v>43465</v>
      </c>
      <c r="Y495" s="110">
        <f t="shared" si="73"/>
        <v>43800</v>
      </c>
      <c r="Z495" s="637">
        <f t="shared" si="73"/>
        <v>43862</v>
      </c>
      <c r="AA495" s="637">
        <f t="shared" si="73"/>
        <v>44013</v>
      </c>
      <c r="AB495" s="637">
        <f t="shared" si="73"/>
        <v>44166</v>
      </c>
      <c r="AC495" s="637">
        <f t="shared" si="73"/>
        <v>44531</v>
      </c>
      <c r="AD495" s="637">
        <f t="shared" si="73"/>
        <v>44774</v>
      </c>
      <c r="AE495" s="637">
        <f t="shared" si="73"/>
        <v>45139</v>
      </c>
      <c r="AF495" s="637">
        <f t="shared" si="73"/>
        <v>45672</v>
      </c>
      <c r="AG495" s="637">
        <f t="shared" si="73"/>
        <v>45971</v>
      </c>
      <c r="AK495" s="339"/>
    </row>
    <row r="496" spans="1:114" ht="58.5" hidden="1" customHeight="1" outlineLevel="1" x14ac:dyDescent="0.25">
      <c r="A496" s="2147"/>
      <c r="D496" s="1290" t="s">
        <v>1617</v>
      </c>
      <c r="E496" s="1283" t="s">
        <v>1618</v>
      </c>
      <c r="F496" s="566"/>
      <c r="G496" s="1477">
        <v>4</v>
      </c>
      <c r="H496" s="2540" t="s">
        <v>1619</v>
      </c>
      <c r="I496" s="2479"/>
      <c r="J496" s="2540"/>
      <c r="K496" s="2540"/>
      <c r="L496" s="2540"/>
      <c r="V496" s="277" t="str">
        <f>D496</f>
        <v>Rexisting</v>
      </c>
      <c r="W496" s="305">
        <v>4</v>
      </c>
      <c r="X496" s="305">
        <v>4</v>
      </c>
      <c r="Y496" s="305">
        <v>4</v>
      </c>
      <c r="Z496" s="567">
        <v>4</v>
      </c>
      <c r="AA496" s="567">
        <v>4</v>
      </c>
      <c r="AB496" s="567">
        <v>4</v>
      </c>
      <c r="AC496" s="567">
        <v>4</v>
      </c>
      <c r="AD496" s="567">
        <v>4</v>
      </c>
      <c r="AE496" s="567">
        <v>4</v>
      </c>
      <c r="AF496" s="253">
        <f t="shared" ref="AF496:AF516" si="74">IF(G496&lt;&gt;"",G496,"")</f>
        <v>4</v>
      </c>
      <c r="AG496" s="305"/>
      <c r="AK496" s="339"/>
    </row>
    <row r="497" spans="1:37" ht="60.75" hidden="1" customHeight="1" outlineLevel="1" x14ac:dyDescent="0.25">
      <c r="A497" s="2147"/>
      <c r="D497" s="1290" t="s">
        <v>1620</v>
      </c>
      <c r="E497" s="1283" t="s">
        <v>1621</v>
      </c>
      <c r="F497" s="566"/>
      <c r="G497" s="1477">
        <v>8</v>
      </c>
      <c r="H497" s="2540" t="s">
        <v>1622</v>
      </c>
      <c r="I497" s="2479"/>
      <c r="J497" s="2540"/>
      <c r="K497" s="2540"/>
      <c r="L497" s="2540"/>
      <c r="V497" s="277" t="str">
        <f t="shared" ref="V497:V514" si="75">D497</f>
        <v>Rnew</v>
      </c>
      <c r="W497" s="305">
        <v>8</v>
      </c>
      <c r="X497" s="305">
        <v>8</v>
      </c>
      <c r="Y497" s="305">
        <v>8</v>
      </c>
      <c r="Z497" s="567">
        <v>8</v>
      </c>
      <c r="AA497" s="567">
        <v>8</v>
      </c>
      <c r="AB497" s="567">
        <v>8</v>
      </c>
      <c r="AC497" s="567">
        <v>8</v>
      </c>
      <c r="AD497" s="567">
        <v>8</v>
      </c>
      <c r="AE497" s="567">
        <v>8</v>
      </c>
      <c r="AF497" s="253">
        <f t="shared" si="74"/>
        <v>8</v>
      </c>
      <c r="AG497" s="305"/>
      <c r="AK497" s="339"/>
    </row>
    <row r="498" spans="1:37" ht="28.5" hidden="1" customHeight="1" outlineLevel="1" x14ac:dyDescent="0.25">
      <c r="A498" s="2147"/>
      <c r="D498" s="2447" t="s">
        <v>1623</v>
      </c>
      <c r="E498" s="2464" t="s">
        <v>1624</v>
      </c>
      <c r="F498" s="1243" t="s">
        <v>1625</v>
      </c>
      <c r="G498" s="1478">
        <f>SQRT(F$61)*((12+30+12+30)/12)</f>
        <v>7</v>
      </c>
      <c r="H498" s="2619" t="s">
        <v>1626</v>
      </c>
      <c r="I498" s="2620"/>
      <c r="J498" s="2540"/>
      <c r="K498" s="2540"/>
      <c r="L498" s="2540"/>
      <c r="V498" s="298" t="str">
        <f>F498</f>
        <v xml:space="preserve">Area - Single Family </v>
      </c>
      <c r="W498" s="306">
        <f>SQRT(W$61)*((12+30+12+30)/12)</f>
        <v>260.69714229350501</v>
      </c>
      <c r="X498" s="306">
        <f>SQRT(X$61)*((12+30+12+30)/12)</f>
        <v>260.69714229350501</v>
      </c>
      <c r="Y498" s="306">
        <f>SQRT(Y$61)*((12+30+12+30)/12)</f>
        <v>7</v>
      </c>
      <c r="Z498" s="568">
        <f>SQRT(Z$61)*((12+30+12+30)/12)</f>
        <v>7</v>
      </c>
      <c r="AA498" s="568">
        <f>SQRT(AA$61)*((12+30+12+30)/12)</f>
        <v>7</v>
      </c>
      <c r="AB498" s="568">
        <v>7</v>
      </c>
      <c r="AC498" s="568">
        <v>7</v>
      </c>
      <c r="AD498" s="568">
        <v>7</v>
      </c>
      <c r="AE498" s="568">
        <v>7</v>
      </c>
      <c r="AF498" s="253">
        <f t="shared" si="74"/>
        <v>7</v>
      </c>
      <c r="AG498" s="306"/>
      <c r="AK498" s="339"/>
    </row>
    <row r="499" spans="1:37" ht="33" hidden="1" customHeight="1" outlineLevel="1" x14ac:dyDescent="0.25">
      <c r="A499" s="2147"/>
      <c r="D499" s="2448"/>
      <c r="E499" s="2466"/>
      <c r="F499" s="1243" t="s">
        <v>1627</v>
      </c>
      <c r="G499" s="1479">
        <f>SQRT(F$64)*((12+30+12+30)/12)</f>
        <v>7</v>
      </c>
      <c r="H499" s="2540" t="s">
        <v>1626</v>
      </c>
      <c r="I499" s="2540"/>
      <c r="J499" s="2480"/>
      <c r="K499" s="2540"/>
      <c r="L499" s="2540"/>
      <c r="V499" s="298" t="str">
        <f>F499</f>
        <v>Area - Mobile Home</v>
      </c>
      <c r="W499" s="307">
        <f>SQRT(W$64)*((12+30+12+30)/12)</f>
        <v>230.04347415216975</v>
      </c>
      <c r="X499" s="307">
        <f>SQRT(X$64)*((12+30+12+30)/12)</f>
        <v>230.04347415216975</v>
      </c>
      <c r="Y499" s="307">
        <f>SQRT(Y$64)*((12+30+12+30)/12)</f>
        <v>7</v>
      </c>
      <c r="Z499" s="569">
        <f>SQRT(Z$64)*((12+30+12+30)/12)</f>
        <v>7</v>
      </c>
      <c r="AA499" s="569">
        <f>SQRT(AA$64)*((12+30+12+30)/12)</f>
        <v>7</v>
      </c>
      <c r="AB499" s="569">
        <v>7</v>
      </c>
      <c r="AC499" s="569">
        <v>7</v>
      </c>
      <c r="AD499" s="569">
        <v>7</v>
      </c>
      <c r="AE499" s="569">
        <v>7</v>
      </c>
      <c r="AF499" s="253">
        <f t="shared" si="74"/>
        <v>7</v>
      </c>
      <c r="AG499" s="306"/>
      <c r="AK499" s="339"/>
    </row>
    <row r="500" spans="1:37" ht="30.75" hidden="1" customHeight="1" outlineLevel="1" x14ac:dyDescent="0.25">
      <c r="A500" s="2147"/>
      <c r="D500" s="1279" t="s">
        <v>833</v>
      </c>
      <c r="E500" s="1243" t="s">
        <v>1628</v>
      </c>
      <c r="F500" s="1243"/>
      <c r="G500" s="1541">
        <v>869</v>
      </c>
      <c r="H500" s="2466" t="s">
        <v>1101</v>
      </c>
      <c r="I500" s="2634"/>
      <c r="J500" s="2635"/>
      <c r="K500" s="2635"/>
      <c r="L500" s="2635"/>
      <c r="M500" s="571"/>
      <c r="V500" s="277" t="str">
        <f t="shared" si="75"/>
        <v>EFLHcool</v>
      </c>
      <c r="W500" s="1358">
        <v>869</v>
      </c>
      <c r="X500" s="1358">
        <v>869</v>
      </c>
      <c r="Y500" s="1358">
        <v>869</v>
      </c>
      <c r="Z500" s="570">
        <v>869</v>
      </c>
      <c r="AA500" s="570">
        <v>869</v>
      </c>
      <c r="AB500" s="570">
        <v>869</v>
      </c>
      <c r="AC500" s="570">
        <v>869</v>
      </c>
      <c r="AD500" s="570">
        <v>869</v>
      </c>
      <c r="AE500" s="570">
        <v>869</v>
      </c>
      <c r="AF500" s="253">
        <f t="shared" si="74"/>
        <v>869</v>
      </c>
      <c r="AG500" s="1358"/>
      <c r="AK500" s="339"/>
    </row>
    <row r="501" spans="1:37" ht="30" hidden="1" outlineLevel="1" x14ac:dyDescent="0.25">
      <c r="A501" s="2147"/>
      <c r="D501" s="1279" t="s">
        <v>1629</v>
      </c>
      <c r="E501" s="1243" t="s">
        <v>1630</v>
      </c>
      <c r="F501" s="1243"/>
      <c r="G501" s="1540">
        <v>20.8</v>
      </c>
      <c r="H501" s="2631" t="s">
        <v>1631</v>
      </c>
      <c r="I501" s="2531"/>
      <c r="J501" s="2635"/>
      <c r="K501" s="2635"/>
      <c r="L501" s="2635"/>
      <c r="M501" s="571"/>
      <c r="V501" s="277" t="str">
        <f t="shared" si="75"/>
        <v>ΔTAVG, cooling</v>
      </c>
      <c r="W501" s="1358">
        <v>20.8</v>
      </c>
      <c r="X501" s="1358">
        <v>20.8</v>
      </c>
      <c r="Y501" s="1358">
        <v>20.8</v>
      </c>
      <c r="Z501" s="570">
        <v>20.8</v>
      </c>
      <c r="AA501" s="570">
        <v>20.8</v>
      </c>
      <c r="AB501" s="570">
        <v>20.8</v>
      </c>
      <c r="AC501" s="570">
        <v>20.8</v>
      </c>
      <c r="AD501" s="570">
        <v>20.8</v>
      </c>
      <c r="AE501" s="570">
        <v>20.8</v>
      </c>
      <c r="AF501" s="253">
        <f t="shared" si="74"/>
        <v>20.8</v>
      </c>
      <c r="AG501" s="1358"/>
      <c r="AK501" s="339"/>
    </row>
    <row r="502" spans="1:37" hidden="1" outlineLevel="1" x14ac:dyDescent="0.25">
      <c r="A502" s="2147"/>
      <c r="D502" s="1279">
        <v>1000</v>
      </c>
      <c r="E502" s="1243" t="s">
        <v>1403</v>
      </c>
      <c r="F502" s="1243"/>
      <c r="G502" s="1541">
        <v>1000</v>
      </c>
      <c r="H502" s="2383" t="s">
        <v>1405</v>
      </c>
      <c r="I502" s="2503"/>
      <c r="J502" s="2635"/>
      <c r="K502" s="2635"/>
      <c r="L502" s="2635"/>
      <c r="M502" s="571"/>
      <c r="V502" s="277">
        <f t="shared" si="75"/>
        <v>1000</v>
      </c>
      <c r="W502" s="1358">
        <v>1000</v>
      </c>
      <c r="X502" s="1358">
        <v>1000</v>
      </c>
      <c r="Y502" s="1358">
        <v>1000</v>
      </c>
      <c r="Z502" s="570">
        <v>1000</v>
      </c>
      <c r="AA502" s="570">
        <v>1000</v>
      </c>
      <c r="AB502" s="570">
        <v>1000</v>
      </c>
      <c r="AC502" s="570">
        <v>1000</v>
      </c>
      <c r="AD502" s="570">
        <v>1000</v>
      </c>
      <c r="AE502" s="570">
        <v>1000</v>
      </c>
      <c r="AF502" s="253">
        <f t="shared" si="74"/>
        <v>1000</v>
      </c>
      <c r="AG502" s="1358"/>
      <c r="AK502" s="339"/>
    </row>
    <row r="503" spans="1:37" hidden="1" outlineLevel="1" x14ac:dyDescent="0.25">
      <c r="A503" s="2147"/>
      <c r="D503" s="1279" t="s">
        <v>761</v>
      </c>
      <c r="E503" s="1243" t="s">
        <v>1632</v>
      </c>
      <c r="F503" s="1243"/>
      <c r="G503" s="1448">
        <v>12.4</v>
      </c>
      <c r="H503" s="2631"/>
      <c r="I503" s="2531"/>
      <c r="J503" s="2534" t="s">
        <v>1633</v>
      </c>
      <c r="K503" s="2534"/>
      <c r="L503" s="2534"/>
      <c r="M503" s="571"/>
      <c r="V503" s="277" t="str">
        <f t="shared" si="75"/>
        <v>SEER2</v>
      </c>
      <c r="W503" s="1358">
        <v>10</v>
      </c>
      <c r="X503" s="1358">
        <v>10</v>
      </c>
      <c r="Y503" s="1358">
        <v>10</v>
      </c>
      <c r="Z503" s="570">
        <v>10</v>
      </c>
      <c r="AA503" s="570">
        <v>10</v>
      </c>
      <c r="AB503" s="570">
        <v>10</v>
      </c>
      <c r="AC503" s="570">
        <v>10</v>
      </c>
      <c r="AD503" s="570">
        <v>10</v>
      </c>
      <c r="AE503" s="570">
        <v>10</v>
      </c>
      <c r="AF503" s="253">
        <f t="shared" si="74"/>
        <v>12.4</v>
      </c>
      <c r="AG503" s="1358"/>
      <c r="AK503" s="339"/>
    </row>
    <row r="504" spans="1:37" ht="15" hidden="1" customHeight="1" outlineLevel="1" x14ac:dyDescent="0.25">
      <c r="A504" s="2147"/>
      <c r="D504" s="1279" t="s">
        <v>822</v>
      </c>
      <c r="E504" s="1243" t="s">
        <v>1053</v>
      </c>
      <c r="F504" s="1243"/>
      <c r="G504" s="1541">
        <v>1496</v>
      </c>
      <c r="H504" s="2466" t="s">
        <v>1101</v>
      </c>
      <c r="I504" s="2634"/>
      <c r="J504" s="2635"/>
      <c r="K504" s="2635"/>
      <c r="L504" s="2635"/>
      <c r="M504" s="571"/>
      <c r="V504" s="277" t="str">
        <f t="shared" si="75"/>
        <v>EFLHheat</v>
      </c>
      <c r="W504" s="1358">
        <v>2009</v>
      </c>
      <c r="X504" s="1358">
        <v>2009</v>
      </c>
      <c r="Y504" s="308">
        <v>1496</v>
      </c>
      <c r="Z504" s="570">
        <v>1496</v>
      </c>
      <c r="AA504" s="570">
        <v>1496</v>
      </c>
      <c r="AB504" s="570">
        <v>1496</v>
      </c>
      <c r="AC504" s="570">
        <v>1496</v>
      </c>
      <c r="AD504" s="570">
        <v>1496</v>
      </c>
      <c r="AE504" s="570">
        <v>1496</v>
      </c>
      <c r="AF504" s="253">
        <f t="shared" si="74"/>
        <v>1496</v>
      </c>
      <c r="AG504" s="1358"/>
      <c r="AK504" s="339"/>
    </row>
    <row r="505" spans="1:37" ht="30" hidden="1" outlineLevel="1" x14ac:dyDescent="0.25">
      <c r="A505" s="2147"/>
      <c r="D505" s="1279" t="s">
        <v>1634</v>
      </c>
      <c r="E505" s="1243" t="s">
        <v>1635</v>
      </c>
      <c r="F505" s="1243"/>
      <c r="G505" s="1540">
        <v>71.8</v>
      </c>
      <c r="H505" s="2631" t="s">
        <v>1631</v>
      </c>
      <c r="I505" s="2531"/>
      <c r="J505" s="2534" t="s">
        <v>1636</v>
      </c>
      <c r="K505" s="2534"/>
      <c r="L505" s="2534"/>
      <c r="M505" s="571"/>
      <c r="V505" s="277" t="str">
        <f t="shared" si="75"/>
        <v>ΔTAVG, heating</v>
      </c>
      <c r="W505" s="1358">
        <v>71.8</v>
      </c>
      <c r="X505" s="1358">
        <v>71.8</v>
      </c>
      <c r="Y505" s="1358">
        <v>71.8</v>
      </c>
      <c r="Z505" s="570">
        <v>71.8</v>
      </c>
      <c r="AA505" s="570">
        <v>71.8</v>
      </c>
      <c r="AB505" s="570">
        <v>71.8</v>
      </c>
      <c r="AC505" s="570">
        <v>71.8</v>
      </c>
      <c r="AD505" s="570">
        <v>71.8</v>
      </c>
      <c r="AE505" s="570">
        <v>71.8</v>
      </c>
      <c r="AF505" s="253">
        <f t="shared" si="74"/>
        <v>71.8</v>
      </c>
      <c r="AG505" s="1358"/>
      <c r="AK505" s="339"/>
    </row>
    <row r="506" spans="1:37" hidden="1" outlineLevel="1" x14ac:dyDescent="0.25">
      <c r="A506" s="2147"/>
      <c r="D506" s="1279">
        <v>3412</v>
      </c>
      <c r="E506" s="1243" t="s">
        <v>1637</v>
      </c>
      <c r="F506" s="1243"/>
      <c r="G506" s="1541">
        <v>3412</v>
      </c>
      <c r="H506" s="2632"/>
      <c r="I506" s="2494"/>
      <c r="J506" s="2633"/>
      <c r="K506" s="2633"/>
      <c r="L506" s="2633"/>
      <c r="M506" s="571"/>
      <c r="V506" s="277">
        <f t="shared" si="75"/>
        <v>3412</v>
      </c>
      <c r="W506" s="1358">
        <v>3412</v>
      </c>
      <c r="X506" s="1358">
        <v>3412</v>
      </c>
      <c r="Y506" s="1358">
        <v>3412</v>
      </c>
      <c r="Z506" s="570">
        <v>3412</v>
      </c>
      <c r="AA506" s="570">
        <v>3412</v>
      </c>
      <c r="AB506" s="570">
        <v>3412</v>
      </c>
      <c r="AC506" s="570">
        <v>3412</v>
      </c>
      <c r="AD506" s="570">
        <v>3412</v>
      </c>
      <c r="AE506" s="570">
        <v>3412</v>
      </c>
      <c r="AF506" s="253">
        <f t="shared" si="74"/>
        <v>3412</v>
      </c>
      <c r="AG506" s="1358"/>
      <c r="AK506" s="339"/>
    </row>
    <row r="507" spans="1:37" ht="75.75" hidden="1" customHeight="1" outlineLevel="1" x14ac:dyDescent="0.25">
      <c r="A507" s="2147"/>
      <c r="D507" s="1279" t="s">
        <v>1638</v>
      </c>
      <c r="E507" s="1243" t="s">
        <v>1639</v>
      </c>
      <c r="F507" s="1243"/>
      <c r="G507" s="1448">
        <v>1.28</v>
      </c>
      <c r="H507" s="2631" t="s">
        <v>1640</v>
      </c>
      <c r="I507" s="2531"/>
      <c r="J507" s="2534"/>
      <c r="K507" s="2534"/>
      <c r="L507" s="2534"/>
      <c r="M507" s="571"/>
      <c r="V507" s="277" t="str">
        <f t="shared" si="75"/>
        <v>COP</v>
      </c>
      <c r="W507" s="1352">
        <v>1</v>
      </c>
      <c r="X507" s="1352">
        <v>1</v>
      </c>
      <c r="Y507" s="1352">
        <v>1</v>
      </c>
      <c r="Z507" s="77">
        <v>1</v>
      </c>
      <c r="AA507" s="77">
        <v>1</v>
      </c>
      <c r="AB507" s="77">
        <v>1</v>
      </c>
      <c r="AC507" s="77">
        <v>1</v>
      </c>
      <c r="AD507" s="77">
        <v>1</v>
      </c>
      <c r="AE507" s="77">
        <v>1</v>
      </c>
      <c r="AF507" s="253">
        <f t="shared" si="74"/>
        <v>1.28</v>
      </c>
      <c r="AG507" s="1352"/>
      <c r="AK507" s="339"/>
    </row>
    <row r="508" spans="1:37" ht="89.1" hidden="1" customHeight="1" outlineLevel="1" x14ac:dyDescent="0.25">
      <c r="A508" s="2147"/>
      <c r="D508" s="1279" t="s">
        <v>1641</v>
      </c>
      <c r="E508" s="1243" t="s">
        <v>1642</v>
      </c>
      <c r="F508" s="1243"/>
      <c r="G508" s="1551">
        <v>3.1399999999999997E-2</v>
      </c>
      <c r="H508" s="2631" t="s">
        <v>1643</v>
      </c>
      <c r="I508" s="2531"/>
      <c r="J508" s="2534" t="s">
        <v>1636</v>
      </c>
      <c r="K508" s="2534"/>
      <c r="L508" s="2534"/>
      <c r="M508" s="571"/>
      <c r="V508" s="277" t="str">
        <f t="shared" si="75"/>
        <v>Fe</v>
      </c>
      <c r="W508" s="1373">
        <v>3.1399999999999997E-2</v>
      </c>
      <c r="X508" s="1373">
        <v>3.1399999999999997E-2</v>
      </c>
      <c r="Y508" s="1373">
        <v>3.1399999999999997E-2</v>
      </c>
      <c r="Z508" s="572">
        <v>3.1399999999999997E-2</v>
      </c>
      <c r="AA508" s="572">
        <v>3.1399999999999997E-2</v>
      </c>
      <c r="AB508" s="572">
        <v>3.1399999999999997E-2</v>
      </c>
      <c r="AC508" s="572">
        <v>3.1399999999999997E-2</v>
      </c>
      <c r="AD508" s="572">
        <v>3.1399999999999997E-2</v>
      </c>
      <c r="AE508" s="572">
        <v>3.1399999999999997E-2</v>
      </c>
      <c r="AF508" s="253">
        <f t="shared" si="74"/>
        <v>3.1399999999999997E-2</v>
      </c>
      <c r="AG508" s="1373"/>
      <c r="AK508" s="339"/>
    </row>
    <row r="509" spans="1:37" ht="29.45" hidden="1" customHeight="1" outlineLevel="1" x14ac:dyDescent="0.25">
      <c r="A509" s="2147"/>
      <c r="D509" s="1279">
        <v>29.3</v>
      </c>
      <c r="E509" s="1243" t="s">
        <v>1644</v>
      </c>
      <c r="F509" s="1243"/>
      <c r="G509" s="1540">
        <v>29.3</v>
      </c>
      <c r="H509" s="2631" t="s">
        <v>1645</v>
      </c>
      <c r="I509" s="2531"/>
      <c r="J509" s="2534" t="s">
        <v>1636</v>
      </c>
      <c r="K509" s="2534"/>
      <c r="L509" s="2534"/>
      <c r="M509" s="571"/>
      <c r="V509" s="277">
        <f t="shared" si="75"/>
        <v>29.3</v>
      </c>
      <c r="W509" s="1360">
        <v>29.3</v>
      </c>
      <c r="X509" s="1360">
        <v>29.3</v>
      </c>
      <c r="Y509" s="1360">
        <v>29.3</v>
      </c>
      <c r="Z509" s="1284">
        <v>29.3</v>
      </c>
      <c r="AA509" s="1284">
        <v>29.3</v>
      </c>
      <c r="AB509" s="1284">
        <v>29.3</v>
      </c>
      <c r="AC509" s="1284">
        <v>29.3</v>
      </c>
      <c r="AD509" s="1284">
        <v>29.3</v>
      </c>
      <c r="AE509" s="1284">
        <v>29.3</v>
      </c>
      <c r="AF509" s="253">
        <f t="shared" si="74"/>
        <v>29.3</v>
      </c>
      <c r="AG509" s="1360"/>
      <c r="AK509" s="339"/>
    </row>
    <row r="510" spans="1:37" ht="29.1" hidden="1" customHeight="1" outlineLevel="1" x14ac:dyDescent="0.25">
      <c r="A510" s="2147"/>
      <c r="D510" s="573">
        <v>100000</v>
      </c>
      <c r="E510" s="1243" t="s">
        <v>1646</v>
      </c>
      <c r="F510" s="1243"/>
      <c r="G510" s="1541">
        <v>100000</v>
      </c>
      <c r="H510" s="2631" t="s">
        <v>1647</v>
      </c>
      <c r="I510" s="2531"/>
      <c r="J510" s="2608" t="s">
        <v>1648</v>
      </c>
      <c r="K510" s="2608"/>
      <c r="L510" s="2608"/>
      <c r="M510" s="571"/>
      <c r="V510" s="277">
        <f t="shared" si="75"/>
        <v>100000</v>
      </c>
      <c r="W510" s="1358">
        <v>100000</v>
      </c>
      <c r="X510" s="1358">
        <v>100000</v>
      </c>
      <c r="Y510" s="1358">
        <v>100000</v>
      </c>
      <c r="Z510" s="570">
        <v>100000</v>
      </c>
      <c r="AA510" s="570">
        <v>100000</v>
      </c>
      <c r="AB510" s="570">
        <v>100000</v>
      </c>
      <c r="AC510" s="570">
        <v>100000</v>
      </c>
      <c r="AD510" s="570">
        <v>100000</v>
      </c>
      <c r="AE510" s="570">
        <v>100000</v>
      </c>
      <c r="AF510" s="253">
        <f t="shared" si="74"/>
        <v>100000</v>
      </c>
      <c r="AG510" s="1358"/>
      <c r="AK510" s="339"/>
    </row>
    <row r="511" spans="1:37" ht="33.75" hidden="1" customHeight="1" outlineLevel="1" x14ac:dyDescent="0.25">
      <c r="A511" s="2147"/>
      <c r="D511" s="574" t="s">
        <v>1649</v>
      </c>
      <c r="E511" s="1243" t="s">
        <v>1650</v>
      </c>
      <c r="F511" s="1243"/>
      <c r="G511" s="1821">
        <v>0.71</v>
      </c>
      <c r="H511" s="2540"/>
      <c r="I511" s="2479"/>
      <c r="J511" s="2608"/>
      <c r="K511" s="2608"/>
      <c r="L511" s="2608"/>
      <c r="M511" s="571"/>
      <c r="V511" s="277" t="str">
        <f t="shared" si="75"/>
        <v>Effheat</v>
      </c>
      <c r="W511" s="1374">
        <v>0.78</v>
      </c>
      <c r="X511" s="1374">
        <v>0.78</v>
      </c>
      <c r="Y511" s="1374">
        <v>0.78</v>
      </c>
      <c r="Z511" s="575">
        <v>0.78</v>
      </c>
      <c r="AA511" s="575">
        <v>0.78</v>
      </c>
      <c r="AB511" s="575">
        <v>0.78</v>
      </c>
      <c r="AC511" s="575">
        <v>0.78</v>
      </c>
      <c r="AD511" s="575">
        <v>0.78</v>
      </c>
      <c r="AE511" s="575">
        <v>0.78</v>
      </c>
      <c r="AF511" s="253">
        <f t="shared" si="74"/>
        <v>0.71</v>
      </c>
      <c r="AG511" s="1374"/>
      <c r="AK511" s="339"/>
    </row>
    <row r="512" spans="1:37" hidden="1" outlineLevel="1" x14ac:dyDescent="0.25">
      <c r="A512" s="2147"/>
      <c r="D512" s="1248" t="s">
        <v>852</v>
      </c>
      <c r="E512" s="1248" t="s">
        <v>1651</v>
      </c>
      <c r="F512" s="1248"/>
      <c r="G512" s="1480">
        <v>1</v>
      </c>
      <c r="H512" s="2533" t="s">
        <v>855</v>
      </c>
      <c r="I512" s="2508"/>
      <c r="J512" s="2534" t="s">
        <v>1652</v>
      </c>
      <c r="K512" s="2534"/>
      <c r="L512" s="2534"/>
      <c r="M512" s="571"/>
      <c r="V512" s="277" t="str">
        <f t="shared" si="75"/>
        <v>Electric Saturation</v>
      </c>
      <c r="W512" s="309">
        <v>1</v>
      </c>
      <c r="X512" s="309">
        <v>1</v>
      </c>
      <c r="Y512" s="309">
        <v>1</v>
      </c>
      <c r="Z512" s="348">
        <v>1</v>
      </c>
      <c r="AA512" s="348">
        <v>1</v>
      </c>
      <c r="AB512" s="348">
        <v>1</v>
      </c>
      <c r="AC512" s="348">
        <v>1</v>
      </c>
      <c r="AD512" s="348">
        <v>1</v>
      </c>
      <c r="AE512" s="348">
        <v>1</v>
      </c>
      <c r="AF512" s="253">
        <f t="shared" si="74"/>
        <v>1</v>
      </c>
      <c r="AG512" s="309"/>
      <c r="AK512" s="339"/>
    </row>
    <row r="513" spans="1:114" hidden="1" outlineLevel="1" x14ac:dyDescent="0.25">
      <c r="A513" s="2147"/>
      <c r="D513" s="1248" t="s">
        <v>825</v>
      </c>
      <c r="E513" s="1248" t="s">
        <v>795</v>
      </c>
      <c r="F513" s="1248"/>
      <c r="G513" s="1480">
        <v>1</v>
      </c>
      <c r="H513" s="2533" t="s">
        <v>855</v>
      </c>
      <c r="I513" s="2508"/>
      <c r="J513" s="2534" t="s">
        <v>1652</v>
      </c>
      <c r="K513" s="2534"/>
      <c r="L513" s="2534"/>
      <c r="M513" s="571"/>
      <c r="V513" s="277" t="str">
        <f t="shared" si="75"/>
        <v>Utility Adjustment</v>
      </c>
      <c r="W513" s="309">
        <v>1</v>
      </c>
      <c r="X513" s="309">
        <v>1</v>
      </c>
      <c r="Y513" s="309">
        <v>1</v>
      </c>
      <c r="Z513" s="348">
        <v>1</v>
      </c>
      <c r="AA513" s="348">
        <v>1</v>
      </c>
      <c r="AB513" s="348">
        <v>1</v>
      </c>
      <c r="AC513" s="348">
        <v>1</v>
      </c>
      <c r="AD513" s="348">
        <v>1</v>
      </c>
      <c r="AE513" s="348">
        <v>1</v>
      </c>
      <c r="AF513" s="253">
        <f t="shared" si="74"/>
        <v>1</v>
      </c>
      <c r="AG513" s="309"/>
      <c r="AK513" s="339"/>
    </row>
    <row r="514" spans="1:114" hidden="1" outlineLevel="1" x14ac:dyDescent="0.25">
      <c r="A514" s="2147"/>
      <c r="D514" s="1279" t="s">
        <v>105</v>
      </c>
      <c r="E514" s="1279" t="s">
        <v>1653</v>
      </c>
      <c r="F514" s="1304"/>
      <c r="G514" s="1481">
        <v>1</v>
      </c>
      <c r="H514" s="2540" t="s">
        <v>1654</v>
      </c>
      <c r="I514" s="2479"/>
      <c r="J514" s="2608" t="s">
        <v>1655</v>
      </c>
      <c r="K514" s="2608"/>
      <c r="L514" s="2608"/>
      <c r="M514" s="571"/>
      <c r="V514" s="277" t="str">
        <f t="shared" si="75"/>
        <v>ISR</v>
      </c>
      <c r="W514" s="310">
        <v>1</v>
      </c>
      <c r="X514" s="310">
        <v>1</v>
      </c>
      <c r="Y514" s="310">
        <v>1</v>
      </c>
      <c r="Z514" s="343">
        <v>1</v>
      </c>
      <c r="AA514" s="343">
        <v>1</v>
      </c>
      <c r="AB514" s="343">
        <v>1</v>
      </c>
      <c r="AC514" s="377">
        <v>1</v>
      </c>
      <c r="AD514" s="377">
        <v>1</v>
      </c>
      <c r="AE514" s="377">
        <v>1</v>
      </c>
      <c r="AF514" s="253">
        <f t="shared" si="74"/>
        <v>1</v>
      </c>
      <c r="AG514" s="310"/>
      <c r="AK514" s="339"/>
    </row>
    <row r="515" spans="1:114" ht="47.25" hidden="1" customHeight="1" outlineLevel="1" x14ac:dyDescent="0.25">
      <c r="A515" s="2147"/>
      <c r="D515" s="1306" t="str">
        <f>D480</f>
        <v>EUL</v>
      </c>
      <c r="E515" s="1306" t="str">
        <f>E480</f>
        <v>Effective Useful Life</v>
      </c>
      <c r="F515" s="321" t="s">
        <v>742</v>
      </c>
      <c r="G515" s="1441">
        <v>20</v>
      </c>
      <c r="H515" s="2533" t="s">
        <v>1656</v>
      </c>
      <c r="I515" s="2508"/>
      <c r="J515" s="2534"/>
      <c r="K515" s="2534"/>
      <c r="L515" s="2534"/>
      <c r="M515" s="571"/>
      <c r="V515" s="277" t="str">
        <f>D515</f>
        <v>EUL</v>
      </c>
      <c r="W515" s="311">
        <v>20</v>
      </c>
      <c r="X515" s="311">
        <v>20</v>
      </c>
      <c r="Y515" s="311">
        <v>20</v>
      </c>
      <c r="Z515" s="237">
        <v>20</v>
      </c>
      <c r="AA515" s="237">
        <v>20</v>
      </c>
      <c r="AB515" s="237">
        <v>20</v>
      </c>
      <c r="AC515" s="383">
        <v>20</v>
      </c>
      <c r="AD515" s="383">
        <v>20</v>
      </c>
      <c r="AE515" s="383">
        <v>20</v>
      </c>
      <c r="AF515" s="253">
        <f t="shared" si="74"/>
        <v>20</v>
      </c>
      <c r="AG515" s="311"/>
      <c r="AK515" s="339"/>
    </row>
    <row r="516" spans="1:114" hidden="1" outlineLevel="1" x14ac:dyDescent="0.25">
      <c r="A516" s="2147"/>
      <c r="D516" s="1306" t="str">
        <f>D481</f>
        <v>Inc. Cost</v>
      </c>
      <c r="E516" s="1306" t="str">
        <f>E481</f>
        <v>Incremental Cost</v>
      </c>
      <c r="F516" s="697" t="s">
        <v>742</v>
      </c>
      <c r="G516" s="1476">
        <f>138.7/SQRT(1080)</f>
        <v>4.2205065958870298</v>
      </c>
      <c r="H516" s="2540"/>
      <c r="I516" s="2479"/>
      <c r="J516" s="2608" t="s">
        <v>1657</v>
      </c>
      <c r="K516" s="2608"/>
      <c r="L516" s="2608"/>
      <c r="M516" s="571"/>
      <c r="V516" s="277" t="str">
        <f>D516</f>
        <v>Inc. Cost</v>
      </c>
      <c r="W516" s="280">
        <v>138.69999999999999</v>
      </c>
      <c r="X516" s="280">
        <v>138.69999999999999</v>
      </c>
      <c r="Y516" s="189">
        <f>138.7/SQRT(1080)</f>
        <v>4.2205065958870298</v>
      </c>
      <c r="Z516" s="128">
        <f>138.7/SQRT(1080)</f>
        <v>4.2205065958870298</v>
      </c>
      <c r="AA516" s="128">
        <f>138.7/SQRT(1080)</f>
        <v>4.2205065958870298</v>
      </c>
      <c r="AB516" s="128">
        <v>4.2205065958870298</v>
      </c>
      <c r="AC516" s="128">
        <v>4.2205065958870298</v>
      </c>
      <c r="AD516" s="128">
        <v>4.2205065958870298</v>
      </c>
      <c r="AE516" s="128">
        <v>4.2205065958870298</v>
      </c>
      <c r="AF516" s="253">
        <f t="shared" si="74"/>
        <v>4.2205065958870298</v>
      </c>
      <c r="AG516" s="280"/>
      <c r="AK516" s="339"/>
    </row>
    <row r="517" spans="1:114" hidden="1" outlineLevel="1" x14ac:dyDescent="0.25">
      <c r="A517" s="2147"/>
      <c r="D517" s="1277"/>
      <c r="E517" s="1277"/>
      <c r="F517" s="576"/>
      <c r="G517" s="576"/>
      <c r="H517" s="576"/>
      <c r="Y517" s="516" t="s">
        <v>1454</v>
      </c>
      <c r="AK517" s="339"/>
    </row>
    <row r="518" spans="1:114" collapsed="1" x14ac:dyDescent="0.25">
      <c r="A518" s="2147"/>
      <c r="D518" s="1277"/>
      <c r="E518" s="1277"/>
      <c r="F518" s="576"/>
      <c r="G518" s="576"/>
      <c r="H518" s="576"/>
      <c r="AK518" s="339"/>
    </row>
    <row r="519" spans="1:114" x14ac:dyDescent="0.25">
      <c r="A519" s="2147"/>
      <c r="B519" s="2388" t="s">
        <v>1658</v>
      </c>
      <c r="C519" s="2389"/>
      <c r="D519" s="2389"/>
      <c r="E519" s="2389"/>
      <c r="F519" s="2389"/>
      <c r="G519" s="2389"/>
      <c r="H519" s="2389"/>
      <c r="I519" s="2390"/>
      <c r="J519" s="2390"/>
      <c r="K519" s="2390"/>
      <c r="L519" s="2390"/>
      <c r="M519" s="2390"/>
      <c r="N519" s="2390"/>
      <c r="O519" s="2390"/>
      <c r="P519" s="2390"/>
      <c r="Q519" s="2390"/>
      <c r="R519" s="2391"/>
      <c r="V519" s="2339" t="str">
        <f>B519</f>
        <v>Duct Repair (Duct Sealing and Repair - Methodology 3)</v>
      </c>
      <c r="W519" s="2340"/>
      <c r="X519" s="2340"/>
      <c r="Y519" s="2340"/>
      <c r="Z519" s="2340"/>
      <c r="AA519" s="2340"/>
      <c r="AB519" s="2340"/>
      <c r="AC519" s="2341"/>
      <c r="AD519" s="2341"/>
      <c r="AE519" s="2341"/>
      <c r="AF519" s="2341"/>
      <c r="AG519" s="2341"/>
      <c r="AH519" s="2341"/>
      <c r="AI519" s="2342"/>
      <c r="AK519" s="339"/>
    </row>
    <row r="520" spans="1:114" ht="15" customHeight="1" x14ac:dyDescent="0.25">
      <c r="A520" s="2147"/>
      <c r="AK520" s="339"/>
    </row>
    <row r="521" spans="1:114" ht="45" x14ac:dyDescent="0.25">
      <c r="A521" s="2147"/>
      <c r="C521" s="1242" t="s">
        <v>43</v>
      </c>
      <c r="D521" s="1242" t="s">
        <v>597</v>
      </c>
      <c r="E521" s="1242" t="s">
        <v>45</v>
      </c>
      <c r="F521" s="1242" t="s">
        <v>1601</v>
      </c>
      <c r="G521" s="1242" t="s">
        <v>47</v>
      </c>
      <c r="H521" s="1242" t="s">
        <v>48</v>
      </c>
      <c r="I521" s="1242" t="s">
        <v>1602</v>
      </c>
      <c r="J521" s="1242" t="s">
        <v>1603</v>
      </c>
      <c r="K521" s="1242" t="s">
        <v>49</v>
      </c>
      <c r="L521" s="1242" t="s">
        <v>50</v>
      </c>
      <c r="M521" s="1242" t="s">
        <v>1605</v>
      </c>
      <c r="N521" s="1242" t="s">
        <v>1606</v>
      </c>
      <c r="V521" s="636" t="s">
        <v>53</v>
      </c>
      <c r="W521" s="637">
        <f>W$6</f>
        <v>43252</v>
      </c>
      <c r="X521" s="637">
        <f t="shared" ref="X521:AG521" si="76">X$6</f>
        <v>43465</v>
      </c>
      <c r="Y521" s="110">
        <f t="shared" si="76"/>
        <v>43800</v>
      </c>
      <c r="Z521" s="637">
        <f t="shared" si="76"/>
        <v>43862</v>
      </c>
      <c r="AA521" s="637">
        <f t="shared" si="76"/>
        <v>44013</v>
      </c>
      <c r="AB521" s="637">
        <f t="shared" si="76"/>
        <v>44166</v>
      </c>
      <c r="AC521" s="637">
        <f t="shared" si="76"/>
        <v>44531</v>
      </c>
      <c r="AD521" s="637">
        <f t="shared" si="76"/>
        <v>44774</v>
      </c>
      <c r="AE521" s="637">
        <f t="shared" si="76"/>
        <v>45139</v>
      </c>
      <c r="AF521" s="637">
        <f t="shared" si="76"/>
        <v>45672</v>
      </c>
      <c r="AG521" s="637">
        <f t="shared" si="76"/>
        <v>45971</v>
      </c>
      <c r="AK521" s="339"/>
      <c r="DG521" s="991" t="str">
        <f>$DG$6</f>
        <v>TRC (2025)</v>
      </c>
      <c r="DH521" s="761" t="str">
        <f>$DH$6</f>
        <v>Benefit Lookup</v>
      </c>
      <c r="DI521" s="1006" t="str">
        <f>$DI$6</f>
        <v>Benefits (2025 $)</v>
      </c>
      <c r="DJ521" s="1031" t="str">
        <f>$DJ$6</f>
        <v>Incremental Cost (2025 $)</v>
      </c>
    </row>
    <row r="522" spans="1:114" ht="15" customHeight="1" x14ac:dyDescent="0.25">
      <c r="A522" s="2147" t="s">
        <v>840</v>
      </c>
      <c r="B522" s="1318">
        <f t="shared" ref="B522:B527" si="77">VALUE(LEFT(C522,6))</f>
        <v>402450</v>
      </c>
      <c r="C522" s="132" t="s">
        <v>1659</v>
      </c>
      <c r="D522" s="1994" t="s">
        <v>810</v>
      </c>
      <c r="E522" s="121" t="s">
        <v>1660</v>
      </c>
      <c r="F522" s="170">
        <f t="shared" ref="F522:F527" si="78">ROUND(I522+J522,2)</f>
        <v>4.92</v>
      </c>
      <c r="G522" s="132" t="s">
        <v>812</v>
      </c>
      <c r="H522" s="66">
        <f>VLOOKUP(G522,'CP FACTORS'!$A$3:$B$38, 2, FALSE)</f>
        <v>4.6608050000000002E-4</v>
      </c>
      <c r="I522" s="318">
        <f>$G$535*$G$538</f>
        <v>0.81</v>
      </c>
      <c r="J522" s="318">
        <f>$G$539*$G$538</f>
        <v>4.1100000000000003</v>
      </c>
      <c r="K522" s="256">
        <f t="shared" ref="K522:K527" si="79">ROUND(H522*F522,6)</f>
        <v>2.2929999999999999E-3</v>
      </c>
      <c r="L522" s="318">
        <f t="shared" ref="L522:L527" si="80">$G$550</f>
        <v>20</v>
      </c>
      <c r="M522" s="190">
        <f t="shared" ref="M522:M527" si="81">$G$551</f>
        <v>8.0376653213977498</v>
      </c>
      <c r="N522" s="318">
        <f t="shared" ref="N522:N527" si="82">$G$538</f>
        <v>1</v>
      </c>
      <c r="V522" s="337" t="str">
        <f t="shared" ref="V522:V527" si="83">$F$486</f>
        <v>kWh
Annual Savings</v>
      </c>
      <c r="W522" s="312">
        <v>183.23284858343499</v>
      </c>
      <c r="X522" s="251">
        <v>183.23284858343499</v>
      </c>
      <c r="Y522" s="254">
        <v>4.92</v>
      </c>
      <c r="Z522" s="252">
        <v>4.92</v>
      </c>
      <c r="AA522" s="252">
        <v>4.92</v>
      </c>
      <c r="AB522" s="395">
        <v>4.92</v>
      </c>
      <c r="AC522" s="170">
        <v>4.92</v>
      </c>
      <c r="AD522" s="170">
        <v>4.92</v>
      </c>
      <c r="AE522" s="170">
        <v>4.92</v>
      </c>
      <c r="AF522" s="253">
        <f t="shared" ref="AF522:AF527" si="84">IF(F522&lt;&gt;"",F522,"")</f>
        <v>4.92</v>
      </c>
      <c r="AG522" s="337"/>
      <c r="AK522" s="339"/>
      <c r="DG522" s="993">
        <f t="shared" ref="DG522:DG527" si="85">(DI522)/(DJ522)</f>
        <v>0.93198113324130205</v>
      </c>
      <c r="DH522" s="1272" t="str">
        <f t="shared" ref="DH522:DH527" si="86">CONCATENATE(G522," ",L522," Year EUL")</f>
        <v>HVAC RES 20 Year EUL</v>
      </c>
      <c r="DI522" s="945">
        <f>(INDEX('Avoided Cost Benefits'!$B$4:$B$865,MATCH(DH522,'Avoided Cost Benefits'!$A$4:$A$865,0)))*F522</f>
        <v>7.4909524348505894</v>
      </c>
      <c r="DJ522" s="1848">
        <f t="shared" ref="DJ522:DJ527" si="87">IFERROR(M522/((1+DiscountRate)^(CurrentYear-DiscountYear)),0)</f>
        <v>8.0376653213977498</v>
      </c>
    </row>
    <row r="523" spans="1:114" ht="15" customHeight="1" x14ac:dyDescent="0.25">
      <c r="A523" s="2147" t="s">
        <v>840</v>
      </c>
      <c r="B523" s="1318">
        <f t="shared" si="77"/>
        <v>402451</v>
      </c>
      <c r="C523" s="132" t="s">
        <v>1661</v>
      </c>
      <c r="D523" s="1994" t="s">
        <v>810</v>
      </c>
      <c r="E523" s="121" t="s">
        <v>1662</v>
      </c>
      <c r="F523" s="170">
        <f t="shared" si="78"/>
        <v>1</v>
      </c>
      <c r="G523" s="132" t="s">
        <v>812</v>
      </c>
      <c r="H523" s="66">
        <f>VLOOKUP(G523,'CP FACTORS'!$A$3:$B$38, 2, FALSE)</f>
        <v>4.6608050000000002E-4</v>
      </c>
      <c r="I523" s="318">
        <f>$G$535*$G$538</f>
        <v>0.81</v>
      </c>
      <c r="J523" s="318">
        <f>$G$542*$G$538*$G$545*$G$546</f>
        <v>0.19320419999999999</v>
      </c>
      <c r="K523" s="256">
        <f t="shared" si="79"/>
        <v>4.66E-4</v>
      </c>
      <c r="L523" s="318">
        <f t="shared" si="80"/>
        <v>20</v>
      </c>
      <c r="M523" s="190">
        <f t="shared" si="81"/>
        <v>8.0376653213977498</v>
      </c>
      <c r="N523" s="318">
        <f t="shared" si="82"/>
        <v>1</v>
      </c>
      <c r="V523" s="337" t="str">
        <f t="shared" si="83"/>
        <v>kWh
Annual Savings</v>
      </c>
      <c r="W523" s="312"/>
      <c r="X523" s="251"/>
      <c r="Y523" s="254">
        <v>1.02</v>
      </c>
      <c r="Z523" s="252">
        <v>1.02</v>
      </c>
      <c r="AA523" s="252">
        <v>1.02</v>
      </c>
      <c r="AB523" s="395">
        <v>1.02</v>
      </c>
      <c r="AC523" s="188">
        <v>1</v>
      </c>
      <c r="AD523" s="170">
        <v>1</v>
      </c>
      <c r="AE523" s="170">
        <v>1</v>
      </c>
      <c r="AF523" s="253">
        <f t="shared" si="84"/>
        <v>1</v>
      </c>
      <c r="AG523" s="337"/>
      <c r="AK523" s="339"/>
      <c r="DG523" s="994">
        <f t="shared" si="85"/>
        <v>0.18942705960189066</v>
      </c>
      <c r="DH523" s="641" t="str">
        <f t="shared" si="86"/>
        <v>HVAC RES 20 Year EUL</v>
      </c>
      <c r="DI523" s="527">
        <f>(INDEX('Avoided Cost Benefits'!$B$4:$B$865,MATCH(DH523,'Avoided Cost Benefits'!$A$4:$A$865,0)))*F523</f>
        <v>1.5225513078964612</v>
      </c>
      <c r="DJ523" s="1849">
        <f t="shared" si="87"/>
        <v>8.0376653213977498</v>
      </c>
    </row>
    <row r="524" spans="1:114" ht="15" customHeight="1" x14ac:dyDescent="0.25">
      <c r="A524" s="2147" t="s">
        <v>602</v>
      </c>
      <c r="B524" s="1318">
        <f t="shared" si="77"/>
        <v>402452</v>
      </c>
      <c r="C524" s="132" t="s">
        <v>1663</v>
      </c>
      <c r="D524" s="1994" t="s">
        <v>810</v>
      </c>
      <c r="E524" s="121" t="s">
        <v>1664</v>
      </c>
      <c r="F524" s="170">
        <f t="shared" si="78"/>
        <v>4.1100000000000003</v>
      </c>
      <c r="G524" s="132" t="s">
        <v>812</v>
      </c>
      <c r="H524" s="66">
        <f>VLOOKUP(G524,'CP FACTORS'!$A$3:$B$38, 2, FALSE)</f>
        <v>4.6608050000000002E-4</v>
      </c>
      <c r="I524" s="515">
        <f>$G$536*$G$538</f>
        <v>0.7</v>
      </c>
      <c r="J524" s="515">
        <f>$G$540*$G$538</f>
        <v>3.41</v>
      </c>
      <c r="K524" s="755">
        <f t="shared" si="79"/>
        <v>1.916E-3</v>
      </c>
      <c r="L524" s="318">
        <f t="shared" si="80"/>
        <v>20</v>
      </c>
      <c r="M524" s="697">
        <f t="shared" si="81"/>
        <v>8.0376653213977498</v>
      </c>
      <c r="N524" s="318">
        <f t="shared" si="82"/>
        <v>1</v>
      </c>
      <c r="V524" s="1249" t="str">
        <f t="shared" si="83"/>
        <v>kWh
Annual Savings</v>
      </c>
      <c r="W524" s="703"/>
      <c r="X524" s="704"/>
      <c r="Y524" s="254"/>
      <c r="Z524" s="254"/>
      <c r="AA524" s="254"/>
      <c r="AB524" s="112">
        <v>4.1100000000000003</v>
      </c>
      <c r="AC524" s="170">
        <v>4.1100000000000003</v>
      </c>
      <c r="AD524" s="170">
        <v>4.1100000000000003</v>
      </c>
      <c r="AE524" s="170">
        <v>4.1100000000000003</v>
      </c>
      <c r="AF524" s="253">
        <f t="shared" si="84"/>
        <v>4.1100000000000003</v>
      </c>
      <c r="AG524" s="337"/>
      <c r="AK524" s="339"/>
      <c r="DG524" s="994">
        <f t="shared" si="85"/>
        <v>0.77854521496377072</v>
      </c>
      <c r="DH524" s="641" t="str">
        <f t="shared" si="86"/>
        <v>HVAC RES 20 Year EUL</v>
      </c>
      <c r="DI524" s="527">
        <f>(INDEX('Avoided Cost Benefits'!$B$4:$B$865,MATCH(DH524,'Avoided Cost Benefits'!$A$4:$A$865,0)))*F524</f>
        <v>6.257685875454456</v>
      </c>
      <c r="DJ524" s="1849">
        <f t="shared" si="87"/>
        <v>8.0376653213977498</v>
      </c>
    </row>
    <row r="525" spans="1:114" ht="15" customHeight="1" x14ac:dyDescent="0.25">
      <c r="A525" s="2147" t="s">
        <v>602</v>
      </c>
      <c r="B525" s="1318">
        <f t="shared" si="77"/>
        <v>402453</v>
      </c>
      <c r="C525" s="132" t="s">
        <v>1665</v>
      </c>
      <c r="D525" s="1994" t="s">
        <v>810</v>
      </c>
      <c r="E525" s="121" t="s">
        <v>1666</v>
      </c>
      <c r="F525" s="170">
        <f t="shared" si="78"/>
        <v>0.87</v>
      </c>
      <c r="G525" s="132" t="s">
        <v>812</v>
      </c>
      <c r="H525" s="66">
        <f>VLOOKUP(G525,'CP FACTORS'!$A$3:$B$38, 2, FALSE)</f>
        <v>4.6608050000000002E-4</v>
      </c>
      <c r="I525" s="515">
        <f>$G$536*$G$538</f>
        <v>0.7</v>
      </c>
      <c r="J525" s="515">
        <f>$G$543*$G$538*$G$545*$G$546</f>
        <v>0.17480380000000001</v>
      </c>
      <c r="K525" s="755">
        <f t="shared" si="79"/>
        <v>4.0499999999999998E-4</v>
      </c>
      <c r="L525" s="318">
        <f t="shared" si="80"/>
        <v>20</v>
      </c>
      <c r="M525" s="697">
        <f t="shared" si="81"/>
        <v>8.0376653213977498</v>
      </c>
      <c r="N525" s="318">
        <f t="shared" si="82"/>
        <v>1</v>
      </c>
      <c r="V525" s="1249" t="str">
        <f t="shared" si="83"/>
        <v>kWh
Annual Savings</v>
      </c>
      <c r="W525" s="703"/>
      <c r="X525" s="704"/>
      <c r="Y525" s="254"/>
      <c r="Z525" s="254"/>
      <c r="AA525" s="254"/>
      <c r="AB525" s="112">
        <v>0.89</v>
      </c>
      <c r="AC525" s="188">
        <v>0.87</v>
      </c>
      <c r="AD525" s="170">
        <v>0.87</v>
      </c>
      <c r="AE525" s="170">
        <v>0.87</v>
      </c>
      <c r="AF525" s="253">
        <f t="shared" si="84"/>
        <v>0.87</v>
      </c>
      <c r="AG525" s="337"/>
      <c r="AK525" s="339"/>
      <c r="DG525" s="994">
        <f t="shared" si="85"/>
        <v>0.16480154185364487</v>
      </c>
      <c r="DH525" s="641" t="str">
        <f t="shared" si="86"/>
        <v>HVAC RES 20 Year EUL</v>
      </c>
      <c r="DI525" s="527">
        <f>(INDEX('Avoided Cost Benefits'!$B$4:$B$865,MATCH(DH525,'Avoided Cost Benefits'!$A$4:$A$865,0)))*F525</f>
        <v>1.3246196378699213</v>
      </c>
      <c r="DJ525" s="1849">
        <f t="shared" si="87"/>
        <v>8.0376653213977498</v>
      </c>
    </row>
    <row r="526" spans="1:114" ht="15" customHeight="1" x14ac:dyDescent="0.25">
      <c r="A526" s="2147" t="s">
        <v>840</v>
      </c>
      <c r="B526" s="1318">
        <f t="shared" si="77"/>
        <v>402500</v>
      </c>
      <c r="C526" s="132" t="s">
        <v>1667</v>
      </c>
      <c r="D526" s="1994" t="s">
        <v>810</v>
      </c>
      <c r="E526" s="121" t="s">
        <v>1668</v>
      </c>
      <c r="F526" s="170">
        <f t="shared" si="78"/>
        <v>6.01</v>
      </c>
      <c r="G526" s="132" t="s">
        <v>812</v>
      </c>
      <c r="H526" s="66">
        <f>VLOOKUP(G526,'CP FACTORS'!$A$3:$B$38, 2, FALSE)</f>
        <v>4.6608050000000002E-4</v>
      </c>
      <c r="I526" s="318">
        <f>G537*G538</f>
        <v>0.95</v>
      </c>
      <c r="J526" s="318">
        <f>$G$541*$G$538</f>
        <v>5.0599999999999996</v>
      </c>
      <c r="K526" s="256">
        <f t="shared" si="79"/>
        <v>2.8010000000000001E-3</v>
      </c>
      <c r="L526" s="318">
        <f t="shared" si="80"/>
        <v>20</v>
      </c>
      <c r="M526" s="190">
        <f t="shared" si="81"/>
        <v>8.0376653213977498</v>
      </c>
      <c r="N526" s="318">
        <f t="shared" si="82"/>
        <v>1</v>
      </c>
      <c r="V526" s="1249" t="str">
        <f t="shared" si="83"/>
        <v>kWh
Annual Savings</v>
      </c>
      <c r="W526" s="312">
        <v>218.61317503755345</v>
      </c>
      <c r="X526" s="251">
        <v>218.61317503755345</v>
      </c>
      <c r="Y526" s="254">
        <v>6.01</v>
      </c>
      <c r="Z526" s="252">
        <v>6.01</v>
      </c>
      <c r="AA526" s="252">
        <v>6.01</v>
      </c>
      <c r="AB526" s="395">
        <v>6.01</v>
      </c>
      <c r="AC526" s="170">
        <v>6.01</v>
      </c>
      <c r="AD526" s="170">
        <v>6.01</v>
      </c>
      <c r="AE526" s="170">
        <v>6.01</v>
      </c>
      <c r="AF526" s="253">
        <f t="shared" si="84"/>
        <v>6.01</v>
      </c>
      <c r="AG526" s="337"/>
      <c r="AK526" s="339"/>
      <c r="DG526" s="994">
        <f t="shared" si="85"/>
        <v>1.1384566282073629</v>
      </c>
      <c r="DH526" s="641" t="str">
        <f t="shared" si="86"/>
        <v>HVAC RES 20 Year EUL</v>
      </c>
      <c r="DI526" s="527">
        <f>(INDEX('Avoided Cost Benefits'!$B$4:$B$865,MATCH(DH526,'Avoided Cost Benefits'!$A$4:$A$865,0)))*F526</f>
        <v>9.1505333604577324</v>
      </c>
      <c r="DJ526" s="1849">
        <f t="shared" si="87"/>
        <v>8.0376653213977498</v>
      </c>
    </row>
    <row r="527" spans="1:114" ht="15" customHeight="1" x14ac:dyDescent="0.25">
      <c r="A527" s="2147" t="s">
        <v>840</v>
      </c>
      <c r="B527" s="1318">
        <f t="shared" si="77"/>
        <v>402501</v>
      </c>
      <c r="C527" s="132" t="s">
        <v>1669</v>
      </c>
      <c r="D527" s="1994" t="s">
        <v>810</v>
      </c>
      <c r="E527" s="121" t="s">
        <v>1670</v>
      </c>
      <c r="F527" s="170">
        <f t="shared" si="78"/>
        <v>1.19</v>
      </c>
      <c r="G527" s="132" t="s">
        <v>812</v>
      </c>
      <c r="H527" s="66">
        <f>VLOOKUP(G527,'CP FACTORS'!$A$3:$B$38, 2, FALSE)</f>
        <v>4.6608050000000002E-4</v>
      </c>
      <c r="I527" s="318">
        <f>$G$537*$G$538</f>
        <v>0.95</v>
      </c>
      <c r="J527" s="318">
        <f>$G$544*$G$538*$G$545*$G$546</f>
        <v>0.23920519999999998</v>
      </c>
      <c r="K527" s="256">
        <f t="shared" si="79"/>
        <v>5.5500000000000005E-4</v>
      </c>
      <c r="L527" s="318">
        <f t="shared" si="80"/>
        <v>20</v>
      </c>
      <c r="M527" s="190">
        <f t="shared" si="81"/>
        <v>8.0376653213977498</v>
      </c>
      <c r="N527" s="318">
        <f t="shared" si="82"/>
        <v>1</v>
      </c>
      <c r="V527" s="337" t="str">
        <f t="shared" si="83"/>
        <v>kWh
Annual Savings</v>
      </c>
      <c r="W527" s="312"/>
      <c r="X527" s="251"/>
      <c r="Y527" s="254">
        <v>1.21</v>
      </c>
      <c r="Z527" s="252">
        <v>1.21</v>
      </c>
      <c r="AA527" s="252">
        <v>1.21</v>
      </c>
      <c r="AB527" s="395">
        <v>1.21</v>
      </c>
      <c r="AC527" s="188">
        <v>1.19</v>
      </c>
      <c r="AD527" s="170">
        <v>1.19</v>
      </c>
      <c r="AE527" s="170">
        <v>1.19</v>
      </c>
      <c r="AF527" s="253">
        <f t="shared" si="84"/>
        <v>1.19</v>
      </c>
      <c r="AG527" s="337"/>
      <c r="AK527" s="339"/>
      <c r="DG527" s="995">
        <f t="shared" si="85"/>
        <v>0.22541820092624987</v>
      </c>
      <c r="DH527" s="641" t="str">
        <f t="shared" si="86"/>
        <v>HVAC RES 20 Year EUL</v>
      </c>
      <c r="DI527" s="1003">
        <f>(INDEX('Avoided Cost Benefits'!$B$4:$B$865,MATCH(DH527,'Avoided Cost Benefits'!$A$4:$A$865,0)))*F527</f>
        <v>1.8118360563967888</v>
      </c>
      <c r="DJ527" s="1850">
        <f t="shared" si="87"/>
        <v>8.0376653213977498</v>
      </c>
    </row>
    <row r="528" spans="1:114" ht="15" hidden="1" customHeight="1" outlineLevel="1" x14ac:dyDescent="0.25">
      <c r="A528" s="2147"/>
      <c r="D528" s="74" t="s">
        <v>95</v>
      </c>
      <c r="E528" s="74" t="s">
        <v>1671</v>
      </c>
      <c r="I528" s="265" t="s">
        <v>1614</v>
      </c>
      <c r="Y528" s="516" t="s">
        <v>1454</v>
      </c>
      <c r="AK528" s="339"/>
      <c r="DJ528" s="1073"/>
    </row>
    <row r="529" spans="1:114" ht="15" hidden="1" customHeight="1" outlineLevel="1" x14ac:dyDescent="0.25">
      <c r="A529" s="2147"/>
      <c r="D529" s="74" t="s">
        <v>609</v>
      </c>
      <c r="E529" s="126" t="s">
        <v>1672</v>
      </c>
      <c r="F529" s="263"/>
      <c r="G529" s="263"/>
      <c r="AK529" s="339"/>
      <c r="DJ529" s="1073"/>
    </row>
    <row r="530" spans="1:114" ht="15" hidden="1" customHeight="1" outlineLevel="1" x14ac:dyDescent="0.25">
      <c r="A530" s="2147"/>
      <c r="D530" s="126" t="s">
        <v>1673</v>
      </c>
      <c r="E530" s="126" t="s">
        <v>1674</v>
      </c>
      <c r="F530" s="263"/>
      <c r="G530" s="263"/>
      <c r="AK530" s="339"/>
      <c r="DJ530" s="1073"/>
    </row>
    <row r="531" spans="1:114" hidden="1" outlineLevel="1" x14ac:dyDescent="0.25">
      <c r="A531" s="2147"/>
      <c r="E531" s="126" t="s">
        <v>1675</v>
      </c>
      <c r="F531" s="263"/>
      <c r="G531" s="263"/>
      <c r="AK531" s="339"/>
      <c r="DJ531" s="1073"/>
    </row>
    <row r="532" spans="1:114" ht="15" hidden="1" customHeight="1" outlineLevel="1" x14ac:dyDescent="0.25">
      <c r="A532" s="2147"/>
      <c r="E532" s="126" t="s">
        <v>1676</v>
      </c>
      <c r="F532" s="263"/>
      <c r="G532" s="263"/>
      <c r="AK532" s="339"/>
      <c r="DJ532" s="1073"/>
    </row>
    <row r="533" spans="1:114" ht="15" hidden="1" customHeight="1" outlineLevel="1" x14ac:dyDescent="0.25">
      <c r="A533" s="2147"/>
      <c r="AK533" s="339"/>
      <c r="DJ533" s="1073"/>
    </row>
    <row r="534" spans="1:114" ht="15" hidden="1" customHeight="1" outlineLevel="1" x14ac:dyDescent="0.25">
      <c r="A534" s="2147"/>
      <c r="D534" s="1309" t="s">
        <v>720</v>
      </c>
      <c r="E534" s="1309" t="s">
        <v>613</v>
      </c>
      <c r="F534" s="1242" t="s">
        <v>614</v>
      </c>
      <c r="G534" s="1242" t="s">
        <v>615</v>
      </c>
      <c r="H534" s="2378" t="s">
        <v>616</v>
      </c>
      <c r="I534" s="2378"/>
      <c r="J534" s="2378" t="s">
        <v>617</v>
      </c>
      <c r="K534" s="2378"/>
      <c r="L534" s="2378"/>
      <c r="V534" s="636" t="s">
        <v>53</v>
      </c>
      <c r="W534" s="637">
        <f>W$6</f>
        <v>43252</v>
      </c>
      <c r="X534" s="637">
        <f t="shared" ref="X534:AG534" si="88">X$6</f>
        <v>43465</v>
      </c>
      <c r="Y534" s="110">
        <f t="shared" si="88"/>
        <v>43800</v>
      </c>
      <c r="Z534" s="637">
        <f t="shared" si="88"/>
        <v>43862</v>
      </c>
      <c r="AA534" s="637">
        <f t="shared" si="88"/>
        <v>44013</v>
      </c>
      <c r="AB534" s="637">
        <f t="shared" si="88"/>
        <v>44166</v>
      </c>
      <c r="AC534" s="637">
        <f t="shared" si="88"/>
        <v>44531</v>
      </c>
      <c r="AD534" s="637">
        <f t="shared" si="88"/>
        <v>44774</v>
      </c>
      <c r="AE534" s="637">
        <f t="shared" si="88"/>
        <v>45139</v>
      </c>
      <c r="AF534" s="637">
        <f t="shared" si="88"/>
        <v>45672</v>
      </c>
      <c r="AG534" s="637">
        <f t="shared" si="88"/>
        <v>45971</v>
      </c>
      <c r="AK534" s="339"/>
      <c r="DJ534" s="1073"/>
    </row>
    <row r="535" spans="1:114" hidden="1" outlineLevel="1" x14ac:dyDescent="0.25">
      <c r="A535" s="2147"/>
      <c r="D535" s="2447" t="s">
        <v>1677</v>
      </c>
      <c r="E535" s="2464" t="s">
        <v>1678</v>
      </c>
      <c r="F535" s="1300" t="s">
        <v>757</v>
      </c>
      <c r="G535" s="1448">
        <v>0.81</v>
      </c>
      <c r="H535" s="2345" t="s">
        <v>1679</v>
      </c>
      <c r="I535" s="2346"/>
      <c r="J535" s="2619" t="s">
        <v>1680</v>
      </c>
      <c r="K535" s="2620"/>
      <c r="L535" s="2621"/>
      <c r="V535" s="2616" t="str">
        <f>D535</f>
        <v>CoolSavingsPerUnit</v>
      </c>
      <c r="W535" s="313">
        <v>0.81</v>
      </c>
      <c r="X535" s="313">
        <v>0.81</v>
      </c>
      <c r="Y535" s="313">
        <v>0.81</v>
      </c>
      <c r="Z535" s="315">
        <v>0.81</v>
      </c>
      <c r="AA535" s="315">
        <v>0.81</v>
      </c>
      <c r="AB535" s="315">
        <v>0.81</v>
      </c>
      <c r="AC535" s="315">
        <v>0.81</v>
      </c>
      <c r="AD535" s="315">
        <v>0.81</v>
      </c>
      <c r="AE535" s="315">
        <v>0.81</v>
      </c>
      <c r="AF535" s="253">
        <f t="shared" ref="AF535:AF551" si="89">IF(G535&lt;&gt;"",G535,"")</f>
        <v>0.81</v>
      </c>
      <c r="AG535" s="305"/>
      <c r="AK535" s="339"/>
      <c r="DJ535" s="1073"/>
    </row>
    <row r="536" spans="1:114" hidden="1" outlineLevel="1" x14ac:dyDescent="0.25">
      <c r="A536" s="2147"/>
      <c r="D536" s="2607"/>
      <c r="E536" s="2465"/>
      <c r="F536" s="1278" t="s">
        <v>759</v>
      </c>
      <c r="G536" s="1448">
        <v>0.7</v>
      </c>
      <c r="H536" s="2347"/>
      <c r="I536" s="2348"/>
      <c r="J536" s="2622"/>
      <c r="K536" s="2623"/>
      <c r="L536" s="2624"/>
      <c r="V536" s="2617"/>
      <c r="W536" s="314">
        <v>0.7</v>
      </c>
      <c r="X536" s="314">
        <v>0.7</v>
      </c>
      <c r="Y536" s="314">
        <v>0.7</v>
      </c>
      <c r="Z536" s="577">
        <v>0.7</v>
      </c>
      <c r="AA536" s="577">
        <v>0.7</v>
      </c>
      <c r="AB536" s="577">
        <v>0.7</v>
      </c>
      <c r="AC536" s="577">
        <v>0.7</v>
      </c>
      <c r="AD536" s="577">
        <v>0.7</v>
      </c>
      <c r="AE536" s="577">
        <v>0.7</v>
      </c>
      <c r="AF536" s="253">
        <f t="shared" si="89"/>
        <v>0.7</v>
      </c>
      <c r="AG536" s="305"/>
      <c r="AK536" s="339"/>
      <c r="DJ536" s="1073"/>
    </row>
    <row r="537" spans="1:114" hidden="1" outlineLevel="1" x14ac:dyDescent="0.25">
      <c r="A537" s="2147"/>
      <c r="D537" s="2448"/>
      <c r="E537" s="2466"/>
      <c r="F537" s="1278" t="s">
        <v>1681</v>
      </c>
      <c r="G537" s="1448">
        <v>0.95</v>
      </c>
      <c r="H537" s="2349"/>
      <c r="I537" s="2350"/>
      <c r="J537" s="2625"/>
      <c r="K537" s="2626"/>
      <c r="L537" s="2627"/>
      <c r="V537" s="2618"/>
      <c r="W537" s="314"/>
      <c r="X537" s="314"/>
      <c r="Y537" s="314"/>
      <c r="Z537" s="577"/>
      <c r="AA537" s="701">
        <v>0.95</v>
      </c>
      <c r="AB537" s="577">
        <v>0.95</v>
      </c>
      <c r="AC537" s="577">
        <v>0.95</v>
      </c>
      <c r="AD537" s="577">
        <v>0.95</v>
      </c>
      <c r="AE537" s="577">
        <v>0.95</v>
      </c>
      <c r="AF537" s="253">
        <f t="shared" si="89"/>
        <v>0.95</v>
      </c>
      <c r="AG537" s="305"/>
      <c r="AK537" s="339"/>
      <c r="DJ537" s="1073"/>
    </row>
    <row r="538" spans="1:114" ht="18" hidden="1" outlineLevel="1" x14ac:dyDescent="0.25">
      <c r="A538" s="2147"/>
      <c r="D538" s="1290" t="s">
        <v>1682</v>
      </c>
      <c r="E538" s="1283" t="s">
        <v>1683</v>
      </c>
      <c r="F538" s="1300"/>
      <c r="G538" s="1436">
        <v>1</v>
      </c>
      <c r="H538" s="2628"/>
      <c r="I538" s="2628"/>
      <c r="J538" s="2608" t="s">
        <v>1657</v>
      </c>
      <c r="K538" s="2608"/>
      <c r="L538" s="2608"/>
      <c r="V538" s="1375" t="str">
        <f>D538</f>
        <v>DuctLength</v>
      </c>
      <c r="W538" s="305">
        <f>SQRT($F$61)</f>
        <v>1</v>
      </c>
      <c r="X538" s="305">
        <v>37.242448899072144</v>
      </c>
      <c r="Y538" s="305">
        <v>1</v>
      </c>
      <c r="Z538" s="567">
        <v>1</v>
      </c>
      <c r="AA538" s="567">
        <v>1</v>
      </c>
      <c r="AB538" s="567">
        <v>1</v>
      </c>
      <c r="AC538" s="567">
        <v>1</v>
      </c>
      <c r="AD538" s="567">
        <v>1</v>
      </c>
      <c r="AE538" s="567">
        <v>1</v>
      </c>
      <c r="AF538" s="253">
        <f t="shared" si="89"/>
        <v>1</v>
      </c>
      <c r="AG538" s="305"/>
      <c r="AK538" s="339"/>
      <c r="DJ538" s="1073"/>
    </row>
    <row r="539" spans="1:114" ht="30" hidden="1" customHeight="1" outlineLevel="1" x14ac:dyDescent="0.25">
      <c r="A539" s="2147"/>
      <c r="D539" s="2447" t="s">
        <v>1684</v>
      </c>
      <c r="E539" s="2464" t="s">
        <v>1685</v>
      </c>
      <c r="F539" s="1300" t="s">
        <v>1686</v>
      </c>
      <c r="G539" s="1448">
        <v>4.1100000000000003</v>
      </c>
      <c r="H539" s="2345" t="s">
        <v>1679</v>
      </c>
      <c r="I539" s="2346"/>
      <c r="J539" s="2351" t="s">
        <v>1687</v>
      </c>
      <c r="K539" s="2609"/>
      <c r="L539" s="2352"/>
      <c r="V539" s="2616" t="str">
        <f>D539</f>
        <v>HeatSavingsPerUnit</v>
      </c>
      <c r="W539" s="313">
        <v>4.1100000000000003</v>
      </c>
      <c r="X539" s="313">
        <v>4.1100000000000003</v>
      </c>
      <c r="Y539" s="313">
        <v>4.1100000000000003</v>
      </c>
      <c r="Z539" s="315">
        <v>4.1100000000000003</v>
      </c>
      <c r="AA539" s="315">
        <v>4.1100000000000003</v>
      </c>
      <c r="AB539" s="315">
        <v>4.1100000000000003</v>
      </c>
      <c r="AC539" s="315">
        <v>4.1100000000000003</v>
      </c>
      <c r="AD539" s="315">
        <v>4.1100000000000003</v>
      </c>
      <c r="AE539" s="315">
        <v>4.1100000000000003</v>
      </c>
      <c r="AF539" s="253">
        <f t="shared" si="89"/>
        <v>4.1100000000000003</v>
      </c>
      <c r="AG539" s="305"/>
      <c r="AK539" s="339"/>
      <c r="DJ539" s="1073"/>
    </row>
    <row r="540" spans="1:114" hidden="1" outlineLevel="1" x14ac:dyDescent="0.25">
      <c r="A540" s="2147"/>
      <c r="D540" s="2607"/>
      <c r="E540" s="2465"/>
      <c r="F540" s="1300" t="s">
        <v>1688</v>
      </c>
      <c r="G540" s="1448">
        <v>3.41</v>
      </c>
      <c r="H540" s="2347"/>
      <c r="I540" s="2348"/>
      <c r="J540" s="2629"/>
      <c r="K540" s="2610"/>
      <c r="L540" s="2630"/>
      <c r="V540" s="2617"/>
      <c r="W540" s="313">
        <v>3.41</v>
      </c>
      <c r="X540" s="313">
        <v>3.41</v>
      </c>
      <c r="Y540" s="313">
        <v>3.41</v>
      </c>
      <c r="Z540" s="315">
        <v>3.41</v>
      </c>
      <c r="AA540" s="315">
        <v>3.41</v>
      </c>
      <c r="AB540" s="315">
        <v>3.41</v>
      </c>
      <c r="AC540" s="315">
        <v>3.41</v>
      </c>
      <c r="AD540" s="315">
        <v>3.41</v>
      </c>
      <c r="AE540" s="315">
        <v>3.41</v>
      </c>
      <c r="AF540" s="253">
        <f t="shared" si="89"/>
        <v>3.41</v>
      </c>
      <c r="AG540" s="305"/>
      <c r="AK540" s="339"/>
      <c r="DJ540" s="1073"/>
    </row>
    <row r="541" spans="1:114" hidden="1" outlineLevel="1" x14ac:dyDescent="0.25">
      <c r="A541" s="2147"/>
      <c r="D541" s="2607"/>
      <c r="E541" s="2465"/>
      <c r="F541" s="1300" t="s">
        <v>1689</v>
      </c>
      <c r="G541" s="1448">
        <v>5.0599999999999996</v>
      </c>
      <c r="H541" s="2349"/>
      <c r="I541" s="2350"/>
      <c r="J541" s="2629"/>
      <c r="K541" s="2610"/>
      <c r="L541" s="2630"/>
      <c r="V541" s="2617"/>
      <c r="W541" s="313">
        <v>5.0599999999999996</v>
      </c>
      <c r="X541" s="313">
        <v>5.0599999999999996</v>
      </c>
      <c r="Y541" s="313">
        <v>5.0599999999999996</v>
      </c>
      <c r="Z541" s="315">
        <v>5.0599999999999996</v>
      </c>
      <c r="AA541" s="315">
        <v>5.0599999999999996</v>
      </c>
      <c r="AB541" s="315">
        <v>5.0599999999999996</v>
      </c>
      <c r="AC541" s="315">
        <v>5.0599999999999996</v>
      </c>
      <c r="AD541" s="315">
        <v>5.0599999999999996</v>
      </c>
      <c r="AE541" s="315">
        <v>5.0599999999999996</v>
      </c>
      <c r="AF541" s="253">
        <f t="shared" si="89"/>
        <v>5.0599999999999996</v>
      </c>
      <c r="AG541" s="305"/>
      <c r="AK541" s="339"/>
      <c r="DJ541" s="1073"/>
    </row>
    <row r="542" spans="1:114" ht="15" hidden="1" customHeight="1" outlineLevel="1" x14ac:dyDescent="0.25">
      <c r="A542" s="2147"/>
      <c r="D542" s="2447" t="s">
        <v>1684</v>
      </c>
      <c r="E542" s="2464" t="s">
        <v>1690</v>
      </c>
      <c r="F542" s="1300" t="s">
        <v>1691</v>
      </c>
      <c r="G542" s="1448">
        <v>0.21</v>
      </c>
      <c r="H542" s="2345" t="s">
        <v>1692</v>
      </c>
      <c r="I542" s="2346"/>
      <c r="J542" s="2351"/>
      <c r="K542" s="2609"/>
      <c r="L542" s="2352"/>
      <c r="V542" s="2617"/>
      <c r="W542" s="313">
        <v>0.21</v>
      </c>
      <c r="X542" s="313">
        <v>0.21</v>
      </c>
      <c r="Y542" s="313">
        <v>0.21</v>
      </c>
      <c r="Z542" s="315">
        <v>0.21</v>
      </c>
      <c r="AA542" s="315">
        <v>0.21</v>
      </c>
      <c r="AB542" s="315">
        <v>0.21</v>
      </c>
      <c r="AC542" s="315">
        <v>0.21</v>
      </c>
      <c r="AD542" s="315">
        <v>0.21</v>
      </c>
      <c r="AE542" s="315">
        <v>0.21</v>
      </c>
      <c r="AF542" s="253">
        <f t="shared" si="89"/>
        <v>0.21</v>
      </c>
      <c r="AG542" s="305"/>
      <c r="AK542" s="339"/>
      <c r="DJ542" s="1073"/>
    </row>
    <row r="543" spans="1:114" hidden="1" outlineLevel="1" x14ac:dyDescent="0.25">
      <c r="A543" s="2147"/>
      <c r="D543" s="2607"/>
      <c r="E543" s="2465"/>
      <c r="F543" s="1278" t="s">
        <v>1693</v>
      </c>
      <c r="G543" s="1448">
        <v>0.19</v>
      </c>
      <c r="H543" s="2347"/>
      <c r="I543" s="2348"/>
      <c r="J543" s="2629"/>
      <c r="K543" s="2610"/>
      <c r="L543" s="2630"/>
      <c r="V543" s="2617"/>
      <c r="W543" s="313">
        <v>0.19</v>
      </c>
      <c r="X543" s="313">
        <v>0.19</v>
      </c>
      <c r="Y543" s="313">
        <v>0.19</v>
      </c>
      <c r="Z543" s="315">
        <v>0.19</v>
      </c>
      <c r="AA543" s="315">
        <v>0.19</v>
      </c>
      <c r="AB543" s="315">
        <v>0.19</v>
      </c>
      <c r="AC543" s="315">
        <v>0.19</v>
      </c>
      <c r="AD543" s="315">
        <v>0.19</v>
      </c>
      <c r="AE543" s="315">
        <v>0.19</v>
      </c>
      <c r="AF543" s="253">
        <f t="shared" si="89"/>
        <v>0.19</v>
      </c>
      <c r="AG543" s="305"/>
      <c r="AK543" s="339"/>
      <c r="DJ543" s="1073"/>
    </row>
    <row r="544" spans="1:114" hidden="1" outlineLevel="1" x14ac:dyDescent="0.25">
      <c r="A544" s="2147"/>
      <c r="D544" s="2607"/>
      <c r="E544" s="2465"/>
      <c r="F544" s="1278" t="s">
        <v>1694</v>
      </c>
      <c r="G544" s="1448">
        <v>0.26</v>
      </c>
      <c r="H544" s="2349"/>
      <c r="I544" s="2350"/>
      <c r="J544" s="2629"/>
      <c r="K544" s="2610"/>
      <c r="L544" s="2630"/>
      <c r="V544" s="2618"/>
      <c r="W544" s="313"/>
      <c r="X544" s="313"/>
      <c r="Y544" s="313"/>
      <c r="Z544" s="315"/>
      <c r="AA544" s="702">
        <v>0.26</v>
      </c>
      <c r="AB544" s="315">
        <v>0.26</v>
      </c>
      <c r="AC544" s="315">
        <v>0.26</v>
      </c>
      <c r="AD544" s="315">
        <v>0.26</v>
      </c>
      <c r="AE544" s="315">
        <v>0.26</v>
      </c>
      <c r="AF544" s="253">
        <f t="shared" si="89"/>
        <v>0.26</v>
      </c>
      <c r="AG544" s="305"/>
      <c r="AK544" s="339"/>
      <c r="DJ544" s="1073"/>
    </row>
    <row r="545" spans="1:114" ht="48" hidden="1" customHeight="1" outlineLevel="1" x14ac:dyDescent="0.25">
      <c r="A545" s="2147"/>
      <c r="D545" s="1279" t="s">
        <v>1641</v>
      </c>
      <c r="E545" s="1243" t="s">
        <v>1642</v>
      </c>
      <c r="F545" s="1278"/>
      <c r="G545" s="1551">
        <v>3.1399999999999997E-2</v>
      </c>
      <c r="H545" s="2614" t="s">
        <v>1643</v>
      </c>
      <c r="I545" s="2615"/>
      <c r="J545" s="2534"/>
      <c r="K545" s="2534"/>
      <c r="L545" s="2534"/>
      <c r="V545" s="277" t="str">
        <f t="shared" ref="V545:V551" si="90">D545</f>
        <v>Fe</v>
      </c>
      <c r="W545" s="1373">
        <v>3.1399999999999997E-2</v>
      </c>
      <c r="X545" s="1373">
        <v>3.1399999999999997E-2</v>
      </c>
      <c r="Y545" s="1373">
        <v>3.1399999999999997E-2</v>
      </c>
      <c r="Z545" s="572">
        <v>3.1399999999999997E-2</v>
      </c>
      <c r="AA545" s="572">
        <v>3.1399999999999997E-2</v>
      </c>
      <c r="AB545" s="572">
        <v>3.1399999999999997E-2</v>
      </c>
      <c r="AC545" s="572">
        <v>3.1399999999999997E-2</v>
      </c>
      <c r="AD545" s="572">
        <v>3.1399999999999997E-2</v>
      </c>
      <c r="AE545" s="572">
        <v>3.1399999999999997E-2</v>
      </c>
      <c r="AF545" s="253">
        <f t="shared" si="89"/>
        <v>3.1399999999999997E-2</v>
      </c>
      <c r="AG545" s="305"/>
      <c r="AK545" s="339"/>
      <c r="DJ545" s="1073"/>
    </row>
    <row r="546" spans="1:114" ht="15" hidden="1" customHeight="1" outlineLevel="1" x14ac:dyDescent="0.25">
      <c r="A546" s="2147"/>
      <c r="D546" s="1279">
        <v>29.3</v>
      </c>
      <c r="E546" s="1243" t="s">
        <v>1644</v>
      </c>
      <c r="F546" s="1278"/>
      <c r="G546" s="1540">
        <v>29.3</v>
      </c>
      <c r="H546" s="2540" t="s">
        <v>1645</v>
      </c>
      <c r="I546" s="2540"/>
      <c r="J546" s="2534"/>
      <c r="K546" s="2534"/>
      <c r="L546" s="2534"/>
      <c r="V546" s="277">
        <f t="shared" si="90"/>
        <v>29.3</v>
      </c>
      <c r="W546" s="1360">
        <v>29.3</v>
      </c>
      <c r="X546" s="1360">
        <v>29.3</v>
      </c>
      <c r="Y546" s="1360">
        <v>29.3</v>
      </c>
      <c r="Z546" s="1284">
        <v>29.3</v>
      </c>
      <c r="AA546" s="1284">
        <v>29.3</v>
      </c>
      <c r="AB546" s="1284">
        <v>29.3</v>
      </c>
      <c r="AC546" s="1284">
        <v>29.3</v>
      </c>
      <c r="AD546" s="1284">
        <v>29.3</v>
      </c>
      <c r="AE546" s="1284">
        <v>29.3</v>
      </c>
      <c r="AF546" s="253">
        <f t="shared" si="89"/>
        <v>29.3</v>
      </c>
      <c r="AG546" s="305"/>
      <c r="AK546" s="339"/>
      <c r="DJ546" s="1073"/>
    </row>
    <row r="547" spans="1:114" ht="15" hidden="1" customHeight="1" outlineLevel="1" x14ac:dyDescent="0.25">
      <c r="A547" s="2147"/>
      <c r="D547" s="1248" t="s">
        <v>852</v>
      </c>
      <c r="E547" s="1248" t="s">
        <v>1651</v>
      </c>
      <c r="F547" s="1278"/>
      <c r="G547" s="1480">
        <v>1</v>
      </c>
      <c r="H547" s="2533" t="s">
        <v>855</v>
      </c>
      <c r="I547" s="2533"/>
      <c r="J547" s="2534"/>
      <c r="K547" s="2534"/>
      <c r="L547" s="2534"/>
      <c r="V547" s="277" t="str">
        <f t="shared" si="90"/>
        <v>Electric Saturation</v>
      </c>
      <c r="W547" s="309">
        <v>1</v>
      </c>
      <c r="X547" s="309">
        <v>1</v>
      </c>
      <c r="Y547" s="309">
        <v>1</v>
      </c>
      <c r="Z547" s="348">
        <v>1</v>
      </c>
      <c r="AA547" s="348">
        <v>1</v>
      </c>
      <c r="AB547" s="348">
        <v>1</v>
      </c>
      <c r="AC547" s="348">
        <v>1</v>
      </c>
      <c r="AD547" s="348">
        <v>1</v>
      </c>
      <c r="AE547" s="348">
        <v>1</v>
      </c>
      <c r="AF547" s="253">
        <f t="shared" si="89"/>
        <v>1</v>
      </c>
      <c r="AG547" s="305"/>
      <c r="AK547" s="339"/>
      <c r="DJ547" s="1073"/>
    </row>
    <row r="548" spans="1:114" ht="15" hidden="1" customHeight="1" outlineLevel="1" x14ac:dyDescent="0.25">
      <c r="A548" s="2147"/>
      <c r="D548" s="1248" t="s">
        <v>825</v>
      </c>
      <c r="E548" s="1248" t="s">
        <v>795</v>
      </c>
      <c r="F548" s="1278"/>
      <c r="G548" s="1480">
        <v>1</v>
      </c>
      <c r="H548" s="2533" t="s">
        <v>855</v>
      </c>
      <c r="I548" s="2533"/>
      <c r="J548" s="2534"/>
      <c r="K548" s="2534"/>
      <c r="L548" s="2534"/>
      <c r="V548" s="277" t="str">
        <f t="shared" si="90"/>
        <v>Utility Adjustment</v>
      </c>
      <c r="W548" s="309">
        <v>1</v>
      </c>
      <c r="X548" s="309">
        <v>1</v>
      </c>
      <c r="Y548" s="309">
        <v>1</v>
      </c>
      <c r="Z548" s="348">
        <v>1</v>
      </c>
      <c r="AA548" s="348">
        <v>1</v>
      </c>
      <c r="AB548" s="348">
        <v>1</v>
      </c>
      <c r="AC548" s="348">
        <v>1</v>
      </c>
      <c r="AD548" s="348">
        <v>1</v>
      </c>
      <c r="AE548" s="348">
        <v>1</v>
      </c>
      <c r="AF548" s="253">
        <f t="shared" si="89"/>
        <v>1</v>
      </c>
      <c r="AG548" s="305"/>
      <c r="AK548" s="339"/>
      <c r="DJ548" s="1073"/>
    </row>
    <row r="549" spans="1:114" ht="15" hidden="1" customHeight="1" outlineLevel="1" x14ac:dyDescent="0.25">
      <c r="A549" s="2147"/>
      <c r="D549" s="1279" t="s">
        <v>105</v>
      </c>
      <c r="E549" s="1279" t="s">
        <v>1653</v>
      </c>
      <c r="F549" s="1278"/>
      <c r="G549" s="1488">
        <v>1</v>
      </c>
      <c r="H549" s="2540" t="s">
        <v>1654</v>
      </c>
      <c r="I549" s="2540"/>
      <c r="J549" s="2608" t="s">
        <v>1655</v>
      </c>
      <c r="K549" s="2608"/>
      <c r="L549" s="2608"/>
      <c r="V549" s="277" t="str">
        <f t="shared" si="90"/>
        <v>ISR</v>
      </c>
      <c r="W549" s="310">
        <v>1</v>
      </c>
      <c r="X549" s="310">
        <v>1</v>
      </c>
      <c r="Y549" s="310">
        <v>1</v>
      </c>
      <c r="Z549" s="343">
        <v>1</v>
      </c>
      <c r="AA549" s="343">
        <v>1</v>
      </c>
      <c r="AB549" s="343">
        <v>1</v>
      </c>
      <c r="AC549" s="770">
        <v>1</v>
      </c>
      <c r="AD549" s="770">
        <v>1</v>
      </c>
      <c r="AE549" s="770">
        <v>1</v>
      </c>
      <c r="AF549" s="253">
        <f t="shared" si="89"/>
        <v>1</v>
      </c>
      <c r="AG549" s="305"/>
      <c r="AK549" s="339"/>
      <c r="DJ549" s="1073"/>
    </row>
    <row r="550" spans="1:114" ht="46.5" hidden="1" customHeight="1" outlineLevel="1" x14ac:dyDescent="0.25">
      <c r="A550" s="2147"/>
      <c r="D550" s="1306" t="str">
        <f>D515</f>
        <v>EUL</v>
      </c>
      <c r="E550" s="1306" t="str">
        <f>E515</f>
        <v>Effective Useful Life</v>
      </c>
      <c r="F550" s="321" t="s">
        <v>742</v>
      </c>
      <c r="G550" s="1441">
        <v>20</v>
      </c>
      <c r="H550" s="2533" t="s">
        <v>1656</v>
      </c>
      <c r="I550" s="2508"/>
      <c r="J550" s="2534"/>
      <c r="K550" s="2534"/>
      <c r="L550" s="2534"/>
      <c r="M550" s="571"/>
      <c r="V550" s="277" t="str">
        <f t="shared" si="90"/>
        <v>EUL</v>
      </c>
      <c r="W550" s="311">
        <v>20</v>
      </c>
      <c r="X550" s="311">
        <v>20</v>
      </c>
      <c r="Y550" s="311">
        <v>20</v>
      </c>
      <c r="Z550" s="237">
        <v>20</v>
      </c>
      <c r="AA550" s="237">
        <v>20</v>
      </c>
      <c r="AB550" s="237">
        <v>20</v>
      </c>
      <c r="AC550" s="383">
        <v>20</v>
      </c>
      <c r="AD550" s="383">
        <v>20</v>
      </c>
      <c r="AE550" s="383">
        <v>20</v>
      </c>
      <c r="AF550" s="253">
        <f t="shared" si="89"/>
        <v>20</v>
      </c>
      <c r="AG550" s="311"/>
      <c r="AK550" s="339"/>
      <c r="DJ550" s="1073"/>
    </row>
    <row r="551" spans="1:114" ht="15" hidden="1" customHeight="1" outlineLevel="1" x14ac:dyDescent="0.25">
      <c r="A551" s="2147"/>
      <c r="D551" s="1306" t="str">
        <f>D516</f>
        <v>Inc. Cost</v>
      </c>
      <c r="E551" s="1306" t="str">
        <f>E516</f>
        <v>Incremental Cost</v>
      </c>
      <c r="F551" s="697" t="s">
        <v>742</v>
      </c>
      <c r="G551" s="1476">
        <f>299.34234/SQRT(1387)</f>
        <v>8.0376653213977498</v>
      </c>
      <c r="H551" s="2540" t="s">
        <v>1695</v>
      </c>
      <c r="I551" s="2479"/>
      <c r="J551" s="2608" t="s">
        <v>1657</v>
      </c>
      <c r="K551" s="2608"/>
      <c r="L551" s="2608"/>
      <c r="M551" s="571"/>
      <c r="V551" s="277" t="str">
        <f t="shared" si="90"/>
        <v>Inc. Cost</v>
      </c>
      <c r="W551" s="280">
        <v>299.34233999999998</v>
      </c>
      <c r="X551" s="280">
        <v>299.34233999999998</v>
      </c>
      <c r="Y551" s="189">
        <v>8.0376653213977498</v>
      </c>
      <c r="Z551" s="128">
        <v>8.0376653213977498</v>
      </c>
      <c r="AA551" s="128">
        <v>8.0376653213977498</v>
      </c>
      <c r="AB551" s="128">
        <v>8.0376653213977498</v>
      </c>
      <c r="AC551" s="128">
        <v>8.0376653213977498</v>
      </c>
      <c r="AD551" s="128">
        <v>8.0376653213977498</v>
      </c>
      <c r="AE551" s="128">
        <v>8.0376653213977498</v>
      </c>
      <c r="AF551" s="253">
        <f t="shared" si="89"/>
        <v>8.0376653213977498</v>
      </c>
      <c r="AG551" s="280"/>
      <c r="AK551" s="339"/>
      <c r="DJ551" s="1073"/>
    </row>
    <row r="552" spans="1:114" hidden="1" outlineLevel="1" x14ac:dyDescent="0.25">
      <c r="A552" s="2147"/>
      <c r="D552" s="1277"/>
      <c r="E552" s="1277"/>
      <c r="G552" s="576"/>
      <c r="H552" s="576"/>
      <c r="I552" s="576"/>
      <c r="Y552" s="516" t="s">
        <v>1454</v>
      </c>
      <c r="AK552" s="339"/>
    </row>
    <row r="553" spans="1:114" collapsed="1" x14ac:dyDescent="0.25">
      <c r="A553" s="2147"/>
      <c r="D553" s="1277"/>
      <c r="E553" s="1277"/>
      <c r="F553" s="576"/>
      <c r="G553" s="576"/>
      <c r="H553" s="576"/>
      <c r="AK553" s="339"/>
    </row>
    <row r="554" spans="1:114" x14ac:dyDescent="0.25">
      <c r="A554" s="2147"/>
      <c r="B554" s="2388" t="s">
        <v>1696</v>
      </c>
      <c r="C554" s="2389"/>
      <c r="D554" s="2389"/>
      <c r="E554" s="2389"/>
      <c r="F554" s="2389"/>
      <c r="G554" s="2389"/>
      <c r="H554" s="2389"/>
      <c r="I554" s="2390"/>
      <c r="J554" s="2390"/>
      <c r="K554" s="2390"/>
      <c r="L554" s="2390"/>
      <c r="M554" s="2390"/>
      <c r="N554" s="2390"/>
      <c r="O554" s="2390"/>
      <c r="P554" s="2390"/>
      <c r="Q554" s="2390"/>
      <c r="R554" s="2391"/>
      <c r="V554" s="2339" t="str">
        <f>B554</f>
        <v>ECM/ Blower Motor</v>
      </c>
      <c r="W554" s="2340"/>
      <c r="X554" s="2340"/>
      <c r="Y554" s="2340"/>
      <c r="Z554" s="2340"/>
      <c r="AA554" s="2340"/>
      <c r="AB554" s="2340"/>
      <c r="AC554" s="2341"/>
      <c r="AD554" s="2341"/>
      <c r="AE554" s="2341"/>
      <c r="AF554" s="2341"/>
      <c r="AG554" s="2341"/>
      <c r="AH554" s="2341"/>
      <c r="AI554" s="2342"/>
      <c r="AK554" s="339"/>
    </row>
    <row r="555" spans="1:114" x14ac:dyDescent="0.25">
      <c r="A555" s="2147"/>
      <c r="B555" s="549"/>
      <c r="D555" s="553"/>
      <c r="E555" s="553"/>
      <c r="F555" s="264"/>
      <c r="G555" s="264"/>
      <c r="H555" s="264"/>
      <c r="I555" s="264"/>
      <c r="J555" s="264"/>
      <c r="K555" s="264"/>
      <c r="L555" s="554"/>
      <c r="AK555" s="339"/>
    </row>
    <row r="556" spans="1:114" ht="30" x14ac:dyDescent="0.25">
      <c r="A556" s="2147"/>
      <c r="B556" s="549"/>
      <c r="C556" s="1242" t="s">
        <v>43</v>
      </c>
      <c r="D556" s="1242" t="s">
        <v>597</v>
      </c>
      <c r="E556" s="1242" t="s">
        <v>45</v>
      </c>
      <c r="F556" s="1242" t="s">
        <v>46</v>
      </c>
      <c r="G556" s="1242" t="s">
        <v>47</v>
      </c>
      <c r="H556" s="1242" t="s">
        <v>48</v>
      </c>
      <c r="I556" s="1242" t="s">
        <v>807</v>
      </c>
      <c r="J556" s="1242" t="s">
        <v>808</v>
      </c>
      <c r="K556" s="1242" t="s">
        <v>1697</v>
      </c>
      <c r="L556" s="1242" t="s">
        <v>1698</v>
      </c>
      <c r="M556" s="1242" t="s">
        <v>49</v>
      </c>
      <c r="N556" s="1254" t="s">
        <v>50</v>
      </c>
      <c r="O556" s="1242" t="s">
        <v>51</v>
      </c>
      <c r="P556" s="1242" t="s">
        <v>52</v>
      </c>
      <c r="V556" s="636" t="s">
        <v>53</v>
      </c>
      <c r="W556" s="637">
        <f>W$6</f>
        <v>43252</v>
      </c>
      <c r="X556" s="637">
        <f t="shared" ref="X556:AG556" si="91">X$6</f>
        <v>43465</v>
      </c>
      <c r="Y556" s="110">
        <f t="shared" si="91"/>
        <v>43800</v>
      </c>
      <c r="Z556" s="637">
        <f t="shared" si="91"/>
        <v>43862</v>
      </c>
      <c r="AA556" s="637">
        <f t="shared" si="91"/>
        <v>44013</v>
      </c>
      <c r="AB556" s="637">
        <f t="shared" si="91"/>
        <v>44166</v>
      </c>
      <c r="AC556" s="637">
        <f t="shared" si="91"/>
        <v>44531</v>
      </c>
      <c r="AD556" s="637">
        <f t="shared" si="91"/>
        <v>44774</v>
      </c>
      <c r="AE556" s="637">
        <f t="shared" si="91"/>
        <v>45139</v>
      </c>
      <c r="AF556" s="637">
        <f t="shared" si="91"/>
        <v>45672</v>
      </c>
      <c r="AG556" s="637">
        <f t="shared" si="91"/>
        <v>45971</v>
      </c>
      <c r="AK556" s="339"/>
      <c r="DG556" s="991" t="str">
        <f>$DG$6</f>
        <v>TRC (2025)</v>
      </c>
      <c r="DH556" s="761" t="str">
        <f>$DH$6</f>
        <v>Benefit Lookup</v>
      </c>
      <c r="DI556" s="1006" t="str">
        <f>$DI$6</f>
        <v>Benefits (2025 $)</v>
      </c>
      <c r="DJ556" s="1031" t="str">
        <f>$DJ$6</f>
        <v>Incremental Cost (2025 $)</v>
      </c>
    </row>
    <row r="557" spans="1:114" x14ac:dyDescent="0.25">
      <c r="A557" s="2147" t="s">
        <v>840</v>
      </c>
      <c r="B557" s="1318">
        <f t="shared" ref="B557:B560" si="92">VALUE(LEFT(C557,6))</f>
        <v>402600</v>
      </c>
      <c r="C557" s="132" t="s">
        <v>1699</v>
      </c>
      <c r="D557" s="1994" t="s">
        <v>810</v>
      </c>
      <c r="E557" s="171" t="s">
        <v>1700</v>
      </c>
      <c r="F557" s="578">
        <f t="shared" ref="F557:F560" si="93">ROUND(I557+J557+K557+L557,2)</f>
        <v>579.09</v>
      </c>
      <c r="G557" s="132" t="s">
        <v>812</v>
      </c>
      <c r="H557" s="66">
        <f>VLOOKUP(G557,'CP FACTORS'!$A$3:$B$38, 2, FALSE)</f>
        <v>4.6608050000000002E-4</v>
      </c>
      <c r="I557" s="318">
        <f>(1-G571)*$G$575*G$576/G$577*G589*$G$593</f>
        <v>264.14545423487061</v>
      </c>
      <c r="J557" s="318">
        <f>(1-G578)*$G$582*G$583/G$584*G589*$G$593</f>
        <v>28.219354838709684</v>
      </c>
      <c r="K557" s="318">
        <f>(25*G$583/G$584+2960*$G$587-$G$588)*G589*$G$593</f>
        <v>286.72123580720518</v>
      </c>
      <c r="L557" s="318">
        <v>0</v>
      </c>
      <c r="M557" s="256">
        <f t="shared" ref="M557:M560" si="94">ROUND(H557*F557,6)</f>
        <v>0.269903</v>
      </c>
      <c r="N557" s="579">
        <f>G594</f>
        <v>6</v>
      </c>
      <c r="O557" s="697">
        <f>G598</f>
        <v>262.5</v>
      </c>
      <c r="P557" s="132" t="s">
        <v>63</v>
      </c>
      <c r="R557" s="304"/>
      <c r="V557" s="337" t="str">
        <f t="shared" ref="V557:V560" si="95">$F$486</f>
        <v>kWh
Annual Savings</v>
      </c>
      <c r="W557" s="316">
        <v>794.49034774724942</v>
      </c>
      <c r="X557" s="123">
        <v>794.49034774724942</v>
      </c>
      <c r="Y557" s="317">
        <v>582</v>
      </c>
      <c r="Z557" s="700">
        <v>582</v>
      </c>
      <c r="AA557" s="700">
        <v>582</v>
      </c>
      <c r="AB557" s="700">
        <v>582</v>
      </c>
      <c r="AC557" s="578">
        <v>582</v>
      </c>
      <c r="AD557" s="578">
        <v>582</v>
      </c>
      <c r="AE557" s="578">
        <v>582</v>
      </c>
      <c r="AF557" s="253">
        <f t="shared" ref="AF557:AF560" si="96">IF(F557&lt;&gt;"",F557,"")</f>
        <v>579.09</v>
      </c>
      <c r="AG557" s="337"/>
      <c r="AK557" s="339"/>
      <c r="DG557" s="994">
        <f>(DI557+DI558)/(DJ557+DJ558)</f>
        <v>1.3748154098071015</v>
      </c>
      <c r="DH557" s="171" t="str">
        <f t="shared" ref="DH557:DH560" si="97">CONCATENATE(G557," ",N557," Year EUL")</f>
        <v>HVAC RES 6 Year EUL</v>
      </c>
      <c r="DI557" s="527">
        <f>(INDEX('Avoided Cost Benefits'!$B$4:$B$865,MATCH(DH557,'Avoided Cost Benefits'!$A$4:$A$865,0)))*F557</f>
        <v>360.88904507436416</v>
      </c>
      <c r="DJ557" s="1842">
        <f t="shared" ref="DJ557:DJ560" si="98">IFERROR(O557/((1+DiscountRate)^(CurrentYear-DiscountYear)),0)</f>
        <v>262.5</v>
      </c>
    </row>
    <row r="558" spans="1:114" x14ac:dyDescent="0.25">
      <c r="A558" s="2147" t="s">
        <v>840</v>
      </c>
      <c r="B558" s="1318">
        <f t="shared" si="92"/>
        <v>402600</v>
      </c>
      <c r="C558" s="132" t="s">
        <v>1699</v>
      </c>
      <c r="D558" s="1994" t="s">
        <v>810</v>
      </c>
      <c r="E558" s="641" t="s">
        <v>1701</v>
      </c>
      <c r="F558" s="578">
        <f t="shared" si="93"/>
        <v>0</v>
      </c>
      <c r="G558" s="1273" t="str">
        <f>'CP FACTORS'!$A$17</f>
        <v>HVAC RES ER2</v>
      </c>
      <c r="H558" s="66">
        <f>VLOOKUP(G558,'CP FACTORS'!$A$3:$B$38, 2, FALSE)</f>
        <v>4.6608050000000002E-4</v>
      </c>
      <c r="I558" s="318">
        <f>0</f>
        <v>0</v>
      </c>
      <c r="J558" s="318">
        <f>0</f>
        <v>0</v>
      </c>
      <c r="K558" s="318">
        <f>0</f>
        <v>0</v>
      </c>
      <c r="L558" s="318">
        <v>0</v>
      </c>
      <c r="M558" s="256">
        <f t="shared" si="94"/>
        <v>0</v>
      </c>
      <c r="N558" s="579">
        <f>G595</f>
        <v>0</v>
      </c>
      <c r="O558" s="697">
        <f>G599</f>
        <v>0</v>
      </c>
      <c r="P558" s="132" t="s">
        <v>63</v>
      </c>
      <c r="R558" s="304"/>
      <c r="V558" s="337" t="str">
        <f t="shared" si="95"/>
        <v>kWh
Annual Savings</v>
      </c>
      <c r="W558" s="316">
        <v>591.90332067911811</v>
      </c>
      <c r="X558" s="123">
        <v>591.90332067911811</v>
      </c>
      <c r="Y558" s="317">
        <v>582</v>
      </c>
      <c r="Z558" s="700">
        <v>582</v>
      </c>
      <c r="AA558" s="700">
        <v>582</v>
      </c>
      <c r="AB558" s="700">
        <v>582</v>
      </c>
      <c r="AC558" s="317">
        <v>0</v>
      </c>
      <c r="AD558" s="578">
        <v>0</v>
      </c>
      <c r="AE558" s="578">
        <v>0</v>
      </c>
      <c r="AF558" s="253">
        <f t="shared" si="96"/>
        <v>0</v>
      </c>
      <c r="AG558" s="337"/>
      <c r="AK558" s="339"/>
      <c r="DG558" s="1010"/>
      <c r="DH558" s="641" t="str">
        <f t="shared" si="97"/>
        <v>HVAC RES ER2 0 Year EUL</v>
      </c>
      <c r="DI558" s="946">
        <v>0</v>
      </c>
      <c r="DJ558" s="1843">
        <f t="shared" si="98"/>
        <v>0</v>
      </c>
    </row>
    <row r="559" spans="1:114" x14ac:dyDescent="0.25">
      <c r="A559" s="2147" t="s">
        <v>602</v>
      </c>
      <c r="B559" s="1318">
        <f t="shared" si="92"/>
        <v>402800</v>
      </c>
      <c r="C559" s="132" t="s">
        <v>1702</v>
      </c>
      <c r="D559" s="1994" t="s">
        <v>810</v>
      </c>
      <c r="E559" s="171" t="s">
        <v>1703</v>
      </c>
      <c r="F559" s="578">
        <f t="shared" si="93"/>
        <v>579.09</v>
      </c>
      <c r="G559" s="1273" t="s">
        <v>812</v>
      </c>
      <c r="H559" s="66">
        <f>VLOOKUP(G559,'CP FACTORS'!$A$3:$B$38, 2, FALSE)</f>
        <v>4.6608050000000002E-4</v>
      </c>
      <c r="I559" s="318">
        <f>(1-G573)*$G$575*G$576/G$577*G591*$G$593</f>
        <v>264.14545423487061</v>
      </c>
      <c r="J559" s="318">
        <f>(1-G580)*$G$582*G$583/G$584*G591*$G$593</f>
        <v>28.219354838709684</v>
      </c>
      <c r="K559" s="318">
        <f>(25*G$583/G$584+2960*$G$587-$G$588)*G591*$G$593</f>
        <v>286.72123580720518</v>
      </c>
      <c r="L559" s="127">
        <v>0</v>
      </c>
      <c r="M559" s="256">
        <f t="shared" si="94"/>
        <v>0.269903</v>
      </c>
      <c r="N559" s="579">
        <f>G596</f>
        <v>6</v>
      </c>
      <c r="O559" s="697">
        <f>G600</f>
        <v>262.5</v>
      </c>
      <c r="P559" s="132" t="s">
        <v>63</v>
      </c>
      <c r="R559" s="304"/>
      <c r="V559" s="337" t="str">
        <f t="shared" si="95"/>
        <v>kWh
Annual Savings</v>
      </c>
      <c r="W559" s="316">
        <v>794.49034774724942</v>
      </c>
      <c r="X559" s="123">
        <v>794.49034774724942</v>
      </c>
      <c r="Y559" s="317">
        <v>582</v>
      </c>
      <c r="Z559" s="700">
        <v>582</v>
      </c>
      <c r="AA559" s="700">
        <v>582</v>
      </c>
      <c r="AB559" s="700">
        <v>582</v>
      </c>
      <c r="AC559" s="578">
        <v>582</v>
      </c>
      <c r="AD559" s="578">
        <v>582</v>
      </c>
      <c r="AE559" s="578">
        <v>582</v>
      </c>
      <c r="AF559" s="253">
        <f t="shared" si="96"/>
        <v>579.09</v>
      </c>
      <c r="AG559" s="337"/>
      <c r="AK559" s="339"/>
      <c r="DG559" s="994">
        <f>(DI559+DI560)/(DJ559+DJ560)</f>
        <v>1.3748154098071015</v>
      </c>
      <c r="DH559" s="171" t="str">
        <f t="shared" si="97"/>
        <v>HVAC RES 6 Year EUL</v>
      </c>
      <c r="DI559" s="527">
        <f>(INDEX('Avoided Cost Benefits'!$B$4:$B$865,MATCH(DH559,'Avoided Cost Benefits'!$A$4:$A$865,0)))*F559</f>
        <v>360.88904507436416</v>
      </c>
      <c r="DJ559" s="1843">
        <f t="shared" si="98"/>
        <v>262.5</v>
      </c>
    </row>
    <row r="560" spans="1:114" x14ac:dyDescent="0.25">
      <c r="A560" s="2147" t="s">
        <v>602</v>
      </c>
      <c r="B560" s="1318">
        <f t="shared" si="92"/>
        <v>402800</v>
      </c>
      <c r="C560" s="132" t="s">
        <v>1702</v>
      </c>
      <c r="D560" s="1994" t="s">
        <v>810</v>
      </c>
      <c r="E560" s="641" t="s">
        <v>1704</v>
      </c>
      <c r="F560" s="578">
        <f t="shared" si="93"/>
        <v>0</v>
      </c>
      <c r="G560" s="1273" t="str">
        <f>'CP FACTORS'!$A$17</f>
        <v>HVAC RES ER2</v>
      </c>
      <c r="H560" s="66">
        <f>VLOOKUP(G560,'CP FACTORS'!$A$3:$B$38, 2, FALSE)</f>
        <v>4.6608050000000002E-4</v>
      </c>
      <c r="I560" s="318">
        <f>0</f>
        <v>0</v>
      </c>
      <c r="J560" s="318">
        <f>0</f>
        <v>0</v>
      </c>
      <c r="K560" s="318">
        <f>0</f>
        <v>0</v>
      </c>
      <c r="L560" s="127">
        <v>0</v>
      </c>
      <c r="M560" s="256">
        <f t="shared" si="94"/>
        <v>0</v>
      </c>
      <c r="N560" s="579">
        <f>G597</f>
        <v>0</v>
      </c>
      <c r="O560" s="697">
        <f>G601</f>
        <v>0</v>
      </c>
      <c r="P560" s="132" t="s">
        <v>63</v>
      </c>
      <c r="R560" s="304"/>
      <c r="V560" s="337" t="str">
        <f t="shared" si="95"/>
        <v>kWh
Annual Savings</v>
      </c>
      <c r="W560" s="316">
        <v>591.90332067911811</v>
      </c>
      <c r="X560" s="123">
        <v>591.90332067911811</v>
      </c>
      <c r="Y560" s="317">
        <v>582</v>
      </c>
      <c r="Z560" s="700">
        <v>582</v>
      </c>
      <c r="AA560" s="700">
        <v>582</v>
      </c>
      <c r="AB560" s="700">
        <v>582</v>
      </c>
      <c r="AC560" s="317">
        <v>0</v>
      </c>
      <c r="AD560" s="578">
        <v>0</v>
      </c>
      <c r="AE560" s="578">
        <v>0</v>
      </c>
      <c r="AF560" s="253">
        <f t="shared" si="96"/>
        <v>0</v>
      </c>
      <c r="AG560" s="337"/>
      <c r="AK560" s="339"/>
      <c r="DG560" s="1010"/>
      <c r="DH560" s="641" t="str">
        <f t="shared" si="97"/>
        <v>HVAC RES ER2 0 Year EUL</v>
      </c>
      <c r="DI560" s="946">
        <v>0</v>
      </c>
      <c r="DJ560" s="1843">
        <f t="shared" si="98"/>
        <v>0</v>
      </c>
    </row>
    <row r="561" spans="1:37" x14ac:dyDescent="0.25">
      <c r="A561" s="2147"/>
      <c r="B561" s="549"/>
      <c r="C561" s="2609" t="s">
        <v>1705</v>
      </c>
      <c r="D561" s="2609"/>
      <c r="E561" s="2609"/>
      <c r="F561" s="2609"/>
      <c r="G561" s="2609"/>
      <c r="H561" s="2609"/>
      <c r="I561" s="2609"/>
      <c r="J561" s="2609"/>
      <c r="K561" s="2609"/>
      <c r="L561" s="2609"/>
      <c r="AK561" s="339"/>
    </row>
    <row r="562" spans="1:37" x14ac:dyDescent="0.25">
      <c r="A562" s="2147"/>
      <c r="B562" s="549"/>
      <c r="C562" s="2610"/>
      <c r="D562" s="2610"/>
      <c r="E562" s="2610"/>
      <c r="F562" s="2610"/>
      <c r="G562" s="2610"/>
      <c r="H562" s="2610"/>
      <c r="I562" s="2610"/>
      <c r="J562" s="2610"/>
      <c r="K562" s="2610"/>
      <c r="L562" s="2610"/>
      <c r="AK562" s="339"/>
    </row>
    <row r="563" spans="1:37" hidden="1" outlineLevel="1" x14ac:dyDescent="0.25">
      <c r="A563" s="2147"/>
      <c r="B563" s="549"/>
      <c r="C563" s="1277"/>
      <c r="D563" s="74" t="s">
        <v>95</v>
      </c>
      <c r="E563" s="1277" t="s">
        <v>1706</v>
      </c>
      <c r="F563" s="1277"/>
      <c r="G563" s="1277"/>
      <c r="H563" s="1277"/>
      <c r="I563" s="1277"/>
      <c r="J563" s="1277"/>
      <c r="K563" s="1277"/>
      <c r="L563" s="1277"/>
      <c r="AK563" s="339"/>
    </row>
    <row r="564" spans="1:37" hidden="1" outlineLevel="1" x14ac:dyDescent="0.25">
      <c r="A564" s="2147"/>
      <c r="B564" s="549"/>
      <c r="D564" s="71" t="s">
        <v>609</v>
      </c>
      <c r="E564" s="126" t="s">
        <v>1707</v>
      </c>
      <c r="F564" s="518"/>
      <c r="AK564" s="339"/>
    </row>
    <row r="565" spans="1:37" ht="18" hidden="1" customHeight="1" outlineLevel="1" x14ac:dyDescent="0.25">
      <c r="A565" s="2147"/>
      <c r="B565" s="549"/>
      <c r="E565" s="1376" t="s">
        <v>1708</v>
      </c>
      <c r="AK565" s="339"/>
    </row>
    <row r="566" spans="1:37" ht="18" hidden="1" customHeight="1" outlineLevel="1" x14ac:dyDescent="0.25">
      <c r="A566" s="2147"/>
      <c r="B566" s="549"/>
      <c r="E566" s="1376" t="s">
        <v>1709</v>
      </c>
      <c r="AK566" s="339"/>
    </row>
    <row r="567" spans="1:37" ht="18" hidden="1" customHeight="1" outlineLevel="1" x14ac:dyDescent="0.25">
      <c r="A567" s="2147"/>
      <c r="B567" s="549"/>
      <c r="E567" s="1376"/>
      <c r="AK567" s="339"/>
    </row>
    <row r="568" spans="1:37" ht="14.65" hidden="1" customHeight="1" outlineLevel="1" x14ac:dyDescent="0.25">
      <c r="A568" s="2147"/>
      <c r="B568" s="549"/>
      <c r="E568" s="1376" t="s">
        <v>612</v>
      </c>
      <c r="AK568" s="339"/>
    </row>
    <row r="569" spans="1:37" ht="14.65" hidden="1" customHeight="1" outlineLevel="1" x14ac:dyDescent="0.25">
      <c r="A569" s="2147"/>
      <c r="B569" s="549"/>
      <c r="E569" s="1376"/>
      <c r="AK569" s="339"/>
    </row>
    <row r="570" spans="1:37" hidden="1" outlineLevel="1" x14ac:dyDescent="0.25">
      <c r="A570" s="2147"/>
      <c r="B570" s="549"/>
      <c r="D570" s="1309" t="s">
        <v>720</v>
      </c>
      <c r="E570" s="1309" t="s">
        <v>613</v>
      </c>
      <c r="F570" s="1242" t="s">
        <v>614</v>
      </c>
      <c r="G570" s="1242" t="s">
        <v>615</v>
      </c>
      <c r="H570" s="1242" t="s">
        <v>616</v>
      </c>
      <c r="I570" s="1242" t="s">
        <v>721</v>
      </c>
      <c r="V570" s="636" t="s">
        <v>53</v>
      </c>
      <c r="W570" s="637">
        <f>W$6</f>
        <v>43252</v>
      </c>
      <c r="X570" s="637">
        <f t="shared" ref="X570:AG570" si="99">X$6</f>
        <v>43465</v>
      </c>
      <c r="Y570" s="110">
        <f t="shared" si="99"/>
        <v>43800</v>
      </c>
      <c r="Z570" s="637">
        <f t="shared" si="99"/>
        <v>43862</v>
      </c>
      <c r="AA570" s="637">
        <f t="shared" si="99"/>
        <v>44013</v>
      </c>
      <c r="AB570" s="637">
        <f t="shared" si="99"/>
        <v>44166</v>
      </c>
      <c r="AC570" s="637">
        <f t="shared" si="99"/>
        <v>44531</v>
      </c>
      <c r="AD570" s="637">
        <f t="shared" si="99"/>
        <v>44774</v>
      </c>
      <c r="AE570" s="637">
        <f t="shared" si="99"/>
        <v>45139</v>
      </c>
      <c r="AF570" s="637">
        <f t="shared" si="99"/>
        <v>45672</v>
      </c>
      <c r="AG570" s="637">
        <f t="shared" si="99"/>
        <v>45971</v>
      </c>
      <c r="AK570" s="339"/>
    </row>
    <row r="571" spans="1:37" hidden="1" outlineLevel="1" x14ac:dyDescent="0.25">
      <c r="A571" s="2147"/>
      <c r="B571" s="549"/>
      <c r="D571" s="2355" t="s">
        <v>1710</v>
      </c>
      <c r="E571" s="2355" t="s">
        <v>1711</v>
      </c>
      <c r="F571" s="121" t="s">
        <v>1712</v>
      </c>
      <c r="G571" s="1447">
        <v>0.16336956521739129</v>
      </c>
      <c r="H571" s="2611" t="s">
        <v>1713</v>
      </c>
      <c r="I571" s="1300"/>
      <c r="V571" s="2355" t="s">
        <v>1710</v>
      </c>
      <c r="W571" s="284">
        <v>0</v>
      </c>
      <c r="X571" s="287">
        <v>0</v>
      </c>
      <c r="Y571" s="139">
        <v>0.16336956521739129</v>
      </c>
      <c r="Z571" s="139">
        <v>0.16336956521739129</v>
      </c>
      <c r="AA571" s="139">
        <v>0.16336956521739129</v>
      </c>
      <c r="AB571" s="139">
        <v>0.16336956521739129</v>
      </c>
      <c r="AC571" s="139">
        <v>0.16336956521739129</v>
      </c>
      <c r="AD571" s="139">
        <v>0.16336956521739129</v>
      </c>
      <c r="AE571" s="139">
        <v>0.16336956521739129</v>
      </c>
      <c r="AF571" s="676">
        <f t="shared" ref="AF571:AF601" si="100">IF(G571&lt;&gt;"",G571,"")</f>
        <v>0.16336956521739129</v>
      </c>
      <c r="AG571" s="284"/>
      <c r="AK571" s="339"/>
    </row>
    <row r="572" spans="1:37" hidden="1" outlineLevel="1" x14ac:dyDescent="0.25">
      <c r="A572" s="2147"/>
      <c r="B572" s="549"/>
      <c r="D572" s="2356"/>
      <c r="E572" s="2356"/>
      <c r="F572" s="121" t="s">
        <v>1714</v>
      </c>
      <c r="G572" s="1447">
        <v>0.16336956521739129</v>
      </c>
      <c r="H572" s="2612"/>
      <c r="I572" s="1300"/>
      <c r="V572" s="2356"/>
      <c r="W572" s="284">
        <v>0.16</v>
      </c>
      <c r="X572" s="287">
        <v>0.16</v>
      </c>
      <c r="Y572" s="139">
        <v>0.16336956521739129</v>
      </c>
      <c r="Z572" s="139">
        <v>0.16336956521739129</v>
      </c>
      <c r="AA572" s="139">
        <v>0.16336956521739129</v>
      </c>
      <c r="AB572" s="139">
        <v>0.16336956521739129</v>
      </c>
      <c r="AC572" s="139">
        <v>0.16336956521739129</v>
      </c>
      <c r="AD572" s="139">
        <v>0.16336956521739129</v>
      </c>
      <c r="AE572" s="139">
        <v>0.16336956521739129</v>
      </c>
      <c r="AF572" s="676">
        <f t="shared" si="100"/>
        <v>0.16336956521739129</v>
      </c>
      <c r="AG572" s="284"/>
      <c r="AK572" s="339"/>
    </row>
    <row r="573" spans="1:37" hidden="1" outlineLevel="1" x14ac:dyDescent="0.25">
      <c r="A573" s="2147"/>
      <c r="B573" s="549"/>
      <c r="D573" s="2356"/>
      <c r="E573" s="2356"/>
      <c r="F573" s="121" t="s">
        <v>1715</v>
      </c>
      <c r="G573" s="1447">
        <v>0.16336956521739129</v>
      </c>
      <c r="H573" s="2612"/>
      <c r="I573" s="1300"/>
      <c r="V573" s="2356"/>
      <c r="W573" s="284">
        <v>0</v>
      </c>
      <c r="X573" s="287">
        <v>0</v>
      </c>
      <c r="Y573" s="139">
        <v>0.16336956521739129</v>
      </c>
      <c r="Z573" s="139">
        <v>0.16336956521739129</v>
      </c>
      <c r="AA573" s="139">
        <v>0.16336956521739129</v>
      </c>
      <c r="AB573" s="139">
        <v>0.16336956521739129</v>
      </c>
      <c r="AC573" s="139">
        <v>0.16336956521739129</v>
      </c>
      <c r="AD573" s="139">
        <v>0.16336956521739129</v>
      </c>
      <c r="AE573" s="139">
        <v>0.16336956521739129</v>
      </c>
      <c r="AF573" s="676">
        <f t="shared" si="100"/>
        <v>0.16336956521739129</v>
      </c>
      <c r="AG573" s="284"/>
      <c r="AK573" s="339"/>
    </row>
    <row r="574" spans="1:37" hidden="1" outlineLevel="1" x14ac:dyDescent="0.25">
      <c r="A574" s="2147"/>
      <c r="B574" s="549"/>
      <c r="D574" s="2361"/>
      <c r="E574" s="2361"/>
      <c r="F574" s="121" t="s">
        <v>1716</v>
      </c>
      <c r="G574" s="1453">
        <v>0.16336956521739129</v>
      </c>
      <c r="H574" s="2613"/>
      <c r="I574" s="1300"/>
      <c r="V574" s="2361"/>
      <c r="W574" s="284">
        <v>0.16</v>
      </c>
      <c r="X574" s="287">
        <v>0.16</v>
      </c>
      <c r="Y574" s="139">
        <v>0.16336956521739129</v>
      </c>
      <c r="Z574" s="139">
        <v>0.16336956521739129</v>
      </c>
      <c r="AA574" s="139">
        <v>0.16336956521739129</v>
      </c>
      <c r="AB574" s="139">
        <v>0.16336956521739129</v>
      </c>
      <c r="AC574" s="139">
        <v>0.16336956521739129</v>
      </c>
      <c r="AD574" s="139">
        <v>0.16336956521739129</v>
      </c>
      <c r="AE574" s="139">
        <v>0.16336956521739129</v>
      </c>
      <c r="AF574" s="676">
        <f t="shared" si="100"/>
        <v>0.16336956521739129</v>
      </c>
      <c r="AG574" s="284"/>
      <c r="AK574" s="339"/>
    </row>
    <row r="575" spans="1:37" ht="33.75" hidden="1" customHeight="1" outlineLevel="1" x14ac:dyDescent="0.25">
      <c r="A575" s="2147"/>
      <c r="B575" s="549"/>
      <c r="D575" s="1250" t="s">
        <v>1717</v>
      </c>
      <c r="E575" s="1250" t="s">
        <v>1718</v>
      </c>
      <c r="F575" s="121" t="s">
        <v>742</v>
      </c>
      <c r="G575" s="1454">
        <v>400</v>
      </c>
      <c r="H575" s="1278" t="s">
        <v>1719</v>
      </c>
      <c r="I575" s="1249"/>
      <c r="V575" s="1250" t="s">
        <v>1717</v>
      </c>
      <c r="W575" s="284"/>
      <c r="X575" s="287"/>
      <c r="Y575" s="293">
        <v>400</v>
      </c>
      <c r="Z575" s="297">
        <v>400</v>
      </c>
      <c r="AA575" s="297">
        <v>400</v>
      </c>
      <c r="AB575" s="297">
        <v>400</v>
      </c>
      <c r="AC575" s="319">
        <v>400</v>
      </c>
      <c r="AD575" s="319">
        <v>400</v>
      </c>
      <c r="AE575" s="319">
        <v>400</v>
      </c>
      <c r="AF575" s="253">
        <f t="shared" si="100"/>
        <v>400</v>
      </c>
      <c r="AG575" s="284"/>
      <c r="AK575" s="339"/>
    </row>
    <row r="576" spans="1:37" ht="60" hidden="1" outlineLevel="1" x14ac:dyDescent="0.25">
      <c r="A576" s="2147"/>
      <c r="B576" s="549"/>
      <c r="D576" s="1291" t="s">
        <v>1720</v>
      </c>
      <c r="E576" s="1291" t="s">
        <v>1721</v>
      </c>
      <c r="F576" s="121" t="s">
        <v>742</v>
      </c>
      <c r="G576" s="1454">
        <v>2009</v>
      </c>
      <c r="H576" s="1278" t="s">
        <v>1722</v>
      </c>
      <c r="I576" s="1300"/>
      <c r="V576" s="1263" t="s">
        <v>1723</v>
      </c>
      <c r="W576" s="283">
        <v>2009</v>
      </c>
      <c r="X576" s="288">
        <v>2009</v>
      </c>
      <c r="Y576" s="319">
        <v>2009</v>
      </c>
      <c r="Z576" s="319">
        <v>2009</v>
      </c>
      <c r="AA576" s="319">
        <v>2009</v>
      </c>
      <c r="AB576" s="319">
        <v>2009</v>
      </c>
      <c r="AC576" s="319">
        <v>2009</v>
      </c>
      <c r="AD576" s="319">
        <v>2009</v>
      </c>
      <c r="AE576" s="319">
        <v>2009</v>
      </c>
      <c r="AF576" s="253">
        <f t="shared" si="100"/>
        <v>2009</v>
      </c>
      <c r="AG576" s="283"/>
      <c r="AK576" s="339"/>
    </row>
    <row r="577" spans="1:37" ht="45" hidden="1" outlineLevel="1" x14ac:dyDescent="0.25">
      <c r="A577" s="2147"/>
      <c r="B577" s="549"/>
      <c r="D577" s="1291" t="s">
        <v>1724</v>
      </c>
      <c r="E577" s="1291" t="s">
        <v>1725</v>
      </c>
      <c r="F577" s="121" t="s">
        <v>742</v>
      </c>
      <c r="G577" s="1455">
        <v>2545.25</v>
      </c>
      <c r="H577" s="1278" t="s">
        <v>1726</v>
      </c>
      <c r="I577" s="1300"/>
      <c r="V577" s="1263" t="s">
        <v>1727</v>
      </c>
      <c r="W577" s="285">
        <v>2545.25</v>
      </c>
      <c r="X577" s="292">
        <v>2545.25</v>
      </c>
      <c r="Y577" s="320">
        <v>2545.25</v>
      </c>
      <c r="Z577" s="320">
        <v>2545.25</v>
      </c>
      <c r="AA577" s="320">
        <v>2545.25</v>
      </c>
      <c r="AB577" s="320">
        <v>2545.25</v>
      </c>
      <c r="AC577" s="320">
        <v>2545.25</v>
      </c>
      <c r="AD577" s="320">
        <v>2545.25</v>
      </c>
      <c r="AE577" s="320">
        <v>2545.25</v>
      </c>
      <c r="AF577" s="253">
        <f t="shared" si="100"/>
        <v>2545.25</v>
      </c>
      <c r="AG577" s="285"/>
      <c r="AK577" s="339"/>
    </row>
    <row r="578" spans="1:37" ht="45" hidden="1" customHeight="1" outlineLevel="1" x14ac:dyDescent="0.25">
      <c r="A578" s="2147"/>
      <c r="B578" s="549"/>
      <c r="D578" s="2447" t="s">
        <v>1728</v>
      </c>
      <c r="E578" s="2355" t="s">
        <v>1729</v>
      </c>
      <c r="F578" s="121" t="str">
        <f>F571</f>
        <v>ECM Fan Early Replacement ER 1 (Full Cost) - SF</v>
      </c>
      <c r="G578" s="1458">
        <v>0.82</v>
      </c>
      <c r="H578" s="2447" t="s">
        <v>1730</v>
      </c>
      <c r="I578" s="1300"/>
      <c r="V578" s="2353" t="s">
        <v>1728</v>
      </c>
      <c r="W578" s="284">
        <v>0</v>
      </c>
      <c r="X578" s="287">
        <v>0</v>
      </c>
      <c r="Y578" s="139">
        <v>0.80141304347826092</v>
      </c>
      <c r="Z578" s="139">
        <v>0.80141304347826092</v>
      </c>
      <c r="AA578" s="139">
        <v>0.80141304347826092</v>
      </c>
      <c r="AB578" s="139">
        <v>0.80141304347826092</v>
      </c>
      <c r="AC578" s="139">
        <v>0.80141304347826092</v>
      </c>
      <c r="AD578" s="139">
        <v>0.80141304347826092</v>
      </c>
      <c r="AE578" s="139">
        <v>0.80141304347826092</v>
      </c>
      <c r="AF578" s="253">
        <f t="shared" si="100"/>
        <v>0.82</v>
      </c>
      <c r="AG578" s="284"/>
      <c r="AK578" s="339"/>
    </row>
    <row r="579" spans="1:37" hidden="1" outlineLevel="1" x14ac:dyDescent="0.25">
      <c r="A579" s="2147"/>
      <c r="B579" s="549"/>
      <c r="D579" s="2607"/>
      <c r="E579" s="2356"/>
      <c r="F579" s="121" t="str">
        <f>F572</f>
        <v>ECM Fan Early Replacement ER 2 (Remaining Life) - SF</v>
      </c>
      <c r="G579" s="1458">
        <f t="shared" ref="G579:G581" si="101">G578</f>
        <v>0.82</v>
      </c>
      <c r="H579" s="2607"/>
      <c r="I579" s="1300"/>
      <c r="V579" s="2354"/>
      <c r="W579" s="284">
        <v>0.97</v>
      </c>
      <c r="X579" s="287">
        <v>0.97</v>
      </c>
      <c r="Y579" s="139">
        <v>0.80141304347826092</v>
      </c>
      <c r="Z579" s="139">
        <v>0.80141304347826092</v>
      </c>
      <c r="AA579" s="139">
        <v>0.80141304347826092</v>
      </c>
      <c r="AB579" s="139">
        <v>0.80141304347826092</v>
      </c>
      <c r="AC579" s="139">
        <v>0.80141304347826092</v>
      </c>
      <c r="AD579" s="139">
        <v>0.80141304347826092</v>
      </c>
      <c r="AE579" s="139">
        <v>0.80141304347826092</v>
      </c>
      <c r="AF579" s="253">
        <f t="shared" si="100"/>
        <v>0.82</v>
      </c>
      <c r="AG579" s="284"/>
      <c r="AK579" s="339"/>
    </row>
    <row r="580" spans="1:37" hidden="1" outlineLevel="1" x14ac:dyDescent="0.25">
      <c r="A580" s="2147"/>
      <c r="B580" s="549"/>
      <c r="D580" s="2607"/>
      <c r="E580" s="2356"/>
      <c r="F580" s="121" t="str">
        <f>F573</f>
        <v>ECM Fan Early Replacement ER 1 (Full Cost) - MF</v>
      </c>
      <c r="G580" s="1458">
        <f t="shared" si="101"/>
        <v>0.82</v>
      </c>
      <c r="H580" s="2607"/>
      <c r="I580" s="1300"/>
      <c r="V580" s="2354"/>
      <c r="W580" s="284">
        <v>0</v>
      </c>
      <c r="X580" s="287">
        <v>0</v>
      </c>
      <c r="Y580" s="139">
        <v>0.80141304347826092</v>
      </c>
      <c r="Z580" s="139">
        <v>0.80141304347826092</v>
      </c>
      <c r="AA580" s="139">
        <v>0.80141304347826092</v>
      </c>
      <c r="AB580" s="139">
        <v>0.80141304347826092</v>
      </c>
      <c r="AC580" s="139">
        <v>0.80141304347826092</v>
      </c>
      <c r="AD580" s="139">
        <v>0.80141304347826092</v>
      </c>
      <c r="AE580" s="139">
        <v>0.80141304347826092</v>
      </c>
      <c r="AF580" s="253">
        <f t="shared" si="100"/>
        <v>0.82</v>
      </c>
      <c r="AG580" s="284"/>
      <c r="AK580" s="339"/>
    </row>
    <row r="581" spans="1:37" hidden="1" outlineLevel="1" x14ac:dyDescent="0.25">
      <c r="A581" s="2147"/>
      <c r="B581" s="549"/>
      <c r="D581" s="2448"/>
      <c r="E581" s="2361"/>
      <c r="F581" s="121" t="str">
        <f>F574</f>
        <v>ECM Fan Early Replacement ER 2 (Remaining Life) - MF</v>
      </c>
      <c r="G581" s="1458">
        <f t="shared" si="101"/>
        <v>0.82</v>
      </c>
      <c r="H581" s="2448"/>
      <c r="I581" s="1300"/>
      <c r="V581" s="2362"/>
      <c r="W581" s="284">
        <v>0.97</v>
      </c>
      <c r="X581" s="287">
        <v>0.97</v>
      </c>
      <c r="Y581" s="139">
        <v>0.80141304347826092</v>
      </c>
      <c r="Z581" s="139">
        <v>0.80141304347826092</v>
      </c>
      <c r="AA581" s="139">
        <v>0.80141304347826092</v>
      </c>
      <c r="AB581" s="139">
        <v>0.80141304347826092</v>
      </c>
      <c r="AC581" s="139">
        <v>0.80141304347826092</v>
      </c>
      <c r="AD581" s="139">
        <v>0.80141304347826092</v>
      </c>
      <c r="AE581" s="139">
        <v>0.80141304347826092</v>
      </c>
      <c r="AF581" s="253">
        <f t="shared" si="100"/>
        <v>0.82</v>
      </c>
      <c r="AG581" s="284"/>
      <c r="AK581" s="339"/>
    </row>
    <row r="582" spans="1:37" ht="34.5" hidden="1" customHeight="1" outlineLevel="1" thickBot="1" x14ac:dyDescent="0.3">
      <c r="A582" s="2147"/>
      <c r="B582" s="549"/>
      <c r="D582" s="1250" t="s">
        <v>1731</v>
      </c>
      <c r="E582" s="1271" t="s">
        <v>1732</v>
      </c>
      <c r="F582" s="1272" t="s">
        <v>742</v>
      </c>
      <c r="G582" s="1456">
        <v>70</v>
      </c>
      <c r="H582" s="1278" t="s">
        <v>1719</v>
      </c>
      <c r="I582" s="1249"/>
      <c r="V582" s="1250" t="s">
        <v>1731</v>
      </c>
      <c r="W582" s="284"/>
      <c r="X582" s="287"/>
      <c r="Y582" s="293">
        <v>70</v>
      </c>
      <c r="Z582" s="297">
        <v>70</v>
      </c>
      <c r="AA582" s="297">
        <v>70</v>
      </c>
      <c r="AB582" s="297">
        <v>70</v>
      </c>
      <c r="AC582" s="299">
        <v>70</v>
      </c>
      <c r="AD582" s="299">
        <v>70</v>
      </c>
      <c r="AE582" s="299">
        <v>70</v>
      </c>
      <c r="AF582" s="253">
        <f t="shared" si="100"/>
        <v>70</v>
      </c>
      <c r="AG582" s="284"/>
      <c r="AK582" s="339"/>
    </row>
    <row r="583" spans="1:37" ht="30.75" hidden="1" outlineLevel="1" thickBot="1" x14ac:dyDescent="0.3">
      <c r="A583" s="2147"/>
      <c r="B583" s="549"/>
      <c r="D583" s="1250" t="s">
        <v>1733</v>
      </c>
      <c r="E583" s="1291" t="s">
        <v>1734</v>
      </c>
      <c r="F583" s="121" t="s">
        <v>742</v>
      </c>
      <c r="G583" s="1455">
        <v>1215</v>
      </c>
      <c r="H583" s="1822" t="s">
        <v>1735</v>
      </c>
      <c r="I583" s="1300"/>
      <c r="V583" s="705" t="s">
        <v>1736</v>
      </c>
      <c r="W583" s="285">
        <v>1215</v>
      </c>
      <c r="X583" s="292">
        <v>1215</v>
      </c>
      <c r="Y583" s="320">
        <v>1215</v>
      </c>
      <c r="Z583" s="320">
        <v>1215</v>
      </c>
      <c r="AA583" s="320">
        <v>1215</v>
      </c>
      <c r="AB583" s="320">
        <v>1215</v>
      </c>
      <c r="AC583" s="320">
        <v>1215</v>
      </c>
      <c r="AD583" s="320">
        <v>1215</v>
      </c>
      <c r="AE583" s="320">
        <v>1215</v>
      </c>
      <c r="AF583" s="253">
        <f t="shared" si="100"/>
        <v>1215</v>
      </c>
      <c r="AG583" s="285"/>
      <c r="AK583" s="339"/>
    </row>
    <row r="584" spans="1:37" ht="30.75" hidden="1" outlineLevel="1" thickBot="1" x14ac:dyDescent="0.3">
      <c r="A584" s="2147"/>
      <c r="B584" s="549"/>
      <c r="D584" s="1250" t="s">
        <v>1737</v>
      </c>
      <c r="E584" s="1291" t="s">
        <v>1738</v>
      </c>
      <c r="F584" s="121" t="s">
        <v>742</v>
      </c>
      <c r="G584" s="1456">
        <v>542.5</v>
      </c>
      <c r="H584" s="1822" t="s">
        <v>1735</v>
      </c>
      <c r="I584" s="1300"/>
      <c r="V584" s="705" t="s">
        <v>1739</v>
      </c>
      <c r="W584" s="278">
        <v>542.5</v>
      </c>
      <c r="X584" s="276">
        <v>542.5</v>
      </c>
      <c r="Y584" s="321">
        <v>542.5</v>
      </c>
      <c r="Z584" s="321">
        <v>542.5</v>
      </c>
      <c r="AA584" s="321">
        <v>542.5</v>
      </c>
      <c r="AB584" s="321">
        <v>542.5</v>
      </c>
      <c r="AC584" s="321">
        <v>542.5</v>
      </c>
      <c r="AD584" s="321">
        <v>542.5</v>
      </c>
      <c r="AE584" s="321">
        <v>542.5</v>
      </c>
      <c r="AF584" s="253">
        <f t="shared" si="100"/>
        <v>542.5</v>
      </c>
      <c r="AG584" s="278"/>
      <c r="AK584" s="339"/>
    </row>
    <row r="585" spans="1:37" ht="30.75" hidden="1" customHeight="1" outlineLevel="1" thickBot="1" x14ac:dyDescent="0.3">
      <c r="A585" s="2147"/>
      <c r="B585" s="549"/>
      <c r="D585" s="1250" t="s">
        <v>1740</v>
      </c>
      <c r="E585" s="1291" t="s">
        <v>1741</v>
      </c>
      <c r="F585" s="1272" t="s">
        <v>742</v>
      </c>
      <c r="G585" s="1456">
        <v>25</v>
      </c>
      <c r="H585" s="1822" t="s">
        <v>1735</v>
      </c>
      <c r="I585" s="1249"/>
      <c r="V585" s="1250" t="s">
        <v>1740</v>
      </c>
      <c r="W585" s="278"/>
      <c r="X585" s="276"/>
      <c r="Y585" s="293">
        <v>25</v>
      </c>
      <c r="Z585" s="297">
        <v>25</v>
      </c>
      <c r="AA585" s="297">
        <v>25</v>
      </c>
      <c r="AB585" s="297">
        <v>25</v>
      </c>
      <c r="AC585" s="299">
        <v>25</v>
      </c>
      <c r="AD585" s="299">
        <v>25</v>
      </c>
      <c r="AE585" s="299">
        <v>25</v>
      </c>
      <c r="AF585" s="253">
        <f t="shared" si="100"/>
        <v>25</v>
      </c>
      <c r="AG585" s="278"/>
      <c r="AK585" s="339"/>
    </row>
    <row r="586" spans="1:37" ht="30" hidden="1" outlineLevel="1" x14ac:dyDescent="0.25">
      <c r="A586" s="2147"/>
      <c r="B586" s="549"/>
      <c r="D586" s="1250" t="s">
        <v>1742</v>
      </c>
      <c r="E586" s="1291" t="s">
        <v>1743</v>
      </c>
      <c r="F586" s="1272" t="s">
        <v>742</v>
      </c>
      <c r="G586" s="1456">
        <v>2960</v>
      </c>
      <c r="H586" s="1822" t="s">
        <v>1735</v>
      </c>
      <c r="I586" s="1249"/>
      <c r="V586" s="1250" t="s">
        <v>1742</v>
      </c>
      <c r="W586" s="278"/>
      <c r="X586" s="276"/>
      <c r="Y586" s="177">
        <v>2960</v>
      </c>
      <c r="Z586" s="299">
        <v>2960</v>
      </c>
      <c r="AA586" s="299">
        <v>2960</v>
      </c>
      <c r="AB586" s="299">
        <v>2960</v>
      </c>
      <c r="AC586" s="299">
        <v>2960</v>
      </c>
      <c r="AD586" s="299">
        <v>2960</v>
      </c>
      <c r="AE586" s="299">
        <v>2960</v>
      </c>
      <c r="AF586" s="253">
        <f t="shared" si="100"/>
        <v>2960</v>
      </c>
      <c r="AG586" s="278"/>
      <c r="AK586" s="339"/>
    </row>
    <row r="587" spans="1:37" ht="20.25" hidden="1" customHeight="1" outlineLevel="1" x14ac:dyDescent="0.25">
      <c r="A587" s="2147"/>
      <c r="B587" s="549"/>
      <c r="D587" s="1250" t="s">
        <v>1744</v>
      </c>
      <c r="E587" s="1250" t="s">
        <v>1745</v>
      </c>
      <c r="F587" s="1272" t="s">
        <v>1746</v>
      </c>
      <c r="G587" s="1457">
        <v>8.8084612296306403E-2</v>
      </c>
      <c r="H587" s="1885" t="s">
        <v>1747</v>
      </c>
      <c r="I587" s="1238"/>
      <c r="V587" s="1250" t="s">
        <v>1744</v>
      </c>
      <c r="W587" s="278"/>
      <c r="X587" s="276"/>
      <c r="Y587" s="179">
        <v>8.8084612296306403E-2</v>
      </c>
      <c r="Z587" s="180">
        <v>8.8084612296306403E-2</v>
      </c>
      <c r="AA587" s="180">
        <v>8.8084612296306403E-2</v>
      </c>
      <c r="AB587" s="180">
        <v>8.8084612296306403E-2</v>
      </c>
      <c r="AC587" s="180">
        <v>8.8084612296306403E-2</v>
      </c>
      <c r="AD587" s="180">
        <v>8.8084612296306403E-2</v>
      </c>
      <c r="AE587" s="180">
        <v>8.8084612296306403E-2</v>
      </c>
      <c r="AF587" s="253">
        <f t="shared" si="100"/>
        <v>8.8084612296306403E-2</v>
      </c>
      <c r="AG587" s="278"/>
      <c r="AK587" s="339"/>
    </row>
    <row r="588" spans="1:37" ht="36.75" hidden="1" customHeight="1" outlineLevel="1" x14ac:dyDescent="0.25">
      <c r="A588" s="2147"/>
      <c r="B588" s="549"/>
      <c r="D588" s="1250" t="s">
        <v>1748</v>
      </c>
      <c r="E588" s="1291" t="s">
        <v>1749</v>
      </c>
      <c r="F588" s="1272" t="s">
        <v>742</v>
      </c>
      <c r="G588" s="1456">
        <v>30</v>
      </c>
      <c r="H588" s="1278" t="s">
        <v>1735</v>
      </c>
      <c r="I588" s="1249"/>
      <c r="V588" s="1250" t="s">
        <v>1748</v>
      </c>
      <c r="W588" s="284"/>
      <c r="X588" s="287"/>
      <c r="Y588" s="293">
        <v>30</v>
      </c>
      <c r="Z588" s="297">
        <v>30</v>
      </c>
      <c r="AA588" s="297">
        <v>30</v>
      </c>
      <c r="AB588" s="297">
        <v>30</v>
      </c>
      <c r="AC588" s="299">
        <v>30</v>
      </c>
      <c r="AD588" s="299">
        <v>30</v>
      </c>
      <c r="AE588" s="299">
        <v>30</v>
      </c>
      <c r="AF588" s="253">
        <f t="shared" si="100"/>
        <v>30</v>
      </c>
      <c r="AG588" s="284"/>
      <c r="AK588" s="339"/>
    </row>
    <row r="589" spans="1:37" hidden="1" outlineLevel="1" x14ac:dyDescent="0.25">
      <c r="A589" s="2147"/>
      <c r="B589" s="549"/>
      <c r="D589" s="2355" t="s">
        <v>730</v>
      </c>
      <c r="E589" s="2355" t="s">
        <v>1750</v>
      </c>
      <c r="F589" s="121" t="s">
        <v>1751</v>
      </c>
      <c r="G589" s="1458">
        <v>1</v>
      </c>
      <c r="H589" s="2604"/>
      <c r="I589" s="1300"/>
      <c r="V589" s="1305" t="s">
        <v>730</v>
      </c>
      <c r="W589" s="284">
        <v>1</v>
      </c>
      <c r="X589" s="287">
        <v>1</v>
      </c>
      <c r="Y589" s="139">
        <v>1</v>
      </c>
      <c r="Z589" s="139">
        <v>1</v>
      </c>
      <c r="AA589" s="139">
        <v>1</v>
      </c>
      <c r="AB589" s="139">
        <v>1</v>
      </c>
      <c r="AC589" s="139">
        <v>1</v>
      </c>
      <c r="AD589" s="139">
        <v>1</v>
      </c>
      <c r="AE589" s="139">
        <v>1</v>
      </c>
      <c r="AF589" s="253">
        <f t="shared" si="100"/>
        <v>1</v>
      </c>
      <c r="AG589" s="284"/>
      <c r="AK589" s="339"/>
    </row>
    <row r="590" spans="1:37" ht="15" hidden="1" customHeight="1" outlineLevel="1" x14ac:dyDescent="0.25">
      <c r="A590" s="2147"/>
      <c r="B590" s="549"/>
      <c r="D590" s="2356"/>
      <c r="E590" s="2356"/>
      <c r="F590" s="121" t="s">
        <v>1752</v>
      </c>
      <c r="G590" s="1458">
        <v>1</v>
      </c>
      <c r="H590" s="2605"/>
      <c r="I590" s="1300"/>
      <c r="R590" s="50"/>
      <c r="S590" s="50"/>
      <c r="V590" s="1305" t="s">
        <v>730</v>
      </c>
      <c r="W590" s="284">
        <v>1</v>
      </c>
      <c r="X590" s="287">
        <v>1</v>
      </c>
      <c r="Y590" s="139">
        <v>1</v>
      </c>
      <c r="Z590" s="139">
        <v>1</v>
      </c>
      <c r="AA590" s="139">
        <v>1</v>
      </c>
      <c r="AB590" s="139">
        <v>1</v>
      </c>
      <c r="AC590" s="139">
        <v>1</v>
      </c>
      <c r="AD590" s="139">
        <v>1</v>
      </c>
      <c r="AE590" s="139">
        <v>1</v>
      </c>
      <c r="AF590" s="253">
        <f t="shared" si="100"/>
        <v>1</v>
      </c>
      <c r="AG590" s="284"/>
      <c r="AK590" s="339"/>
    </row>
    <row r="591" spans="1:37" hidden="1" outlineLevel="1" x14ac:dyDescent="0.25">
      <c r="A591" s="2147"/>
      <c r="B591" s="549"/>
      <c r="D591" s="2356"/>
      <c r="E591" s="2356"/>
      <c r="F591" s="121" t="s">
        <v>1753</v>
      </c>
      <c r="G591" s="1458">
        <v>1</v>
      </c>
      <c r="H591" s="2605"/>
      <c r="I591" s="1300"/>
      <c r="Q591" s="50"/>
      <c r="S591" s="50"/>
      <c r="V591" s="1305" t="s">
        <v>730</v>
      </c>
      <c r="W591" s="284">
        <v>1</v>
      </c>
      <c r="X591" s="287">
        <v>1</v>
      </c>
      <c r="Y591" s="139">
        <v>1</v>
      </c>
      <c r="Z591" s="139">
        <v>1</v>
      </c>
      <c r="AA591" s="139">
        <v>1</v>
      </c>
      <c r="AB591" s="139">
        <v>1</v>
      </c>
      <c r="AC591" s="139">
        <v>1</v>
      </c>
      <c r="AD591" s="139">
        <v>1</v>
      </c>
      <c r="AE591" s="139">
        <v>1</v>
      </c>
      <c r="AF591" s="253">
        <f t="shared" si="100"/>
        <v>1</v>
      </c>
      <c r="AG591" s="284"/>
      <c r="AK591" s="339"/>
    </row>
    <row r="592" spans="1:37" hidden="1" outlineLevel="1" x14ac:dyDescent="0.25">
      <c r="A592" s="2147"/>
      <c r="B592" s="549"/>
      <c r="D592" s="2361"/>
      <c r="E592" s="2361"/>
      <c r="F592" s="121" t="s">
        <v>1754</v>
      </c>
      <c r="G592" s="1458">
        <v>1</v>
      </c>
      <c r="H592" s="2606"/>
      <c r="I592" s="1300"/>
      <c r="M592" s="50"/>
      <c r="N592" s="50"/>
      <c r="O592" s="50"/>
      <c r="Q592" s="50"/>
      <c r="R592" s="50"/>
      <c r="S592" s="50"/>
      <c r="V592" s="1305" t="s">
        <v>730</v>
      </c>
      <c r="W592" s="284">
        <v>1</v>
      </c>
      <c r="X592" s="287">
        <v>1</v>
      </c>
      <c r="Y592" s="139">
        <v>1</v>
      </c>
      <c r="Z592" s="139">
        <v>1</v>
      </c>
      <c r="AA592" s="139">
        <v>1</v>
      </c>
      <c r="AB592" s="139">
        <v>1</v>
      </c>
      <c r="AC592" s="139">
        <v>1</v>
      </c>
      <c r="AD592" s="139">
        <v>1</v>
      </c>
      <c r="AE592" s="139">
        <v>1</v>
      </c>
      <c r="AF592" s="253">
        <f t="shared" si="100"/>
        <v>1</v>
      </c>
      <c r="AG592" s="284"/>
      <c r="AK592" s="339"/>
    </row>
    <row r="593" spans="1:114" ht="45" hidden="1" outlineLevel="1" x14ac:dyDescent="0.25">
      <c r="A593" s="2147"/>
      <c r="B593" s="549"/>
      <c r="D593" s="1298" t="s">
        <v>105</v>
      </c>
      <c r="E593" s="1298" t="s">
        <v>944</v>
      </c>
      <c r="F593" s="121" t="s">
        <v>742</v>
      </c>
      <c r="G593" s="1446">
        <v>1</v>
      </c>
      <c r="H593" s="1278" t="s">
        <v>1755</v>
      </c>
      <c r="I593" s="1300"/>
      <c r="M593" s="50"/>
      <c r="N593" s="50"/>
      <c r="O593" s="50"/>
      <c r="Q593" s="50"/>
      <c r="R593" s="50"/>
      <c r="S593" s="50"/>
      <c r="V593" s="1291" t="s">
        <v>105</v>
      </c>
      <c r="W593" s="284"/>
      <c r="X593" s="287"/>
      <c r="Y593" s="139"/>
      <c r="Z593" s="139"/>
      <c r="AA593" s="139"/>
      <c r="AB593" s="140">
        <v>1</v>
      </c>
      <c r="AC593" s="139">
        <v>1</v>
      </c>
      <c r="AD593" s="139">
        <v>1</v>
      </c>
      <c r="AE593" s="139">
        <v>1</v>
      </c>
      <c r="AF593" s="253">
        <f t="shared" si="100"/>
        <v>1</v>
      </c>
      <c r="AG593" s="284"/>
      <c r="AK593" s="339"/>
    </row>
    <row r="594" spans="1:114" hidden="1" outlineLevel="1" x14ac:dyDescent="0.25">
      <c r="A594" s="2147"/>
      <c r="B594" s="549"/>
      <c r="D594" s="2594" t="str">
        <f>D550</f>
        <v>EUL</v>
      </c>
      <c r="E594" s="2594" t="s">
        <v>1756</v>
      </c>
      <c r="F594" s="121" t="s">
        <v>1751</v>
      </c>
      <c r="G594" s="1459">
        <v>6</v>
      </c>
      <c r="H594" s="2447" t="s">
        <v>1757</v>
      </c>
      <c r="I594" s="1300"/>
      <c r="M594" s="50"/>
      <c r="N594" s="50"/>
      <c r="O594" s="50"/>
      <c r="Q594" s="50"/>
      <c r="R594" s="50"/>
      <c r="S594" s="50"/>
      <c r="V594" s="2594" t="str">
        <f>V550</f>
        <v>EUL</v>
      </c>
      <c r="W594" s="323">
        <v>6</v>
      </c>
      <c r="X594" s="324">
        <v>6</v>
      </c>
      <c r="Y594" s="322">
        <v>6</v>
      </c>
      <c r="Z594" s="322">
        <v>6</v>
      </c>
      <c r="AA594" s="322">
        <v>6</v>
      </c>
      <c r="AB594" s="322">
        <v>6</v>
      </c>
      <c r="AC594" s="322">
        <v>6</v>
      </c>
      <c r="AD594" s="322">
        <v>6</v>
      </c>
      <c r="AE594" s="322">
        <v>6</v>
      </c>
      <c r="AF594" s="253">
        <f t="shared" si="100"/>
        <v>6</v>
      </c>
      <c r="AG594" s="323"/>
      <c r="AK594" s="339"/>
    </row>
    <row r="595" spans="1:114" ht="15" hidden="1" customHeight="1" outlineLevel="1" x14ac:dyDescent="0.25">
      <c r="A595" s="2147"/>
      <c r="B595" s="549"/>
      <c r="D595" s="2595"/>
      <c r="E595" s="2595"/>
      <c r="F595" s="121" t="s">
        <v>1752</v>
      </c>
      <c r="G595" s="1459">
        <v>0</v>
      </c>
      <c r="H595" s="2607"/>
      <c r="I595" s="1300"/>
      <c r="M595" s="50"/>
      <c r="N595" s="50"/>
      <c r="O595" s="50"/>
      <c r="Q595" s="50"/>
      <c r="R595" s="50"/>
      <c r="S595" s="50"/>
      <c r="V595" s="2595"/>
      <c r="W595" s="323">
        <v>12</v>
      </c>
      <c r="X595" s="324">
        <v>12</v>
      </c>
      <c r="Y595" s="322">
        <v>12</v>
      </c>
      <c r="Z595" s="322">
        <v>12</v>
      </c>
      <c r="AA595" s="322">
        <v>12</v>
      </c>
      <c r="AB595" s="322">
        <v>12</v>
      </c>
      <c r="AC595" s="863">
        <v>0</v>
      </c>
      <c r="AD595" s="322">
        <v>0</v>
      </c>
      <c r="AE595" s="322">
        <v>0</v>
      </c>
      <c r="AF595" s="253">
        <f t="shared" si="100"/>
        <v>0</v>
      </c>
      <c r="AG595" s="323"/>
      <c r="AK595" s="339"/>
    </row>
    <row r="596" spans="1:114" ht="15" hidden="1" customHeight="1" outlineLevel="1" x14ac:dyDescent="0.25">
      <c r="A596" s="2147"/>
      <c r="B596" s="549"/>
      <c r="D596" s="2595"/>
      <c r="E596" s="2595"/>
      <c r="F596" s="121" t="s">
        <v>1753</v>
      </c>
      <c r="G596" s="1459">
        <v>6</v>
      </c>
      <c r="H596" s="2607"/>
      <c r="I596" s="1300"/>
      <c r="M596" s="50"/>
      <c r="N596" s="50"/>
      <c r="O596" s="50"/>
      <c r="Q596" s="50"/>
      <c r="R596" s="50"/>
      <c r="S596" s="50"/>
      <c r="V596" s="2595"/>
      <c r="W596" s="323">
        <v>6</v>
      </c>
      <c r="X596" s="324">
        <v>6</v>
      </c>
      <c r="Y596" s="322">
        <v>6</v>
      </c>
      <c r="Z596" s="322">
        <v>6</v>
      </c>
      <c r="AA596" s="322">
        <v>6</v>
      </c>
      <c r="AB596" s="322">
        <v>6</v>
      </c>
      <c r="AC596" s="322">
        <v>6</v>
      </c>
      <c r="AD596" s="322">
        <v>6</v>
      </c>
      <c r="AE596" s="322">
        <v>6</v>
      </c>
      <c r="AF596" s="253">
        <f t="shared" si="100"/>
        <v>6</v>
      </c>
      <c r="AG596" s="323"/>
      <c r="AK596" s="339"/>
    </row>
    <row r="597" spans="1:114" hidden="1" outlineLevel="1" x14ac:dyDescent="0.25">
      <c r="A597" s="2147"/>
      <c r="B597" s="549"/>
      <c r="D597" s="2596"/>
      <c r="E597" s="2596"/>
      <c r="F597" s="121" t="s">
        <v>1754</v>
      </c>
      <c r="G597" s="1459">
        <v>0</v>
      </c>
      <c r="H597" s="2448"/>
      <c r="I597" s="1300"/>
      <c r="M597" s="50"/>
      <c r="N597" s="50"/>
      <c r="O597" s="50"/>
      <c r="Q597" s="50"/>
      <c r="R597" s="50"/>
      <c r="S597" s="50"/>
      <c r="V597" s="2596"/>
      <c r="W597" s="323">
        <v>12</v>
      </c>
      <c r="X597" s="324">
        <v>12</v>
      </c>
      <c r="Y597" s="322">
        <v>12</v>
      </c>
      <c r="Z597" s="322">
        <v>12</v>
      </c>
      <c r="AA597" s="322">
        <v>12</v>
      </c>
      <c r="AB597" s="322">
        <v>12</v>
      </c>
      <c r="AC597" s="863">
        <v>0</v>
      </c>
      <c r="AD597" s="322">
        <v>0</v>
      </c>
      <c r="AE597" s="322">
        <v>0</v>
      </c>
      <c r="AF597" s="253">
        <f t="shared" si="100"/>
        <v>0</v>
      </c>
      <c r="AG597" s="323"/>
      <c r="AK597" s="339"/>
    </row>
    <row r="598" spans="1:114" ht="30" hidden="1" outlineLevel="1" x14ac:dyDescent="0.25">
      <c r="A598" s="2147"/>
      <c r="B598" s="549"/>
      <c r="D598" s="2594" t="str">
        <f>D551</f>
        <v>Inc. Cost</v>
      </c>
      <c r="E598" s="2594" t="s">
        <v>688</v>
      </c>
      <c r="F598" s="121" t="s">
        <v>1751</v>
      </c>
      <c r="G598" s="1473">
        <f>0.25*0+0.75*350</f>
        <v>262.5</v>
      </c>
      <c r="H598" s="1238" t="s">
        <v>1757</v>
      </c>
      <c r="I598" s="1300"/>
      <c r="M598" s="50"/>
      <c r="N598" s="50"/>
      <c r="O598" s="50"/>
      <c r="Q598" s="50"/>
      <c r="R598" s="50"/>
      <c r="S598" s="50"/>
      <c r="V598" s="2597" t="str">
        <f>V551</f>
        <v>Inc. Cost</v>
      </c>
      <c r="W598" s="280">
        <v>475</v>
      </c>
      <c r="X598" s="257">
        <v>475</v>
      </c>
      <c r="Y598" s="697" t="e">
        <f>'HVAC Deemed Table'!#REF!</f>
        <v>#REF!</v>
      </c>
      <c r="Z598" s="697" t="e">
        <f>'HVAC Deemed Table'!#REF!</f>
        <v>#REF!</v>
      </c>
      <c r="AA598" s="697" t="e">
        <f>'HVAC Deemed Table'!#REF!</f>
        <v>#REF!</v>
      </c>
      <c r="AB598" s="697">
        <v>0</v>
      </c>
      <c r="AC598" s="697">
        <v>475</v>
      </c>
      <c r="AD598" s="697">
        <v>475</v>
      </c>
      <c r="AE598" s="697">
        <v>475</v>
      </c>
      <c r="AF598" s="253">
        <f t="shared" si="100"/>
        <v>262.5</v>
      </c>
      <c r="AG598" s="280"/>
      <c r="AK598" s="339"/>
    </row>
    <row r="599" spans="1:114" hidden="1" outlineLevel="1" x14ac:dyDescent="0.25">
      <c r="A599" s="2147"/>
      <c r="B599" s="549"/>
      <c r="D599" s="2595"/>
      <c r="E599" s="2595"/>
      <c r="F599" s="121" t="s">
        <v>1752</v>
      </c>
      <c r="G599" s="1460"/>
      <c r="H599" s="1300"/>
      <c r="I599" s="1300"/>
      <c r="M599" s="50"/>
      <c r="N599" s="50"/>
      <c r="O599" s="50"/>
      <c r="V599" s="2598"/>
      <c r="W599" s="280"/>
      <c r="X599" s="257"/>
      <c r="Y599" s="697"/>
      <c r="Z599" s="697"/>
      <c r="AA599" s="697"/>
      <c r="AB599" s="697"/>
      <c r="AC599" s="697"/>
      <c r="AD599" s="697"/>
      <c r="AE599" s="697"/>
      <c r="AF599" s="253" t="str">
        <f t="shared" si="100"/>
        <v/>
      </c>
      <c r="AG599" s="280"/>
      <c r="AK599" s="339"/>
    </row>
    <row r="600" spans="1:114" ht="30" hidden="1" outlineLevel="1" x14ac:dyDescent="0.25">
      <c r="A600" s="2147"/>
      <c r="B600" s="549"/>
      <c r="D600" s="2595"/>
      <c r="E600" s="2595"/>
      <c r="F600" s="121" t="s">
        <v>1753</v>
      </c>
      <c r="G600" s="1473">
        <f>0.25*0+0.75*350</f>
        <v>262.5</v>
      </c>
      <c r="H600" s="1238" t="s">
        <v>1757</v>
      </c>
      <c r="I600" s="1300"/>
      <c r="V600" s="2598"/>
      <c r="W600" s="280">
        <v>475</v>
      </c>
      <c r="X600" s="257">
        <v>475</v>
      </c>
      <c r="Y600" s="697" t="e">
        <f>'HVAC Deemed Table'!#REF!</f>
        <v>#REF!</v>
      </c>
      <c r="Z600" s="697" t="e">
        <f>'HVAC Deemed Table'!#REF!</f>
        <v>#REF!</v>
      </c>
      <c r="AA600" s="697" t="e">
        <f>'HVAC Deemed Table'!#REF!</f>
        <v>#REF!</v>
      </c>
      <c r="AB600" s="697">
        <v>0</v>
      </c>
      <c r="AC600" s="697">
        <v>475</v>
      </c>
      <c r="AD600" s="697">
        <v>475</v>
      </c>
      <c r="AE600" s="697">
        <v>475</v>
      </c>
      <c r="AF600" s="253">
        <f t="shared" si="100"/>
        <v>262.5</v>
      </c>
      <c r="AG600" s="280"/>
      <c r="AK600" s="339"/>
    </row>
    <row r="601" spans="1:114" hidden="1" outlineLevel="1" x14ac:dyDescent="0.25">
      <c r="A601" s="2147"/>
      <c r="B601" s="549"/>
      <c r="D601" s="2596"/>
      <c r="E601" s="2596"/>
      <c r="F601" s="121" t="s">
        <v>1754</v>
      </c>
      <c r="G601" s="1460"/>
      <c r="H601" s="1300"/>
      <c r="I601" s="1300"/>
      <c r="V601" s="2599"/>
      <c r="W601" s="280"/>
      <c r="X601" s="257"/>
      <c r="Y601" s="697"/>
      <c r="Z601" s="697"/>
      <c r="AA601" s="697"/>
      <c r="AB601" s="697"/>
      <c r="AC601" s="697"/>
      <c r="AD601" s="697"/>
      <c r="AE601" s="697"/>
      <c r="AF601" s="253" t="str">
        <f t="shared" si="100"/>
        <v/>
      </c>
      <c r="AG601" s="280"/>
      <c r="AK601" s="339"/>
    </row>
    <row r="602" spans="1:114" hidden="1" outlineLevel="1" x14ac:dyDescent="0.25">
      <c r="A602" s="2147"/>
      <c r="AK602" s="339"/>
    </row>
    <row r="603" spans="1:114" collapsed="1" x14ac:dyDescent="0.25">
      <c r="A603" s="2147"/>
      <c r="AK603" s="339"/>
    </row>
    <row r="604" spans="1:114" s="50" customFormat="1" x14ac:dyDescent="0.25">
      <c r="A604" s="2147"/>
      <c r="B604" s="2388" t="s">
        <v>1758</v>
      </c>
      <c r="C604" s="2389"/>
      <c r="D604" s="2389"/>
      <c r="E604" s="2389"/>
      <c r="F604" s="2389"/>
      <c r="G604" s="2389"/>
      <c r="H604" s="2389"/>
      <c r="I604" s="2390"/>
      <c r="J604" s="2390"/>
      <c r="K604" s="2390"/>
      <c r="L604" s="2390"/>
      <c r="M604" s="2390"/>
      <c r="N604" s="2390"/>
      <c r="O604" s="2390"/>
      <c r="P604" s="2390"/>
      <c r="Q604" s="2390"/>
      <c r="R604" s="2391"/>
      <c r="V604" s="2339" t="str">
        <f>B604</f>
        <v>Heat Pump (HP) Tune-up</v>
      </c>
      <c r="W604" s="2340"/>
      <c r="X604" s="2340"/>
      <c r="Y604" s="2340"/>
      <c r="Z604" s="2340"/>
      <c r="AA604" s="2340"/>
      <c r="AB604" s="2340"/>
      <c r="AC604" s="2341"/>
      <c r="AD604" s="2341"/>
      <c r="AE604" s="2341"/>
      <c r="AF604" s="2341"/>
      <c r="AG604" s="2341"/>
      <c r="AH604" s="2341"/>
      <c r="AI604" s="2342"/>
      <c r="AK604" s="339"/>
      <c r="DG604" s="243"/>
      <c r="DJ604" s="1030"/>
    </row>
    <row r="605" spans="1:114" s="6" customFormat="1" x14ac:dyDescent="0.25">
      <c r="A605" s="2147"/>
      <c r="B605" s="64"/>
      <c r="C605" s="62"/>
      <c r="D605" s="100"/>
      <c r="E605" s="63"/>
      <c r="F605" s="64"/>
      <c r="G605" s="64"/>
      <c r="H605" s="64"/>
      <c r="I605" s="64"/>
      <c r="J605" s="64"/>
      <c r="K605" s="64"/>
      <c r="L605" s="64"/>
      <c r="M605" s="64"/>
      <c r="N605" s="64"/>
      <c r="O605" s="64"/>
      <c r="P605" s="64"/>
      <c r="Q605" s="64"/>
      <c r="R605" s="64"/>
      <c r="S605" s="64"/>
      <c r="T605" s="64"/>
      <c r="U605" s="64"/>
      <c r="V605" s="255"/>
      <c r="W605" s="255"/>
      <c r="X605" s="255"/>
      <c r="Y605" s="266"/>
      <c r="Z605" s="255"/>
      <c r="AA605" s="255"/>
      <c r="AB605" s="255"/>
      <c r="AC605" s="255"/>
      <c r="AD605" s="255"/>
      <c r="AE605" s="255"/>
      <c r="AF605" s="255"/>
      <c r="AG605" s="255"/>
      <c r="AH605" s="255"/>
      <c r="AI605" s="255"/>
      <c r="AK605" s="339"/>
      <c r="DG605" s="990"/>
      <c r="DH605" s="64"/>
      <c r="DI605" s="64"/>
      <c r="DJ605" s="1030"/>
    </row>
    <row r="606" spans="1:114" s="325" customFormat="1" ht="48.75" customHeight="1" x14ac:dyDescent="0.25">
      <c r="A606" s="2147"/>
      <c r="B606" s="581"/>
      <c r="C606" s="1242" t="s">
        <v>43</v>
      </c>
      <c r="D606" s="1242" t="s">
        <v>597</v>
      </c>
      <c r="E606" s="1242" t="s">
        <v>45</v>
      </c>
      <c r="F606" s="1242" t="s">
        <v>46</v>
      </c>
      <c r="G606" s="1242" t="s">
        <v>47</v>
      </c>
      <c r="H606" s="1242" t="s">
        <v>48</v>
      </c>
      <c r="I606" s="1242" t="s">
        <v>49</v>
      </c>
      <c r="J606" s="1254" t="s">
        <v>50</v>
      </c>
      <c r="K606" s="1242" t="s">
        <v>51</v>
      </c>
      <c r="L606" s="1242" t="s">
        <v>52</v>
      </c>
      <c r="M606" s="265"/>
      <c r="N606" s="265"/>
      <c r="O606" s="265"/>
      <c r="P606" s="265"/>
      <c r="Q606" s="265"/>
      <c r="R606" s="265"/>
      <c r="S606" s="581"/>
      <c r="T606" s="581"/>
      <c r="U606" s="581"/>
      <c r="V606" s="636" t="s">
        <v>53</v>
      </c>
      <c r="W606" s="637">
        <f>W$6</f>
        <v>43252</v>
      </c>
      <c r="X606" s="637">
        <f t="shared" ref="X606:AG606" si="102">X$6</f>
        <v>43465</v>
      </c>
      <c r="Y606" s="110">
        <f t="shared" si="102"/>
        <v>43800</v>
      </c>
      <c r="Z606" s="637">
        <f t="shared" si="102"/>
        <v>43862</v>
      </c>
      <c r="AA606" s="637">
        <f t="shared" si="102"/>
        <v>44013</v>
      </c>
      <c r="AB606" s="637">
        <f t="shared" si="102"/>
        <v>44166</v>
      </c>
      <c r="AC606" s="637">
        <f t="shared" si="102"/>
        <v>44531</v>
      </c>
      <c r="AD606" s="637">
        <f t="shared" si="102"/>
        <v>44774</v>
      </c>
      <c r="AE606" s="637">
        <f t="shared" si="102"/>
        <v>45139</v>
      </c>
      <c r="AF606" s="637">
        <f t="shared" si="102"/>
        <v>45672</v>
      </c>
      <c r="AG606" s="637">
        <f t="shared" si="102"/>
        <v>45971</v>
      </c>
      <c r="AH606" s="255"/>
      <c r="AI606" s="255"/>
      <c r="AK606" s="339"/>
      <c r="DG606" s="1007" t="str">
        <f>'Efficient Products Deemed Table'!$DG$6</f>
        <v>TRC (2025)</v>
      </c>
      <c r="DH606" s="1007" t="str">
        <f>'Efficient Products Deemed Table'!$DH$6</f>
        <v>Benefit Lookup</v>
      </c>
      <c r="DI606" s="1007" t="str">
        <f>'Efficient Products Deemed Table'!$DI$6</f>
        <v>Benefits (2025 $)</v>
      </c>
      <c r="DJ606" s="1007" t="str">
        <f>'Efficient Products Deemed Table'!$DJ$6</f>
        <v>Incremental Cost (2025 $)</v>
      </c>
    </row>
    <row r="607" spans="1:114" s="325" customFormat="1" x14ac:dyDescent="0.25">
      <c r="A607" s="2147" t="s">
        <v>602</v>
      </c>
      <c r="B607" s="1318">
        <f t="shared" ref="B607:B608" si="103">VALUE(LEFT(C607,6))</f>
        <v>403311</v>
      </c>
      <c r="C607" s="660" t="s">
        <v>1759</v>
      </c>
      <c r="D607" s="1994" t="s">
        <v>810</v>
      </c>
      <c r="E607" s="171" t="s">
        <v>1760</v>
      </c>
      <c r="F607" s="253">
        <f>ROUND((G618*G617*(1/G$619-1/G$620)/G$623),2)</f>
        <v>404.14</v>
      </c>
      <c r="G607" s="526" t="s">
        <v>694</v>
      </c>
      <c r="H607" s="66">
        <f>VLOOKUP(G607,'CP FACTORS'!$A$3:$B$38, 2, FALSE)</f>
        <v>9.4741810000000004E-4</v>
      </c>
      <c r="I607" s="525">
        <f t="shared" ref="I607:I608" si="104">ROUND(F607*H607,6)</f>
        <v>0.38289000000000001</v>
      </c>
      <c r="J607" s="326">
        <f>$G$631</f>
        <v>2</v>
      </c>
      <c r="K607" s="697">
        <f>G$633</f>
        <v>81</v>
      </c>
      <c r="L607" s="327" t="s">
        <v>63</v>
      </c>
      <c r="M607" s="265"/>
      <c r="N607" s="265"/>
      <c r="O607" s="265"/>
      <c r="P607" s="265"/>
      <c r="Q607" s="265"/>
      <c r="R607" s="265"/>
      <c r="S607" s="581"/>
      <c r="T607" s="581"/>
      <c r="U607" s="581"/>
      <c r="V607" s="337" t="str">
        <f t="shared" ref="V607:V610" si="105">$F$486</f>
        <v>kWh
Annual Savings</v>
      </c>
      <c r="W607" s="1357"/>
      <c r="X607" s="798"/>
      <c r="Y607" s="799"/>
      <c r="Z607" s="800"/>
      <c r="AA607" s="800"/>
      <c r="AB607" s="800"/>
      <c r="AC607" s="546">
        <v>226.6</v>
      </c>
      <c r="AD607" s="546">
        <v>226.6</v>
      </c>
      <c r="AE607" s="546">
        <v>226.6</v>
      </c>
      <c r="AF607" s="546">
        <v>226.6</v>
      </c>
      <c r="AG607" s="253">
        <f>IF(F607&lt;&gt;"",F607,"")</f>
        <v>404.14</v>
      </c>
      <c r="AH607" s="255"/>
      <c r="AI607" s="255"/>
      <c r="AK607" s="339"/>
      <c r="DG607" s="994">
        <f>(DI607+DI608)/(DJ607+DJ608)</f>
        <v>3.4114587931514597</v>
      </c>
      <c r="DH607" s="125" t="str">
        <f t="shared" ref="DH607:DH608" si="106">CONCATENATE(G607," ",J607," Year EUL")</f>
        <v>Cooling RES 2 Year EUL</v>
      </c>
      <c r="DI607" s="527">
        <f>(INDEX('Avoided Cost Benefits'!$B$4:$B$865,MATCH(DH607,'Avoided Cost Benefits'!$A$4:$A$865,0)))*F607</f>
        <v>151.11347674095271</v>
      </c>
      <c r="DJ607" s="1846">
        <f t="shared" ref="DJ607:DJ608" si="107">IFERROR(K607/((1+DiscountRate)^(CurrentYear-DiscountYear)),0)</f>
        <v>81</v>
      </c>
    </row>
    <row r="608" spans="1:114" s="325" customFormat="1" x14ac:dyDescent="0.25">
      <c r="A608" s="2147" t="s">
        <v>602</v>
      </c>
      <c r="B608" s="1318">
        <f t="shared" si="103"/>
        <v>403311</v>
      </c>
      <c r="C608" s="660" t="s">
        <v>1759</v>
      </c>
      <c r="D608" s="1994" t="s">
        <v>810</v>
      </c>
      <c r="E608" s="171" t="s">
        <v>1761</v>
      </c>
      <c r="F608" s="253">
        <f>ROUND((G626*G624*(1/G$627-1/G$628)/G$623),2)</f>
        <v>1183.75</v>
      </c>
      <c r="G608" s="526" t="s">
        <v>695</v>
      </c>
      <c r="H608" s="66">
        <f>VLOOKUP(G608,'CP FACTORS'!$A$3:$B$38, 2, FALSE)</f>
        <v>0</v>
      </c>
      <c r="I608" s="525">
        <f t="shared" si="104"/>
        <v>0</v>
      </c>
      <c r="J608" s="326">
        <f>$G$631</f>
        <v>2</v>
      </c>
      <c r="K608" s="697">
        <v>0</v>
      </c>
      <c r="L608" s="327" t="s">
        <v>63</v>
      </c>
      <c r="M608" s="265"/>
      <c r="N608" s="265"/>
      <c r="O608" s="265"/>
      <c r="P608" s="265"/>
      <c r="Q608" s="265"/>
      <c r="R608" s="265"/>
      <c r="S608" s="581"/>
      <c r="T608" s="581"/>
      <c r="U608" s="581"/>
      <c r="V608" s="337" t="str">
        <f t="shared" si="105"/>
        <v>kWh
Annual Savings</v>
      </c>
      <c r="W608" s="1357"/>
      <c r="X608" s="798"/>
      <c r="Y608" s="799"/>
      <c r="Z608" s="800"/>
      <c r="AA608" s="800"/>
      <c r="AB608" s="800"/>
      <c r="AC608" s="546">
        <v>726.8</v>
      </c>
      <c r="AD608" s="546">
        <v>726.8</v>
      </c>
      <c r="AE608" s="546">
        <v>726.8</v>
      </c>
      <c r="AF608" s="546">
        <v>726.8</v>
      </c>
      <c r="AG608" s="253">
        <f>IF(F608&lt;&gt;"",F608,"")</f>
        <v>1183.75</v>
      </c>
      <c r="AH608" s="255"/>
      <c r="AI608" s="255"/>
      <c r="AK608" s="339"/>
      <c r="DG608" s="1011"/>
      <c r="DH608" s="877" t="str">
        <f t="shared" si="106"/>
        <v>Heating RES 2 Year EUL</v>
      </c>
      <c r="DI608" s="527">
        <f>(INDEX('Avoided Cost Benefits'!$B$4:$B$865,MATCH(DH608,'Avoided Cost Benefits'!$A$4:$A$865,0)))*F608</f>
        <v>125.21468550431555</v>
      </c>
      <c r="DJ608" s="1846">
        <f t="shared" si="107"/>
        <v>0</v>
      </c>
    </row>
    <row r="609" spans="1:114" s="325" customFormat="1" x14ac:dyDescent="0.25">
      <c r="A609" s="2147" t="s">
        <v>602</v>
      </c>
      <c r="B609" s="1318">
        <f t="shared" ref="B609:B610" si="108">VALUE(LEFT(C609,6))</f>
        <v>403320</v>
      </c>
      <c r="C609" s="660" t="s">
        <v>1762</v>
      </c>
      <c r="D609" s="1994" t="s">
        <v>810</v>
      </c>
      <c r="E609" s="1992" t="s">
        <v>1763</v>
      </c>
      <c r="F609" s="253">
        <f>ROUND((G618*G617*(1/G$619-1/G$621)/G$623),2)</f>
        <v>135.35</v>
      </c>
      <c r="G609" s="526" t="s">
        <v>694</v>
      </c>
      <c r="H609" s="66">
        <f>VLOOKUP(G609,'CP FACTORS'!$A$3:$B$38, 2, FALSE)</f>
        <v>9.4741810000000004E-4</v>
      </c>
      <c r="I609" s="525">
        <f t="shared" ref="I609:I610" si="109">ROUND(F609*H609,6)</f>
        <v>0.12823300000000001</v>
      </c>
      <c r="J609" s="326">
        <f>$G$631</f>
        <v>2</v>
      </c>
      <c r="K609" s="697">
        <f>G$633</f>
        <v>81</v>
      </c>
      <c r="L609" s="327" t="s">
        <v>63</v>
      </c>
      <c r="M609" s="265"/>
      <c r="N609" s="265"/>
      <c r="O609" s="265"/>
      <c r="P609" s="265"/>
      <c r="Q609" s="265"/>
      <c r="R609" s="265"/>
      <c r="S609" s="581"/>
      <c r="T609" s="581"/>
      <c r="U609" s="581"/>
      <c r="V609" s="337" t="str">
        <f t="shared" si="105"/>
        <v>kWh
Annual Savings</v>
      </c>
      <c r="W609" s="1357"/>
      <c r="X609" s="798"/>
      <c r="Y609" s="799"/>
      <c r="Z609" s="800"/>
      <c r="AA609" s="800"/>
      <c r="AB609" s="800"/>
      <c r="AC609" s="546">
        <v>226.6</v>
      </c>
      <c r="AD609" s="546">
        <v>226.6</v>
      </c>
      <c r="AE609" s="546">
        <v>226.6</v>
      </c>
      <c r="AF609" s="546">
        <v>226.6</v>
      </c>
      <c r="AG609" s="253">
        <f>IF(F609&lt;&gt;"",F609,"")</f>
        <v>135.35</v>
      </c>
      <c r="AH609" s="255"/>
      <c r="AI609" s="255"/>
      <c r="AK609" s="339"/>
      <c r="DG609" s="994">
        <f>(DI609+DI610)/(DJ609+DJ610)</f>
        <v>1.1425165462572924</v>
      </c>
      <c r="DH609" s="125" t="str">
        <f t="shared" ref="DH609:DH610" si="110">CONCATENATE(G609," ",J609," Year EUL")</f>
        <v>Cooling RES 2 Year EUL</v>
      </c>
      <c r="DI609" s="527">
        <f>(INDEX('Avoided Cost Benefits'!$B$4:$B$865,MATCH(DH609,'Avoided Cost Benefits'!$A$4:$A$865,0)))*F609</f>
        <v>50.609217293234892</v>
      </c>
      <c r="DJ609" s="1846">
        <f t="shared" ref="DJ609:DJ610" si="111">IFERROR(K609/((1+DiscountRate)^(CurrentYear-DiscountYear)),0)</f>
        <v>81</v>
      </c>
    </row>
    <row r="610" spans="1:114" s="325" customFormat="1" x14ac:dyDescent="0.25">
      <c r="A610" s="2147" t="s">
        <v>602</v>
      </c>
      <c r="B610" s="1318">
        <f t="shared" si="108"/>
        <v>403320</v>
      </c>
      <c r="C610" s="660" t="s">
        <v>1762</v>
      </c>
      <c r="D610" s="1994" t="s">
        <v>810</v>
      </c>
      <c r="E610" s="2166" t="s">
        <v>1763</v>
      </c>
      <c r="F610" s="253">
        <f>ROUND((G626*G624*(1/G$627-1/G$629)/G$623),2)</f>
        <v>396.44</v>
      </c>
      <c r="G610" s="526" t="s">
        <v>695</v>
      </c>
      <c r="H610" s="66">
        <f>VLOOKUP(G610,'CP FACTORS'!$A$3:$B$38, 2, FALSE)</f>
        <v>0</v>
      </c>
      <c r="I610" s="525">
        <f t="shared" si="109"/>
        <v>0</v>
      </c>
      <c r="J610" s="326">
        <f>$G$631</f>
        <v>2</v>
      </c>
      <c r="K610" s="697">
        <v>0</v>
      </c>
      <c r="L610" s="327" t="s">
        <v>63</v>
      </c>
      <c r="M610" s="265"/>
      <c r="N610" s="265"/>
      <c r="O610" s="265"/>
      <c r="P610" s="265"/>
      <c r="Q610" s="265"/>
      <c r="R610" s="265"/>
      <c r="S610" s="581"/>
      <c r="T610" s="581"/>
      <c r="U610" s="581"/>
      <c r="V610" s="337" t="str">
        <f t="shared" si="105"/>
        <v>kWh
Annual Savings</v>
      </c>
      <c r="W610" s="1357"/>
      <c r="X610" s="798"/>
      <c r="Y610" s="799"/>
      <c r="Z610" s="800"/>
      <c r="AA610" s="800"/>
      <c r="AB610" s="800"/>
      <c r="AC610" s="546">
        <v>726.8</v>
      </c>
      <c r="AD610" s="546">
        <v>726.8</v>
      </c>
      <c r="AE610" s="546">
        <v>726.8</v>
      </c>
      <c r="AF610" s="546">
        <v>726.8</v>
      </c>
      <c r="AG610" s="253">
        <f>IF(F610&lt;&gt;"",F610,"")</f>
        <v>396.44</v>
      </c>
      <c r="AH610" s="255"/>
      <c r="AI610" s="255"/>
      <c r="AK610" s="339"/>
      <c r="DG610" s="1011"/>
      <c r="DH610" s="877" t="str">
        <f t="shared" si="110"/>
        <v>Heating RES 2 Year EUL</v>
      </c>
      <c r="DI610" s="527">
        <f>(INDEX('Avoided Cost Benefits'!$B$4:$B$865,MATCH(DH610,'Avoided Cost Benefits'!$A$4:$A$865,0)))*F610</f>
        <v>41.934622953605789</v>
      </c>
      <c r="DJ610" s="1846">
        <f t="shared" si="111"/>
        <v>0</v>
      </c>
    </row>
    <row r="611" spans="1:114" s="325" customFormat="1" hidden="1" outlineLevel="1" x14ac:dyDescent="0.25">
      <c r="A611" s="2147"/>
      <c r="B611" s="581"/>
      <c r="C611" s="70"/>
      <c r="D611" s="1313" t="s">
        <v>95</v>
      </c>
      <c r="E611" s="1313" t="s">
        <v>1383</v>
      </c>
      <c r="F611" s="985"/>
      <c r="G611" s="812"/>
      <c r="H611" s="812"/>
      <c r="I611" s="986"/>
      <c r="J611" s="987"/>
      <c r="K611" s="620"/>
      <c r="L611" s="70"/>
      <c r="M611" s="265"/>
      <c r="N611" s="265"/>
      <c r="O611" s="265"/>
      <c r="P611" s="265"/>
      <c r="Q611" s="265"/>
      <c r="R611" s="265"/>
      <c r="S611" s="581"/>
      <c r="T611" s="581"/>
      <c r="U611" s="581"/>
      <c r="V611" s="73"/>
      <c r="W611" s="73"/>
      <c r="X611" s="73"/>
      <c r="Y611" s="73"/>
      <c r="Z611" s="73"/>
      <c r="AA611" s="73"/>
      <c r="AB611" s="73"/>
      <c r="AC611" s="73"/>
      <c r="AD611" s="73"/>
      <c r="AE611" s="73"/>
      <c r="AF611" s="73"/>
      <c r="AG611" s="73"/>
      <c r="AH611" s="255"/>
      <c r="AI611" s="255"/>
      <c r="AK611" s="339"/>
      <c r="DG611" s="581"/>
      <c r="DH611" s="126"/>
      <c r="DI611" s="527"/>
      <c r="DJ611" s="1074"/>
    </row>
    <row r="612" spans="1:114" s="325" customFormat="1" hidden="1" outlineLevel="1" x14ac:dyDescent="0.25">
      <c r="A612" s="2147"/>
      <c r="B612" s="581"/>
      <c r="C612" s="70"/>
      <c r="D612" s="1494" t="s">
        <v>609</v>
      </c>
      <c r="E612" s="1494" t="s">
        <v>1384</v>
      </c>
      <c r="F612" s="985"/>
      <c r="G612" s="812"/>
      <c r="H612" s="812"/>
      <c r="I612" s="986"/>
      <c r="J612" s="987"/>
      <c r="K612" s="620"/>
      <c r="L612" s="70"/>
      <c r="M612" s="265"/>
      <c r="N612" s="265"/>
      <c r="O612" s="265"/>
      <c r="P612" s="265"/>
      <c r="Q612" s="265"/>
      <c r="R612" s="265"/>
      <c r="S612" s="581"/>
      <c r="T612" s="581"/>
      <c r="U612" s="581"/>
      <c r="V612" s="73"/>
      <c r="W612" s="73"/>
      <c r="X612" s="73"/>
      <c r="Y612" s="73"/>
      <c r="Z612" s="73"/>
      <c r="AA612" s="73"/>
      <c r="AB612" s="73"/>
      <c r="AC612" s="73"/>
      <c r="AD612" s="73"/>
      <c r="AE612" s="73"/>
      <c r="AF612" s="73"/>
      <c r="AG612" s="73"/>
      <c r="AH612" s="255"/>
      <c r="AI612" s="255"/>
      <c r="AK612" s="339"/>
      <c r="DG612" s="581"/>
      <c r="DH612" s="126"/>
      <c r="DI612" s="527"/>
      <c r="DJ612" s="1074"/>
    </row>
    <row r="613" spans="1:114" s="6" customFormat="1" hidden="1" outlineLevel="1" x14ac:dyDescent="0.25">
      <c r="A613" s="2147"/>
      <c r="B613" s="64"/>
      <c r="C613" s="62"/>
      <c r="D613" s="1313"/>
      <c r="E613" s="1494" t="s">
        <v>1385</v>
      </c>
      <c r="F613" s="69"/>
      <c r="G613" s="64"/>
      <c r="H613" s="64">
        <f>(G617*G618*(1/G619*(1-J613))/1000)*J613</f>
        <v>372.88103641649019</v>
      </c>
      <c r="I613" s="64"/>
      <c r="J613" s="2148">
        <v>0.28570000000000001</v>
      </c>
      <c r="K613" s="64"/>
      <c r="L613" s="64"/>
      <c r="M613" s="64"/>
      <c r="N613" s="265"/>
      <c r="O613" s="265"/>
      <c r="P613" s="265"/>
      <c r="Q613" s="265"/>
      <c r="R613" s="265"/>
      <c r="S613" s="581"/>
      <c r="T613" s="581"/>
      <c r="U613" s="581"/>
      <c r="V613" s="73"/>
      <c r="Y613" s="1363"/>
      <c r="AK613" s="339"/>
      <c r="DG613" s="990"/>
      <c r="DH613" s="64"/>
      <c r="DI613" s="64"/>
      <c r="DJ613" s="1030"/>
    </row>
    <row r="614" spans="1:114" s="6" customFormat="1" hidden="1" outlineLevel="1" x14ac:dyDescent="0.25">
      <c r="A614" s="2147"/>
      <c r="B614" s="64"/>
      <c r="C614" s="62"/>
      <c r="D614" s="1313"/>
      <c r="E614" s="1313" t="s">
        <v>717</v>
      </c>
      <c r="F614" s="547"/>
      <c r="G614" s="64"/>
      <c r="H614" s="64"/>
      <c r="I614" s="64"/>
      <c r="J614" s="64"/>
      <c r="K614" s="64"/>
      <c r="L614" s="64"/>
      <c r="M614" s="64"/>
      <c r="N614" s="265"/>
      <c r="O614" s="265"/>
      <c r="P614" s="265"/>
      <c r="Q614" s="265"/>
      <c r="R614" s="265"/>
      <c r="S614" s="581"/>
      <c r="T614" s="581"/>
      <c r="U614" s="581"/>
      <c r="V614" s="73"/>
      <c r="Y614" s="1363"/>
      <c r="AK614" s="339"/>
      <c r="DG614" s="990"/>
      <c r="DH614" s="64"/>
      <c r="DI614" s="64"/>
      <c r="DJ614" s="1030"/>
    </row>
    <row r="615" spans="1:114" s="6" customFormat="1" hidden="1" outlineLevel="1" x14ac:dyDescent="0.25">
      <c r="A615" s="2147"/>
      <c r="B615" s="64"/>
      <c r="C615" s="62"/>
      <c r="D615" s="1313"/>
      <c r="E615" s="1313"/>
      <c r="F615" s="547"/>
      <c r="G615" s="64"/>
      <c r="H615" s="64"/>
      <c r="I615" s="64"/>
      <c r="J615" s="64"/>
      <c r="K615" s="64"/>
      <c r="L615" s="64"/>
      <c r="M615" s="64"/>
      <c r="N615" s="265"/>
      <c r="O615" s="265"/>
      <c r="P615" s="265"/>
      <c r="Q615" s="265"/>
      <c r="R615" s="265"/>
      <c r="S615" s="581"/>
      <c r="T615" s="581"/>
      <c r="U615" s="581"/>
      <c r="V615" s="73"/>
      <c r="Y615" s="1363"/>
      <c r="AK615" s="339"/>
      <c r="DG615" s="990"/>
      <c r="DH615" s="64"/>
      <c r="DI615" s="64"/>
      <c r="DJ615" s="1030"/>
    </row>
    <row r="616" spans="1:114" s="8" customFormat="1" ht="15" hidden="1" customHeight="1" outlineLevel="1" x14ac:dyDescent="0.25">
      <c r="A616" s="2147"/>
      <c r="B616" s="115"/>
      <c r="C616" s="62"/>
      <c r="D616" s="1309" t="s">
        <v>720</v>
      </c>
      <c r="E616" s="1309" t="s">
        <v>613</v>
      </c>
      <c r="F616" s="1309" t="s">
        <v>614</v>
      </c>
      <c r="G616" s="1253" t="s">
        <v>615</v>
      </c>
      <c r="H616" s="2378" t="s">
        <v>616</v>
      </c>
      <c r="I616" s="2378"/>
      <c r="J616" s="2523" t="s">
        <v>617</v>
      </c>
      <c r="K616" s="2530"/>
      <c r="L616" s="2530"/>
      <c r="M616" s="2529"/>
      <c r="N616" s="64"/>
      <c r="O616" s="64"/>
      <c r="P616" s="64"/>
      <c r="Q616" s="64"/>
      <c r="R616" s="115"/>
      <c r="S616" s="115"/>
      <c r="T616" s="115"/>
      <c r="U616" s="115"/>
      <c r="V616" s="636" t="s">
        <v>53</v>
      </c>
      <c r="W616" s="637">
        <f>W$6</f>
        <v>43252</v>
      </c>
      <c r="X616" s="637">
        <f t="shared" ref="X616:AG616" si="112">X$6</f>
        <v>43465</v>
      </c>
      <c r="Y616" s="110">
        <f t="shared" si="112"/>
        <v>43800</v>
      </c>
      <c r="Z616" s="637">
        <f t="shared" si="112"/>
        <v>43862</v>
      </c>
      <c r="AA616" s="637">
        <f t="shared" si="112"/>
        <v>44013</v>
      </c>
      <c r="AB616" s="637">
        <f t="shared" si="112"/>
        <v>44166</v>
      </c>
      <c r="AC616" s="637">
        <f t="shared" si="112"/>
        <v>44531</v>
      </c>
      <c r="AD616" s="637">
        <f t="shared" si="112"/>
        <v>44774</v>
      </c>
      <c r="AE616" s="637">
        <f t="shared" si="112"/>
        <v>45139</v>
      </c>
      <c r="AF616" s="637">
        <f t="shared" si="112"/>
        <v>45672</v>
      </c>
      <c r="AG616" s="637">
        <f t="shared" si="112"/>
        <v>45971</v>
      </c>
      <c r="AK616" s="339"/>
      <c r="DG616" s="996"/>
      <c r="DH616" s="115"/>
      <c r="DI616" s="115"/>
      <c r="DJ616" s="1071"/>
    </row>
    <row r="617" spans="1:114" s="6" customFormat="1" ht="38.25" hidden="1" customHeight="1" outlineLevel="1" x14ac:dyDescent="0.25">
      <c r="A617" s="2147"/>
      <c r="B617" s="64"/>
      <c r="C617" s="62"/>
      <c r="D617" s="1283" t="s">
        <v>1386</v>
      </c>
      <c r="E617" s="1283" t="s">
        <v>1067</v>
      </c>
      <c r="F617" s="331" t="s">
        <v>759</v>
      </c>
      <c r="G617" s="1541">
        <v>869</v>
      </c>
      <c r="H617" s="2600" t="s">
        <v>1764</v>
      </c>
      <c r="I617" s="2580"/>
      <c r="J617" s="2601"/>
      <c r="K617" s="2602"/>
      <c r="L617" s="2602"/>
      <c r="M617" s="2603"/>
      <c r="N617" s="64"/>
      <c r="O617" s="64"/>
      <c r="P617" s="64"/>
      <c r="Q617" s="64"/>
      <c r="R617" s="64"/>
      <c r="S617" s="64"/>
      <c r="T617" s="64"/>
      <c r="U617" s="64"/>
      <c r="V617" s="1359" t="s">
        <v>1765</v>
      </c>
      <c r="W617" s="329">
        <v>869</v>
      </c>
      <c r="X617" s="79">
        <v>869</v>
      </c>
      <c r="Y617" s="79">
        <v>869</v>
      </c>
      <c r="Z617" s="79">
        <v>869</v>
      </c>
      <c r="AA617" s="79">
        <v>869</v>
      </c>
      <c r="AB617" s="79">
        <v>869</v>
      </c>
      <c r="AC617" s="811">
        <f>G617</f>
        <v>869</v>
      </c>
      <c r="AD617" s="328">
        <v>869</v>
      </c>
      <c r="AE617" s="328">
        <v>869</v>
      </c>
      <c r="AF617" s="253">
        <v>869</v>
      </c>
      <c r="AG617" s="253">
        <f t="shared" ref="AG617:AG620" si="113">IF(G617&lt;&gt;"",G617,"")</f>
        <v>869</v>
      </c>
      <c r="AK617" s="339"/>
      <c r="DG617" s="990"/>
      <c r="DH617" s="64"/>
      <c r="DI617" s="64"/>
      <c r="DJ617" s="1030"/>
    </row>
    <row r="618" spans="1:114" s="6" customFormat="1" ht="30" hidden="1" customHeight="1" outlineLevel="1" x14ac:dyDescent="0.25">
      <c r="A618" s="2147"/>
      <c r="B618" s="64"/>
      <c r="C618" s="62"/>
      <c r="D618" s="1874" t="s">
        <v>1388</v>
      </c>
      <c r="E618" s="1874" t="s">
        <v>1296</v>
      </c>
      <c r="F618" s="331" t="s">
        <v>759</v>
      </c>
      <c r="G618" s="1501">
        <v>25021.111111111109</v>
      </c>
      <c r="H618" s="2586" t="s">
        <v>1390</v>
      </c>
      <c r="I618" s="2587"/>
      <c r="J618" s="2572"/>
      <c r="K618" s="2588"/>
      <c r="L618" s="2588"/>
      <c r="M618" s="2589"/>
      <c r="N618" s="64"/>
      <c r="O618" s="64"/>
      <c r="P618" s="64"/>
      <c r="Q618" s="64"/>
      <c r="R618" s="64"/>
      <c r="S618" s="64"/>
      <c r="T618" s="64"/>
      <c r="U618" s="64"/>
      <c r="V618" s="1359"/>
      <c r="W618" s="329" t="e">
        <f>#REF!*0.65</f>
        <v>#REF!</v>
      </c>
      <c r="X618" s="79">
        <v>24515.58139534884</v>
      </c>
      <c r="Y618" s="330">
        <v>22537.991266375546</v>
      </c>
      <c r="Z618" s="79">
        <v>22537.991266375546</v>
      </c>
      <c r="AA618" s="79">
        <v>22537.991266375546</v>
      </c>
      <c r="AB618" s="79">
        <v>22537.991266375546</v>
      </c>
      <c r="AC618" s="811">
        <f t="shared" ref="AC618:AC631" si="114">G618</f>
        <v>25021.111111111109</v>
      </c>
      <c r="AD618" s="328">
        <v>22537.991266375546</v>
      </c>
      <c r="AE618" s="328">
        <v>22537.991266375546</v>
      </c>
      <c r="AF618" s="253">
        <v>22537.991266375546</v>
      </c>
      <c r="AG618" s="253">
        <f t="shared" si="113"/>
        <v>25021.111111111109</v>
      </c>
      <c r="AK618" s="339"/>
      <c r="DG618" s="990"/>
      <c r="DH618" s="64"/>
      <c r="DI618" s="64"/>
      <c r="DJ618" s="1030"/>
    </row>
    <row r="619" spans="1:114" s="6" customFormat="1" ht="54" hidden="1" customHeight="1" outlineLevel="1" x14ac:dyDescent="0.25">
      <c r="A619" s="2147"/>
      <c r="B619" s="64"/>
      <c r="C619" s="62"/>
      <c r="D619" s="1874" t="s">
        <v>1391</v>
      </c>
      <c r="E619" s="1874" t="s">
        <v>1392</v>
      </c>
      <c r="F619" s="331" t="s">
        <v>1766</v>
      </c>
      <c r="G619" s="1448">
        <v>11.9</v>
      </c>
      <c r="H619" s="2575" t="s">
        <v>1767</v>
      </c>
      <c r="I619" s="2576"/>
      <c r="J619" s="2575"/>
      <c r="K619" s="2590"/>
      <c r="L619" s="2590"/>
      <c r="M619" s="2576"/>
      <c r="N619" s="64"/>
      <c r="O619" s="64"/>
      <c r="P619" s="64"/>
      <c r="Q619" s="64"/>
      <c r="R619" s="64"/>
      <c r="S619" s="64"/>
      <c r="T619" s="64"/>
      <c r="U619" s="64"/>
      <c r="V619" s="1869"/>
      <c r="W619" s="800"/>
      <c r="X619" s="800"/>
      <c r="Y619" s="800"/>
      <c r="Z619" s="800"/>
      <c r="AA619" s="800"/>
      <c r="AB619" s="800"/>
      <c r="AC619" s="326">
        <f t="shared" si="114"/>
        <v>11.9</v>
      </c>
      <c r="AD619" s="1252">
        <v>11.9</v>
      </c>
      <c r="AE619" s="1252">
        <v>11.9</v>
      </c>
      <c r="AF619" s="253">
        <v>11.9</v>
      </c>
      <c r="AG619" s="253">
        <f t="shared" si="113"/>
        <v>11.9</v>
      </c>
      <c r="AK619" s="339"/>
      <c r="DG619" s="990"/>
      <c r="DH619" s="64"/>
      <c r="DI619" s="64"/>
      <c r="DJ619" s="1030"/>
    </row>
    <row r="620" spans="1:114" s="6" customFormat="1" ht="58.5" hidden="1" customHeight="1" outlineLevel="1" x14ac:dyDescent="0.25">
      <c r="A620" s="2147"/>
      <c r="B620" s="64"/>
      <c r="C620" s="62"/>
      <c r="D620" s="1874" t="s">
        <v>1396</v>
      </c>
      <c r="E620" s="1874" t="s">
        <v>1397</v>
      </c>
      <c r="F620" s="1989" t="s">
        <v>1768</v>
      </c>
      <c r="G620" s="1991">
        <f>G619*(1+0.284)</f>
        <v>15.2796</v>
      </c>
      <c r="H620" s="2575" t="s">
        <v>1769</v>
      </c>
      <c r="I620" s="2576"/>
      <c r="J620" s="2591">
        <f>G620/$G$619-1</f>
        <v>0.28400000000000003</v>
      </c>
      <c r="K620" s="2592"/>
      <c r="L620" s="2592"/>
      <c r="M620" s="2593"/>
      <c r="N620" s="64"/>
      <c r="O620" s="64"/>
      <c r="P620" s="816"/>
      <c r="Q620" s="64"/>
      <c r="R620" s="64"/>
      <c r="S620" s="64"/>
      <c r="T620" s="64"/>
      <c r="U620" s="64"/>
      <c r="V620" s="1359"/>
      <c r="W620" s="800"/>
      <c r="X620" s="800"/>
      <c r="Y620" s="800"/>
      <c r="Z620" s="800"/>
      <c r="AA620" s="800"/>
      <c r="AB620" s="800"/>
      <c r="AC620" s="326">
        <f t="shared" si="114"/>
        <v>15.2796</v>
      </c>
      <c r="AD620" s="1252">
        <v>13.8</v>
      </c>
      <c r="AE620" s="1252">
        <v>13.8</v>
      </c>
      <c r="AF620" s="253">
        <v>13.8</v>
      </c>
      <c r="AG620" s="253">
        <f t="shared" si="113"/>
        <v>15.2796</v>
      </c>
      <c r="AK620" s="339"/>
      <c r="DG620" s="990"/>
      <c r="DH620" s="64"/>
      <c r="DI620" s="64"/>
      <c r="DJ620" s="1030"/>
    </row>
    <row r="621" spans="1:114" s="6" customFormat="1" ht="75.75" hidden="1" customHeight="1" outlineLevel="1" x14ac:dyDescent="0.25">
      <c r="A621" s="2147"/>
      <c r="B621" s="64"/>
      <c r="C621" s="62"/>
      <c r="D621" s="1990" t="s">
        <v>1770</v>
      </c>
      <c r="E621" s="1990" t="s">
        <v>1397</v>
      </c>
      <c r="F621" s="1989" t="s">
        <v>1771</v>
      </c>
      <c r="G621" s="1991">
        <f>G619*(1+0.08)</f>
        <v>12.852000000000002</v>
      </c>
      <c r="H621" s="2586" t="s">
        <v>1772</v>
      </c>
      <c r="I621" s="2587"/>
      <c r="J621" s="2591">
        <f>G621/$G$619-1</f>
        <v>8.0000000000000071E-2</v>
      </c>
      <c r="K621" s="2592"/>
      <c r="L621" s="2592"/>
      <c r="M621" s="2593"/>
      <c r="N621" s="64"/>
      <c r="O621" s="64"/>
      <c r="P621" s="816"/>
      <c r="Q621" s="64"/>
      <c r="R621" s="64"/>
      <c r="S621" s="64"/>
      <c r="T621" s="64"/>
      <c r="U621" s="64"/>
      <c r="V621" s="1359"/>
      <c r="W621" s="800"/>
      <c r="X621" s="800"/>
      <c r="Y621" s="800"/>
      <c r="Z621" s="800"/>
      <c r="AA621" s="800"/>
      <c r="AB621" s="800"/>
      <c r="AC621" s="800"/>
      <c r="AD621" s="800"/>
      <c r="AE621" s="800"/>
      <c r="AF621" s="800"/>
      <c r="AG621" s="253">
        <f>IF(G621&lt;&gt;"",G621,"")</f>
        <v>12.852000000000002</v>
      </c>
      <c r="AK621" s="339"/>
      <c r="DG621" s="990"/>
      <c r="DH621" s="64"/>
      <c r="DI621" s="64"/>
      <c r="DJ621" s="1030"/>
    </row>
    <row r="622" spans="1:114" s="6" customFormat="1" ht="29.25" hidden="1" customHeight="1" outlineLevel="1" x14ac:dyDescent="0.25">
      <c r="A622" s="2147"/>
      <c r="B622" s="64"/>
      <c r="C622" s="62"/>
      <c r="D622" s="2149" t="s">
        <v>1773</v>
      </c>
      <c r="E622" s="2149" t="s">
        <v>1397</v>
      </c>
      <c r="F622" s="2150" t="s">
        <v>1774</v>
      </c>
      <c r="G622" s="2151">
        <v>13.4</v>
      </c>
      <c r="H622" s="2577" t="s">
        <v>1775</v>
      </c>
      <c r="I622" s="2578"/>
      <c r="J622" s="2443"/>
      <c r="K622" s="2443"/>
      <c r="L622" s="2443"/>
      <c r="M622" s="2443"/>
      <c r="N622" s="64"/>
      <c r="O622" s="64"/>
      <c r="P622" s="816"/>
      <c r="Q622" s="64"/>
      <c r="R622" s="64"/>
      <c r="S622" s="64"/>
      <c r="T622" s="64"/>
      <c r="U622" s="64"/>
      <c r="V622" s="1359"/>
      <c r="W622" s="800"/>
      <c r="X622" s="800"/>
      <c r="Y622" s="800"/>
      <c r="Z622" s="800"/>
      <c r="AA622" s="800"/>
      <c r="AB622" s="800"/>
      <c r="AC622" s="800"/>
      <c r="AD622" s="800"/>
      <c r="AE622" s="800"/>
      <c r="AF622" s="800"/>
      <c r="AG622" s="253">
        <f>IF(G622&lt;&gt;"",G622,"")</f>
        <v>13.4</v>
      </c>
      <c r="AK622" s="339"/>
      <c r="DG622" s="990"/>
      <c r="DH622" s="64"/>
      <c r="DI622" s="64"/>
      <c r="DJ622" s="1030"/>
    </row>
    <row r="623" spans="1:114" s="6" customFormat="1" ht="20.25" hidden="1" customHeight="1" outlineLevel="1" x14ac:dyDescent="0.25">
      <c r="A623" s="2147"/>
      <c r="B623" s="64"/>
      <c r="C623" s="62"/>
      <c r="D623" s="332">
        <v>1000</v>
      </c>
      <c r="E623" s="333" t="s">
        <v>1403</v>
      </c>
      <c r="F623" s="331" t="s">
        <v>1776</v>
      </c>
      <c r="G623" s="1541">
        <v>1000</v>
      </c>
      <c r="H623" s="2383" t="s">
        <v>1405</v>
      </c>
      <c r="I623" s="2383"/>
      <c r="J623" s="2443"/>
      <c r="K623" s="2443"/>
      <c r="L623" s="2443"/>
      <c r="M623" s="2443"/>
      <c r="N623" s="64"/>
      <c r="O623" s="64"/>
      <c r="P623" s="64"/>
      <c r="Q623" s="64"/>
      <c r="R623" s="64"/>
      <c r="S623" s="64"/>
      <c r="T623" s="64"/>
      <c r="U623" s="64"/>
      <c r="V623" s="1368">
        <v>1000</v>
      </c>
      <c r="W623" s="329">
        <v>1000</v>
      </c>
      <c r="X623" s="79">
        <v>1000</v>
      </c>
      <c r="Y623" s="1378">
        <v>1000</v>
      </c>
      <c r="Z623" s="79">
        <v>1000</v>
      </c>
      <c r="AA623" s="79">
        <v>1000</v>
      </c>
      <c r="AB623" s="79">
        <v>1000</v>
      </c>
      <c r="AC623" s="811">
        <f t="shared" si="114"/>
        <v>1000</v>
      </c>
      <c r="AD623" s="328">
        <v>1000</v>
      </c>
      <c r="AE623" s="328">
        <v>1000</v>
      </c>
      <c r="AF623" s="253">
        <v>1000</v>
      </c>
      <c r="AG623" s="253">
        <f t="shared" ref="AG623:AG633" si="115">IF(G623&lt;&gt;"",G623,"")</f>
        <v>1000</v>
      </c>
      <c r="AK623" s="339"/>
      <c r="DG623" s="990"/>
      <c r="DH623" s="64"/>
      <c r="DI623" s="64"/>
      <c r="DJ623" s="1030"/>
    </row>
    <row r="624" spans="1:114" s="6" customFormat="1" ht="28.5" hidden="1" customHeight="1" outlineLevel="1" x14ac:dyDescent="0.25">
      <c r="A624" s="2147"/>
      <c r="B624" s="64"/>
      <c r="C624" s="62"/>
      <c r="D624" s="2464" t="s">
        <v>1777</v>
      </c>
      <c r="E624" s="2464" t="s">
        <v>1053</v>
      </c>
      <c r="F624" s="331" t="s">
        <v>753</v>
      </c>
      <c r="G624" s="1541">
        <v>1496</v>
      </c>
      <c r="H624" s="2366" t="s">
        <v>1764</v>
      </c>
      <c r="I624" s="2366"/>
      <c r="J624" s="2443"/>
      <c r="K624" s="2443"/>
      <c r="L624" s="2443"/>
      <c r="M624" s="2443"/>
      <c r="N624" s="64"/>
      <c r="O624" s="64"/>
      <c r="P624" s="64"/>
      <c r="Q624" s="64"/>
      <c r="R624" s="64"/>
      <c r="S624" s="64"/>
      <c r="T624" s="64"/>
      <c r="U624" s="64"/>
      <c r="V624" s="2574" t="s">
        <v>1778</v>
      </c>
      <c r="W624" s="329">
        <v>2009</v>
      </c>
      <c r="X624" s="329">
        <v>2009</v>
      </c>
      <c r="Y624" s="334">
        <v>1496</v>
      </c>
      <c r="Z624" s="329">
        <v>1496</v>
      </c>
      <c r="AA624" s="329">
        <v>1496</v>
      </c>
      <c r="AB624" s="329">
        <v>1496</v>
      </c>
      <c r="AC624" s="811">
        <f t="shared" si="114"/>
        <v>1496</v>
      </c>
      <c r="AD624" s="328">
        <v>1496</v>
      </c>
      <c r="AE624" s="328">
        <v>1496</v>
      </c>
      <c r="AF624" s="253">
        <v>1496</v>
      </c>
      <c r="AG624" s="253">
        <f t="shared" si="115"/>
        <v>1496</v>
      </c>
      <c r="AK624" s="339"/>
      <c r="DG624" s="990"/>
      <c r="DH624" s="64"/>
      <c r="DI624" s="64"/>
      <c r="DJ624" s="1030"/>
    </row>
    <row r="625" spans="1:114" s="6" customFormat="1" ht="29.25" hidden="1" customHeight="1" outlineLevel="1" x14ac:dyDescent="0.25">
      <c r="A625" s="2147"/>
      <c r="B625" s="64"/>
      <c r="C625" s="62"/>
      <c r="D625" s="2541"/>
      <c r="E625" s="2541"/>
      <c r="F625" s="331" t="s">
        <v>1779</v>
      </c>
      <c r="G625" s="1541">
        <v>510</v>
      </c>
      <c r="H625" s="2575" t="s">
        <v>1764</v>
      </c>
      <c r="I625" s="2576"/>
      <c r="J625" s="2443"/>
      <c r="K625" s="2443"/>
      <c r="L625" s="2443"/>
      <c r="M625" s="2443"/>
      <c r="N625" s="64"/>
      <c r="O625" s="64"/>
      <c r="P625" s="64"/>
      <c r="Q625" s="64"/>
      <c r="R625" s="64"/>
      <c r="S625" s="64"/>
      <c r="T625" s="64"/>
      <c r="U625" s="64"/>
      <c r="V625" s="2463"/>
      <c r="W625" s="329"/>
      <c r="X625" s="329"/>
      <c r="Y625" s="334">
        <v>510</v>
      </c>
      <c r="Z625" s="329">
        <v>510</v>
      </c>
      <c r="AA625" s="329">
        <v>510</v>
      </c>
      <c r="AB625" s="329">
        <v>510</v>
      </c>
      <c r="AC625" s="811">
        <f t="shared" si="114"/>
        <v>510</v>
      </c>
      <c r="AD625" s="328">
        <v>510</v>
      </c>
      <c r="AE625" s="328">
        <v>510</v>
      </c>
      <c r="AF625" s="253">
        <v>510</v>
      </c>
      <c r="AG625" s="253">
        <f t="shared" si="115"/>
        <v>510</v>
      </c>
      <c r="AK625" s="339"/>
      <c r="DG625" s="990"/>
      <c r="DH625" s="64"/>
      <c r="DI625" s="64"/>
      <c r="DJ625" s="1030"/>
    </row>
    <row r="626" spans="1:114" s="73" customFormat="1" ht="33.75" hidden="1" customHeight="1" outlineLevel="1" x14ac:dyDescent="0.25">
      <c r="A626" s="2147"/>
      <c r="B626" s="50"/>
      <c r="C626" s="49"/>
      <c r="D626" s="1874" t="s">
        <v>1780</v>
      </c>
      <c r="E626" s="1874" t="s">
        <v>1050</v>
      </c>
      <c r="F626" s="331" t="s">
        <v>759</v>
      </c>
      <c r="G626" s="2165">
        <v>22537.991266375546</v>
      </c>
      <c r="H626" s="2575" t="s">
        <v>1592</v>
      </c>
      <c r="I626" s="2576"/>
      <c r="J626" s="2443"/>
      <c r="K626" s="2443"/>
      <c r="L626" s="2443"/>
      <c r="M626" s="2443"/>
      <c r="N626" s="50"/>
      <c r="O626" s="50"/>
      <c r="P626" s="50"/>
      <c r="Q626" s="64"/>
      <c r="R626" s="50"/>
      <c r="S626" s="50"/>
      <c r="T626" s="50"/>
      <c r="U626" s="50"/>
      <c r="V626" s="1359"/>
      <c r="W626" s="329">
        <v>24515.58139534884</v>
      </c>
      <c r="X626" s="79">
        <v>24515.58139534884</v>
      </c>
      <c r="Y626" s="330">
        <v>22537.991266375546</v>
      </c>
      <c r="Z626" s="79">
        <v>22537.991266375546</v>
      </c>
      <c r="AA626" s="79">
        <v>22537.991266375546</v>
      </c>
      <c r="AB626" s="79">
        <v>22537.991266375546</v>
      </c>
      <c r="AC626" s="811">
        <f t="shared" si="114"/>
        <v>22537.991266375546</v>
      </c>
      <c r="AD626" s="328">
        <v>22537.991266375546</v>
      </c>
      <c r="AE626" s="328">
        <v>22537.991266375546</v>
      </c>
      <c r="AF626" s="253">
        <v>22537.991266375546</v>
      </c>
      <c r="AG626" s="253">
        <f t="shared" si="115"/>
        <v>22537.991266375546</v>
      </c>
      <c r="AK626" s="339"/>
      <c r="DG626" s="243"/>
      <c r="DH626" s="50"/>
      <c r="DI626" s="50"/>
      <c r="DJ626" s="1030"/>
    </row>
    <row r="627" spans="1:114" s="73" customFormat="1" ht="81.95" hidden="1" customHeight="1" outlineLevel="1" x14ac:dyDescent="0.25">
      <c r="A627" s="2147"/>
      <c r="B627" s="50"/>
      <c r="C627" s="49"/>
      <c r="D627" s="1874" t="s">
        <v>1781</v>
      </c>
      <c r="E627" s="1877" t="s">
        <v>1782</v>
      </c>
      <c r="F627" s="1730" t="s">
        <v>1766</v>
      </c>
      <c r="G627" s="1448">
        <v>6.3</v>
      </c>
      <c r="H627" s="2575" t="s">
        <v>1783</v>
      </c>
      <c r="I627" s="2576"/>
      <c r="J627" s="2572"/>
      <c r="K627" s="2573"/>
      <c r="L627" s="2573"/>
      <c r="M627" s="2524"/>
      <c r="N627" s="50"/>
      <c r="O627" s="64"/>
      <c r="P627" s="64"/>
      <c r="Q627" s="50"/>
      <c r="R627" s="50"/>
      <c r="S627" s="50"/>
      <c r="T627" s="50"/>
      <c r="U627" s="50"/>
      <c r="V627" s="1869"/>
      <c r="W627" s="800"/>
      <c r="X627" s="800"/>
      <c r="Y627" s="800"/>
      <c r="Z627" s="800"/>
      <c r="AA627" s="800"/>
      <c r="AB627" s="800"/>
      <c r="AC627" s="546">
        <f t="shared" si="114"/>
        <v>6.3</v>
      </c>
      <c r="AD627" s="335">
        <v>6.3</v>
      </c>
      <c r="AE627" s="335">
        <v>6.3</v>
      </c>
      <c r="AF627" s="253">
        <v>6.3</v>
      </c>
      <c r="AG627" s="253">
        <f t="shared" si="115"/>
        <v>6.3</v>
      </c>
      <c r="AK627" s="339"/>
      <c r="DG627" s="243"/>
      <c r="DH627" s="50"/>
      <c r="DI627" s="50"/>
      <c r="DJ627" s="1030"/>
    </row>
    <row r="628" spans="1:114" s="73" customFormat="1" ht="53.25" hidden="1" customHeight="1" outlineLevel="1" x14ac:dyDescent="0.25">
      <c r="A628" s="2147"/>
      <c r="B628" s="50"/>
      <c r="C628" s="49"/>
      <c r="D628" s="1874" t="s">
        <v>1784</v>
      </c>
      <c r="E628" s="1877" t="s">
        <v>1785</v>
      </c>
      <c r="F628" s="1989" t="s">
        <v>1786</v>
      </c>
      <c r="G628" s="1991">
        <f>G627*(1+0.284)</f>
        <v>8.0891999999999999</v>
      </c>
      <c r="H628" s="2579" t="s">
        <v>1787</v>
      </c>
      <c r="I628" s="2580"/>
      <c r="J628" s="2569">
        <f>G628/$G$627-1</f>
        <v>0.28400000000000003</v>
      </c>
      <c r="K628" s="2570"/>
      <c r="L628" s="2570"/>
      <c r="M628" s="2571"/>
      <c r="N628" s="50"/>
      <c r="O628" s="64"/>
      <c r="P628" s="816"/>
      <c r="Q628" s="50"/>
      <c r="R628" s="817"/>
      <c r="S628" s="50"/>
      <c r="T628" s="50"/>
      <c r="U628" s="50"/>
      <c r="V628" s="1359"/>
      <c r="W628" s="800"/>
      <c r="X628" s="800"/>
      <c r="Y628" s="800"/>
      <c r="Z628" s="800"/>
      <c r="AA628" s="800"/>
      <c r="AB628" s="800"/>
      <c r="AC628" s="546">
        <f t="shared" si="114"/>
        <v>8.0891999999999999</v>
      </c>
      <c r="AD628" s="335">
        <v>7.29</v>
      </c>
      <c r="AE628" s="335">
        <v>7.29</v>
      </c>
      <c r="AF628" s="253">
        <v>7.29</v>
      </c>
      <c r="AG628" s="253">
        <f t="shared" si="115"/>
        <v>8.0891999999999999</v>
      </c>
      <c r="AK628" s="339"/>
      <c r="DG628" s="243"/>
      <c r="DH628" s="50"/>
      <c r="DI628" s="50"/>
      <c r="DJ628" s="1030"/>
    </row>
    <row r="629" spans="1:114" s="73" customFormat="1" ht="33.75" hidden="1" customHeight="1" outlineLevel="1" x14ac:dyDescent="0.25">
      <c r="A629" s="2147"/>
      <c r="B629" s="50"/>
      <c r="C629" s="49"/>
      <c r="D629" s="1990" t="s">
        <v>1788</v>
      </c>
      <c r="E629" s="1993" t="s">
        <v>1785</v>
      </c>
      <c r="F629" s="1989" t="s">
        <v>1789</v>
      </c>
      <c r="G629" s="1991">
        <f>G627*(1+0.08)</f>
        <v>6.8040000000000003</v>
      </c>
      <c r="H629" s="2581"/>
      <c r="I629" s="2582"/>
      <c r="J629" s="2569">
        <f>G629/$G$627-1</f>
        <v>8.0000000000000071E-2</v>
      </c>
      <c r="K629" s="2570"/>
      <c r="L629" s="2570"/>
      <c r="M629" s="2571"/>
      <c r="N629" s="50"/>
      <c r="O629" s="64"/>
      <c r="P629" s="816"/>
      <c r="Q629" s="50"/>
      <c r="R629" s="817"/>
      <c r="S629" s="50"/>
      <c r="T629" s="50"/>
      <c r="U629" s="50"/>
      <c r="V629" s="1359"/>
      <c r="W629" s="800"/>
      <c r="X629" s="800"/>
      <c r="Y629" s="800"/>
      <c r="Z629" s="800"/>
      <c r="AA629" s="800"/>
      <c r="AB629" s="800"/>
      <c r="AC629" s="546">
        <f t="shared" ref="AC629" si="116">G629</f>
        <v>6.8040000000000003</v>
      </c>
      <c r="AD629" s="335">
        <v>7.29</v>
      </c>
      <c r="AE629" s="335">
        <v>7.29</v>
      </c>
      <c r="AF629" s="253">
        <v>7.29</v>
      </c>
      <c r="AG629" s="253">
        <f t="shared" ref="AG629" si="117">IF(G629&lt;&gt;"",G629,"")</f>
        <v>6.8040000000000003</v>
      </c>
      <c r="AK629" s="339"/>
      <c r="DG629" s="243"/>
      <c r="DH629" s="50"/>
      <c r="DI629" s="50"/>
      <c r="DJ629" s="1030"/>
    </row>
    <row r="630" spans="1:114" s="73" customFormat="1" ht="33.75" hidden="1" customHeight="1" outlineLevel="1" x14ac:dyDescent="0.25">
      <c r="A630" s="2147"/>
      <c r="B630" s="50"/>
      <c r="C630" s="49"/>
      <c r="D630" s="2149" t="s">
        <v>1790</v>
      </c>
      <c r="E630" s="2152" t="s">
        <v>1785</v>
      </c>
      <c r="F630" s="2150" t="s">
        <v>1774</v>
      </c>
      <c r="G630" s="2151">
        <v>6.87</v>
      </c>
      <c r="H630" s="2577" t="s">
        <v>1791</v>
      </c>
      <c r="I630" s="2578"/>
      <c r="J630" s="2366"/>
      <c r="K630" s="2366"/>
      <c r="L630" s="2366"/>
      <c r="M630" s="2366"/>
      <c r="N630" s="50"/>
      <c r="O630" s="64"/>
      <c r="P630" s="816"/>
      <c r="Q630" s="50"/>
      <c r="R630" s="817"/>
      <c r="S630" s="50"/>
      <c r="T630" s="50"/>
      <c r="U630" s="50"/>
      <c r="V630" s="1359"/>
      <c r="W630" s="800"/>
      <c r="X630" s="800"/>
      <c r="Y630" s="800"/>
      <c r="Z630" s="800"/>
      <c r="AA630" s="800"/>
      <c r="AB630" s="800"/>
      <c r="AC630" s="546">
        <f t="shared" ref="AC630" si="118">G630</f>
        <v>6.87</v>
      </c>
      <c r="AD630" s="335">
        <v>7.29</v>
      </c>
      <c r="AE630" s="335">
        <v>7.29</v>
      </c>
      <c r="AF630" s="253">
        <v>7.29</v>
      </c>
      <c r="AG630" s="253">
        <f t="shared" ref="AG630" si="119">IF(G630&lt;&gt;"",G630,"")</f>
        <v>6.87</v>
      </c>
      <c r="AK630" s="339"/>
      <c r="DG630" s="243"/>
      <c r="DH630" s="50"/>
      <c r="DI630" s="50"/>
      <c r="DJ630" s="1030"/>
    </row>
    <row r="631" spans="1:114" s="73" customFormat="1" ht="33.75" hidden="1" customHeight="1" outlineLevel="1" x14ac:dyDescent="0.25">
      <c r="A631" s="2147"/>
      <c r="B631" s="50"/>
      <c r="C631" s="49"/>
      <c r="D631" s="1283" t="s">
        <v>50</v>
      </c>
      <c r="E631" s="1294" t="str">
        <f>E550</f>
        <v>Effective Useful Life</v>
      </c>
      <c r="F631" s="331" t="s">
        <v>742</v>
      </c>
      <c r="G631" s="1541">
        <v>2</v>
      </c>
      <c r="H631" s="2366" t="s">
        <v>1792</v>
      </c>
      <c r="I631" s="2366"/>
      <c r="J631" s="2366"/>
      <c r="K631" s="2366"/>
      <c r="L631" s="2366"/>
      <c r="M631" s="2366"/>
      <c r="N631" s="50"/>
      <c r="O631" s="50"/>
      <c r="P631" s="50"/>
      <c r="Q631" s="50"/>
      <c r="R631" s="50"/>
      <c r="S631" s="50"/>
      <c r="T631" s="50"/>
      <c r="U631" s="50"/>
      <c r="V631" s="1359" t="str">
        <f>D631</f>
        <v>EUL</v>
      </c>
      <c r="W631" s="336">
        <v>2</v>
      </c>
      <c r="X631" s="75">
        <v>2</v>
      </c>
      <c r="Y631" s="1351">
        <v>2</v>
      </c>
      <c r="Z631" s="75">
        <v>2</v>
      </c>
      <c r="AA631" s="75">
        <v>2</v>
      </c>
      <c r="AB631" s="75">
        <v>2</v>
      </c>
      <c r="AC631" s="546">
        <f t="shared" si="114"/>
        <v>2</v>
      </c>
      <c r="AD631" s="335">
        <v>2</v>
      </c>
      <c r="AE631" s="335">
        <v>2</v>
      </c>
      <c r="AF631" s="253">
        <v>2</v>
      </c>
      <c r="AG631" s="253">
        <f t="shared" si="115"/>
        <v>2</v>
      </c>
      <c r="AK631" s="339"/>
      <c r="DG631" s="243"/>
      <c r="DH631" s="50"/>
      <c r="DI631" s="50"/>
      <c r="DJ631" s="1030"/>
    </row>
    <row r="632" spans="1:114" s="6" customFormat="1" ht="42" hidden="1" customHeight="1" outlineLevel="1" x14ac:dyDescent="0.25">
      <c r="A632" s="2147"/>
      <c r="B632" s="64"/>
      <c r="C632" s="62"/>
      <c r="D632" s="2567" t="s">
        <v>51</v>
      </c>
      <c r="E632" s="2567" t="s">
        <v>688</v>
      </c>
      <c r="F632" s="1989" t="s">
        <v>1793</v>
      </c>
      <c r="G632" s="1443">
        <v>185</v>
      </c>
      <c r="H632" s="2366" t="s">
        <v>1411</v>
      </c>
      <c r="I632" s="2366"/>
      <c r="J632" s="2579" t="s">
        <v>1409</v>
      </c>
      <c r="K632" s="2583"/>
      <c r="L632" s="2583"/>
      <c r="M632" s="2584"/>
      <c r="N632" s="64"/>
      <c r="O632" s="64"/>
      <c r="P632" s="64"/>
      <c r="Q632" s="64"/>
      <c r="R632" s="64"/>
      <c r="S632" s="64"/>
      <c r="T632" s="64"/>
      <c r="U632" s="64"/>
      <c r="V632" s="1359"/>
      <c r="W632" s="800"/>
      <c r="X632" s="800"/>
      <c r="Y632" s="800"/>
      <c r="Z632" s="800"/>
      <c r="AA632" s="800"/>
      <c r="AB632" s="800"/>
      <c r="AC632" s="922">
        <v>185</v>
      </c>
      <c r="AD632" s="810">
        <v>185</v>
      </c>
      <c r="AE632" s="810">
        <v>185</v>
      </c>
      <c r="AF632" s="810">
        <v>185</v>
      </c>
      <c r="AG632" s="810">
        <f t="shared" ref="AG632" si="120">IF(G632&lt;&gt;"",G632,"")</f>
        <v>185</v>
      </c>
      <c r="AK632" s="339"/>
      <c r="DG632" s="990"/>
      <c r="DH632" s="64"/>
      <c r="DI632" s="64"/>
      <c r="DJ632" s="1030"/>
    </row>
    <row r="633" spans="1:114" s="6" customFormat="1" ht="42" hidden="1" customHeight="1" outlineLevel="1" x14ac:dyDescent="0.25">
      <c r="A633" s="2147"/>
      <c r="B633" s="64"/>
      <c r="C633" s="62"/>
      <c r="D633" s="2568"/>
      <c r="E633" s="2568"/>
      <c r="F633" s="1989" t="s">
        <v>1794</v>
      </c>
      <c r="G633" s="2153">
        <v>81</v>
      </c>
      <c r="H633" s="2566" t="s">
        <v>1411</v>
      </c>
      <c r="I633" s="2566"/>
      <c r="J633" s="2581"/>
      <c r="K633" s="2585"/>
      <c r="L633" s="2585"/>
      <c r="M633" s="2582"/>
      <c r="N633" s="64"/>
      <c r="O633" s="64"/>
      <c r="P633" s="64"/>
      <c r="Q633" s="64"/>
      <c r="R633" s="64"/>
      <c r="S633" s="64"/>
      <c r="T633" s="64"/>
      <c r="U633" s="64"/>
      <c r="V633" s="1359"/>
      <c r="W633" s="800"/>
      <c r="X633" s="800"/>
      <c r="Y633" s="800"/>
      <c r="Z633" s="800"/>
      <c r="AA633" s="800"/>
      <c r="AB633" s="800"/>
      <c r="AC633" s="922">
        <v>185</v>
      </c>
      <c r="AD633" s="810">
        <v>185</v>
      </c>
      <c r="AE633" s="810">
        <v>185</v>
      </c>
      <c r="AF633" s="810">
        <v>185</v>
      </c>
      <c r="AG633" s="810">
        <f t="shared" si="115"/>
        <v>81</v>
      </c>
      <c r="AK633" s="339"/>
      <c r="DG633" s="990"/>
      <c r="DH633" s="64"/>
      <c r="DI633" s="64"/>
      <c r="DJ633" s="1030"/>
    </row>
    <row r="634" spans="1:114" ht="15" hidden="1" customHeight="1" outlineLevel="1" x14ac:dyDescent="0.25">
      <c r="A634" s="2147"/>
      <c r="B634" s="549"/>
      <c r="AK634" s="339"/>
    </row>
    <row r="635" spans="1:114" collapsed="1" x14ac:dyDescent="0.25">
      <c r="A635" s="2147"/>
      <c r="B635" s="549"/>
      <c r="AK635" s="339"/>
    </row>
    <row r="636" spans="1:114" ht="15" customHeight="1" x14ac:dyDescent="0.25">
      <c r="A636" s="2147"/>
      <c r="B636" s="2388" t="s">
        <v>1795</v>
      </c>
      <c r="C636" s="2389"/>
      <c r="D636" s="2389"/>
      <c r="E636" s="2389"/>
      <c r="F636" s="2389"/>
      <c r="G636" s="2389"/>
      <c r="H636" s="2389"/>
      <c r="I636" s="2390"/>
      <c r="J636" s="2390"/>
      <c r="K636" s="2390"/>
      <c r="L636" s="2390"/>
      <c r="M636" s="2390"/>
      <c r="N636" s="2390"/>
      <c r="O636" s="2390"/>
      <c r="P636" s="2390"/>
      <c r="Q636" s="2390"/>
      <c r="R636" s="2391"/>
      <c r="V636" s="2339" t="str">
        <f>B636</f>
        <v>Low Flow Faucet Aerators (Bathroom)</v>
      </c>
      <c r="W636" s="2340"/>
      <c r="X636" s="2340"/>
      <c r="Y636" s="2340"/>
      <c r="Z636" s="2340"/>
      <c r="AA636" s="2340"/>
      <c r="AB636" s="2340"/>
      <c r="AC636" s="2311"/>
      <c r="AD636" s="2311"/>
      <c r="AE636" s="2311"/>
      <c r="AF636" s="2311"/>
      <c r="AG636" s="2311"/>
      <c r="AH636" s="2311"/>
      <c r="AI636" s="2312"/>
      <c r="AK636" s="339"/>
    </row>
    <row r="637" spans="1:114" ht="15" customHeight="1" x14ac:dyDescent="0.25">
      <c r="A637" s="2147"/>
      <c r="B637" s="549"/>
      <c r="D637" s="553"/>
      <c r="E637" s="553"/>
      <c r="F637" s="264"/>
      <c r="G637" s="264"/>
      <c r="H637" s="264"/>
      <c r="I637" s="264"/>
      <c r="J637" s="264"/>
      <c r="K637" s="264"/>
      <c r="L637" s="554"/>
      <c r="AK637" s="339"/>
    </row>
    <row r="638" spans="1:114" ht="30" x14ac:dyDescent="0.25">
      <c r="A638" s="2147"/>
      <c r="B638" s="549"/>
      <c r="C638" s="1242" t="s">
        <v>43</v>
      </c>
      <c r="D638" s="1242" t="s">
        <v>597</v>
      </c>
      <c r="E638" s="1242" t="s">
        <v>45</v>
      </c>
      <c r="F638" s="1242" t="s">
        <v>1601</v>
      </c>
      <c r="G638" s="1242" t="s">
        <v>47</v>
      </c>
      <c r="H638" s="1242" t="s">
        <v>48</v>
      </c>
      <c r="I638" s="1242" t="s">
        <v>1796</v>
      </c>
      <c r="J638" s="1242" t="s">
        <v>49</v>
      </c>
      <c r="K638" s="1242" t="s">
        <v>50</v>
      </c>
      <c r="L638" s="1242" t="s">
        <v>51</v>
      </c>
      <c r="M638" s="1242" t="s">
        <v>52</v>
      </c>
      <c r="V638" s="636" t="s">
        <v>53</v>
      </c>
      <c r="W638" s="637">
        <f>W$6</f>
        <v>43252</v>
      </c>
      <c r="X638" s="637">
        <f t="shared" ref="X638:AG638" si="121">X$6</f>
        <v>43465</v>
      </c>
      <c r="Y638" s="110">
        <f t="shared" si="121"/>
        <v>43800</v>
      </c>
      <c r="Z638" s="637">
        <f t="shared" si="121"/>
        <v>43862</v>
      </c>
      <c r="AA638" s="637">
        <f t="shared" si="121"/>
        <v>44013</v>
      </c>
      <c r="AB638" s="637">
        <f t="shared" si="121"/>
        <v>44166</v>
      </c>
      <c r="AC638" s="637">
        <f t="shared" si="121"/>
        <v>44531</v>
      </c>
      <c r="AD638" s="637">
        <f t="shared" si="121"/>
        <v>44774</v>
      </c>
      <c r="AE638" s="637">
        <f t="shared" si="121"/>
        <v>45139</v>
      </c>
      <c r="AF638" s="637">
        <f t="shared" si="121"/>
        <v>45672</v>
      </c>
      <c r="AG638" s="637">
        <f t="shared" si="121"/>
        <v>45971</v>
      </c>
      <c r="AK638" s="339"/>
      <c r="DG638" s="1007" t="str">
        <f>'Efficient Products Deemed Table'!$DG$6</f>
        <v>TRC (2025)</v>
      </c>
      <c r="DH638" s="1007" t="str">
        <f>'Efficient Products Deemed Table'!$DH$6</f>
        <v>Benefit Lookup</v>
      </c>
      <c r="DI638" s="1007" t="str">
        <f>'Efficient Products Deemed Table'!$DI$6</f>
        <v>Benefits (2025 $)</v>
      </c>
      <c r="DJ638" s="1007" t="str">
        <f>'Efficient Products Deemed Table'!$DJ$6</f>
        <v>Incremental Cost (2025 $)</v>
      </c>
    </row>
    <row r="639" spans="1:114" x14ac:dyDescent="0.25">
      <c r="A639" s="2147" t="s">
        <v>602</v>
      </c>
      <c r="B639" s="1318">
        <f t="shared" ref="B639:B640" si="122">VALUE(LEFT(C639,6))</f>
        <v>403400</v>
      </c>
      <c r="C639" s="132" t="s">
        <v>1797</v>
      </c>
      <c r="D639" s="1994" t="s">
        <v>810</v>
      </c>
      <c r="E639" s="1272" t="s">
        <v>1798</v>
      </c>
      <c r="F639" s="1718">
        <f>ROUND(G651*(G652*G653-G654*G655)*G656*G657*G658/G659*I639*G667*G666,2)</f>
        <v>40.619999999999997</v>
      </c>
      <c r="G639" s="132" t="s">
        <v>1799</v>
      </c>
      <c r="H639" s="130">
        <f>VLOOKUP(G639,'CP FACTORS'!$A$3:$B$38, 2, FALSE)</f>
        <v>8.8731800000000003E-5</v>
      </c>
      <c r="I639" s="150">
        <f>$G$660*$G$661*($G$662-$G$663)/($G$664*$G$665)</f>
        <v>5.3810082063305988E-2</v>
      </c>
      <c r="J639" s="1799">
        <f>ROUND(F639*H639,6)</f>
        <v>3.604E-3</v>
      </c>
      <c r="K639" s="318">
        <f>$G$668</f>
        <v>10</v>
      </c>
      <c r="L639" s="697">
        <f>$G$669</f>
        <v>11.33</v>
      </c>
      <c r="M639" s="132" t="s">
        <v>63</v>
      </c>
      <c r="R639" s="510"/>
      <c r="V639" s="337" t="str">
        <f>V607</f>
        <v>kWh
Annual Savings</v>
      </c>
      <c r="W639" s="323">
        <v>37.942887422527377</v>
      </c>
      <c r="X639" s="340">
        <v>40.786805206808886</v>
      </c>
      <c r="Y639" s="124">
        <v>35.130000000000003</v>
      </c>
      <c r="Z639" s="681">
        <v>35.130000000000003</v>
      </c>
      <c r="AA639" s="681">
        <v>35.130000000000003</v>
      </c>
      <c r="AB639" s="650">
        <v>35.17</v>
      </c>
      <c r="AC639" s="373">
        <v>35.17</v>
      </c>
      <c r="AD639" s="373">
        <v>35.17</v>
      </c>
      <c r="AE639" s="373">
        <v>35.17</v>
      </c>
      <c r="AF639" s="253">
        <v>40.619999999999997</v>
      </c>
      <c r="AG639" s="253">
        <f>IF(F639&lt;&gt;"",F639,"")</f>
        <v>40.619999999999997</v>
      </c>
      <c r="AH639" s="114"/>
      <c r="AK639" s="339"/>
      <c r="DG639" s="994">
        <f>(DI639)/(DJ639)</f>
        <v>1.7613767269049343</v>
      </c>
      <c r="DH639" s="641" t="str">
        <f>CONCATENATE(G639," ",K639," Year EUL")</f>
        <v>Water heating RES 10 Year EUL</v>
      </c>
      <c r="DI639" s="527">
        <f>(INDEX('Avoided Cost Benefits'!$B$4:$B$865,MATCH(DH639,'Avoided Cost Benefits'!$A$4:$A$865,0)))*F639</f>
        <v>19.956398315832907</v>
      </c>
      <c r="DJ639" s="1854">
        <f>IFERROR(L639/((1+DiscountRate)^(CurrentYear-DiscountYear)),0)</f>
        <v>11.33</v>
      </c>
    </row>
    <row r="640" spans="1:114" x14ac:dyDescent="0.25">
      <c r="A640" s="2147" t="s">
        <v>607</v>
      </c>
      <c r="B640" s="1318">
        <f t="shared" si="122"/>
        <v>403450</v>
      </c>
      <c r="C640" s="132" t="s">
        <v>1800</v>
      </c>
      <c r="D640" s="1384" t="s">
        <v>863</v>
      </c>
      <c r="E640" s="1272" t="s">
        <v>1801</v>
      </c>
      <c r="F640" s="151">
        <f>ROUND(G651*(G652*G653-G654*G655)*G656*G657*G658/G659*I640*G667*G666,2)</f>
        <v>40.619999999999997</v>
      </c>
      <c r="G640" s="132" t="s">
        <v>1799</v>
      </c>
      <c r="H640" s="130">
        <f>VLOOKUP(G640,'CP FACTORS'!$A$3:$B$38, 2, FALSE)</f>
        <v>8.8731800000000003E-5</v>
      </c>
      <c r="I640" s="150">
        <f>$G$660*$G$661*($G$662-$G$663)/($G$664*$G$665)</f>
        <v>5.3810082063305988E-2</v>
      </c>
      <c r="J640" s="1799">
        <f>ROUND(F640*H640,6)</f>
        <v>3.604E-3</v>
      </c>
      <c r="K640" s="318">
        <f>$G$668</f>
        <v>10</v>
      </c>
      <c r="L640" s="697">
        <f>$G$669</f>
        <v>11.33</v>
      </c>
      <c r="M640" s="132" t="s">
        <v>63</v>
      </c>
      <c r="R640" s="510"/>
      <c r="V640" s="337" t="str">
        <f>V639</f>
        <v>kWh
Annual Savings</v>
      </c>
      <c r="W640" s="323">
        <v>37.942887422527377</v>
      </c>
      <c r="X640" s="338">
        <v>40.786805206808886</v>
      </c>
      <c r="Y640" s="124">
        <v>35.130000000000003</v>
      </c>
      <c r="Z640" s="681">
        <v>35.130000000000003</v>
      </c>
      <c r="AA640" s="681">
        <v>35.130000000000003</v>
      </c>
      <c r="AB640" s="650">
        <v>35.17</v>
      </c>
      <c r="AC640" s="373">
        <v>35.17</v>
      </c>
      <c r="AD640" s="373">
        <v>35.17</v>
      </c>
      <c r="AE640" s="373">
        <v>35.17</v>
      </c>
      <c r="AF640" s="253">
        <v>40.619999999999997</v>
      </c>
      <c r="AG640" s="253">
        <f>IF(F640&lt;&gt;"",F640,"")</f>
        <v>40.619999999999997</v>
      </c>
      <c r="AH640" s="114"/>
      <c r="AK640" s="339"/>
      <c r="DG640" s="995">
        <f>(DI640)/(DJ640)</f>
        <v>1.7613767269049343</v>
      </c>
      <c r="DH640" s="641" t="str">
        <f>CONCATENATE(G640," ",K640," Year EUL")</f>
        <v>Water heating RES 10 Year EUL</v>
      </c>
      <c r="DI640" s="1003">
        <f>(INDEX('Avoided Cost Benefits'!$B$4:$B$865,MATCH(DH640,'Avoided Cost Benefits'!$A$4:$A$865,0)))*F640</f>
        <v>19.956398315832907</v>
      </c>
      <c r="DJ640" s="1855">
        <f>IFERROR(L640/((1+DiscountRate)^(CurrentYear-DiscountYear)),0)</f>
        <v>11.33</v>
      </c>
    </row>
    <row r="641" spans="1:37" hidden="1" outlineLevel="1" x14ac:dyDescent="0.25">
      <c r="A641" s="2147"/>
      <c r="B641" s="549"/>
      <c r="D641" s="71" t="s">
        <v>95</v>
      </c>
      <c r="E641" s="265" t="s">
        <v>1802</v>
      </c>
      <c r="F641" s="924"/>
      <c r="G641" s="263"/>
      <c r="H641" s="592"/>
      <c r="I641" s="368"/>
      <c r="J641" s="368"/>
      <c r="K641" s="368"/>
      <c r="V641" s="73"/>
      <c r="W641" s="73"/>
      <c r="X641" s="73"/>
      <c r="Y641" s="365"/>
      <c r="Z641" s="73"/>
      <c r="AA641" s="73"/>
      <c r="AB641" s="73"/>
      <c r="AC641" s="73"/>
      <c r="AD641" s="73"/>
      <c r="AE641" s="73"/>
      <c r="AF641" s="73"/>
      <c r="AG641" s="73"/>
      <c r="AH641" s="114"/>
      <c r="AK641" s="339"/>
    </row>
    <row r="642" spans="1:37" hidden="1" outlineLevel="1" x14ac:dyDescent="0.25">
      <c r="A642" s="2147"/>
      <c r="B642" s="549"/>
      <c r="D642" s="74" t="s">
        <v>609</v>
      </c>
      <c r="E642" s="50" t="s">
        <v>1803</v>
      </c>
      <c r="F642" s="924"/>
      <c r="G642" s="263"/>
      <c r="H642" s="592"/>
      <c r="V642" s="73"/>
      <c r="W642" s="73"/>
      <c r="X642" s="73"/>
      <c r="Y642" s="365"/>
      <c r="Z642" s="73"/>
      <c r="AA642" s="73"/>
      <c r="AB642" s="73"/>
      <c r="AC642" s="73"/>
      <c r="AD642" s="73"/>
      <c r="AE642" s="73"/>
      <c r="AF642" s="73"/>
      <c r="AG642" s="73"/>
      <c r="AK642" s="339"/>
    </row>
    <row r="643" spans="1:37" hidden="1" outlineLevel="1" x14ac:dyDescent="0.25">
      <c r="A643" s="2147"/>
      <c r="B643" s="549"/>
      <c r="D643" s="265"/>
      <c r="E643" s="50" t="s">
        <v>1804</v>
      </c>
      <c r="F643" s="924"/>
      <c r="H643" s="263"/>
      <c r="V643" s="73"/>
      <c r="W643" s="73"/>
      <c r="X643" s="73"/>
      <c r="Y643" s="365"/>
      <c r="Z643" s="73"/>
      <c r="AA643" s="73"/>
      <c r="AB643" s="73"/>
      <c r="AC643" s="73"/>
      <c r="AD643" s="73"/>
      <c r="AE643" s="73"/>
      <c r="AF643" s="73"/>
      <c r="AG643" s="73"/>
      <c r="AK643" s="339"/>
    </row>
    <row r="644" spans="1:37" hidden="1" outlineLevel="1" x14ac:dyDescent="0.25">
      <c r="A644" s="2147"/>
      <c r="B644" s="549"/>
      <c r="C644" s="74"/>
      <c r="D644" s="74"/>
      <c r="E644" s="74" t="s">
        <v>612</v>
      </c>
      <c r="F644" s="74"/>
      <c r="G644" s="74"/>
      <c r="H644" s="74"/>
      <c r="V644" s="73"/>
      <c r="W644" s="73"/>
      <c r="X644" s="73"/>
      <c r="Y644" s="365"/>
      <c r="Z644" s="73"/>
      <c r="AA644" s="73"/>
      <c r="AB644" s="73"/>
      <c r="AC644" s="73"/>
      <c r="AD644" s="73"/>
      <c r="AE644" s="73"/>
      <c r="AF644" s="73"/>
      <c r="AG644" s="73"/>
      <c r="AK644" s="339"/>
    </row>
    <row r="645" spans="1:37" hidden="1" outlineLevel="1" x14ac:dyDescent="0.25">
      <c r="A645" s="2147"/>
      <c r="B645" s="549"/>
      <c r="C645" s="74"/>
      <c r="D645" s="74"/>
      <c r="E645" s="74" t="s">
        <v>1805</v>
      </c>
      <c r="F645" s="74"/>
      <c r="G645" s="74"/>
      <c r="H645" s="74"/>
      <c r="V645" s="73"/>
      <c r="W645" s="73"/>
      <c r="X645" s="73"/>
      <c r="Y645" s="365"/>
      <c r="Z645" s="73"/>
      <c r="AA645" s="73"/>
      <c r="AB645" s="73"/>
      <c r="AC645" s="73"/>
      <c r="AD645" s="73"/>
      <c r="AE645" s="73"/>
      <c r="AF645" s="73"/>
      <c r="AG645" s="73"/>
      <c r="AK645" s="339"/>
    </row>
    <row r="646" spans="1:37" hidden="1" outlineLevel="1" x14ac:dyDescent="0.25">
      <c r="A646" s="2147"/>
      <c r="B646" s="549"/>
      <c r="C646" s="74"/>
      <c r="D646" s="74"/>
      <c r="E646" s="74"/>
      <c r="F646" s="74"/>
      <c r="G646" s="74"/>
      <c r="H646" s="74"/>
      <c r="V646" s="73"/>
      <c r="W646" s="73"/>
      <c r="X646" s="73"/>
      <c r="Y646" s="365"/>
      <c r="Z646" s="73"/>
      <c r="AA646" s="73"/>
      <c r="AB646" s="73"/>
      <c r="AC646" s="73"/>
      <c r="AD646" s="73"/>
      <c r="AE646" s="73"/>
      <c r="AF646" s="73"/>
      <c r="AG646" s="73"/>
      <c r="AK646" s="339"/>
    </row>
    <row r="647" spans="1:37" hidden="1" outlineLevel="1" x14ac:dyDescent="0.25">
      <c r="A647" s="2147"/>
      <c r="B647" s="549"/>
      <c r="C647" s="74"/>
      <c r="D647" s="74"/>
      <c r="E647" s="74"/>
      <c r="F647" s="74"/>
      <c r="G647" s="74"/>
      <c r="H647" s="74"/>
      <c r="V647" s="73"/>
      <c r="W647" s="73"/>
      <c r="X647" s="73"/>
      <c r="Y647" s="365"/>
      <c r="Z647" s="73"/>
      <c r="AA647" s="73"/>
      <c r="AB647" s="73"/>
      <c r="AC647" s="73"/>
      <c r="AD647" s="73"/>
      <c r="AE647" s="73"/>
      <c r="AF647" s="73"/>
      <c r="AG647" s="73"/>
      <c r="AK647" s="339"/>
    </row>
    <row r="648" spans="1:37" ht="15" hidden="1" customHeight="1" outlineLevel="1" x14ac:dyDescent="0.25">
      <c r="A648" s="2147"/>
      <c r="B648" s="549"/>
      <c r="C648" s="74"/>
      <c r="D648" s="74"/>
      <c r="E648" s="74"/>
      <c r="F648" s="74"/>
      <c r="G648" s="74"/>
      <c r="H648" s="74"/>
      <c r="V648" s="73"/>
      <c r="W648" s="73"/>
      <c r="X648" s="73"/>
      <c r="Y648" s="365"/>
      <c r="Z648" s="73"/>
      <c r="AA648" s="73"/>
      <c r="AB648" s="73"/>
      <c r="AC648" s="73"/>
      <c r="AD648" s="73"/>
      <c r="AE648" s="73"/>
      <c r="AF648" s="73"/>
      <c r="AG648" s="73"/>
      <c r="AK648" s="339"/>
    </row>
    <row r="649" spans="1:37" hidden="1" outlineLevel="1" x14ac:dyDescent="0.25">
      <c r="A649" s="2147"/>
      <c r="B649" s="549"/>
      <c r="C649" s="74"/>
      <c r="D649" s="74"/>
      <c r="E649" s="74"/>
      <c r="F649" s="74"/>
      <c r="G649" s="74"/>
      <c r="H649" s="74"/>
      <c r="V649" s="73"/>
      <c r="W649" s="73"/>
      <c r="X649" s="73"/>
      <c r="Y649" s="365"/>
      <c r="Z649" s="73"/>
      <c r="AA649" s="73"/>
      <c r="AB649" s="73"/>
      <c r="AC649" s="73"/>
      <c r="AD649" s="73"/>
      <c r="AE649" s="73"/>
      <c r="AF649" s="73"/>
      <c r="AG649" s="73"/>
      <c r="AK649" s="339"/>
    </row>
    <row r="650" spans="1:37" ht="45.75" hidden="1" customHeight="1" outlineLevel="1" x14ac:dyDescent="0.25">
      <c r="A650" s="2147"/>
      <c r="B650" s="549"/>
      <c r="D650" s="1309" t="s">
        <v>720</v>
      </c>
      <c r="E650" s="1309" t="s">
        <v>613</v>
      </c>
      <c r="F650" s="1242" t="s">
        <v>1806</v>
      </c>
      <c r="G650" s="1253" t="s">
        <v>615</v>
      </c>
      <c r="H650" s="2378" t="s">
        <v>616</v>
      </c>
      <c r="I650" s="2378"/>
      <c r="J650" s="2544" t="s">
        <v>617</v>
      </c>
      <c r="K650" s="2545"/>
      <c r="L650" s="2546"/>
      <c r="V650" s="636" t="s">
        <v>53</v>
      </c>
      <c r="W650" s="637">
        <f>W$6</f>
        <v>43252</v>
      </c>
      <c r="X650" s="637">
        <f t="shared" ref="X650:AG650" si="123">X$6</f>
        <v>43465</v>
      </c>
      <c r="Y650" s="110">
        <f t="shared" si="123"/>
        <v>43800</v>
      </c>
      <c r="Z650" s="637">
        <f t="shared" si="123"/>
        <v>43862</v>
      </c>
      <c r="AA650" s="637">
        <f t="shared" si="123"/>
        <v>44013</v>
      </c>
      <c r="AB650" s="637">
        <f t="shared" si="123"/>
        <v>44166</v>
      </c>
      <c r="AC650" s="637">
        <f t="shared" si="123"/>
        <v>44531</v>
      </c>
      <c r="AD650" s="637">
        <f t="shared" si="123"/>
        <v>44774</v>
      </c>
      <c r="AE650" s="637">
        <f t="shared" si="123"/>
        <v>45139</v>
      </c>
      <c r="AF650" s="637">
        <f t="shared" si="123"/>
        <v>45672</v>
      </c>
      <c r="AG650" s="637">
        <f t="shared" si="123"/>
        <v>45971</v>
      </c>
      <c r="AK650" s="339"/>
    </row>
    <row r="651" spans="1:37" ht="15" hidden="1" customHeight="1" outlineLevel="1" x14ac:dyDescent="0.25">
      <c r="A651" s="2147"/>
      <c r="B651" s="549"/>
      <c r="D651" s="1248" t="s">
        <v>1807</v>
      </c>
      <c r="E651" s="1248" t="s">
        <v>1808</v>
      </c>
      <c r="F651" s="1248"/>
      <c r="G651" s="1480">
        <v>1</v>
      </c>
      <c r="H651" s="2508" t="s">
        <v>855</v>
      </c>
      <c r="I651" s="2509"/>
      <c r="J651" s="2547"/>
      <c r="K651" s="2548"/>
      <c r="L651" s="2548"/>
      <c r="V651" s="1297" t="s">
        <v>1807</v>
      </c>
      <c r="W651" s="309">
        <v>1</v>
      </c>
      <c r="X651" s="309">
        <v>1</v>
      </c>
      <c r="Y651" s="309">
        <v>1</v>
      </c>
      <c r="Z651" s="348">
        <v>1</v>
      </c>
      <c r="AA651" s="348">
        <v>1</v>
      </c>
      <c r="AB651" s="348">
        <v>1</v>
      </c>
      <c r="AC651" s="348">
        <v>1</v>
      </c>
      <c r="AD651" s="348">
        <v>1</v>
      </c>
      <c r="AE651" s="348">
        <v>1</v>
      </c>
      <c r="AF651" s="253">
        <f t="shared" ref="AF651:AF669" si="124">IF(G651&lt;&gt;"",G651,"")</f>
        <v>1</v>
      </c>
      <c r="AG651" s="337"/>
      <c r="AK651" s="339"/>
    </row>
    <row r="652" spans="1:37" ht="30.4" hidden="1" customHeight="1" outlineLevel="1" x14ac:dyDescent="0.25">
      <c r="A652" s="2147"/>
      <c r="B652" s="549"/>
      <c r="D652" s="1248" t="s">
        <v>1809</v>
      </c>
      <c r="E652" s="1248" t="s">
        <v>1810</v>
      </c>
      <c r="F652" s="1248"/>
      <c r="G652" s="1437">
        <v>2.2000000000000002</v>
      </c>
      <c r="H652" s="2503" t="s">
        <v>1811</v>
      </c>
      <c r="I652" s="2504"/>
      <c r="J652" s="2549"/>
      <c r="K652" s="2550"/>
      <c r="L652" s="2551"/>
      <c r="V652" s="1297" t="s">
        <v>1809</v>
      </c>
      <c r="W652" s="341">
        <v>2.2000000000000002</v>
      </c>
      <c r="X652" s="382">
        <v>2.2000000000000002</v>
      </c>
      <c r="Y652" s="382">
        <v>2.2000000000000002</v>
      </c>
      <c r="Z652" s="44">
        <v>2.2000000000000002</v>
      </c>
      <c r="AA652" s="44">
        <v>2.2000000000000002</v>
      </c>
      <c r="AB652" s="44">
        <v>2.2000000000000002</v>
      </c>
      <c r="AC652" s="44">
        <v>2.2000000000000002</v>
      </c>
      <c r="AD652" s="44">
        <v>2.2000000000000002</v>
      </c>
      <c r="AE652" s="44">
        <v>2.2000000000000002</v>
      </c>
      <c r="AF652" s="253">
        <f t="shared" si="124"/>
        <v>2.2000000000000002</v>
      </c>
      <c r="AG652" s="337"/>
      <c r="AK652" s="339"/>
    </row>
    <row r="653" spans="1:37" ht="30" hidden="1" customHeight="1" outlineLevel="1" x14ac:dyDescent="0.25">
      <c r="A653" s="2147"/>
      <c r="B653" s="549"/>
      <c r="D653" s="1248" t="s">
        <v>1812</v>
      </c>
      <c r="E653" s="1279" t="s">
        <v>1813</v>
      </c>
      <c r="F653" s="1248"/>
      <c r="G653" s="1441">
        <v>3.7</v>
      </c>
      <c r="H653" s="2479" t="s">
        <v>1814</v>
      </c>
      <c r="I653" s="2480"/>
      <c r="J653" s="2549"/>
      <c r="K653" s="2550"/>
      <c r="L653" s="2551"/>
      <c r="V653" s="1297" t="s">
        <v>1812</v>
      </c>
      <c r="W653" s="310">
        <v>3.7</v>
      </c>
      <c r="X653" s="310">
        <v>3.7</v>
      </c>
      <c r="Y653" s="310">
        <v>3.7</v>
      </c>
      <c r="Z653" s="343">
        <v>3.7</v>
      </c>
      <c r="AA653" s="343">
        <v>3.7</v>
      </c>
      <c r="AB653" s="343">
        <v>3.7</v>
      </c>
      <c r="AC653" s="709">
        <v>3.7</v>
      </c>
      <c r="AD653" s="709">
        <v>3.7</v>
      </c>
      <c r="AE653" s="709">
        <v>3.7</v>
      </c>
      <c r="AF653" s="253">
        <f t="shared" si="124"/>
        <v>3.7</v>
      </c>
      <c r="AG653" s="337"/>
      <c r="AK653" s="339"/>
    </row>
    <row r="654" spans="1:37" ht="30" hidden="1" customHeight="1" outlineLevel="1" x14ac:dyDescent="0.25">
      <c r="A654" s="2147"/>
      <c r="B654" s="549"/>
      <c r="D654" s="1248" t="s">
        <v>1815</v>
      </c>
      <c r="E654" s="1248" t="s">
        <v>1816</v>
      </c>
      <c r="F654" s="1248"/>
      <c r="G654" s="1448">
        <v>1.5</v>
      </c>
      <c r="H654" s="2503" t="s">
        <v>1817</v>
      </c>
      <c r="I654" s="2504"/>
      <c r="J654" s="2549"/>
      <c r="K654" s="2550"/>
      <c r="L654" s="2551"/>
      <c r="V654" s="1297" t="s">
        <v>1815</v>
      </c>
      <c r="W654" s="341">
        <v>1.5</v>
      </c>
      <c r="X654" s="382">
        <v>1.5</v>
      </c>
      <c r="Y654" s="382">
        <v>1.5</v>
      </c>
      <c r="Z654" s="44">
        <v>1.5</v>
      </c>
      <c r="AA654" s="44">
        <v>1.5</v>
      </c>
      <c r="AB654" s="44">
        <v>1.5</v>
      </c>
      <c r="AC654" s="44">
        <v>1.5</v>
      </c>
      <c r="AD654" s="44">
        <v>1.5</v>
      </c>
      <c r="AE654" s="44">
        <v>1.5</v>
      </c>
      <c r="AF654" s="253">
        <f t="shared" si="124"/>
        <v>1.5</v>
      </c>
      <c r="AG654" s="1371"/>
      <c r="AK654" s="339"/>
    </row>
    <row r="655" spans="1:37" ht="53.25" hidden="1" customHeight="1" outlineLevel="1" x14ac:dyDescent="0.25">
      <c r="A655" s="2147"/>
      <c r="B655" s="549"/>
      <c r="D655" s="1248" t="s">
        <v>1818</v>
      </c>
      <c r="E655" s="1279" t="s">
        <v>1813</v>
      </c>
      <c r="F655" s="1248"/>
      <c r="G655" s="1552">
        <v>3.7</v>
      </c>
      <c r="H655" s="2479" t="s">
        <v>1814</v>
      </c>
      <c r="I655" s="2480"/>
      <c r="J655" s="2549"/>
      <c r="K655" s="2550"/>
      <c r="L655" s="2551"/>
      <c r="V655" s="1297" t="s">
        <v>1818</v>
      </c>
      <c r="W655" s="708">
        <v>3.7</v>
      </c>
      <c r="X655" s="708">
        <v>3.7</v>
      </c>
      <c r="Y655" s="1380">
        <v>3.7</v>
      </c>
      <c r="Z655" s="318">
        <v>3.7</v>
      </c>
      <c r="AA655" s="318">
        <v>3.7</v>
      </c>
      <c r="AB655" s="318">
        <v>3.7</v>
      </c>
      <c r="AC655" s="318">
        <v>3.7</v>
      </c>
      <c r="AD655" s="318">
        <v>3.7</v>
      </c>
      <c r="AE655" s="318">
        <v>3.7</v>
      </c>
      <c r="AF655" s="253">
        <f t="shared" si="124"/>
        <v>3.7</v>
      </c>
      <c r="AG655" s="1371"/>
      <c r="AK655" s="339"/>
    </row>
    <row r="656" spans="1:37" ht="45" hidden="1" customHeight="1" outlineLevel="1" x14ac:dyDescent="0.25">
      <c r="A656" s="2147"/>
      <c r="B656" s="549"/>
      <c r="D656" s="1248" t="s">
        <v>630</v>
      </c>
      <c r="E656" s="1279" t="s">
        <v>1819</v>
      </c>
      <c r="F656" s="1248"/>
      <c r="G656" s="1553">
        <v>1.5644946808510638</v>
      </c>
      <c r="H656" s="2479" t="s">
        <v>1820</v>
      </c>
      <c r="I656" s="2480"/>
      <c r="J656" s="2549"/>
      <c r="K656" s="2550"/>
      <c r="L656" s="2551"/>
      <c r="V656" s="1297" t="s">
        <v>630</v>
      </c>
      <c r="W656" s="310">
        <v>2.0699999999999998</v>
      </c>
      <c r="X656" s="342">
        <v>1.6639999999999999</v>
      </c>
      <c r="Y656" s="262">
        <v>1.5644946808510638</v>
      </c>
      <c r="Z656" s="552">
        <v>1.5644946808510638</v>
      </c>
      <c r="AA656" s="552">
        <v>1.5644946808510638</v>
      </c>
      <c r="AB656" s="552">
        <v>1.5644946808510638</v>
      </c>
      <c r="AC656" s="552">
        <v>1.5644946808510638</v>
      </c>
      <c r="AD656" s="552">
        <v>1.5644946808510638</v>
      </c>
      <c r="AE656" s="552">
        <v>1.5644946808510638</v>
      </c>
      <c r="AF656" s="253">
        <f t="shared" si="124"/>
        <v>1.5644946808510638</v>
      </c>
      <c r="AG656" s="1371"/>
      <c r="AK656" s="339"/>
    </row>
    <row r="657" spans="1:37" ht="30.75" hidden="1" customHeight="1" outlineLevel="1" x14ac:dyDescent="0.25">
      <c r="A657" s="2147"/>
      <c r="B657" s="549"/>
      <c r="D657" s="1256" t="s">
        <v>1821</v>
      </c>
      <c r="E657" s="1248" t="s">
        <v>1822</v>
      </c>
      <c r="F657" s="1248"/>
      <c r="G657" s="1440">
        <v>1</v>
      </c>
      <c r="H657" s="2503" t="s">
        <v>1592</v>
      </c>
      <c r="I657" s="2504"/>
      <c r="J657" s="2560"/>
      <c r="K657" s="2561"/>
      <c r="L657" s="2562"/>
      <c r="V657" s="366" t="s">
        <v>1821</v>
      </c>
      <c r="W657" s="310">
        <v>0.75</v>
      </c>
      <c r="X657" s="342">
        <v>1</v>
      </c>
      <c r="Y657" s="344">
        <v>1</v>
      </c>
      <c r="Z657" s="370">
        <v>1</v>
      </c>
      <c r="AA657" s="370">
        <v>1</v>
      </c>
      <c r="AB657" s="343">
        <v>1</v>
      </c>
      <c r="AC657" s="343">
        <v>1</v>
      </c>
      <c r="AD657" s="343">
        <v>1</v>
      </c>
      <c r="AE657" s="343">
        <v>1</v>
      </c>
      <c r="AF657" s="253">
        <f t="shared" si="124"/>
        <v>1</v>
      </c>
      <c r="AG657" s="1371"/>
      <c r="AK657" s="339"/>
    </row>
    <row r="658" spans="1:37" ht="15" hidden="1" customHeight="1" outlineLevel="1" x14ac:dyDescent="0.25">
      <c r="A658" s="2147"/>
      <c r="B658" s="549"/>
      <c r="D658" s="1256">
        <v>365.25</v>
      </c>
      <c r="E658" s="1279" t="s">
        <v>1823</v>
      </c>
      <c r="F658" s="1248"/>
      <c r="G658" s="1554">
        <v>365.25</v>
      </c>
      <c r="H658" s="2503" t="s">
        <v>1824</v>
      </c>
      <c r="I658" s="2504"/>
      <c r="J658" s="2549"/>
      <c r="K658" s="2550"/>
      <c r="L658" s="2551"/>
      <c r="V658" s="366">
        <v>365.25</v>
      </c>
      <c r="W658" s="310">
        <v>365</v>
      </c>
      <c r="X658" s="310">
        <v>365</v>
      </c>
      <c r="Y658" s="1381">
        <v>365</v>
      </c>
      <c r="Z658" s="1273">
        <v>365</v>
      </c>
      <c r="AA658" s="1273">
        <v>365</v>
      </c>
      <c r="AB658" s="1382">
        <v>365.25</v>
      </c>
      <c r="AC658" s="132">
        <v>365.25</v>
      </c>
      <c r="AD658" s="132">
        <v>365.25</v>
      </c>
      <c r="AE658" s="132">
        <v>365.25</v>
      </c>
      <c r="AF658" s="253">
        <f t="shared" si="124"/>
        <v>365.25</v>
      </c>
      <c r="AG658" s="1371"/>
      <c r="AK658" s="339"/>
    </row>
    <row r="659" spans="1:37" ht="28.9" hidden="1" customHeight="1" outlineLevel="1" x14ac:dyDescent="0.25">
      <c r="A659" s="2147"/>
      <c r="B659" s="549"/>
      <c r="D659" s="1256" t="s">
        <v>1825</v>
      </c>
      <c r="E659" s="1279" t="s">
        <v>1826</v>
      </c>
      <c r="F659" s="1248"/>
      <c r="G659" s="1553">
        <v>1.8624708624708626</v>
      </c>
      <c r="H659" s="2503" t="s">
        <v>1827</v>
      </c>
      <c r="I659" s="2504"/>
      <c r="J659" s="2549"/>
      <c r="K659" s="2550"/>
      <c r="L659" s="2551"/>
      <c r="V659" s="366" t="s">
        <v>1825</v>
      </c>
      <c r="W659" s="310">
        <v>1.76</v>
      </c>
      <c r="X659" s="342">
        <v>1.7961826857532379</v>
      </c>
      <c r="Y659" s="262">
        <v>1.8624708624708626</v>
      </c>
      <c r="Z659" s="552">
        <v>1.8624708624708626</v>
      </c>
      <c r="AA659" s="552">
        <v>1.8624708624708626</v>
      </c>
      <c r="AB659" s="552">
        <v>1.8624708624708626</v>
      </c>
      <c r="AC659" s="552">
        <v>1.8624708624708626</v>
      </c>
      <c r="AD659" s="552">
        <v>1.8624708624708626</v>
      </c>
      <c r="AE659" s="552">
        <v>1.8624708624708626</v>
      </c>
      <c r="AF659" s="253">
        <f t="shared" si="124"/>
        <v>1.8624708624708626</v>
      </c>
      <c r="AG659" s="1371"/>
      <c r="AK659" s="339"/>
    </row>
    <row r="660" spans="1:37" ht="15" hidden="1" customHeight="1" outlineLevel="1" x14ac:dyDescent="0.25">
      <c r="A660" s="2147"/>
      <c r="B660" s="549"/>
      <c r="D660" s="1256">
        <v>8.33</v>
      </c>
      <c r="E660" s="1279" t="s">
        <v>1828</v>
      </c>
      <c r="F660" s="1248"/>
      <c r="G660" s="1440">
        <v>8.33</v>
      </c>
      <c r="H660" s="2508" t="s">
        <v>1829</v>
      </c>
      <c r="I660" s="2509"/>
      <c r="J660" s="2549"/>
      <c r="K660" s="2550"/>
      <c r="L660" s="2551"/>
      <c r="V660" s="366">
        <v>8.33</v>
      </c>
      <c r="W660" s="310">
        <v>8.33</v>
      </c>
      <c r="X660" s="310">
        <v>8.33</v>
      </c>
      <c r="Y660" s="310">
        <v>8.33</v>
      </c>
      <c r="Z660" s="343">
        <v>8.33</v>
      </c>
      <c r="AA660" s="343">
        <v>8.33</v>
      </c>
      <c r="AB660" s="343">
        <v>8.33</v>
      </c>
      <c r="AC660" s="343">
        <v>8.33</v>
      </c>
      <c r="AD660" s="343">
        <v>8.33</v>
      </c>
      <c r="AE660" s="343">
        <v>8.33</v>
      </c>
      <c r="AF660" s="253">
        <f t="shared" si="124"/>
        <v>8.33</v>
      </c>
      <c r="AG660" s="1371"/>
      <c r="AK660" s="339"/>
    </row>
    <row r="661" spans="1:37" ht="15" hidden="1" customHeight="1" outlineLevel="1" x14ac:dyDescent="0.25">
      <c r="A661" s="2147"/>
      <c r="B661" s="549"/>
      <c r="D661" s="1256">
        <v>1</v>
      </c>
      <c r="E661" s="1291" t="s">
        <v>1830</v>
      </c>
      <c r="F661" s="1248"/>
      <c r="G661" s="1440">
        <v>1</v>
      </c>
      <c r="H661" s="2503" t="s">
        <v>1831</v>
      </c>
      <c r="I661" s="2504"/>
      <c r="J661" s="2549"/>
      <c r="K661" s="2550"/>
      <c r="L661" s="2551"/>
      <c r="V661" s="366">
        <v>1</v>
      </c>
      <c r="W661" s="310">
        <v>1</v>
      </c>
      <c r="X661" s="310">
        <v>1</v>
      </c>
      <c r="Y661" s="310">
        <v>1</v>
      </c>
      <c r="Z661" s="343">
        <v>1</v>
      </c>
      <c r="AA661" s="343">
        <v>1</v>
      </c>
      <c r="AB661" s="343">
        <v>1</v>
      </c>
      <c r="AC661" s="343">
        <v>1</v>
      </c>
      <c r="AD661" s="343">
        <v>1</v>
      </c>
      <c r="AE661" s="343">
        <v>1</v>
      </c>
      <c r="AF661" s="253">
        <f t="shared" si="124"/>
        <v>1</v>
      </c>
      <c r="AG661" s="1371"/>
      <c r="AK661" s="339"/>
    </row>
    <row r="662" spans="1:37" ht="55.9" hidden="1" customHeight="1" outlineLevel="1" x14ac:dyDescent="0.25">
      <c r="A662" s="2147"/>
      <c r="B662" s="549"/>
      <c r="D662" s="1248" t="s">
        <v>1832</v>
      </c>
      <c r="E662" s="1279" t="s">
        <v>1833</v>
      </c>
      <c r="F662" s="1248"/>
      <c r="G662" s="1440">
        <v>80</v>
      </c>
      <c r="H662" s="2479" t="s">
        <v>1834</v>
      </c>
      <c r="I662" s="2480"/>
      <c r="J662" s="2549"/>
      <c r="K662" s="2550"/>
      <c r="L662" s="2551"/>
      <c r="V662" s="1297" t="s">
        <v>1832</v>
      </c>
      <c r="W662" s="310">
        <v>80</v>
      </c>
      <c r="X662" s="310">
        <v>80</v>
      </c>
      <c r="Y662" s="310">
        <v>80</v>
      </c>
      <c r="Z662" s="343">
        <v>80</v>
      </c>
      <c r="AA662" s="343">
        <v>80</v>
      </c>
      <c r="AB662" s="343">
        <v>80</v>
      </c>
      <c r="AC662" s="343">
        <v>80</v>
      </c>
      <c r="AD662" s="343">
        <v>80</v>
      </c>
      <c r="AE662" s="343">
        <v>80</v>
      </c>
      <c r="AF662" s="253">
        <f t="shared" si="124"/>
        <v>80</v>
      </c>
      <c r="AG662" s="1371"/>
      <c r="AK662" s="339"/>
    </row>
    <row r="663" spans="1:37" ht="60" hidden="1" customHeight="1" outlineLevel="1" x14ac:dyDescent="0.25">
      <c r="A663" s="2147"/>
      <c r="B663" s="549"/>
      <c r="D663" s="1248" t="s">
        <v>1835</v>
      </c>
      <c r="E663" s="1279" t="s">
        <v>1836</v>
      </c>
      <c r="F663" s="1248"/>
      <c r="G663" s="1540">
        <v>58.4</v>
      </c>
      <c r="H663" s="2376" t="s">
        <v>644</v>
      </c>
      <c r="I663" s="2376"/>
      <c r="J663" s="2549"/>
      <c r="K663" s="2550"/>
      <c r="L663" s="2551"/>
      <c r="V663" s="1297" t="s">
        <v>1835</v>
      </c>
      <c r="W663" s="310">
        <v>61.3</v>
      </c>
      <c r="X663" s="310">
        <v>61.3</v>
      </c>
      <c r="Y663" s="310">
        <v>61.3</v>
      </c>
      <c r="Z663" s="343">
        <v>61.3</v>
      </c>
      <c r="AA663" s="343">
        <v>61.3</v>
      </c>
      <c r="AB663" s="343">
        <v>61.3</v>
      </c>
      <c r="AC663" s="343">
        <v>61.3</v>
      </c>
      <c r="AD663" s="343">
        <v>61.3</v>
      </c>
      <c r="AE663" s="343">
        <v>61.3</v>
      </c>
      <c r="AF663" s="253">
        <f t="shared" si="124"/>
        <v>58.4</v>
      </c>
      <c r="AG663" s="1371"/>
      <c r="AK663" s="339"/>
    </row>
    <row r="664" spans="1:37" ht="30" hidden="1" customHeight="1" outlineLevel="1" x14ac:dyDescent="0.25">
      <c r="A664" s="2147"/>
      <c r="B664" s="549"/>
      <c r="D664" s="1248" t="s">
        <v>1837</v>
      </c>
      <c r="E664" s="1279" t="s">
        <v>1838</v>
      </c>
      <c r="F664" s="1248"/>
      <c r="G664" s="1440">
        <v>0.98</v>
      </c>
      <c r="H664" s="2479" t="s">
        <v>1839</v>
      </c>
      <c r="I664" s="2480"/>
      <c r="J664" s="2549"/>
      <c r="K664" s="2550"/>
      <c r="L664" s="2551"/>
      <c r="V664" s="1297" t="s">
        <v>1837</v>
      </c>
      <c r="W664" s="310">
        <v>0.98</v>
      </c>
      <c r="X664" s="310">
        <v>0.98</v>
      </c>
      <c r="Y664" s="310">
        <v>0.98</v>
      </c>
      <c r="Z664" s="343">
        <v>0.98</v>
      </c>
      <c r="AA664" s="343">
        <v>0.98</v>
      </c>
      <c r="AB664" s="343">
        <v>0.98</v>
      </c>
      <c r="AC664" s="343">
        <v>0.98</v>
      </c>
      <c r="AD664" s="343">
        <v>0.98</v>
      </c>
      <c r="AE664" s="343">
        <v>0.98</v>
      </c>
      <c r="AF664" s="253">
        <f t="shared" si="124"/>
        <v>0.98</v>
      </c>
      <c r="AG664" s="1371"/>
      <c r="AK664" s="339"/>
    </row>
    <row r="665" spans="1:37" ht="15" hidden="1" customHeight="1" outlineLevel="1" x14ac:dyDescent="0.25">
      <c r="A665" s="2147"/>
      <c r="B665" s="549"/>
      <c r="D665" s="1248">
        <v>3412</v>
      </c>
      <c r="E665" s="1279">
        <v>3412</v>
      </c>
      <c r="F665" s="1248"/>
      <c r="G665" s="1440">
        <v>3412</v>
      </c>
      <c r="H665" s="2508" t="s">
        <v>648</v>
      </c>
      <c r="I665" s="2509"/>
      <c r="J665" s="2549"/>
      <c r="K665" s="2550"/>
      <c r="L665" s="2551"/>
      <c r="V665" s="1297">
        <v>3412</v>
      </c>
      <c r="W665" s="310">
        <v>3413</v>
      </c>
      <c r="X665" s="310">
        <v>3413</v>
      </c>
      <c r="Y665" s="310">
        <v>3413</v>
      </c>
      <c r="Z665" s="343">
        <v>3413</v>
      </c>
      <c r="AA665" s="343">
        <v>3413</v>
      </c>
      <c r="AB665" s="342">
        <v>3412</v>
      </c>
      <c r="AC665" s="343">
        <v>3412</v>
      </c>
      <c r="AD665" s="343">
        <v>3412</v>
      </c>
      <c r="AE665" s="343">
        <v>3412</v>
      </c>
      <c r="AF665" s="253">
        <f t="shared" si="124"/>
        <v>3412</v>
      </c>
      <c r="AG665" s="1371"/>
      <c r="AK665" s="339"/>
    </row>
    <row r="666" spans="1:37" ht="15" hidden="1" customHeight="1" outlineLevel="1" x14ac:dyDescent="0.25">
      <c r="A666" s="2147"/>
      <c r="B666" s="549"/>
      <c r="D666" s="1248" t="s">
        <v>825</v>
      </c>
      <c r="E666" s="1248" t="s">
        <v>795</v>
      </c>
      <c r="F666" s="1248"/>
      <c r="G666" s="1447">
        <v>1</v>
      </c>
      <c r="H666" s="2508" t="s">
        <v>855</v>
      </c>
      <c r="I666" s="2509"/>
      <c r="J666" s="2549"/>
      <c r="K666" s="2550"/>
      <c r="L666" s="2550"/>
      <c r="V666" s="1297" t="s">
        <v>825</v>
      </c>
      <c r="W666" s="345">
        <v>1</v>
      </c>
      <c r="X666" s="345">
        <v>1</v>
      </c>
      <c r="Y666" s="345">
        <v>1</v>
      </c>
      <c r="Z666" s="582">
        <v>1</v>
      </c>
      <c r="AA666" s="582">
        <v>1</v>
      </c>
      <c r="AB666" s="582">
        <v>1</v>
      </c>
      <c r="AC666" s="582">
        <v>1</v>
      </c>
      <c r="AD666" s="582">
        <v>1</v>
      </c>
      <c r="AE666" s="582">
        <v>1</v>
      </c>
      <c r="AF666" s="253">
        <f t="shared" si="124"/>
        <v>1</v>
      </c>
      <c r="AG666" s="1371"/>
      <c r="AK666" s="339"/>
    </row>
    <row r="667" spans="1:37" ht="30.4" hidden="1" customHeight="1" outlineLevel="1" x14ac:dyDescent="0.25">
      <c r="A667" s="2147"/>
      <c r="B667" s="549"/>
      <c r="D667" s="1255" t="s">
        <v>105</v>
      </c>
      <c r="E667" s="1304" t="s">
        <v>1653</v>
      </c>
      <c r="F667" s="1248" t="s">
        <v>1840</v>
      </c>
      <c r="G667" s="1469">
        <v>0.95</v>
      </c>
      <c r="H667" s="2503" t="s">
        <v>1827</v>
      </c>
      <c r="I667" s="2504"/>
      <c r="J667" s="2505"/>
      <c r="K667" s="2506"/>
      <c r="L667" s="2507"/>
      <c r="V667" s="1297"/>
      <c r="W667" s="309">
        <v>0.97699999999999998</v>
      </c>
      <c r="X667" s="155">
        <v>1</v>
      </c>
      <c r="Y667" s="1323">
        <v>0.95</v>
      </c>
      <c r="Z667" s="295">
        <v>0.95</v>
      </c>
      <c r="AA667" s="295">
        <v>0.95</v>
      </c>
      <c r="AB667" s="295">
        <v>0.95</v>
      </c>
      <c r="AC667" s="295">
        <v>0.95</v>
      </c>
      <c r="AD667" s="295">
        <v>0.95</v>
      </c>
      <c r="AE667" s="295">
        <v>0.95</v>
      </c>
      <c r="AF667" s="253">
        <f t="shared" si="124"/>
        <v>0.95</v>
      </c>
      <c r="AG667" s="1371"/>
      <c r="AK667" s="339"/>
    </row>
    <row r="668" spans="1:37" ht="31.15" hidden="1" customHeight="1" outlineLevel="1" x14ac:dyDescent="0.25">
      <c r="A668" s="2147"/>
      <c r="B668" s="549"/>
      <c r="D668" s="1293" t="str">
        <f>D631</f>
        <v>EUL</v>
      </c>
      <c r="E668" s="1293" t="str">
        <f>E631</f>
        <v>Effective Useful Life</v>
      </c>
      <c r="F668" s="1248" t="s">
        <v>742</v>
      </c>
      <c r="G668" s="1468">
        <v>10</v>
      </c>
      <c r="H668" s="2479" t="s">
        <v>1841</v>
      </c>
      <c r="I668" s="2480"/>
      <c r="J668" s="2505"/>
      <c r="K668" s="2506"/>
      <c r="L668" s="2507"/>
      <c r="V668" s="1383" t="str">
        <f>D668</f>
        <v>EUL</v>
      </c>
      <c r="W668" s="310">
        <v>10</v>
      </c>
      <c r="X668" s="310">
        <v>10</v>
      </c>
      <c r="Y668" s="310">
        <v>11</v>
      </c>
      <c r="Z668" s="343">
        <v>11</v>
      </c>
      <c r="AA668" s="343">
        <v>11</v>
      </c>
      <c r="AB668" s="343">
        <v>11</v>
      </c>
      <c r="AC668" s="343">
        <v>11</v>
      </c>
      <c r="AD668" s="343">
        <v>11</v>
      </c>
      <c r="AE668" s="343">
        <v>11</v>
      </c>
      <c r="AF668" s="253">
        <f t="shared" si="124"/>
        <v>10</v>
      </c>
      <c r="AG668" s="1371"/>
      <c r="AK668" s="339"/>
    </row>
    <row r="669" spans="1:37" ht="15" hidden="1" customHeight="1" outlineLevel="1" x14ac:dyDescent="0.25">
      <c r="A669" s="2147"/>
      <c r="B669" s="549"/>
      <c r="D669" s="1875" t="s">
        <v>51</v>
      </c>
      <c r="E669" s="1875" t="s">
        <v>688</v>
      </c>
      <c r="F669" s="1248" t="s">
        <v>1840</v>
      </c>
      <c r="G669" s="1491">
        <v>11.33</v>
      </c>
      <c r="H669" s="2479" t="s">
        <v>1842</v>
      </c>
      <c r="I669" s="2480"/>
      <c r="J669" s="2563"/>
      <c r="K669" s="2564"/>
      <c r="L669" s="2565"/>
      <c r="V669" s="1297"/>
      <c r="W669" s="310">
        <v>11.33</v>
      </c>
      <c r="X669" s="310">
        <v>11.33</v>
      </c>
      <c r="Y669" s="310">
        <v>11.33</v>
      </c>
      <c r="Z669" s="343">
        <v>11.33</v>
      </c>
      <c r="AA669" s="343">
        <v>11.33</v>
      </c>
      <c r="AB669" s="706">
        <v>11.33</v>
      </c>
      <c r="AC669" s="706">
        <v>11.33</v>
      </c>
      <c r="AD669" s="706">
        <v>11.33</v>
      </c>
      <c r="AE669" s="706">
        <v>11.33</v>
      </c>
      <c r="AF669" s="253">
        <f t="shared" si="124"/>
        <v>11.33</v>
      </c>
      <c r="AG669" s="1371"/>
      <c r="AK669" s="339"/>
    </row>
    <row r="670" spans="1:37" ht="15" hidden="1" customHeight="1" outlineLevel="1" x14ac:dyDescent="0.25">
      <c r="A670" s="2147"/>
      <c r="B670" s="549"/>
      <c r="C670" s="1275"/>
      <c r="AK670" s="339"/>
    </row>
    <row r="671" spans="1:37" ht="15" customHeight="1" collapsed="1" x14ac:dyDescent="0.25">
      <c r="A671" s="2147"/>
      <c r="B671" s="549"/>
      <c r="AK671" s="339"/>
    </row>
    <row r="672" spans="1:37" ht="15" customHeight="1" x14ac:dyDescent="0.25">
      <c r="A672" s="2147"/>
      <c r="B672" s="2388" t="s">
        <v>1843</v>
      </c>
      <c r="C672" s="2389"/>
      <c r="D672" s="2389"/>
      <c r="E672" s="2389"/>
      <c r="F672" s="2389"/>
      <c r="G672" s="2389"/>
      <c r="H672" s="2389"/>
      <c r="I672" s="2390"/>
      <c r="J672" s="2390"/>
      <c r="K672" s="2390"/>
      <c r="L672" s="2390"/>
      <c r="M672" s="2390"/>
      <c r="N672" s="2390"/>
      <c r="O672" s="2390"/>
      <c r="P672" s="2390"/>
      <c r="Q672" s="2390"/>
      <c r="R672" s="2391"/>
      <c r="V672" s="2339" t="str">
        <f>B672</f>
        <v>Low Flow Faucet Aerators (Kitchen)</v>
      </c>
      <c r="W672" s="2340"/>
      <c r="X672" s="2340"/>
      <c r="Y672" s="2340"/>
      <c r="Z672" s="2340"/>
      <c r="AA672" s="2340"/>
      <c r="AB672" s="2340"/>
      <c r="AC672" s="2311"/>
      <c r="AD672" s="2311"/>
      <c r="AE672" s="2311"/>
      <c r="AF672" s="2311"/>
      <c r="AG672" s="2311"/>
      <c r="AH672" s="2311"/>
      <c r="AI672" s="2312"/>
      <c r="AK672" s="339"/>
    </row>
    <row r="673" spans="1:114" ht="15" customHeight="1" x14ac:dyDescent="0.25">
      <c r="A673" s="2147"/>
      <c r="B673" s="549"/>
      <c r="D673" s="553"/>
      <c r="E673" s="553"/>
      <c r="F673" s="264"/>
      <c r="G673" s="264"/>
      <c r="H673" s="264"/>
      <c r="I673" s="264"/>
      <c r="J673" s="264"/>
      <c r="K673" s="264"/>
      <c r="L673" s="554"/>
      <c r="AK673" s="339"/>
    </row>
    <row r="674" spans="1:114" ht="30" x14ac:dyDescent="0.25">
      <c r="A674" s="2147"/>
      <c r="B674" s="549"/>
      <c r="C674" s="1242" t="s">
        <v>43</v>
      </c>
      <c r="D674" s="1242" t="s">
        <v>597</v>
      </c>
      <c r="E674" s="1242" t="s">
        <v>45</v>
      </c>
      <c r="F674" s="1242" t="s">
        <v>1601</v>
      </c>
      <c r="G674" s="1242" t="s">
        <v>47</v>
      </c>
      <c r="H674" s="1242" t="s">
        <v>48</v>
      </c>
      <c r="I674" s="1242" t="s">
        <v>1796</v>
      </c>
      <c r="J674" s="1242" t="s">
        <v>49</v>
      </c>
      <c r="K674" s="1242" t="s">
        <v>50</v>
      </c>
      <c r="L674" s="1242" t="s">
        <v>51</v>
      </c>
      <c r="M674" s="1242" t="s">
        <v>52</v>
      </c>
      <c r="V674" s="162" t="s">
        <v>53</v>
      </c>
      <c r="W674" s="163">
        <f>W$6</f>
        <v>43252</v>
      </c>
      <c r="X674" s="163">
        <f t="shared" ref="X674:AG674" si="125">X$6</f>
        <v>43465</v>
      </c>
      <c r="Y674" s="728">
        <f t="shared" si="125"/>
        <v>43800</v>
      </c>
      <c r="Z674" s="163">
        <f t="shared" si="125"/>
        <v>43862</v>
      </c>
      <c r="AA674" s="163">
        <f t="shared" si="125"/>
        <v>44013</v>
      </c>
      <c r="AB674" s="163">
        <f t="shared" si="125"/>
        <v>44166</v>
      </c>
      <c r="AC674" s="637">
        <f t="shared" si="125"/>
        <v>44531</v>
      </c>
      <c r="AD674" s="637">
        <f t="shared" si="125"/>
        <v>44774</v>
      </c>
      <c r="AE674" s="637">
        <f t="shared" si="125"/>
        <v>45139</v>
      </c>
      <c r="AF674" s="637">
        <f t="shared" si="125"/>
        <v>45672</v>
      </c>
      <c r="AG674" s="637">
        <f t="shared" si="125"/>
        <v>45971</v>
      </c>
      <c r="AK674" s="339"/>
      <c r="DG674" s="1007" t="str">
        <f>'Efficient Products Deemed Table'!$DG$6</f>
        <v>TRC (2025)</v>
      </c>
      <c r="DH674" s="1007" t="str">
        <f>'Efficient Products Deemed Table'!$DH$6</f>
        <v>Benefit Lookup</v>
      </c>
      <c r="DI674" s="1007" t="str">
        <f>'Efficient Products Deemed Table'!$DI$6</f>
        <v>Benefits (2025 $)</v>
      </c>
      <c r="DJ674" s="1007" t="str">
        <f>'Efficient Products Deemed Table'!$DJ$6</f>
        <v>Incremental Cost (2025 $)</v>
      </c>
    </row>
    <row r="675" spans="1:114" x14ac:dyDescent="0.25">
      <c r="A675" s="2147" t="s">
        <v>602</v>
      </c>
      <c r="B675" s="1318">
        <f t="shared" ref="B675:B676" si="126">VALUE(LEFT(C675,6))</f>
        <v>403480</v>
      </c>
      <c r="C675" s="18" t="s">
        <v>1844</v>
      </c>
      <c r="D675" s="1994" t="s">
        <v>810</v>
      </c>
      <c r="E675" s="756" t="s">
        <v>1845</v>
      </c>
      <c r="F675" s="151">
        <f>ROUND(G686*(G687*G688-G689*G690)*G691*G692*G693/G694*I675*G702*G701,2)</f>
        <v>121.19</v>
      </c>
      <c r="G675" s="1311" t="s">
        <v>606</v>
      </c>
      <c r="H675" s="66">
        <f>VLOOKUP(G675,'CP FACTORS'!$A$3:$B$38, 2, FALSE)</f>
        <v>8.8731800000000003E-5</v>
      </c>
      <c r="I675" s="150">
        <f>G695*G696*(G697-G698)/(G699*G700)</f>
        <v>8.6195779601406813E-2</v>
      </c>
      <c r="J675" s="43">
        <f>ROUND(F675*H675,6)</f>
        <v>1.0753E-2</v>
      </c>
      <c r="K675" s="44">
        <f>$G$703</f>
        <v>10</v>
      </c>
      <c r="L675" s="420">
        <f>$G$704</f>
        <v>11.33</v>
      </c>
      <c r="M675" s="327" t="s">
        <v>63</v>
      </c>
      <c r="R675" s="510"/>
      <c r="V675" s="1249" t="str">
        <f>V639</f>
        <v>kWh
Annual Savings</v>
      </c>
      <c r="W675" s="85"/>
      <c r="X675" s="713"/>
      <c r="Y675" s="124"/>
      <c r="Z675" s="124"/>
      <c r="AA675" s="124"/>
      <c r="AB675" s="650">
        <v>111.03</v>
      </c>
      <c r="AC675" s="151">
        <v>111.03</v>
      </c>
      <c r="AD675" s="151">
        <v>111.03</v>
      </c>
      <c r="AE675" s="151">
        <v>111.03</v>
      </c>
      <c r="AF675" s="253">
        <v>121.19</v>
      </c>
      <c r="AG675" s="253">
        <f>IF(F675&lt;&gt;"",F675,"")</f>
        <v>121.19</v>
      </c>
      <c r="AH675" s="114"/>
      <c r="AK675" s="339"/>
      <c r="DG675" s="994">
        <f>(DI675)/(DJ675)</f>
        <v>5.2550774380504439</v>
      </c>
      <c r="DH675" s="641" t="str">
        <f>CONCATENATE(G675," ",K675," Year EUL")</f>
        <v>Water Heating RES 10 Year EUL</v>
      </c>
      <c r="DI675" s="527">
        <f>(INDEX('Avoided Cost Benefits'!$B$4:$B$865,MATCH(DH675,'Avoided Cost Benefits'!$A$4:$A$865,0)))*F675</f>
        <v>59.540027373111528</v>
      </c>
      <c r="DJ675" s="1854">
        <f>IFERROR(L675/((1+DiscountRate)^(CurrentYear-DiscountYear)),0)</f>
        <v>11.33</v>
      </c>
    </row>
    <row r="676" spans="1:114" x14ac:dyDescent="0.25">
      <c r="A676" s="2147" t="s">
        <v>607</v>
      </c>
      <c r="B676" s="1318">
        <f t="shared" si="126"/>
        <v>403481</v>
      </c>
      <c r="C676" s="18" t="s">
        <v>1846</v>
      </c>
      <c r="D676" s="1384" t="s">
        <v>863</v>
      </c>
      <c r="E676" s="756" t="s">
        <v>1847</v>
      </c>
      <c r="F676" s="151">
        <f>ROUND(G686*(G687*G688-G689*G690)*G691*G692*G693/G694*I676*G702*G701,2)</f>
        <v>121.19</v>
      </c>
      <c r="G676" s="1311" t="s">
        <v>606</v>
      </c>
      <c r="H676" s="66">
        <f>VLOOKUP(G676,'CP FACTORS'!$A$3:$B$38, 2, FALSE)</f>
        <v>8.8731800000000003E-5</v>
      </c>
      <c r="I676" s="150">
        <f>G695*G696*(G697-G698)/(G699*G700)</f>
        <v>8.6195779601406813E-2</v>
      </c>
      <c r="J676" s="43">
        <f>ROUND(F676*H676,6)</f>
        <v>1.0753E-2</v>
      </c>
      <c r="K676" s="44">
        <f>$G$703</f>
        <v>10</v>
      </c>
      <c r="L676" s="420">
        <f>$G$704</f>
        <v>11.33</v>
      </c>
      <c r="M676" s="327" t="s">
        <v>63</v>
      </c>
      <c r="R676" s="510"/>
      <c r="V676" s="1249" t="str">
        <f>V675</f>
        <v>kWh
Annual Savings</v>
      </c>
      <c r="W676" s="85"/>
      <c r="X676" s="712"/>
      <c r="Y676" s="124"/>
      <c r="Z676" s="124"/>
      <c r="AA676" s="124"/>
      <c r="AB676" s="650">
        <v>111.03</v>
      </c>
      <c r="AC676" s="151">
        <v>111.03</v>
      </c>
      <c r="AD676" s="151">
        <v>111.03</v>
      </c>
      <c r="AE676" s="151">
        <v>111.03</v>
      </c>
      <c r="AF676" s="253">
        <v>121.19</v>
      </c>
      <c r="AG676" s="253">
        <f>IF(F676&lt;&gt;"",F676,"")</f>
        <v>121.19</v>
      </c>
      <c r="AH676" s="114"/>
      <c r="AK676" s="339"/>
      <c r="DG676" s="995">
        <f>(DI676)/(DJ676)</f>
        <v>5.2550774380504439</v>
      </c>
      <c r="DH676" s="641" t="str">
        <f>CONCATENATE(G676," ",K676," Year EUL")</f>
        <v>Water Heating RES 10 Year EUL</v>
      </c>
      <c r="DI676" s="1003">
        <f>(INDEX('Avoided Cost Benefits'!$B$4:$B$865,MATCH(DH676,'Avoided Cost Benefits'!$A$4:$A$865,0)))*F676</f>
        <v>59.540027373111528</v>
      </c>
      <c r="DJ676" s="1855">
        <f>IFERROR(L676/((1+DiscountRate)^(CurrentYear-DiscountYear)),0)</f>
        <v>11.33</v>
      </c>
    </row>
    <row r="677" spans="1:114" hidden="1" outlineLevel="1" x14ac:dyDescent="0.25">
      <c r="A677" s="2147"/>
      <c r="B677" s="549"/>
      <c r="D677" s="71" t="s">
        <v>95</v>
      </c>
      <c r="E677" s="265" t="s">
        <v>1802</v>
      </c>
      <c r="F677" s="924"/>
      <c r="G677" s="263"/>
      <c r="H677" s="592"/>
      <c r="I677" s="368"/>
      <c r="J677" s="368"/>
      <c r="K677" s="368"/>
      <c r="V677" s="50"/>
      <c r="W677" s="73"/>
      <c r="X677" s="73"/>
      <c r="Y677" s="365"/>
      <c r="Z677" s="73"/>
      <c r="AA677" s="73"/>
      <c r="AB677" s="73"/>
      <c r="AC677" s="73"/>
      <c r="AD677" s="73"/>
      <c r="AE677" s="73"/>
      <c r="AF677" s="73"/>
      <c r="AG677" s="73"/>
      <c r="AH677" s="114"/>
      <c r="AK677" s="339"/>
    </row>
    <row r="678" spans="1:114" hidden="1" outlineLevel="1" x14ac:dyDescent="0.25">
      <c r="A678" s="2147"/>
      <c r="B678" s="549"/>
      <c r="D678" s="74" t="s">
        <v>609</v>
      </c>
      <c r="E678" s="50" t="s">
        <v>1803</v>
      </c>
      <c r="F678" s="924"/>
      <c r="G678" s="263"/>
      <c r="H678" s="592"/>
      <c r="V678" s="50"/>
      <c r="W678" s="73"/>
      <c r="X678" s="73"/>
      <c r="Y678" s="365"/>
      <c r="Z678" s="73"/>
      <c r="AA678" s="73"/>
      <c r="AB678" s="73"/>
      <c r="AC678" s="73"/>
      <c r="AD678" s="73"/>
      <c r="AE678" s="73"/>
      <c r="AF678" s="73"/>
      <c r="AG678" s="73"/>
      <c r="AK678" s="339"/>
    </row>
    <row r="679" spans="1:114" hidden="1" outlineLevel="1" x14ac:dyDescent="0.25">
      <c r="A679" s="2147"/>
      <c r="B679" s="549"/>
      <c r="D679" s="265"/>
      <c r="E679" s="50" t="s">
        <v>1804</v>
      </c>
      <c r="F679" s="924"/>
      <c r="H679" s="263"/>
      <c r="V679" s="50"/>
      <c r="W679" s="73"/>
      <c r="X679" s="73"/>
      <c r="Y679" s="365"/>
      <c r="Z679" s="73"/>
      <c r="AA679" s="73"/>
      <c r="AB679" s="73"/>
      <c r="AC679" s="73"/>
      <c r="AD679" s="73"/>
      <c r="AE679" s="73"/>
      <c r="AF679" s="73"/>
      <c r="AG679" s="73"/>
      <c r="AK679" s="339"/>
    </row>
    <row r="680" spans="1:114" hidden="1" outlineLevel="1" x14ac:dyDescent="0.25">
      <c r="A680" s="2147"/>
      <c r="B680" s="549"/>
      <c r="E680" s="50" t="s">
        <v>612</v>
      </c>
      <c r="F680" s="1379"/>
      <c r="G680" s="1379"/>
      <c r="V680" s="50"/>
      <c r="W680" s="73"/>
      <c r="X680" s="73"/>
      <c r="Y680" s="365"/>
      <c r="Z680" s="73"/>
      <c r="AA680" s="73"/>
      <c r="AB680" s="73"/>
      <c r="AC680" s="73"/>
      <c r="AD680" s="73"/>
      <c r="AE680" s="73"/>
      <c r="AF680" s="73"/>
      <c r="AG680" s="73"/>
      <c r="AK680" s="339"/>
    </row>
    <row r="681" spans="1:114" hidden="1" outlineLevel="1" x14ac:dyDescent="0.25">
      <c r="A681" s="2147"/>
      <c r="B681" s="549"/>
      <c r="E681" s="50" t="s">
        <v>1805</v>
      </c>
      <c r="F681" s="589"/>
      <c r="G681" s="589"/>
      <c r="V681" s="50"/>
      <c r="W681" s="73"/>
      <c r="X681" s="73"/>
      <c r="Y681" s="365"/>
      <c r="Z681" s="73"/>
      <c r="AA681" s="73"/>
      <c r="AB681" s="73"/>
      <c r="AC681" s="73"/>
      <c r="AD681" s="73"/>
      <c r="AE681" s="73"/>
      <c r="AF681" s="73"/>
      <c r="AG681" s="73"/>
      <c r="AK681" s="339"/>
    </row>
    <row r="682" spans="1:114" hidden="1" outlineLevel="1" x14ac:dyDescent="0.25">
      <c r="A682" s="2147"/>
      <c r="B682" s="549"/>
      <c r="E682" s="588"/>
      <c r="F682" s="589"/>
      <c r="G682" s="589"/>
      <c r="V682" s="50"/>
      <c r="W682" s="73"/>
      <c r="X682" s="73"/>
      <c r="Y682" s="365"/>
      <c r="Z682" s="73"/>
      <c r="AA682" s="73"/>
      <c r="AB682" s="73"/>
      <c r="AC682" s="73"/>
      <c r="AD682" s="73"/>
      <c r="AE682" s="73"/>
      <c r="AF682" s="73"/>
      <c r="AG682" s="73"/>
      <c r="AK682" s="339"/>
    </row>
    <row r="683" spans="1:114" ht="15" hidden="1" customHeight="1" outlineLevel="1" x14ac:dyDescent="0.25">
      <c r="A683" s="2147"/>
      <c r="B683" s="549"/>
      <c r="E683" s="588"/>
      <c r="F683" s="589"/>
      <c r="G683" s="589"/>
      <c r="V683" s="50"/>
      <c r="W683" s="73"/>
      <c r="X683" s="73"/>
      <c r="Y683" s="365"/>
      <c r="Z683" s="73"/>
      <c r="AA683" s="73"/>
      <c r="AB683" s="73"/>
      <c r="AC683" s="73"/>
      <c r="AD683" s="73"/>
      <c r="AE683" s="73"/>
      <c r="AF683" s="73"/>
      <c r="AG683" s="73"/>
      <c r="AK683" s="339"/>
    </row>
    <row r="684" spans="1:114" hidden="1" outlineLevel="1" x14ac:dyDescent="0.25">
      <c r="A684" s="2147"/>
      <c r="B684" s="549"/>
      <c r="V684" s="50"/>
      <c r="W684" s="73"/>
      <c r="X684" s="73"/>
      <c r="Y684" s="365"/>
      <c r="Z684" s="73"/>
      <c r="AA684" s="73"/>
      <c r="AB684" s="73"/>
      <c r="AC684" s="73"/>
      <c r="AD684" s="73"/>
      <c r="AE684" s="73"/>
      <c r="AF684" s="73"/>
      <c r="AG684" s="73"/>
      <c r="AK684" s="339"/>
    </row>
    <row r="685" spans="1:114" hidden="1" outlineLevel="1" x14ac:dyDescent="0.25">
      <c r="A685" s="2147"/>
      <c r="B685" s="549"/>
      <c r="D685" s="1309" t="s">
        <v>720</v>
      </c>
      <c r="E685" s="1309" t="s">
        <v>613</v>
      </c>
      <c r="F685" s="1242" t="s">
        <v>1806</v>
      </c>
      <c r="G685" s="1253" t="s">
        <v>615</v>
      </c>
      <c r="H685" s="2378" t="s">
        <v>616</v>
      </c>
      <c r="I685" s="2378"/>
      <c r="J685" s="2544" t="s">
        <v>617</v>
      </c>
      <c r="K685" s="2545"/>
      <c r="L685" s="2546"/>
      <c r="V685" s="162" t="s">
        <v>53</v>
      </c>
      <c r="W685" s="163">
        <f>W$6</f>
        <v>43252</v>
      </c>
      <c r="X685" s="163">
        <f t="shared" ref="X685:AG685" si="127">X$6</f>
        <v>43465</v>
      </c>
      <c r="Y685" s="728">
        <f t="shared" si="127"/>
        <v>43800</v>
      </c>
      <c r="Z685" s="163">
        <f t="shared" si="127"/>
        <v>43862</v>
      </c>
      <c r="AA685" s="163">
        <f t="shared" si="127"/>
        <v>44013</v>
      </c>
      <c r="AB685" s="163">
        <f t="shared" si="127"/>
        <v>44166</v>
      </c>
      <c r="AC685" s="163">
        <f t="shared" si="127"/>
        <v>44531</v>
      </c>
      <c r="AD685" s="163">
        <f t="shared" si="127"/>
        <v>44774</v>
      </c>
      <c r="AE685" s="163">
        <f t="shared" si="127"/>
        <v>45139</v>
      </c>
      <c r="AF685" s="163">
        <f t="shared" si="127"/>
        <v>45672</v>
      </c>
      <c r="AG685" s="163">
        <f t="shared" si="127"/>
        <v>45971</v>
      </c>
      <c r="AK685" s="339"/>
    </row>
    <row r="686" spans="1:114" ht="15" hidden="1" customHeight="1" outlineLevel="1" x14ac:dyDescent="0.25">
      <c r="A686" s="2147"/>
      <c r="B686" s="549"/>
      <c r="D686" s="1248" t="s">
        <v>1807</v>
      </c>
      <c r="E686" s="1248" t="s">
        <v>1808</v>
      </c>
      <c r="F686" s="1248"/>
      <c r="G686" s="1480">
        <v>1</v>
      </c>
      <c r="H686" s="2508" t="s">
        <v>855</v>
      </c>
      <c r="I686" s="2509"/>
      <c r="J686" s="2547"/>
      <c r="K686" s="2548"/>
      <c r="L686" s="2548"/>
      <c r="V686" s="1248" t="s">
        <v>1807</v>
      </c>
      <c r="W686" s="155"/>
      <c r="X686" s="155"/>
      <c r="Y686" s="155"/>
      <c r="Z686" s="155"/>
      <c r="AA686" s="155"/>
      <c r="AB686" s="155">
        <v>1</v>
      </c>
      <c r="AC686" s="348">
        <v>1</v>
      </c>
      <c r="AD686" s="348">
        <v>1</v>
      </c>
      <c r="AE686" s="348">
        <v>1</v>
      </c>
      <c r="AF686" s="253">
        <f t="shared" ref="AF686:AF704" si="128">IF(G686&lt;&gt;"",G686,"")</f>
        <v>1</v>
      </c>
      <c r="AG686" s="337"/>
      <c r="AK686" s="339"/>
    </row>
    <row r="687" spans="1:114" ht="27" hidden="1" customHeight="1" outlineLevel="1" x14ac:dyDescent="0.25">
      <c r="A687" s="2147"/>
      <c r="B687" s="549"/>
      <c r="D687" s="1248" t="s">
        <v>1809</v>
      </c>
      <c r="E687" s="1248" t="s">
        <v>1810</v>
      </c>
      <c r="F687" s="1248"/>
      <c r="G687" s="1437">
        <v>2.2000000000000002</v>
      </c>
      <c r="H687" s="2503" t="s">
        <v>1811</v>
      </c>
      <c r="I687" s="2504"/>
      <c r="J687" s="2549"/>
      <c r="K687" s="2550"/>
      <c r="L687" s="2551"/>
      <c r="V687" s="1248" t="s">
        <v>1809</v>
      </c>
      <c r="W687" s="101"/>
      <c r="X687" s="711"/>
      <c r="Y687" s="711"/>
      <c r="Z687" s="711"/>
      <c r="AA687" s="711"/>
      <c r="AB687" s="48">
        <v>2.2000000000000002</v>
      </c>
      <c r="AC687" s="44">
        <v>2.2000000000000002</v>
      </c>
      <c r="AD687" s="44">
        <v>2.2000000000000002</v>
      </c>
      <c r="AE687" s="44">
        <v>2.2000000000000002</v>
      </c>
      <c r="AF687" s="253">
        <f t="shared" si="128"/>
        <v>2.2000000000000002</v>
      </c>
      <c r="AG687" s="337"/>
      <c r="AK687" s="339"/>
    </row>
    <row r="688" spans="1:114" ht="30" hidden="1" customHeight="1" outlineLevel="1" x14ac:dyDescent="0.25">
      <c r="A688" s="2147"/>
      <c r="B688" s="549"/>
      <c r="D688" s="1248" t="s">
        <v>1812</v>
      </c>
      <c r="E688" s="1279" t="s">
        <v>1813</v>
      </c>
      <c r="F688" s="1248"/>
      <c r="G688" s="1441">
        <v>3.7</v>
      </c>
      <c r="H688" s="2479" t="s">
        <v>1814</v>
      </c>
      <c r="I688" s="2480"/>
      <c r="J688" s="2549"/>
      <c r="K688" s="2550"/>
      <c r="L688" s="2551"/>
      <c r="V688" s="1248" t="s">
        <v>1812</v>
      </c>
      <c r="W688" s="342"/>
      <c r="X688" s="342"/>
      <c r="Y688" s="342"/>
      <c r="Z688" s="342"/>
      <c r="AA688" s="342"/>
      <c r="AB688" s="710">
        <v>3.7</v>
      </c>
      <c r="AC688" s="709">
        <v>3.7</v>
      </c>
      <c r="AD688" s="709">
        <v>3.7</v>
      </c>
      <c r="AE688" s="709">
        <v>3.7</v>
      </c>
      <c r="AF688" s="253">
        <f t="shared" si="128"/>
        <v>3.7</v>
      </c>
      <c r="AG688" s="337"/>
      <c r="AK688" s="339"/>
    </row>
    <row r="689" spans="1:37" ht="30" hidden="1" customHeight="1" outlineLevel="1" x14ac:dyDescent="0.25">
      <c r="A689" s="2147"/>
      <c r="B689" s="549"/>
      <c r="D689" s="1248" t="s">
        <v>1815</v>
      </c>
      <c r="E689" s="1248" t="s">
        <v>1816</v>
      </c>
      <c r="F689" s="1248"/>
      <c r="G689" s="1448">
        <v>1.5</v>
      </c>
      <c r="H689" s="2503" t="s">
        <v>1817</v>
      </c>
      <c r="I689" s="2504"/>
      <c r="J689" s="2549"/>
      <c r="K689" s="2550"/>
      <c r="L689" s="2551"/>
      <c r="V689" s="1248" t="s">
        <v>1815</v>
      </c>
      <c r="W689" s="101"/>
      <c r="X689" s="350"/>
      <c r="Y689" s="350"/>
      <c r="Z689" s="350"/>
      <c r="AA689" s="350"/>
      <c r="AB689" s="48">
        <v>1.5</v>
      </c>
      <c r="AC689" s="44">
        <v>1.5</v>
      </c>
      <c r="AD689" s="44">
        <v>1.5</v>
      </c>
      <c r="AE689" s="44">
        <v>1.5</v>
      </c>
      <c r="AF689" s="253">
        <f t="shared" si="128"/>
        <v>1.5</v>
      </c>
      <c r="AG689" s="1371"/>
      <c r="AK689" s="339"/>
    </row>
    <row r="690" spans="1:37" ht="30" hidden="1" customHeight="1" outlineLevel="1" x14ac:dyDescent="0.25">
      <c r="A690" s="2147"/>
      <c r="B690" s="549"/>
      <c r="D690" s="1248" t="s">
        <v>1818</v>
      </c>
      <c r="E690" s="1279" t="s">
        <v>1813</v>
      </c>
      <c r="F690" s="1248"/>
      <c r="G690" s="1552">
        <v>3.7</v>
      </c>
      <c r="H690" s="2479" t="s">
        <v>1814</v>
      </c>
      <c r="I690" s="2480"/>
      <c r="J690" s="2549"/>
      <c r="K690" s="2550"/>
      <c r="L690" s="2551"/>
      <c r="V690" s="1248" t="s">
        <v>1818</v>
      </c>
      <c r="W690" s="342"/>
      <c r="X690" s="342"/>
      <c r="Y690" s="1382"/>
      <c r="Z690" s="1382"/>
      <c r="AA690" s="1382"/>
      <c r="AB690" s="1320">
        <v>3.7</v>
      </c>
      <c r="AC690" s="318">
        <v>3.7</v>
      </c>
      <c r="AD690" s="318">
        <v>3.7</v>
      </c>
      <c r="AE690" s="318">
        <v>3.7</v>
      </c>
      <c r="AF690" s="253">
        <f t="shared" si="128"/>
        <v>3.7</v>
      </c>
      <c r="AG690" s="1371"/>
      <c r="AK690" s="339"/>
    </row>
    <row r="691" spans="1:37" ht="45" hidden="1" customHeight="1" outlineLevel="1" x14ac:dyDescent="0.25">
      <c r="A691" s="2147"/>
      <c r="B691" s="549"/>
      <c r="D691" s="1248" t="s">
        <v>630</v>
      </c>
      <c r="E691" s="1279" t="s">
        <v>1819</v>
      </c>
      <c r="F691" s="1248"/>
      <c r="G691" s="1553">
        <v>1.5644946808510638</v>
      </c>
      <c r="H691" s="2479" t="s">
        <v>1820</v>
      </c>
      <c r="I691" s="2480"/>
      <c r="J691" s="2549"/>
      <c r="K691" s="2550"/>
      <c r="L691" s="2551"/>
      <c r="V691" s="1248" t="s">
        <v>630</v>
      </c>
      <c r="W691" s="342"/>
      <c r="X691" s="342"/>
      <c r="Y691" s="262"/>
      <c r="Z691" s="262"/>
      <c r="AA691" s="262"/>
      <c r="AB691" s="262">
        <v>1.5644946808510638</v>
      </c>
      <c r="AC691" s="552">
        <v>1.5644946808510638</v>
      </c>
      <c r="AD691" s="552">
        <v>1.5644946808510638</v>
      </c>
      <c r="AE691" s="552">
        <v>1.5644946808510638</v>
      </c>
      <c r="AF691" s="253">
        <f t="shared" si="128"/>
        <v>1.5644946808510638</v>
      </c>
      <c r="AG691" s="1371"/>
      <c r="AK691" s="339"/>
    </row>
    <row r="692" spans="1:37" ht="29.25" hidden="1" customHeight="1" outlineLevel="1" x14ac:dyDescent="0.25">
      <c r="A692" s="2147"/>
      <c r="B692" s="549"/>
      <c r="D692" s="1256" t="s">
        <v>1821</v>
      </c>
      <c r="E692" s="1248" t="s">
        <v>1822</v>
      </c>
      <c r="F692" s="1248"/>
      <c r="G692" s="1440">
        <v>1</v>
      </c>
      <c r="H692" s="2503" t="s">
        <v>1592</v>
      </c>
      <c r="I692" s="2504"/>
      <c r="J692" s="2560"/>
      <c r="K692" s="2561"/>
      <c r="L692" s="2562"/>
      <c r="V692" s="1256" t="s">
        <v>1821</v>
      </c>
      <c r="W692" s="342"/>
      <c r="X692" s="342"/>
      <c r="Y692" s="344"/>
      <c r="Z692" s="344"/>
      <c r="AA692" s="344"/>
      <c r="AB692" s="342">
        <v>1</v>
      </c>
      <c r="AC692" s="343">
        <v>1</v>
      </c>
      <c r="AD692" s="343">
        <v>1</v>
      </c>
      <c r="AE692" s="343">
        <v>1</v>
      </c>
      <c r="AF692" s="253">
        <f t="shared" si="128"/>
        <v>1</v>
      </c>
      <c r="AG692" s="1371"/>
      <c r="AK692" s="339"/>
    </row>
    <row r="693" spans="1:37" ht="15" hidden="1" customHeight="1" outlineLevel="1" x14ac:dyDescent="0.25">
      <c r="A693" s="2147"/>
      <c r="B693" s="549"/>
      <c r="D693" s="1256">
        <v>365.25</v>
      </c>
      <c r="E693" s="1279" t="s">
        <v>1823</v>
      </c>
      <c r="F693" s="1248"/>
      <c r="G693" s="1554">
        <v>365.25</v>
      </c>
      <c r="H693" s="2503" t="s">
        <v>1824</v>
      </c>
      <c r="I693" s="2504"/>
      <c r="J693" s="2549"/>
      <c r="K693" s="2550"/>
      <c r="L693" s="2551"/>
      <c r="V693" s="1256">
        <v>365.25</v>
      </c>
      <c r="W693" s="342"/>
      <c r="X693" s="342"/>
      <c r="Y693" s="1384"/>
      <c r="Z693" s="1384"/>
      <c r="AA693" s="1384"/>
      <c r="AB693" s="1382">
        <v>365.25</v>
      </c>
      <c r="AC693" s="132">
        <v>365.25</v>
      </c>
      <c r="AD693" s="132">
        <v>365.25</v>
      </c>
      <c r="AE693" s="132">
        <v>365.25</v>
      </c>
      <c r="AF693" s="253">
        <f t="shared" si="128"/>
        <v>365.25</v>
      </c>
      <c r="AG693" s="1371"/>
      <c r="AK693" s="339"/>
    </row>
    <row r="694" spans="1:37" ht="30" hidden="1" customHeight="1" outlineLevel="1" x14ac:dyDescent="0.25">
      <c r="A694" s="2147"/>
      <c r="B694" s="549"/>
      <c r="D694" s="1256" t="s">
        <v>1825</v>
      </c>
      <c r="E694" s="1279" t="s">
        <v>1826</v>
      </c>
      <c r="F694" s="1248"/>
      <c r="G694" s="1553">
        <v>1</v>
      </c>
      <c r="H694" s="2383" t="s">
        <v>1848</v>
      </c>
      <c r="I694" s="2383"/>
      <c r="J694" s="2549"/>
      <c r="K694" s="2550"/>
      <c r="L694" s="2551"/>
      <c r="V694" s="1256" t="s">
        <v>1825</v>
      </c>
      <c r="W694" s="342"/>
      <c r="X694" s="342"/>
      <c r="Y694" s="262"/>
      <c r="Z694" s="262"/>
      <c r="AA694" s="262"/>
      <c r="AB694" s="1320">
        <v>1</v>
      </c>
      <c r="AC694" s="318">
        <v>1</v>
      </c>
      <c r="AD694" s="318">
        <v>1</v>
      </c>
      <c r="AE694" s="318">
        <v>1</v>
      </c>
      <c r="AF694" s="253">
        <f t="shared" si="128"/>
        <v>1</v>
      </c>
      <c r="AG694" s="1371"/>
      <c r="AK694" s="339"/>
    </row>
    <row r="695" spans="1:37" ht="15" hidden="1" customHeight="1" outlineLevel="1" x14ac:dyDescent="0.25">
      <c r="A695" s="2147"/>
      <c r="B695" s="549"/>
      <c r="D695" s="1256">
        <v>8.33</v>
      </c>
      <c r="E695" s="1279" t="s">
        <v>1828</v>
      </c>
      <c r="F695" s="1248"/>
      <c r="G695" s="1440">
        <v>8.33</v>
      </c>
      <c r="H695" s="2508" t="s">
        <v>1829</v>
      </c>
      <c r="I695" s="2509"/>
      <c r="J695" s="2549"/>
      <c r="K695" s="2550"/>
      <c r="L695" s="2551"/>
      <c r="V695" s="1256">
        <v>8.33</v>
      </c>
      <c r="W695" s="342"/>
      <c r="X695" s="342"/>
      <c r="Y695" s="342"/>
      <c r="Z695" s="342"/>
      <c r="AA695" s="342"/>
      <c r="AB695" s="342">
        <v>8.33</v>
      </c>
      <c r="AC695" s="343">
        <v>8.33</v>
      </c>
      <c r="AD695" s="343">
        <v>8.33</v>
      </c>
      <c r="AE695" s="343">
        <v>8.33</v>
      </c>
      <c r="AF695" s="253">
        <f t="shared" si="128"/>
        <v>8.33</v>
      </c>
      <c r="AG695" s="1371"/>
      <c r="AK695" s="339"/>
    </row>
    <row r="696" spans="1:37" ht="15" hidden="1" customHeight="1" outlineLevel="1" x14ac:dyDescent="0.25">
      <c r="A696" s="2147"/>
      <c r="B696" s="549"/>
      <c r="D696" s="1256">
        <v>1</v>
      </c>
      <c r="E696" s="1291" t="s">
        <v>1830</v>
      </c>
      <c r="F696" s="1248"/>
      <c r="G696" s="1440">
        <v>1</v>
      </c>
      <c r="H696" s="2503" t="s">
        <v>1831</v>
      </c>
      <c r="I696" s="2504"/>
      <c r="J696" s="2549"/>
      <c r="K696" s="2550"/>
      <c r="L696" s="2551"/>
      <c r="V696" s="1256">
        <v>1</v>
      </c>
      <c r="W696" s="342"/>
      <c r="X696" s="342"/>
      <c r="Y696" s="342"/>
      <c r="Z696" s="342"/>
      <c r="AA696" s="342"/>
      <c r="AB696" s="342">
        <v>1</v>
      </c>
      <c r="AC696" s="343">
        <v>1</v>
      </c>
      <c r="AD696" s="343">
        <v>1</v>
      </c>
      <c r="AE696" s="343">
        <v>1</v>
      </c>
      <c r="AF696" s="253">
        <f t="shared" si="128"/>
        <v>1</v>
      </c>
      <c r="AG696" s="1371"/>
      <c r="AK696" s="339"/>
    </row>
    <row r="697" spans="1:37" ht="47.25" hidden="1" customHeight="1" outlineLevel="1" x14ac:dyDescent="0.25">
      <c r="A697" s="2147"/>
      <c r="B697" s="549"/>
      <c r="D697" s="1248" t="s">
        <v>1832</v>
      </c>
      <c r="E697" s="1279" t="s">
        <v>1833</v>
      </c>
      <c r="F697" s="1248"/>
      <c r="G697" s="1440">
        <v>93</v>
      </c>
      <c r="H697" s="2540" t="s">
        <v>1849</v>
      </c>
      <c r="I697" s="2540"/>
      <c r="J697" s="2549"/>
      <c r="K697" s="2550"/>
      <c r="L697" s="2551"/>
      <c r="V697" s="1248" t="s">
        <v>1832</v>
      </c>
      <c r="W697" s="342"/>
      <c r="X697" s="342"/>
      <c r="Y697" s="342"/>
      <c r="Z697" s="342"/>
      <c r="AA697" s="342"/>
      <c r="AB697" s="346">
        <v>93</v>
      </c>
      <c r="AC697" s="377">
        <v>93</v>
      </c>
      <c r="AD697" s="377">
        <v>93</v>
      </c>
      <c r="AE697" s="377">
        <v>93</v>
      </c>
      <c r="AF697" s="253">
        <f t="shared" si="128"/>
        <v>93</v>
      </c>
      <c r="AG697" s="1371"/>
      <c r="AK697" s="339"/>
    </row>
    <row r="698" spans="1:37" ht="60" hidden="1" customHeight="1" outlineLevel="1" x14ac:dyDescent="0.25">
      <c r="A698" s="2147"/>
      <c r="B698" s="549"/>
      <c r="D698" s="1248" t="s">
        <v>1835</v>
      </c>
      <c r="E698" s="1279" t="s">
        <v>1836</v>
      </c>
      <c r="F698" s="1248"/>
      <c r="G698" s="1540">
        <v>58.4</v>
      </c>
      <c r="H698" s="2376" t="s">
        <v>644</v>
      </c>
      <c r="I698" s="2376"/>
      <c r="J698" s="2549"/>
      <c r="K698" s="2550"/>
      <c r="L698" s="2551"/>
      <c r="V698" s="1248" t="s">
        <v>1835</v>
      </c>
      <c r="W698" s="342"/>
      <c r="X698" s="342"/>
      <c r="Y698" s="342"/>
      <c r="Z698" s="342"/>
      <c r="AA698" s="342"/>
      <c r="AB698" s="346">
        <v>61.3</v>
      </c>
      <c r="AC698" s="377">
        <v>61.3</v>
      </c>
      <c r="AD698" s="377">
        <v>61.3</v>
      </c>
      <c r="AE698" s="377">
        <v>61.3</v>
      </c>
      <c r="AF698" s="253">
        <f t="shared" si="128"/>
        <v>58.4</v>
      </c>
      <c r="AG698" s="1371"/>
      <c r="AK698" s="339"/>
    </row>
    <row r="699" spans="1:37" ht="47.25" hidden="1" customHeight="1" outlineLevel="1" x14ac:dyDescent="0.25">
      <c r="A699" s="2147"/>
      <c r="B699" s="549"/>
      <c r="D699" s="1248" t="s">
        <v>1837</v>
      </c>
      <c r="E699" s="1279" t="s">
        <v>1838</v>
      </c>
      <c r="F699" s="1248"/>
      <c r="G699" s="1440">
        <v>0.98</v>
      </c>
      <c r="H699" s="2479" t="s">
        <v>1839</v>
      </c>
      <c r="I699" s="2480"/>
      <c r="J699" s="2549"/>
      <c r="K699" s="2550"/>
      <c r="L699" s="2551"/>
      <c r="V699" s="1248" t="s">
        <v>1837</v>
      </c>
      <c r="W699" s="342"/>
      <c r="X699" s="342"/>
      <c r="Y699" s="342"/>
      <c r="Z699" s="342"/>
      <c r="AA699" s="342"/>
      <c r="AB699" s="342">
        <v>0.98</v>
      </c>
      <c r="AC699" s="343">
        <v>0.98</v>
      </c>
      <c r="AD699" s="343">
        <v>0.98</v>
      </c>
      <c r="AE699" s="343">
        <v>0.98</v>
      </c>
      <c r="AF699" s="253">
        <f t="shared" si="128"/>
        <v>0.98</v>
      </c>
      <c r="AG699" s="1371"/>
      <c r="AK699" s="339"/>
    </row>
    <row r="700" spans="1:37" ht="15" hidden="1" customHeight="1" outlineLevel="1" x14ac:dyDescent="0.25">
      <c r="A700" s="2147"/>
      <c r="B700" s="549"/>
      <c r="D700" s="1248">
        <v>3412</v>
      </c>
      <c r="E700" s="1279">
        <v>3412</v>
      </c>
      <c r="F700" s="1248"/>
      <c r="G700" s="1440">
        <v>3412</v>
      </c>
      <c r="H700" s="2508" t="s">
        <v>648</v>
      </c>
      <c r="I700" s="2509"/>
      <c r="J700" s="2555"/>
      <c r="K700" s="2556"/>
      <c r="L700" s="2557"/>
      <c r="V700" s="1248">
        <v>3412</v>
      </c>
      <c r="W700" s="342"/>
      <c r="X700" s="342"/>
      <c r="Y700" s="342"/>
      <c r="Z700" s="342"/>
      <c r="AA700" s="342"/>
      <c r="AB700" s="342">
        <v>3412</v>
      </c>
      <c r="AC700" s="343">
        <v>3412</v>
      </c>
      <c r="AD700" s="343">
        <v>3412</v>
      </c>
      <c r="AE700" s="343">
        <v>3412</v>
      </c>
      <c r="AF700" s="253">
        <f t="shared" si="128"/>
        <v>3412</v>
      </c>
      <c r="AG700" s="1371"/>
      <c r="AK700" s="339"/>
    </row>
    <row r="701" spans="1:37" ht="15" hidden="1" customHeight="1" outlineLevel="1" x14ac:dyDescent="0.25">
      <c r="A701" s="2147"/>
      <c r="B701" s="549"/>
      <c r="D701" s="1248" t="s">
        <v>825</v>
      </c>
      <c r="E701" s="1248" t="s">
        <v>795</v>
      </c>
      <c r="F701" s="1248"/>
      <c r="G701" s="1447">
        <v>1</v>
      </c>
      <c r="H701" s="2508" t="s">
        <v>855</v>
      </c>
      <c r="I701" s="2558"/>
      <c r="J701" s="2559"/>
      <c r="K701" s="2559"/>
      <c r="L701" s="2559"/>
      <c r="V701" s="1248" t="s">
        <v>825</v>
      </c>
      <c r="W701" s="662"/>
      <c r="X701" s="662"/>
      <c r="Y701" s="662"/>
      <c r="Z701" s="662"/>
      <c r="AA701" s="662"/>
      <c r="AB701" s="662">
        <v>1</v>
      </c>
      <c r="AC701" s="582">
        <v>1</v>
      </c>
      <c r="AD701" s="582">
        <v>1</v>
      </c>
      <c r="AE701" s="582">
        <v>1</v>
      </c>
      <c r="AF701" s="253">
        <f t="shared" si="128"/>
        <v>1</v>
      </c>
      <c r="AG701" s="1371"/>
      <c r="AK701" s="339"/>
    </row>
    <row r="702" spans="1:37" ht="29.65" hidden="1" customHeight="1" outlineLevel="1" x14ac:dyDescent="0.25">
      <c r="A702" s="2147"/>
      <c r="B702" s="549"/>
      <c r="D702" s="1255" t="s">
        <v>105</v>
      </c>
      <c r="E702" s="1304" t="s">
        <v>1653</v>
      </c>
      <c r="F702" s="1248" t="s">
        <v>1840</v>
      </c>
      <c r="G702" s="1469">
        <v>0.95</v>
      </c>
      <c r="H702" s="2503" t="s">
        <v>1827</v>
      </c>
      <c r="I702" s="2504"/>
      <c r="J702" s="2505"/>
      <c r="K702" s="2506"/>
      <c r="L702" s="2507"/>
      <c r="V702" s="1248"/>
      <c r="W702" s="155"/>
      <c r="X702" s="155"/>
      <c r="Y702" s="1323"/>
      <c r="Z702" s="1323"/>
      <c r="AA702" s="1323"/>
      <c r="AB702" s="1323">
        <v>0.95</v>
      </c>
      <c r="AC702" s="295">
        <v>0.95</v>
      </c>
      <c r="AD702" s="295">
        <v>0.95</v>
      </c>
      <c r="AE702" s="295">
        <v>0.95</v>
      </c>
      <c r="AF702" s="253">
        <f t="shared" si="128"/>
        <v>0.95</v>
      </c>
      <c r="AG702" s="1371"/>
      <c r="AK702" s="339"/>
    </row>
    <row r="703" spans="1:37" ht="33.75" hidden="1" customHeight="1" outlineLevel="1" x14ac:dyDescent="0.25">
      <c r="A703" s="2147"/>
      <c r="B703" s="549"/>
      <c r="D703" s="1293" t="s">
        <v>50</v>
      </c>
      <c r="E703" s="1293" t="s">
        <v>1850</v>
      </c>
      <c r="F703" s="1248" t="s">
        <v>742</v>
      </c>
      <c r="G703" s="1468">
        <v>10</v>
      </c>
      <c r="H703" s="2479" t="s">
        <v>1841</v>
      </c>
      <c r="I703" s="2480"/>
      <c r="J703" s="2505"/>
      <c r="K703" s="2506"/>
      <c r="L703" s="2507"/>
      <c r="V703" s="1280" t="str">
        <f>D703</f>
        <v>EUL</v>
      </c>
      <c r="W703" s="342"/>
      <c r="X703" s="342"/>
      <c r="Y703" s="342"/>
      <c r="Z703" s="342"/>
      <c r="AA703" s="342"/>
      <c r="AB703" s="342">
        <v>11</v>
      </c>
      <c r="AC703" s="343">
        <v>11</v>
      </c>
      <c r="AD703" s="343">
        <v>11</v>
      </c>
      <c r="AE703" s="343">
        <v>11</v>
      </c>
      <c r="AF703" s="253">
        <f t="shared" si="128"/>
        <v>10</v>
      </c>
      <c r="AG703" s="1371"/>
      <c r="AK703" s="339"/>
    </row>
    <row r="704" spans="1:37" ht="15" hidden="1" customHeight="1" outlineLevel="1" x14ac:dyDescent="0.25">
      <c r="A704" s="2147"/>
      <c r="B704" s="549"/>
      <c r="D704" s="1875" t="s">
        <v>51</v>
      </c>
      <c r="E704" s="1875" t="s">
        <v>688</v>
      </c>
      <c r="F704" s="1248" t="s">
        <v>1840</v>
      </c>
      <c r="G704" s="1491">
        <v>11.33</v>
      </c>
      <c r="H704" s="2479" t="s">
        <v>1851</v>
      </c>
      <c r="I704" s="2480"/>
      <c r="J704" s="2505"/>
      <c r="K704" s="2506"/>
      <c r="L704" s="2507"/>
      <c r="V704" s="1248"/>
      <c r="W704" s="342"/>
      <c r="X704" s="342"/>
      <c r="Y704" s="342"/>
      <c r="Z704" s="342"/>
      <c r="AA704" s="342"/>
      <c r="AB704" s="707">
        <v>11.33</v>
      </c>
      <c r="AC704" s="706">
        <v>11.33</v>
      </c>
      <c r="AD704" s="706">
        <v>11.33</v>
      </c>
      <c r="AE704" s="706">
        <v>11.33</v>
      </c>
      <c r="AF704" s="253">
        <f t="shared" si="128"/>
        <v>11.33</v>
      </c>
      <c r="AG704" s="1371"/>
      <c r="AK704" s="339"/>
    </row>
    <row r="705" spans="1:114" ht="15" hidden="1" customHeight="1" outlineLevel="1" x14ac:dyDescent="0.25">
      <c r="A705" s="2147"/>
      <c r="B705" s="549"/>
      <c r="C705" s="1275"/>
      <c r="AK705" s="339"/>
    </row>
    <row r="706" spans="1:114" ht="15" customHeight="1" collapsed="1" x14ac:dyDescent="0.25">
      <c r="A706" s="2147"/>
      <c r="B706" s="549"/>
      <c r="AK706" s="339"/>
    </row>
    <row r="707" spans="1:114" x14ac:dyDescent="0.25">
      <c r="A707" s="2147"/>
      <c r="B707" s="2388" t="s">
        <v>1852</v>
      </c>
      <c r="C707" s="2389"/>
      <c r="D707" s="2389"/>
      <c r="E707" s="2389"/>
      <c r="F707" s="2389"/>
      <c r="G707" s="2389"/>
      <c r="H707" s="2389"/>
      <c r="I707" s="2390"/>
      <c r="J707" s="2390"/>
      <c r="K707" s="2390"/>
      <c r="L707" s="2390"/>
      <c r="M707" s="2390"/>
      <c r="N707" s="2390"/>
      <c r="O707" s="2390"/>
      <c r="P707" s="2390"/>
      <c r="Q707" s="2390"/>
      <c r="R707" s="2391"/>
      <c r="V707" s="2339" t="str">
        <f>B707</f>
        <v xml:space="preserve">Low Flow Showerheads </v>
      </c>
      <c r="W707" s="2340"/>
      <c r="X707" s="2340"/>
      <c r="Y707" s="2340"/>
      <c r="Z707" s="2340"/>
      <c r="AA707" s="2340"/>
      <c r="AB707" s="2340"/>
      <c r="AC707" s="2341"/>
      <c r="AD707" s="2341"/>
      <c r="AE707" s="2341"/>
      <c r="AF707" s="2341"/>
      <c r="AG707" s="2341"/>
      <c r="AH707" s="2341"/>
      <c r="AI707" s="2342"/>
      <c r="AK707" s="339"/>
    </row>
    <row r="708" spans="1:114" x14ac:dyDescent="0.25">
      <c r="A708" s="2147"/>
      <c r="B708" s="1385"/>
      <c r="C708" s="1386"/>
      <c r="D708" s="553"/>
      <c r="E708" s="553"/>
      <c r="F708" s="264"/>
      <c r="G708" s="264"/>
      <c r="H708" s="264"/>
      <c r="I708" s="264"/>
      <c r="J708" s="264"/>
      <c r="K708" s="264"/>
      <c r="L708" s="554"/>
      <c r="AK708" s="339"/>
    </row>
    <row r="709" spans="1:114" ht="49.5" customHeight="1" x14ac:dyDescent="0.25">
      <c r="A709" s="2147"/>
      <c r="B709" s="549"/>
      <c r="C709" s="1242" t="s">
        <v>43</v>
      </c>
      <c r="D709" s="1242" t="s">
        <v>597</v>
      </c>
      <c r="E709" s="1242" t="s">
        <v>45</v>
      </c>
      <c r="F709" s="1242" t="s">
        <v>1601</v>
      </c>
      <c r="G709" s="1242" t="s">
        <v>47</v>
      </c>
      <c r="H709" s="1242" t="s">
        <v>48</v>
      </c>
      <c r="I709" s="1242" t="s">
        <v>1796</v>
      </c>
      <c r="J709" s="1242" t="s">
        <v>49</v>
      </c>
      <c r="K709" s="1242" t="s">
        <v>50</v>
      </c>
      <c r="L709" s="1242" t="s">
        <v>51</v>
      </c>
      <c r="M709" s="1242" t="s">
        <v>52</v>
      </c>
      <c r="V709" s="636" t="s">
        <v>53</v>
      </c>
      <c r="W709" s="637">
        <f>W$6</f>
        <v>43252</v>
      </c>
      <c r="X709" s="637">
        <f t="shared" ref="X709:AG709" si="129">X$6</f>
        <v>43465</v>
      </c>
      <c r="Y709" s="110">
        <f t="shared" si="129"/>
        <v>43800</v>
      </c>
      <c r="Z709" s="637">
        <f t="shared" si="129"/>
        <v>43862</v>
      </c>
      <c r="AA709" s="637">
        <f t="shared" si="129"/>
        <v>44013</v>
      </c>
      <c r="AB709" s="637">
        <f t="shared" si="129"/>
        <v>44166</v>
      </c>
      <c r="AC709" s="637">
        <f t="shared" si="129"/>
        <v>44531</v>
      </c>
      <c r="AD709" s="637">
        <f t="shared" si="129"/>
        <v>44774</v>
      </c>
      <c r="AE709" s="637">
        <f t="shared" si="129"/>
        <v>45139</v>
      </c>
      <c r="AF709" s="637">
        <f t="shared" si="129"/>
        <v>45672</v>
      </c>
      <c r="AG709" s="637">
        <f t="shared" si="129"/>
        <v>45971</v>
      </c>
      <c r="AK709" s="339"/>
      <c r="DG709" s="1007" t="str">
        <f>'Efficient Products Deemed Table'!$DG$6</f>
        <v>TRC (2025)</v>
      </c>
      <c r="DH709" s="1007" t="str">
        <f>'Efficient Products Deemed Table'!$DH$6</f>
        <v>Benefit Lookup</v>
      </c>
      <c r="DI709" s="1007" t="str">
        <f>'Efficient Products Deemed Table'!$DI$6</f>
        <v>Benefits (2025 $)</v>
      </c>
      <c r="DJ709" s="1007" t="str">
        <f>'Efficient Products Deemed Table'!$DJ$6</f>
        <v>Incremental Cost (2025 $)</v>
      </c>
    </row>
    <row r="710" spans="1:114" x14ac:dyDescent="0.25">
      <c r="A710" s="2147" t="s">
        <v>602</v>
      </c>
      <c r="B710" s="1318">
        <f t="shared" ref="B710:B713" si="130">VALUE(LEFT(C710,6))</f>
        <v>403550</v>
      </c>
      <c r="C710" s="132" t="s">
        <v>1853</v>
      </c>
      <c r="D710" s="1994" t="s">
        <v>810</v>
      </c>
      <c r="E710" s="121" t="s">
        <v>1854</v>
      </c>
      <c r="F710" s="377">
        <f>ROUND($G$723*($G$724*$G$725-$G$726*$G$727)*$G$729*$G$730*$G$731/$G$733*$I$710*$G$742*$G$740,2)</f>
        <v>248.01</v>
      </c>
      <c r="G710" s="132" t="s">
        <v>1799</v>
      </c>
      <c r="H710" s="130">
        <f>VLOOKUP(G710,'CP FACTORS'!$A$3:$B$38, 2, FALSE)</f>
        <v>8.8731800000000003E-5</v>
      </c>
      <c r="I710" s="551">
        <f>$G$734*$G$735*($G$736-$G$737)/($G$738*$G$739)</f>
        <v>0.1160902696365768</v>
      </c>
      <c r="J710" s="1799">
        <f>ROUND(F710*H710,6)</f>
        <v>2.2006000000000001E-2</v>
      </c>
      <c r="K710" s="44">
        <f>$G$743</f>
        <v>10</v>
      </c>
      <c r="L710" s="697">
        <f>G744</f>
        <v>15.33</v>
      </c>
      <c r="M710" s="132" t="s">
        <v>63</v>
      </c>
      <c r="R710" s="87"/>
      <c r="V710" s="337" t="str">
        <f>V675</f>
        <v>kWh
Annual Savings</v>
      </c>
      <c r="W710" s="364">
        <v>219.7507887809823</v>
      </c>
      <c r="X710" s="251">
        <v>396.76737192257565</v>
      </c>
      <c r="Y710" s="160">
        <v>232.42</v>
      </c>
      <c r="Z710" s="20">
        <v>232.42</v>
      </c>
      <c r="AA710" s="20">
        <v>232.42</v>
      </c>
      <c r="AB710" s="20">
        <v>232.42</v>
      </c>
      <c r="AC710" s="346">
        <v>232.51</v>
      </c>
      <c r="AD710" s="346">
        <v>232.58</v>
      </c>
      <c r="AE710" s="377">
        <v>232.58</v>
      </c>
      <c r="AF710" s="253">
        <v>248.01</v>
      </c>
      <c r="AG710" s="253">
        <f>IF(F710&lt;&gt;"",F710,"")</f>
        <v>248.01</v>
      </c>
      <c r="AH710" s="114"/>
      <c r="AK710" s="339"/>
      <c r="DG710" s="994">
        <f>(DI710)/(DJ710)</f>
        <v>7.9482090646346917</v>
      </c>
      <c r="DH710" s="641" t="str">
        <f>CONCATENATE(G710," ",K710," Year EUL")</f>
        <v>Water heating RES 10 Year EUL</v>
      </c>
      <c r="DI710" s="527">
        <f>(INDEX('Avoided Cost Benefits'!$B$4:$B$865,MATCH(DH710,'Avoided Cost Benefits'!$A$4:$A$865,0)))*F710</f>
        <v>121.84604496084982</v>
      </c>
      <c r="DJ710" s="1854">
        <f>IFERROR(L710/((1+DiscountRate)^(CurrentYear-DiscountYear)),0)</f>
        <v>15.33</v>
      </c>
    </row>
    <row r="711" spans="1:114" x14ac:dyDescent="0.25">
      <c r="A711" s="2147" t="s">
        <v>602</v>
      </c>
      <c r="B711" s="1318">
        <f t="shared" si="130"/>
        <v>403551</v>
      </c>
      <c r="C711" s="132" t="s">
        <v>1855</v>
      </c>
      <c r="D711" s="1994" t="s">
        <v>810</v>
      </c>
      <c r="E711" s="121" t="s">
        <v>1856</v>
      </c>
      <c r="F711" s="377">
        <f>ROUND($G$723*($G$724*$G$725-$G$726*$G$727)*$G$729*$G$730*$G$731/$G$733*$I$711*$G$742*$G$740,2)</f>
        <v>248.01</v>
      </c>
      <c r="G711" s="132" t="s">
        <v>1799</v>
      </c>
      <c r="H711" s="130">
        <f>VLOOKUP(G711,'CP FACTORS'!$A$3:$B$38, 2, FALSE)</f>
        <v>8.8731800000000003E-5</v>
      </c>
      <c r="I711" s="551">
        <f>$G$734*$G$735*($G$736-$G$737)/($G$738*$G$739)</f>
        <v>0.1160902696365768</v>
      </c>
      <c r="J711" s="1799">
        <f>ROUND(F711*H711,6)</f>
        <v>2.2006000000000001E-2</v>
      </c>
      <c r="K711" s="44">
        <f>$G$743</f>
        <v>10</v>
      </c>
      <c r="L711" s="697">
        <f>G746</f>
        <v>23.35</v>
      </c>
      <c r="M711" s="132" t="s">
        <v>63</v>
      </c>
      <c r="R711" s="87"/>
      <c r="V711" s="337" t="str">
        <f>V710</f>
        <v>kWh
Annual Savings</v>
      </c>
      <c r="W711" s="364"/>
      <c r="X711" s="251"/>
      <c r="Y711" s="160">
        <v>232.42</v>
      </c>
      <c r="Z711" s="20">
        <v>232.42</v>
      </c>
      <c r="AA711" s="20">
        <v>232.42</v>
      </c>
      <c r="AB711" s="20">
        <v>232.42</v>
      </c>
      <c r="AC711" s="346">
        <v>232.51</v>
      </c>
      <c r="AD711" s="346">
        <v>232.58</v>
      </c>
      <c r="AE711" s="377">
        <v>232.58</v>
      </c>
      <c r="AF711" s="253">
        <v>248.01</v>
      </c>
      <c r="AG711" s="253">
        <f t="shared" ref="AG711:AG747" si="131">IF(F711&lt;&gt;"",F711,"")</f>
        <v>248.01</v>
      </c>
      <c r="AH711" s="114"/>
      <c r="AK711" s="339"/>
      <c r="DG711" s="994">
        <f>(DI711)/(DJ711)</f>
        <v>5.2182460368672299</v>
      </c>
      <c r="DH711" s="641" t="str">
        <f>CONCATENATE(G711," ",K711," Year EUL")</f>
        <v>Water heating RES 10 Year EUL</v>
      </c>
      <c r="DI711" s="527">
        <f>(INDEX('Avoided Cost Benefits'!$B$4:$B$865,MATCH(DH711,'Avoided Cost Benefits'!$A$4:$A$865,0)))*F711</f>
        <v>121.84604496084982</v>
      </c>
      <c r="DJ711" s="1854">
        <f>IFERROR(L711/((1+DiscountRate)^(CurrentYear-DiscountYear)),0)</f>
        <v>23.35</v>
      </c>
    </row>
    <row r="712" spans="1:114" x14ac:dyDescent="0.25">
      <c r="A712" s="2147" t="s">
        <v>607</v>
      </c>
      <c r="B712" s="1318">
        <f t="shared" si="130"/>
        <v>403600</v>
      </c>
      <c r="C712" s="132" t="s">
        <v>1857</v>
      </c>
      <c r="D712" s="1384" t="s">
        <v>863</v>
      </c>
      <c r="E712" s="121" t="s">
        <v>1858</v>
      </c>
      <c r="F712" s="377">
        <f>ROUND($G$723*($G$724*$G$725-$G$726*$G$727)*$G$728*$G$730*$G$731/$G$732*$I$712*$G$741*$G$740,2)</f>
        <v>207.7</v>
      </c>
      <c r="G712" s="132" t="s">
        <v>1799</v>
      </c>
      <c r="H712" s="130">
        <f>VLOOKUP(G712,'CP FACTORS'!$A$3:$B$38, 2, FALSE)</f>
        <v>8.8731800000000003E-5</v>
      </c>
      <c r="I712" s="551">
        <f>$G$734*$G$735*($G$736-$G$737)/($G$738*$G$739)</f>
        <v>0.1160902696365768</v>
      </c>
      <c r="J712" s="1799">
        <f>ROUND(F712*H712,6)</f>
        <v>1.8429999999999998E-2</v>
      </c>
      <c r="K712" s="44">
        <f>$G$743</f>
        <v>10</v>
      </c>
      <c r="L712" s="697">
        <f>G744</f>
        <v>15.33</v>
      </c>
      <c r="M712" s="132" t="s">
        <v>63</v>
      </c>
      <c r="R712" s="87"/>
      <c r="V712" s="337" t="str">
        <f>V711</f>
        <v>kWh
Annual Savings</v>
      </c>
      <c r="W712" s="364">
        <v>193.57333532775112</v>
      </c>
      <c r="X712" s="251">
        <v>277.23460772356242</v>
      </c>
      <c r="Y712" s="160">
        <v>199.61</v>
      </c>
      <c r="Z712" s="20">
        <v>199.61</v>
      </c>
      <c r="AA712" s="20">
        <v>199.61</v>
      </c>
      <c r="AB712" s="20">
        <v>199.61</v>
      </c>
      <c r="AC712" s="346">
        <v>194.72</v>
      </c>
      <c r="AD712" s="346">
        <v>194.77</v>
      </c>
      <c r="AE712" s="377">
        <v>194.77</v>
      </c>
      <c r="AF712" s="253">
        <v>207.7</v>
      </c>
      <c r="AG712" s="253">
        <f t="shared" si="131"/>
        <v>207.7</v>
      </c>
      <c r="AH712" s="114"/>
      <c r="AK712" s="339"/>
      <c r="DG712" s="994">
        <f>(DI712)/(DJ712)</f>
        <v>6.6563566901521121</v>
      </c>
      <c r="DH712" s="641" t="str">
        <f>CONCATENATE(G712," ",K712," Year EUL")</f>
        <v>Water heating RES 10 Year EUL</v>
      </c>
      <c r="DI712" s="527">
        <f>(INDEX('Avoided Cost Benefits'!$B$4:$B$865,MATCH(DH712,'Avoided Cost Benefits'!$A$4:$A$865,0)))*F712</f>
        <v>102.04194806003188</v>
      </c>
      <c r="DJ712" s="1854">
        <f>IFERROR(L712/((1+DiscountRate)^(CurrentYear-DiscountYear)),0)</f>
        <v>15.33</v>
      </c>
    </row>
    <row r="713" spans="1:114" x14ac:dyDescent="0.25">
      <c r="A713" s="2147" t="s">
        <v>840</v>
      </c>
      <c r="B713" s="1318">
        <f t="shared" si="130"/>
        <v>403601</v>
      </c>
      <c r="C713" s="132" t="s">
        <v>1859</v>
      </c>
      <c r="D713" s="1384" t="s">
        <v>810</v>
      </c>
      <c r="E713" s="121" t="s">
        <v>1860</v>
      </c>
      <c r="F713" s="377">
        <f>ROUND($G$723*($G$724*$G$725-$G$726*$G$727)*$G$728*$G$730*$G$731/$G$732*$I$713*$G$741*$G$740,2)</f>
        <v>207.7</v>
      </c>
      <c r="G713" s="132" t="s">
        <v>1799</v>
      </c>
      <c r="H713" s="130">
        <f>VLOOKUP(G713,'CP FACTORS'!$A$3:$B$38, 2, FALSE)</f>
        <v>8.8731800000000003E-5</v>
      </c>
      <c r="I713" s="551">
        <f>$G$734*$G$735*($G$736-$G$737)/($G$738*$G$739)</f>
        <v>0.1160902696365768</v>
      </c>
      <c r="J713" s="1799">
        <f>ROUND(F713*H713,6)</f>
        <v>1.8429999999999998E-2</v>
      </c>
      <c r="K713" s="44">
        <f>$G$743</f>
        <v>10</v>
      </c>
      <c r="L713" s="697">
        <f>G745</f>
        <v>23.35</v>
      </c>
      <c r="M713" s="132" t="s">
        <v>63</v>
      </c>
      <c r="R713" s="87"/>
      <c r="V713" s="337" t="str">
        <f>V712</f>
        <v>kWh
Annual Savings</v>
      </c>
      <c r="W713" s="364"/>
      <c r="X713" s="251"/>
      <c r="Y713" s="160">
        <v>199.61</v>
      </c>
      <c r="Z713" s="20">
        <v>199.61</v>
      </c>
      <c r="AA713" s="20">
        <v>199.61</v>
      </c>
      <c r="AB713" s="20">
        <v>199.61</v>
      </c>
      <c r="AC713" s="346">
        <v>194.72</v>
      </c>
      <c r="AD713" s="346">
        <v>194.77</v>
      </c>
      <c r="AE713" s="377">
        <v>194.77</v>
      </c>
      <c r="AF713" s="253">
        <v>207.7</v>
      </c>
      <c r="AG713" s="253">
        <f t="shared" si="131"/>
        <v>207.7</v>
      </c>
      <c r="AH713" s="114"/>
      <c r="AK713" s="339"/>
      <c r="DG713" s="995">
        <f>(DI713)/(DJ713)</f>
        <v>4.3701048419713864</v>
      </c>
      <c r="DH713" s="641" t="str">
        <f>CONCATENATE(G713," ",K713," Year EUL")</f>
        <v>Water heating RES 10 Year EUL</v>
      </c>
      <c r="DI713" s="1003">
        <f>(INDEX('Avoided Cost Benefits'!$B$4:$B$865,MATCH(DH713,'Avoided Cost Benefits'!$A$4:$A$865,0)))*F713</f>
        <v>102.04194806003188</v>
      </c>
      <c r="DJ713" s="1855">
        <f>IFERROR(L713/((1+DiscountRate)^(CurrentYear-DiscountYear)),0)</f>
        <v>23.35</v>
      </c>
    </row>
    <row r="714" spans="1:114" hidden="1" outlineLevel="1" x14ac:dyDescent="0.25">
      <c r="A714" s="2147"/>
      <c r="B714" s="549"/>
      <c r="D714" s="71" t="s">
        <v>95</v>
      </c>
      <c r="E714" s="265" t="s">
        <v>1861</v>
      </c>
      <c r="F714" s="593"/>
      <c r="G714" s="263"/>
      <c r="H714" s="592"/>
      <c r="I714" s="368"/>
      <c r="J714" s="368"/>
      <c r="K714" s="368"/>
      <c r="V714" s="73"/>
      <c r="W714" s="73"/>
      <c r="X714" s="73"/>
      <c r="Y714" s="365"/>
      <c r="Z714" s="73"/>
      <c r="AA714" s="73"/>
      <c r="AB714" s="73"/>
      <c r="AC714" s="73"/>
      <c r="AD714" s="73"/>
      <c r="AE714" s="73"/>
      <c r="AF714" s="73"/>
      <c r="AG714" s="253" t="str">
        <f t="shared" si="131"/>
        <v/>
      </c>
      <c r="AK714" s="339"/>
    </row>
    <row r="715" spans="1:114" hidden="1" outlineLevel="1" x14ac:dyDescent="0.25">
      <c r="A715" s="2147"/>
      <c r="B715" s="549"/>
      <c r="D715" s="74" t="s">
        <v>609</v>
      </c>
      <c r="E715" s="50" t="s">
        <v>1862</v>
      </c>
      <c r="F715" s="593"/>
      <c r="G715" s="263"/>
      <c r="H715" s="592"/>
      <c r="I715" s="368"/>
      <c r="J715" s="368"/>
      <c r="K715" s="368"/>
      <c r="V715" s="73"/>
      <c r="W715" s="73"/>
      <c r="X715" s="73"/>
      <c r="Y715" s="365"/>
      <c r="Z715" s="73"/>
      <c r="AA715" s="73"/>
      <c r="AB715" s="73"/>
      <c r="AC715" s="73"/>
      <c r="AD715" s="73"/>
      <c r="AE715" s="73"/>
      <c r="AF715" s="73"/>
      <c r="AG715" s="253" t="str">
        <f t="shared" si="131"/>
        <v/>
      </c>
      <c r="AK715" s="339"/>
    </row>
    <row r="716" spans="1:114" hidden="1" outlineLevel="1" x14ac:dyDescent="0.25">
      <c r="A716" s="2147"/>
      <c r="B716" s="549"/>
      <c r="D716" s="265"/>
      <c r="E716" s="50" t="s">
        <v>1863</v>
      </c>
      <c r="V716" s="73"/>
      <c r="W716" s="73"/>
      <c r="X716" s="73"/>
      <c r="Y716" s="365"/>
      <c r="Z716" s="73"/>
      <c r="AA716" s="73"/>
      <c r="AB716" s="73"/>
      <c r="AC716" s="73"/>
      <c r="AD716" s="73"/>
      <c r="AE716" s="73"/>
      <c r="AF716" s="73"/>
      <c r="AG716" s="253" t="str">
        <f t="shared" si="131"/>
        <v/>
      </c>
      <c r="AK716" s="339"/>
    </row>
    <row r="717" spans="1:114" hidden="1" outlineLevel="1" x14ac:dyDescent="0.25">
      <c r="A717" s="2147"/>
      <c r="B717" s="549"/>
      <c r="E717" s="50" t="s">
        <v>612</v>
      </c>
      <c r="V717" s="73"/>
      <c r="W717" s="73"/>
      <c r="X717" s="73"/>
      <c r="Y717" s="365"/>
      <c r="Z717" s="73"/>
      <c r="AA717" s="73"/>
      <c r="AB717" s="73"/>
      <c r="AC717" s="73"/>
      <c r="AD717" s="73"/>
      <c r="AE717" s="73"/>
      <c r="AF717" s="73"/>
      <c r="AG717" s="253" t="str">
        <f t="shared" si="131"/>
        <v/>
      </c>
      <c r="AK717" s="339"/>
    </row>
    <row r="718" spans="1:114" hidden="1" outlineLevel="1" x14ac:dyDescent="0.25">
      <c r="A718" s="2147"/>
      <c r="B718" s="549"/>
      <c r="E718" s="50" t="s">
        <v>1864</v>
      </c>
      <c r="V718" s="73"/>
      <c r="W718" s="73"/>
      <c r="X718" s="73"/>
      <c r="Y718" s="365"/>
      <c r="Z718" s="73"/>
      <c r="AA718" s="73"/>
      <c r="AB718" s="73"/>
      <c r="AC718" s="73"/>
      <c r="AD718" s="73"/>
      <c r="AE718" s="73"/>
      <c r="AF718" s="73"/>
      <c r="AG718" s="253" t="str">
        <f t="shared" si="131"/>
        <v/>
      </c>
      <c r="AK718" s="339"/>
    </row>
    <row r="719" spans="1:114" hidden="1" outlineLevel="1" x14ac:dyDescent="0.25">
      <c r="A719" s="2147"/>
      <c r="B719" s="549"/>
      <c r="V719" s="73"/>
      <c r="W719" s="73"/>
      <c r="X719" s="73"/>
      <c r="Y719" s="365"/>
      <c r="Z719" s="73"/>
      <c r="AA719" s="73"/>
      <c r="AB719" s="73"/>
      <c r="AC719" s="73"/>
      <c r="AD719" s="73"/>
      <c r="AE719" s="73"/>
      <c r="AF719" s="73"/>
      <c r="AG719" s="253" t="str">
        <f t="shared" si="131"/>
        <v/>
      </c>
      <c r="AK719" s="339"/>
    </row>
    <row r="720" spans="1:114" ht="15" hidden="1" customHeight="1" outlineLevel="1" x14ac:dyDescent="0.25">
      <c r="A720" s="2147"/>
      <c r="B720" s="549"/>
      <c r="D720" s="1314"/>
      <c r="V720" s="73"/>
      <c r="W720" s="73"/>
      <c r="X720" s="73"/>
      <c r="Y720" s="365"/>
      <c r="Z720" s="73"/>
      <c r="AA720" s="73"/>
      <c r="AB720" s="73"/>
      <c r="AC720" s="73"/>
      <c r="AD720" s="73"/>
      <c r="AE720" s="73"/>
      <c r="AF720" s="73"/>
      <c r="AG720" s="253" t="str">
        <f t="shared" si="131"/>
        <v/>
      </c>
      <c r="AK720" s="339"/>
    </row>
    <row r="721" spans="1:37" ht="15" hidden="1" customHeight="1" outlineLevel="1" x14ac:dyDescent="0.25">
      <c r="A721" s="2147"/>
      <c r="V721" s="73"/>
      <c r="W721" s="73"/>
      <c r="X721" s="73"/>
      <c r="Y721" s="365"/>
      <c r="Z721" s="73"/>
      <c r="AA721" s="73"/>
      <c r="AB721" s="73"/>
      <c r="AC721" s="73"/>
      <c r="AD721" s="73"/>
      <c r="AE721" s="73"/>
      <c r="AF721" s="73"/>
      <c r="AG721" s="253" t="str">
        <f t="shared" si="131"/>
        <v/>
      </c>
      <c r="AK721" s="339"/>
    </row>
    <row r="722" spans="1:37" ht="15" hidden="1" customHeight="1" outlineLevel="1" x14ac:dyDescent="0.25">
      <c r="A722" s="2147"/>
      <c r="D722" s="1309" t="s">
        <v>720</v>
      </c>
      <c r="E722" s="1309" t="s">
        <v>613</v>
      </c>
      <c r="F722" s="1242" t="s">
        <v>1806</v>
      </c>
      <c r="G722" s="1242" t="s">
        <v>615</v>
      </c>
      <c r="H722" s="2378" t="s">
        <v>616</v>
      </c>
      <c r="I722" s="2378"/>
      <c r="J722" s="2378" t="s">
        <v>617</v>
      </c>
      <c r="K722" s="2378"/>
      <c r="L722" s="2378"/>
      <c r="V722" s="636" t="s">
        <v>53</v>
      </c>
      <c r="W722" s="637">
        <f>W$6</f>
        <v>43252</v>
      </c>
      <c r="X722" s="637">
        <f t="shared" ref="X722:AF722" si="132">X$6</f>
        <v>43465</v>
      </c>
      <c r="Y722" s="110">
        <f t="shared" si="132"/>
        <v>43800</v>
      </c>
      <c r="Z722" s="637">
        <f t="shared" si="132"/>
        <v>43862</v>
      </c>
      <c r="AA722" s="637">
        <f t="shared" si="132"/>
        <v>44013</v>
      </c>
      <c r="AB722" s="637">
        <f t="shared" si="132"/>
        <v>44166</v>
      </c>
      <c r="AC722" s="637">
        <f t="shared" si="132"/>
        <v>44531</v>
      </c>
      <c r="AD722" s="637">
        <f t="shared" si="132"/>
        <v>44774</v>
      </c>
      <c r="AE722" s="637">
        <f t="shared" si="132"/>
        <v>45139</v>
      </c>
      <c r="AF722" s="637">
        <f t="shared" si="132"/>
        <v>45672</v>
      </c>
      <c r="AG722" s="253" t="str">
        <f t="shared" si="131"/>
        <v>Parameters</v>
      </c>
      <c r="AK722" s="339"/>
    </row>
    <row r="723" spans="1:37" ht="30" hidden="1" customHeight="1" outlineLevel="1" x14ac:dyDescent="0.25">
      <c r="A723" s="2147"/>
      <c r="D723" s="1248" t="s">
        <v>1807</v>
      </c>
      <c r="E723" s="1248" t="s">
        <v>1808</v>
      </c>
      <c r="F723" s="1248"/>
      <c r="G723" s="1480">
        <v>1</v>
      </c>
      <c r="H723" s="2533" t="s">
        <v>855</v>
      </c>
      <c r="I723" s="2533"/>
      <c r="J723" s="2552" t="s">
        <v>1652</v>
      </c>
      <c r="K723" s="2553"/>
      <c r="L723" s="2554"/>
      <c r="S723" s="347"/>
      <c r="V723" s="1297" t="s">
        <v>1807</v>
      </c>
      <c r="W723" s="309">
        <v>1</v>
      </c>
      <c r="X723" s="309">
        <v>1</v>
      </c>
      <c r="Y723" s="309">
        <v>1</v>
      </c>
      <c r="Z723" s="348">
        <v>1</v>
      </c>
      <c r="AA723" s="348">
        <v>1</v>
      </c>
      <c r="AB723" s="348">
        <v>1</v>
      </c>
      <c r="AC723" s="348">
        <v>1</v>
      </c>
      <c r="AD723" s="348">
        <v>1</v>
      </c>
      <c r="AE723" s="348">
        <v>1</v>
      </c>
      <c r="AF723" s="253">
        <f t="shared" ref="AF723:AF746" si="133">IF(G723&lt;&gt;"",G723,"")</f>
        <v>1</v>
      </c>
      <c r="AG723" s="253" t="str">
        <f t="shared" si="131"/>
        <v/>
      </c>
      <c r="AK723" s="339"/>
    </row>
    <row r="724" spans="1:37" ht="51.75" hidden="1" customHeight="1" outlineLevel="1" x14ac:dyDescent="0.25">
      <c r="A724" s="2147"/>
      <c r="D724" s="1248" t="s">
        <v>1809</v>
      </c>
      <c r="E724" s="1248" t="s">
        <v>1865</v>
      </c>
      <c r="F724" s="1248"/>
      <c r="G724" s="1548">
        <v>2.2000000000000002</v>
      </c>
      <c r="H724" s="2383" t="s">
        <v>1866</v>
      </c>
      <c r="I724" s="2383"/>
      <c r="J724" s="2366" t="s">
        <v>1867</v>
      </c>
      <c r="K724" s="2366"/>
      <c r="L724" s="2366"/>
      <c r="S724" s="1275"/>
      <c r="V724" s="1297" t="str">
        <f>D724</f>
        <v>GPM_base</v>
      </c>
      <c r="W724" s="341">
        <v>2.67</v>
      </c>
      <c r="X724" s="101" t="e">
        <f>'Energy Effic. Kits Deemed Table'!#REF!</f>
        <v>#REF!</v>
      </c>
      <c r="Y724" s="350">
        <v>2.2000000000000002</v>
      </c>
      <c r="Z724" s="349">
        <v>2.2000000000000002</v>
      </c>
      <c r="AA724" s="349">
        <v>2.2000000000000002</v>
      </c>
      <c r="AB724" s="349">
        <v>2.2000000000000002</v>
      </c>
      <c r="AC724" s="349">
        <v>2.2000000000000002</v>
      </c>
      <c r="AD724" s="349">
        <v>2.2000000000000002</v>
      </c>
      <c r="AE724" s="349">
        <v>2.2000000000000002</v>
      </c>
      <c r="AF724" s="253">
        <f t="shared" si="133"/>
        <v>2.2000000000000002</v>
      </c>
      <c r="AG724" s="253" t="str">
        <f t="shared" si="131"/>
        <v/>
      </c>
      <c r="AK724" s="339"/>
    </row>
    <row r="725" spans="1:37" ht="75" hidden="1" customHeight="1" outlineLevel="1" x14ac:dyDescent="0.25">
      <c r="A725" s="2147"/>
      <c r="D725" s="1248" t="s">
        <v>1812</v>
      </c>
      <c r="E725" s="1279" t="s">
        <v>1868</v>
      </c>
      <c r="F725" s="1248"/>
      <c r="G725" s="1548">
        <v>8.66</v>
      </c>
      <c r="H725" s="2540" t="s">
        <v>1869</v>
      </c>
      <c r="I725" s="2540"/>
      <c r="J725" s="2366" t="s">
        <v>1867</v>
      </c>
      <c r="K725" s="2366"/>
      <c r="L725" s="2366"/>
      <c r="S725" s="351"/>
      <c r="V725" s="1297" t="str">
        <f>D725</f>
        <v>L_base</v>
      </c>
      <c r="W725" s="310">
        <v>8.66</v>
      </c>
      <c r="X725" s="310">
        <v>8.66</v>
      </c>
      <c r="Y725" s="310">
        <v>8.66</v>
      </c>
      <c r="Z725" s="343">
        <v>8.66</v>
      </c>
      <c r="AA725" s="343">
        <v>8.66</v>
      </c>
      <c r="AB725" s="343">
        <v>8.66</v>
      </c>
      <c r="AC725" s="343">
        <v>8.66</v>
      </c>
      <c r="AD725" s="343">
        <v>8.66</v>
      </c>
      <c r="AE725" s="343">
        <v>8.66</v>
      </c>
      <c r="AF725" s="253">
        <f t="shared" si="133"/>
        <v>8.66</v>
      </c>
      <c r="AG725" s="253" t="str">
        <f t="shared" si="131"/>
        <v/>
      </c>
      <c r="AK725" s="339"/>
    </row>
    <row r="726" spans="1:37" ht="45" hidden="1" customHeight="1" outlineLevel="1" x14ac:dyDescent="0.25">
      <c r="A726" s="2147"/>
      <c r="D726" s="1248" t="s">
        <v>1815</v>
      </c>
      <c r="E726" s="1248" t="s">
        <v>1870</v>
      </c>
      <c r="F726" s="1248"/>
      <c r="G726" s="1435">
        <v>1.5</v>
      </c>
      <c r="H726" s="2383" t="s">
        <v>1866</v>
      </c>
      <c r="I726" s="2383"/>
      <c r="J726" s="2366" t="s">
        <v>1867</v>
      </c>
      <c r="K726" s="2366"/>
      <c r="L726" s="2366"/>
      <c r="S726" s="1275"/>
      <c r="V726" s="1297" t="str">
        <f>D726</f>
        <v>GPM_low</v>
      </c>
      <c r="W726" s="341">
        <v>2</v>
      </c>
      <c r="X726" s="101" t="e">
        <f>X724-1</f>
        <v>#REF!</v>
      </c>
      <c r="Y726" s="101">
        <v>1.5</v>
      </c>
      <c r="Z726" s="1311">
        <v>1.5</v>
      </c>
      <c r="AA726" s="1311">
        <v>1.5</v>
      </c>
      <c r="AB726" s="1311">
        <v>1.5</v>
      </c>
      <c r="AC726" s="1311">
        <v>1.5</v>
      </c>
      <c r="AD726" s="1311">
        <v>1.5</v>
      </c>
      <c r="AE726" s="1311">
        <v>1.5</v>
      </c>
      <c r="AF726" s="253">
        <f t="shared" si="133"/>
        <v>1.5</v>
      </c>
      <c r="AG726" s="253" t="str">
        <f t="shared" si="131"/>
        <v/>
      </c>
      <c r="AK726" s="339"/>
    </row>
    <row r="727" spans="1:37" ht="45.4" hidden="1" customHeight="1" outlineLevel="1" x14ac:dyDescent="0.25">
      <c r="A727" s="2147"/>
      <c r="D727" s="1248" t="s">
        <v>1818</v>
      </c>
      <c r="E727" s="1279" t="s">
        <v>1868</v>
      </c>
      <c r="F727" s="1248"/>
      <c r="G727" s="1440">
        <v>8.66</v>
      </c>
      <c r="H727" s="2540" t="s">
        <v>1871</v>
      </c>
      <c r="I727" s="2540"/>
      <c r="J727" s="2366" t="s">
        <v>1867</v>
      </c>
      <c r="K727" s="2366"/>
      <c r="L727" s="2366"/>
      <c r="S727" s="351"/>
      <c r="V727" s="1297" t="str">
        <f>D727</f>
        <v>L_low</v>
      </c>
      <c r="W727" s="310">
        <v>8.66</v>
      </c>
      <c r="X727" s="310">
        <v>8.66</v>
      </c>
      <c r="Y727" s="310">
        <v>8.66</v>
      </c>
      <c r="Z727" s="343">
        <v>8.66</v>
      </c>
      <c r="AA727" s="343">
        <v>8.66</v>
      </c>
      <c r="AB727" s="343">
        <v>8.66</v>
      </c>
      <c r="AC727" s="343">
        <v>8.66</v>
      </c>
      <c r="AD727" s="343">
        <v>8.66</v>
      </c>
      <c r="AE727" s="343">
        <v>8.66</v>
      </c>
      <c r="AF727" s="253">
        <f t="shared" si="133"/>
        <v>8.66</v>
      </c>
      <c r="AG727" s="253" t="str">
        <f t="shared" si="131"/>
        <v/>
      </c>
      <c r="AK727" s="339"/>
    </row>
    <row r="728" spans="1:37" ht="43.5" hidden="1" customHeight="1" outlineLevel="1" x14ac:dyDescent="0.25">
      <c r="A728" s="2147"/>
      <c r="D728" s="2436" t="s">
        <v>630</v>
      </c>
      <c r="E728" s="2447" t="s">
        <v>1872</v>
      </c>
      <c r="F728" s="1248" t="s">
        <v>757</v>
      </c>
      <c r="G728" s="1439">
        <v>2.67</v>
      </c>
      <c r="H728" s="2540" t="s">
        <v>1873</v>
      </c>
      <c r="I728" s="2540"/>
      <c r="J728" s="2537"/>
      <c r="K728" s="2537"/>
      <c r="L728" s="2537"/>
      <c r="S728" s="351"/>
      <c r="V728" s="2542" t="str">
        <f>D728</f>
        <v>Household</v>
      </c>
      <c r="W728" s="310">
        <v>2.67</v>
      </c>
      <c r="X728" s="310">
        <v>2.67</v>
      </c>
      <c r="Y728" s="310">
        <v>2.67</v>
      </c>
      <c r="Z728" s="343">
        <v>2.67</v>
      </c>
      <c r="AA728" s="343">
        <v>2.67</v>
      </c>
      <c r="AB728" s="343">
        <v>2.67</v>
      </c>
      <c r="AC728" s="343">
        <v>2.67</v>
      </c>
      <c r="AD728" s="343">
        <v>2.67</v>
      </c>
      <c r="AE728" s="343">
        <v>2.67</v>
      </c>
      <c r="AF728" s="253">
        <f t="shared" si="133"/>
        <v>2.67</v>
      </c>
      <c r="AG728" s="253" t="str">
        <f t="shared" si="131"/>
        <v>SF</v>
      </c>
      <c r="AK728" s="339"/>
    </row>
    <row r="729" spans="1:37" ht="30" hidden="1" customHeight="1" outlineLevel="1" x14ac:dyDescent="0.25">
      <c r="A729" s="2147"/>
      <c r="D729" s="2541"/>
      <c r="E729" s="2448"/>
      <c r="F729" s="1248" t="s">
        <v>759</v>
      </c>
      <c r="G729" s="1439">
        <v>1.5165094339622642</v>
      </c>
      <c r="H729" s="2479" t="s">
        <v>1874</v>
      </c>
      <c r="I729" s="2480"/>
      <c r="J729" s="2537"/>
      <c r="K729" s="2537"/>
      <c r="L729" s="2537"/>
      <c r="S729" s="351"/>
      <c r="V729" s="2543"/>
      <c r="W729" s="310">
        <v>2.0699999999999998</v>
      </c>
      <c r="X729" s="342">
        <v>1.8640000000000001</v>
      </c>
      <c r="Y729" s="344">
        <v>1.5165094339622642</v>
      </c>
      <c r="Z729" s="370">
        <v>1.5165094339622642</v>
      </c>
      <c r="AA729" s="370">
        <v>1.5165094339622642</v>
      </c>
      <c r="AB729" s="370">
        <v>1.5165094339622642</v>
      </c>
      <c r="AC729" s="343">
        <v>1.5165094339622642</v>
      </c>
      <c r="AD729" s="343">
        <v>1.5165094339622642</v>
      </c>
      <c r="AE729" s="343">
        <v>1.5165094339622642</v>
      </c>
      <c r="AF729" s="253">
        <f t="shared" si="133"/>
        <v>1.5165094339622642</v>
      </c>
      <c r="AG729" s="253" t="str">
        <f t="shared" si="131"/>
        <v>MF</v>
      </c>
      <c r="AK729" s="339"/>
    </row>
    <row r="730" spans="1:37" ht="44.65" hidden="1" customHeight="1" outlineLevel="1" x14ac:dyDescent="0.25">
      <c r="A730" s="2147"/>
      <c r="D730" s="1248" t="s">
        <v>1875</v>
      </c>
      <c r="E730" s="1279" t="s">
        <v>1876</v>
      </c>
      <c r="F730" s="1248"/>
      <c r="G730" s="1440">
        <v>0.66</v>
      </c>
      <c r="H730" s="2540" t="s">
        <v>1869</v>
      </c>
      <c r="I730" s="2540"/>
      <c r="J730" s="2537"/>
      <c r="K730" s="2537"/>
      <c r="L730" s="2537"/>
      <c r="S730" s="351"/>
      <c r="V730" s="1297" t="str">
        <f>D730</f>
        <v>SPDC</v>
      </c>
      <c r="W730" s="310">
        <v>0.66</v>
      </c>
      <c r="X730" s="310">
        <v>0.66</v>
      </c>
      <c r="Y730" s="310">
        <v>0.66</v>
      </c>
      <c r="Z730" s="343">
        <v>0.66</v>
      </c>
      <c r="AA730" s="343">
        <v>0.66</v>
      </c>
      <c r="AB730" s="343">
        <v>0.66</v>
      </c>
      <c r="AC730" s="343">
        <v>0.66</v>
      </c>
      <c r="AD730" s="343">
        <v>0.66</v>
      </c>
      <c r="AE730" s="343">
        <v>0.66</v>
      </c>
      <c r="AF730" s="253">
        <f t="shared" si="133"/>
        <v>0.66</v>
      </c>
      <c r="AG730" s="253" t="str">
        <f t="shared" si="131"/>
        <v/>
      </c>
      <c r="AK730" s="339"/>
    </row>
    <row r="731" spans="1:37" ht="15" hidden="1" customHeight="1" outlineLevel="1" x14ac:dyDescent="0.25">
      <c r="A731" s="2147"/>
      <c r="D731" s="1248">
        <v>365.25</v>
      </c>
      <c r="E731" s="1279" t="s">
        <v>1877</v>
      </c>
      <c r="F731" s="1248"/>
      <c r="G731" s="1440">
        <v>365.25</v>
      </c>
      <c r="H731" s="2383" t="s">
        <v>1824</v>
      </c>
      <c r="I731" s="2383"/>
      <c r="J731" s="2537"/>
      <c r="K731" s="2537"/>
      <c r="L731" s="2537"/>
      <c r="S731" s="351"/>
      <c r="V731" s="1297">
        <f>D731</f>
        <v>365.25</v>
      </c>
      <c r="W731" s="310">
        <v>365</v>
      </c>
      <c r="X731" s="310">
        <v>365</v>
      </c>
      <c r="Y731" s="310">
        <v>365</v>
      </c>
      <c r="Z731" s="343">
        <v>365</v>
      </c>
      <c r="AA731" s="343">
        <v>365</v>
      </c>
      <c r="AB731" s="343">
        <v>365</v>
      </c>
      <c r="AC731" s="342">
        <v>365.25</v>
      </c>
      <c r="AD731" s="343">
        <v>365.25</v>
      </c>
      <c r="AE731" s="343">
        <v>365.25</v>
      </c>
      <c r="AF731" s="253">
        <f t="shared" si="133"/>
        <v>365.25</v>
      </c>
      <c r="AG731" s="253" t="str">
        <f t="shared" si="131"/>
        <v/>
      </c>
      <c r="AK731" s="339"/>
    </row>
    <row r="732" spans="1:37" ht="43.5" hidden="1" customHeight="1" outlineLevel="1" x14ac:dyDescent="0.25">
      <c r="A732" s="2147"/>
      <c r="D732" s="2436" t="s">
        <v>1878</v>
      </c>
      <c r="E732" s="2447" t="s">
        <v>1879</v>
      </c>
      <c r="F732" s="1248" t="s">
        <v>757</v>
      </c>
      <c r="G732" s="1440">
        <v>2.0499999999999998</v>
      </c>
      <c r="H732" s="2540" t="s">
        <v>1873</v>
      </c>
      <c r="I732" s="2540"/>
      <c r="J732" s="2537"/>
      <c r="K732" s="2537"/>
      <c r="L732" s="2537"/>
      <c r="S732" s="351"/>
      <c r="V732" s="2542" t="str">
        <f>D732</f>
        <v>SPH</v>
      </c>
      <c r="W732" s="310">
        <v>2.0499999999999998</v>
      </c>
      <c r="X732" s="310">
        <v>2.0499999999999998</v>
      </c>
      <c r="Y732" s="310">
        <v>2.0499999999999998</v>
      </c>
      <c r="Z732" s="343">
        <v>2.0499999999999998</v>
      </c>
      <c r="AA732" s="343">
        <v>2.0499999999999998</v>
      </c>
      <c r="AB732" s="343">
        <v>2.0499999999999998</v>
      </c>
      <c r="AC732" s="343">
        <v>2.0499999999999998</v>
      </c>
      <c r="AD732" s="343">
        <v>2.0499999999999998</v>
      </c>
      <c r="AE732" s="343">
        <v>2.0499999999999998</v>
      </c>
      <c r="AF732" s="253">
        <f t="shared" si="133"/>
        <v>2.0499999999999998</v>
      </c>
      <c r="AG732" s="253" t="str">
        <f t="shared" si="131"/>
        <v>SF</v>
      </c>
      <c r="AK732" s="339"/>
    </row>
    <row r="733" spans="1:37" ht="28.9" hidden="1" customHeight="1" outlineLevel="1" x14ac:dyDescent="0.25">
      <c r="A733" s="2147"/>
      <c r="D733" s="2541"/>
      <c r="E733" s="2448"/>
      <c r="F733" s="1248" t="s">
        <v>759</v>
      </c>
      <c r="G733" s="1440">
        <v>1</v>
      </c>
      <c r="H733" s="2540" t="s">
        <v>1880</v>
      </c>
      <c r="I733" s="2540"/>
      <c r="J733" s="2537"/>
      <c r="K733" s="2537"/>
      <c r="L733" s="2537"/>
      <c r="S733" s="351"/>
      <c r="V733" s="2543"/>
      <c r="W733" s="310">
        <v>1.4</v>
      </c>
      <c r="X733" s="342">
        <v>1</v>
      </c>
      <c r="Y733" s="342">
        <v>1</v>
      </c>
      <c r="Z733" s="343">
        <v>1</v>
      </c>
      <c r="AA733" s="343">
        <v>1</v>
      </c>
      <c r="AB733" s="343">
        <v>1</v>
      </c>
      <c r="AC733" s="343">
        <v>1</v>
      </c>
      <c r="AD733" s="343">
        <v>1</v>
      </c>
      <c r="AE733" s="343">
        <v>1</v>
      </c>
      <c r="AF733" s="253">
        <f t="shared" si="133"/>
        <v>1</v>
      </c>
      <c r="AG733" s="253" t="str">
        <f t="shared" si="131"/>
        <v>MF</v>
      </c>
      <c r="AK733" s="339"/>
    </row>
    <row r="734" spans="1:37" ht="15" hidden="1" customHeight="1" outlineLevel="1" x14ac:dyDescent="0.25">
      <c r="A734" s="2147"/>
      <c r="D734" s="1248">
        <v>8.33</v>
      </c>
      <c r="E734" s="1279" t="s">
        <v>1828</v>
      </c>
      <c r="F734" s="1248"/>
      <c r="G734" s="1545">
        <v>8.33</v>
      </c>
      <c r="H734" s="2533" t="s">
        <v>1829</v>
      </c>
      <c r="I734" s="2533"/>
      <c r="J734" s="2537"/>
      <c r="K734" s="2537"/>
      <c r="L734" s="2537"/>
      <c r="S734" s="351"/>
      <c r="V734" s="1297">
        <f>D734</f>
        <v>8.33</v>
      </c>
      <c r="W734" s="310">
        <v>8.33</v>
      </c>
      <c r="X734" s="310">
        <v>8.33</v>
      </c>
      <c r="Y734" s="310">
        <v>8.33</v>
      </c>
      <c r="Z734" s="343">
        <v>8.33</v>
      </c>
      <c r="AA734" s="343">
        <v>8.33</v>
      </c>
      <c r="AB734" s="343">
        <v>8.33</v>
      </c>
      <c r="AC734" s="343">
        <v>8.33</v>
      </c>
      <c r="AD734" s="343">
        <v>8.33</v>
      </c>
      <c r="AE734" s="343">
        <v>8.33</v>
      </c>
      <c r="AF734" s="253">
        <f t="shared" si="133"/>
        <v>8.33</v>
      </c>
      <c r="AG734" s="253" t="str">
        <f t="shared" si="131"/>
        <v/>
      </c>
      <c r="AK734" s="339"/>
    </row>
    <row r="735" spans="1:37" ht="15" hidden="1" customHeight="1" outlineLevel="1" x14ac:dyDescent="0.25">
      <c r="A735" s="2147"/>
      <c r="D735" s="1248">
        <v>1</v>
      </c>
      <c r="E735" s="1279" t="s">
        <v>1881</v>
      </c>
      <c r="F735" s="1248"/>
      <c r="G735" s="1545">
        <v>1</v>
      </c>
      <c r="H735" s="2383" t="s">
        <v>1831</v>
      </c>
      <c r="I735" s="2383"/>
      <c r="J735" s="2537"/>
      <c r="K735" s="2537"/>
      <c r="L735" s="2537"/>
      <c r="S735" s="351"/>
      <c r="V735" s="1297">
        <f t="shared" ref="V735:V740" si="134">D735</f>
        <v>1</v>
      </c>
      <c r="W735" s="310">
        <v>1</v>
      </c>
      <c r="X735" s="310">
        <v>1</v>
      </c>
      <c r="Y735" s="310">
        <v>1</v>
      </c>
      <c r="Z735" s="343">
        <v>1</v>
      </c>
      <c r="AA735" s="343">
        <v>1</v>
      </c>
      <c r="AB735" s="343">
        <v>1</v>
      </c>
      <c r="AC735" s="343">
        <v>1</v>
      </c>
      <c r="AD735" s="343">
        <v>1</v>
      </c>
      <c r="AE735" s="343">
        <v>1</v>
      </c>
      <c r="AF735" s="253">
        <f t="shared" si="133"/>
        <v>1</v>
      </c>
      <c r="AG735" s="253" t="str">
        <f t="shared" si="131"/>
        <v/>
      </c>
      <c r="AK735" s="339"/>
    </row>
    <row r="736" spans="1:37" ht="31.15" hidden="1" customHeight="1" outlineLevel="1" x14ac:dyDescent="0.25">
      <c r="A736" s="2147"/>
      <c r="D736" s="1248" t="s">
        <v>1882</v>
      </c>
      <c r="E736" s="1279" t="s">
        <v>1883</v>
      </c>
      <c r="F736" s="1248"/>
      <c r="G736" s="1545">
        <v>105</v>
      </c>
      <c r="H736" s="2383" t="s">
        <v>1884</v>
      </c>
      <c r="I736" s="2383"/>
      <c r="J736" s="2537"/>
      <c r="K736" s="2537"/>
      <c r="L736" s="2537"/>
      <c r="S736" s="351"/>
      <c r="V736" s="1297" t="str">
        <f t="shared" si="134"/>
        <v>ShowerTemp</v>
      </c>
      <c r="W736" s="310">
        <v>105</v>
      </c>
      <c r="X736" s="310">
        <v>105</v>
      </c>
      <c r="Y736" s="310">
        <v>105</v>
      </c>
      <c r="Z736" s="343">
        <v>105</v>
      </c>
      <c r="AA736" s="343">
        <v>105</v>
      </c>
      <c r="AB736" s="343">
        <v>105</v>
      </c>
      <c r="AC736" s="343">
        <v>105</v>
      </c>
      <c r="AD736" s="343">
        <v>105</v>
      </c>
      <c r="AE736" s="343">
        <v>105</v>
      </c>
      <c r="AF736" s="253">
        <f t="shared" si="133"/>
        <v>105</v>
      </c>
      <c r="AG736" s="253" t="str">
        <f t="shared" si="131"/>
        <v/>
      </c>
      <c r="AK736" s="339"/>
    </row>
    <row r="737" spans="1:114" ht="47.65" hidden="1" customHeight="1" outlineLevel="1" x14ac:dyDescent="0.25">
      <c r="A737" s="2147"/>
      <c r="B737" s="549"/>
      <c r="D737" s="1248" t="s">
        <v>1835</v>
      </c>
      <c r="E737" s="1279" t="s">
        <v>1836</v>
      </c>
      <c r="F737" s="1248"/>
      <c r="G737" s="1540">
        <v>58.4</v>
      </c>
      <c r="H737" s="2376" t="s">
        <v>644</v>
      </c>
      <c r="I737" s="2376"/>
      <c r="J737" s="2537"/>
      <c r="K737" s="2537"/>
      <c r="L737" s="2537"/>
      <c r="S737" s="351"/>
      <c r="V737" s="1297" t="str">
        <f t="shared" si="134"/>
        <v>SupplyTemp</v>
      </c>
      <c r="W737" s="310">
        <v>61.3</v>
      </c>
      <c r="X737" s="310">
        <v>61.3</v>
      </c>
      <c r="Y737" s="310">
        <v>61.3</v>
      </c>
      <c r="Z737" s="343">
        <v>61.3</v>
      </c>
      <c r="AA737" s="343">
        <v>61.3</v>
      </c>
      <c r="AB737" s="343">
        <v>61.3</v>
      </c>
      <c r="AC737" s="343">
        <v>61.3</v>
      </c>
      <c r="AD737" s="343">
        <v>61.3</v>
      </c>
      <c r="AE737" s="343">
        <v>61.3</v>
      </c>
      <c r="AF737" s="253">
        <f t="shared" si="133"/>
        <v>58.4</v>
      </c>
      <c r="AG737" s="253" t="str">
        <f t="shared" si="131"/>
        <v/>
      </c>
      <c r="AK737" s="339"/>
    </row>
    <row r="738" spans="1:114" ht="31.9" hidden="1" customHeight="1" outlineLevel="1" x14ac:dyDescent="0.25">
      <c r="A738" s="2147"/>
      <c r="B738" s="549"/>
      <c r="D738" s="1248" t="s">
        <v>1837</v>
      </c>
      <c r="E738" s="1279" t="s">
        <v>1838</v>
      </c>
      <c r="F738" s="1248"/>
      <c r="G738" s="1545">
        <v>0.98</v>
      </c>
      <c r="H738" s="2540" t="s">
        <v>1839</v>
      </c>
      <c r="I738" s="2540"/>
      <c r="J738" s="2537"/>
      <c r="K738" s="2537"/>
      <c r="L738" s="2537"/>
      <c r="S738" s="351"/>
      <c r="V738" s="1297" t="str">
        <f t="shared" si="134"/>
        <v>RE_electric</v>
      </c>
      <c r="W738" s="310">
        <v>0.98</v>
      </c>
      <c r="X738" s="310">
        <v>0.98</v>
      </c>
      <c r="Y738" s="310">
        <v>0.98</v>
      </c>
      <c r="Z738" s="343">
        <v>0.98</v>
      </c>
      <c r="AA738" s="343">
        <v>0.98</v>
      </c>
      <c r="AB738" s="343">
        <v>0.98</v>
      </c>
      <c r="AC738" s="343">
        <v>0.98</v>
      </c>
      <c r="AD738" s="343">
        <v>0.98</v>
      </c>
      <c r="AE738" s="343">
        <v>0.98</v>
      </c>
      <c r="AF738" s="253">
        <f t="shared" si="133"/>
        <v>0.98</v>
      </c>
      <c r="AG738" s="253" t="str">
        <f t="shared" si="131"/>
        <v/>
      </c>
      <c r="AK738" s="339"/>
    </row>
    <row r="739" spans="1:114" ht="15" hidden="1" customHeight="1" outlineLevel="1" x14ac:dyDescent="0.25">
      <c r="A739" s="2147"/>
      <c r="B739" s="549"/>
      <c r="D739" s="1248">
        <v>3412</v>
      </c>
      <c r="E739" s="1279">
        <v>3412</v>
      </c>
      <c r="F739" s="1248"/>
      <c r="G739" s="1452">
        <v>3412</v>
      </c>
      <c r="H739" s="2533" t="s">
        <v>648</v>
      </c>
      <c r="I739" s="2533"/>
      <c r="J739" s="2537"/>
      <c r="K739" s="2537"/>
      <c r="L739" s="2537"/>
      <c r="S739" s="353"/>
      <c r="V739" s="1297">
        <f t="shared" si="134"/>
        <v>3412</v>
      </c>
      <c r="W739" s="352">
        <v>3413</v>
      </c>
      <c r="X739" s="352">
        <v>3413</v>
      </c>
      <c r="Y739" s="352">
        <v>3413</v>
      </c>
      <c r="Z739" s="354">
        <v>3413</v>
      </c>
      <c r="AA739" s="354">
        <v>3413</v>
      </c>
      <c r="AB739" s="354">
        <v>3413</v>
      </c>
      <c r="AC739" s="354">
        <v>3413</v>
      </c>
      <c r="AD739" s="883">
        <v>3412</v>
      </c>
      <c r="AE739" s="354">
        <v>3412</v>
      </c>
      <c r="AF739" s="253">
        <f t="shared" si="133"/>
        <v>3412</v>
      </c>
      <c r="AG739" s="253" t="str">
        <f t="shared" si="131"/>
        <v/>
      </c>
      <c r="AK739" s="339"/>
    </row>
    <row r="740" spans="1:114" ht="15" hidden="1" customHeight="1" outlineLevel="1" x14ac:dyDescent="0.25">
      <c r="A740" s="2147"/>
      <c r="B740" s="549"/>
      <c r="C740" s="1275"/>
      <c r="D740" s="1248" t="s">
        <v>825</v>
      </c>
      <c r="E740" s="1248" t="s">
        <v>795</v>
      </c>
      <c r="F740" s="1248"/>
      <c r="G740" s="1546">
        <v>1</v>
      </c>
      <c r="H740" s="2533" t="s">
        <v>855</v>
      </c>
      <c r="I740" s="2533"/>
      <c r="J740" s="2538"/>
      <c r="K740" s="2539"/>
      <c r="L740" s="2539"/>
      <c r="S740" s="347"/>
      <c r="V740" s="1297" t="str">
        <f t="shared" si="134"/>
        <v>Utility Adjustment</v>
      </c>
      <c r="W740" s="309">
        <v>1</v>
      </c>
      <c r="X740" s="309">
        <v>1</v>
      </c>
      <c r="Y740" s="309">
        <v>1</v>
      </c>
      <c r="Z740" s="348">
        <v>1</v>
      </c>
      <c r="AA740" s="348">
        <v>1</v>
      </c>
      <c r="AB740" s="348">
        <v>1</v>
      </c>
      <c r="AC740" s="348">
        <v>1</v>
      </c>
      <c r="AD740" s="348">
        <v>1</v>
      </c>
      <c r="AE740" s="348">
        <v>1</v>
      </c>
      <c r="AF740" s="253">
        <f t="shared" si="133"/>
        <v>1</v>
      </c>
      <c r="AG740" s="253" t="str">
        <f t="shared" si="131"/>
        <v/>
      </c>
      <c r="AK740" s="339"/>
    </row>
    <row r="741" spans="1:114" ht="44.65" hidden="1" customHeight="1" outlineLevel="1" x14ac:dyDescent="0.25">
      <c r="A741" s="2147"/>
      <c r="B741" s="549"/>
      <c r="C741" s="1275"/>
      <c r="D741" s="2436" t="s">
        <v>105</v>
      </c>
      <c r="E741" s="2447" t="s">
        <v>1653</v>
      </c>
      <c r="F741" s="1248" t="s">
        <v>1885</v>
      </c>
      <c r="G741" s="460">
        <v>0.94</v>
      </c>
      <c r="H741" s="2479" t="s">
        <v>1886</v>
      </c>
      <c r="I741" s="2480"/>
      <c r="J741" s="2366"/>
      <c r="K741" s="2366"/>
      <c r="L741" s="2366"/>
      <c r="S741" s="355"/>
      <c r="V741" s="1296"/>
      <c r="W741" s="357">
        <v>0.97699999999999998</v>
      </c>
      <c r="X741" s="358">
        <v>0.9375</v>
      </c>
      <c r="Y741" s="358">
        <v>0.96430000000000005</v>
      </c>
      <c r="Z741" s="356">
        <v>0.96430000000000005</v>
      </c>
      <c r="AA741" s="356">
        <v>0.96430000000000005</v>
      </c>
      <c r="AB741" s="356">
        <v>0.96430000000000005</v>
      </c>
      <c r="AC741" s="734">
        <v>0.94</v>
      </c>
      <c r="AD741" s="734">
        <v>0.94</v>
      </c>
      <c r="AE741" s="734">
        <v>0.94</v>
      </c>
      <c r="AF741" s="253">
        <f t="shared" si="133"/>
        <v>0.94</v>
      </c>
      <c r="AG741" s="253" t="str">
        <f t="shared" si="131"/>
        <v>DI (Single Family)</v>
      </c>
      <c r="AK741" s="339"/>
    </row>
    <row r="742" spans="1:114" ht="27.4" hidden="1" customHeight="1" outlineLevel="1" x14ac:dyDescent="0.25">
      <c r="A742" s="2147"/>
      <c r="B742" s="549"/>
      <c r="C742" s="1275"/>
      <c r="D742" s="2541"/>
      <c r="E742" s="2448"/>
      <c r="F742" s="1248" t="s">
        <v>1887</v>
      </c>
      <c r="G742" s="460">
        <v>0.96399999999999997</v>
      </c>
      <c r="H742" s="2535" t="s">
        <v>1888</v>
      </c>
      <c r="I742" s="2536"/>
      <c r="J742" s="2537"/>
      <c r="K742" s="2537"/>
      <c r="L742" s="2537"/>
      <c r="S742" s="355"/>
      <c r="V742" s="1296"/>
      <c r="W742" s="357"/>
      <c r="X742" s="358"/>
      <c r="Y742" s="358"/>
      <c r="Z742" s="356"/>
      <c r="AA742" s="356"/>
      <c r="AB742" s="356"/>
      <c r="AC742" s="734">
        <v>0.96399999999999997</v>
      </c>
      <c r="AD742" s="734">
        <v>0.96399999999999997</v>
      </c>
      <c r="AE742" s="734">
        <v>0.96399999999999997</v>
      </c>
      <c r="AF742" s="253">
        <f t="shared" si="133"/>
        <v>0.96399999999999997</v>
      </c>
      <c r="AG742" s="253" t="str">
        <f t="shared" si="131"/>
        <v>DI (Multifamily)</v>
      </c>
      <c r="AK742" s="339"/>
    </row>
    <row r="743" spans="1:114" ht="44.65" hidden="1" customHeight="1" outlineLevel="1" x14ac:dyDescent="0.25">
      <c r="A743" s="2147"/>
      <c r="B743" s="549"/>
      <c r="C743" s="1275"/>
      <c r="D743" s="1280" t="str">
        <f>D668</f>
        <v>EUL</v>
      </c>
      <c r="E743" s="1280" t="str">
        <f>E668</f>
        <v>Effective Useful Life</v>
      </c>
      <c r="F743" s="1248" t="s">
        <v>742</v>
      </c>
      <c r="G743" s="1547">
        <v>10</v>
      </c>
      <c r="H743" s="2533" t="s">
        <v>1889</v>
      </c>
      <c r="I743" s="2533"/>
      <c r="J743" s="2534"/>
      <c r="K743" s="2534"/>
      <c r="L743" s="2534"/>
      <c r="S743" s="347"/>
      <c r="V743" s="1297" t="str">
        <f>D743</f>
        <v>EUL</v>
      </c>
      <c r="W743" s="359">
        <v>10</v>
      </c>
      <c r="X743" s="359">
        <v>10</v>
      </c>
      <c r="Y743" s="359">
        <v>10</v>
      </c>
      <c r="Z743" s="583">
        <v>10</v>
      </c>
      <c r="AA743" s="583">
        <v>10</v>
      </c>
      <c r="AB743" s="583">
        <v>10</v>
      </c>
      <c r="AC743" s="583">
        <v>10</v>
      </c>
      <c r="AD743" s="583">
        <v>10</v>
      </c>
      <c r="AE743" s="583">
        <v>10</v>
      </c>
      <c r="AF743" s="253">
        <f t="shared" si="133"/>
        <v>10</v>
      </c>
      <c r="AG743" s="253" t="str">
        <f t="shared" si="131"/>
        <v>All</v>
      </c>
      <c r="AK743" s="339"/>
    </row>
    <row r="744" spans="1:114" hidden="1" outlineLevel="1" x14ac:dyDescent="0.25">
      <c r="A744" s="2147"/>
      <c r="B744" s="549"/>
      <c r="C744" s="1275"/>
      <c r="D744" s="2445" t="s">
        <v>51</v>
      </c>
      <c r="E744" s="2445" t="s">
        <v>688</v>
      </c>
      <c r="F744" s="1246" t="s">
        <v>1890</v>
      </c>
      <c r="G744" s="1489">
        <v>15.33</v>
      </c>
      <c r="H744" s="2540" t="s">
        <v>1891</v>
      </c>
      <c r="I744" s="2540"/>
      <c r="J744" s="2366"/>
      <c r="K744" s="2366"/>
      <c r="L744" s="2366"/>
      <c r="S744" s="355"/>
      <c r="V744" s="2463"/>
      <c r="W744" s="361">
        <v>7</v>
      </c>
      <c r="X744" s="361">
        <v>7</v>
      </c>
      <c r="Y744" s="363">
        <v>12.98</v>
      </c>
      <c r="Z744" s="362">
        <v>12.98</v>
      </c>
      <c r="AA744" s="362">
        <v>12.98</v>
      </c>
      <c r="AB744" s="362">
        <v>12.98</v>
      </c>
      <c r="AC744" s="362">
        <v>12.98</v>
      </c>
      <c r="AD744" s="363">
        <v>15.33</v>
      </c>
      <c r="AE744" s="362">
        <v>15.33</v>
      </c>
      <c r="AF744" s="253">
        <f t="shared" si="133"/>
        <v>15.33</v>
      </c>
      <c r="AG744" s="253" t="str">
        <f t="shared" si="131"/>
        <v>Showerhead DI</v>
      </c>
      <c r="AK744" s="339"/>
    </row>
    <row r="745" spans="1:114" ht="14.65" hidden="1" customHeight="1" outlineLevel="1" x14ac:dyDescent="0.25">
      <c r="A745" s="2147"/>
      <c r="B745" s="549"/>
      <c r="C745" s="1275"/>
      <c r="D745" s="2521"/>
      <c r="E745" s="2521"/>
      <c r="F745" s="1246" t="s">
        <v>1892</v>
      </c>
      <c r="G745" s="1489">
        <v>23.35</v>
      </c>
      <c r="H745" s="2540" t="s">
        <v>1893</v>
      </c>
      <c r="I745" s="2540"/>
      <c r="J745" s="2366"/>
      <c r="K745" s="2366"/>
      <c r="L745" s="2366"/>
      <c r="S745" s="355"/>
      <c r="V745" s="2463"/>
      <c r="W745" s="361"/>
      <c r="X745" s="361"/>
      <c r="Y745" s="363">
        <v>18.45</v>
      </c>
      <c r="Z745" s="362">
        <v>18.45</v>
      </c>
      <c r="AA745" s="362">
        <v>18.45</v>
      </c>
      <c r="AB745" s="362">
        <v>18.45</v>
      </c>
      <c r="AC745" s="362">
        <v>18.45</v>
      </c>
      <c r="AD745" s="363">
        <v>23.35</v>
      </c>
      <c r="AE745" s="362">
        <v>23.35</v>
      </c>
      <c r="AF745" s="253">
        <f t="shared" si="133"/>
        <v>23.35</v>
      </c>
      <c r="AG745" s="253" t="str">
        <f t="shared" si="131"/>
        <v>Handheld Showerhead DI (SF)</v>
      </c>
      <c r="AK745" s="339"/>
    </row>
    <row r="746" spans="1:114" ht="23.25" hidden="1" customHeight="1" outlineLevel="1" x14ac:dyDescent="0.25">
      <c r="A746" s="2147"/>
      <c r="B746" s="549"/>
      <c r="C746" s="1275"/>
      <c r="D746" s="2446"/>
      <c r="E746" s="2446"/>
      <c r="F746" s="1246" t="s">
        <v>1894</v>
      </c>
      <c r="G746" s="1489">
        <v>23.35</v>
      </c>
      <c r="H746" s="2540" t="s">
        <v>1893</v>
      </c>
      <c r="I746" s="2540"/>
      <c r="J746" s="2366"/>
      <c r="K746" s="2366"/>
      <c r="L746" s="2366"/>
      <c r="S746" s="355"/>
      <c r="V746" s="2463"/>
      <c r="W746" s="361"/>
      <c r="X746" s="361"/>
      <c r="Y746" s="363">
        <v>12.47</v>
      </c>
      <c r="Z746" s="362">
        <v>12.47</v>
      </c>
      <c r="AA746" s="362">
        <v>12.47</v>
      </c>
      <c r="AB746" s="362">
        <v>12.47</v>
      </c>
      <c r="AC746" s="362">
        <v>12.47</v>
      </c>
      <c r="AD746" s="363">
        <v>23.35</v>
      </c>
      <c r="AE746" s="362">
        <v>23.35</v>
      </c>
      <c r="AF746" s="253">
        <f t="shared" si="133"/>
        <v>23.35</v>
      </c>
      <c r="AG746" s="253" t="str">
        <f t="shared" si="131"/>
        <v>Handheld Showerhead DI (MF)</v>
      </c>
      <c r="AK746" s="339"/>
    </row>
    <row r="747" spans="1:114" ht="15" hidden="1" customHeight="1" outlineLevel="1" x14ac:dyDescent="0.25">
      <c r="A747" s="2147"/>
      <c r="B747" s="549"/>
      <c r="AG747" s="253" t="str">
        <f t="shared" si="131"/>
        <v/>
      </c>
      <c r="AK747" s="339"/>
    </row>
    <row r="748" spans="1:114" ht="15" customHeight="1" collapsed="1" x14ac:dyDescent="0.25">
      <c r="A748" s="2147"/>
      <c r="B748" s="549"/>
      <c r="AK748" s="339"/>
    </row>
    <row r="749" spans="1:114" ht="15" customHeight="1" x14ac:dyDescent="0.25">
      <c r="A749" s="2147"/>
      <c r="B749" s="2388" t="s">
        <v>1895</v>
      </c>
      <c r="C749" s="2389"/>
      <c r="D749" s="2389"/>
      <c r="E749" s="2389"/>
      <c r="F749" s="2389"/>
      <c r="G749" s="2389"/>
      <c r="H749" s="2389"/>
      <c r="I749" s="2390"/>
      <c r="J749" s="2390"/>
      <c r="K749" s="2390"/>
      <c r="L749" s="2390"/>
      <c r="M749" s="2390"/>
      <c r="N749" s="2390"/>
      <c r="O749" s="2390"/>
      <c r="P749" s="2390"/>
      <c r="Q749" s="2390"/>
      <c r="R749" s="2391"/>
      <c r="V749" s="2339" t="str">
        <f>B749</f>
        <v>Pipe Insulation</v>
      </c>
      <c r="W749" s="2340"/>
      <c r="X749" s="2340"/>
      <c r="Y749" s="2340"/>
      <c r="Z749" s="2340"/>
      <c r="AA749" s="2340"/>
      <c r="AB749" s="2340"/>
      <c r="AC749" s="2341"/>
      <c r="AD749" s="2341"/>
      <c r="AE749" s="2341"/>
      <c r="AF749" s="2341"/>
      <c r="AG749" s="2341"/>
      <c r="AH749" s="2341"/>
      <c r="AI749" s="2342"/>
      <c r="AK749" s="339"/>
    </row>
    <row r="750" spans="1:114" ht="15" customHeight="1" x14ac:dyDescent="0.25">
      <c r="A750" s="2147"/>
      <c r="B750" s="549"/>
      <c r="D750" s="553"/>
      <c r="E750" s="553"/>
      <c r="F750" s="264"/>
      <c r="G750" s="264"/>
      <c r="H750" s="264"/>
      <c r="I750" s="264"/>
      <c r="J750" s="264"/>
      <c r="K750" s="264"/>
      <c r="L750" s="554"/>
      <c r="AK750" s="339"/>
    </row>
    <row r="751" spans="1:114" ht="30" x14ac:dyDescent="0.25">
      <c r="A751" s="2147"/>
      <c r="B751" s="549"/>
      <c r="C751" s="1242" t="s">
        <v>43</v>
      </c>
      <c r="D751" s="1242" t="s">
        <v>597</v>
      </c>
      <c r="E751" s="1242" t="s">
        <v>45</v>
      </c>
      <c r="F751" s="1242" t="s">
        <v>1601</v>
      </c>
      <c r="G751" s="1242" t="s">
        <v>47</v>
      </c>
      <c r="H751" s="1242" t="s">
        <v>48</v>
      </c>
      <c r="I751" s="1242" t="s">
        <v>49</v>
      </c>
      <c r="J751" s="1242" t="s">
        <v>50</v>
      </c>
      <c r="K751" s="1242" t="s">
        <v>51</v>
      </c>
      <c r="L751" s="1242" t="s">
        <v>52</v>
      </c>
      <c r="V751" s="636" t="s">
        <v>53</v>
      </c>
      <c r="W751" s="637">
        <f>W$6</f>
        <v>43252</v>
      </c>
      <c r="X751" s="637">
        <f t="shared" ref="X751:AG751" si="135">X$6</f>
        <v>43465</v>
      </c>
      <c r="Y751" s="110">
        <f t="shared" si="135"/>
        <v>43800</v>
      </c>
      <c r="Z751" s="637">
        <f t="shared" si="135"/>
        <v>43862</v>
      </c>
      <c r="AA751" s="637">
        <f t="shared" si="135"/>
        <v>44013</v>
      </c>
      <c r="AB751" s="637">
        <f t="shared" si="135"/>
        <v>44166</v>
      </c>
      <c r="AC751" s="637">
        <f t="shared" si="135"/>
        <v>44531</v>
      </c>
      <c r="AD751" s="637">
        <f t="shared" si="135"/>
        <v>44774</v>
      </c>
      <c r="AE751" s="637">
        <f t="shared" si="135"/>
        <v>45139</v>
      </c>
      <c r="AF751" s="637">
        <f t="shared" si="135"/>
        <v>45672</v>
      </c>
      <c r="AG751" s="637">
        <f t="shared" si="135"/>
        <v>45971</v>
      </c>
      <c r="AK751" s="339"/>
      <c r="DG751" s="1007" t="str">
        <f>'Efficient Products Deemed Table'!$DG$6</f>
        <v>TRC (2025)</v>
      </c>
      <c r="DH751" s="1007" t="str">
        <f>'Efficient Products Deemed Table'!$DH$6</f>
        <v>Benefit Lookup</v>
      </c>
      <c r="DI751" s="1007" t="str">
        <f>'Efficient Products Deemed Table'!$DI$6</f>
        <v>Benefits (2025 $)</v>
      </c>
      <c r="DJ751" s="1007" t="str">
        <f>'Efficient Products Deemed Table'!$DJ$6</f>
        <v>Incremental Cost (2025 $)</v>
      </c>
    </row>
    <row r="752" spans="1:114" ht="15" customHeight="1" x14ac:dyDescent="0.25">
      <c r="A752" s="2147" t="s">
        <v>602</v>
      </c>
      <c r="B752" s="1318">
        <f t="shared" ref="B752:B753" si="136">VALUE(LEFT(C752,6))</f>
        <v>403700</v>
      </c>
      <c r="C752" s="132" t="s">
        <v>1896</v>
      </c>
      <c r="D752" s="1384" t="s">
        <v>810</v>
      </c>
      <c r="E752" s="121" t="s">
        <v>1897</v>
      </c>
      <c r="F752" s="151">
        <f>ROUND(((((F759/F760)-(F761/F762))*F763*F764*F765)/(F766*F767))*F768*F769*F770,2)</f>
        <v>4.6399999999999997</v>
      </c>
      <c r="G752" s="132" t="s">
        <v>1799</v>
      </c>
      <c r="H752" s="130">
        <f>VLOOKUP(G752,'CP FACTORS'!$A$3:$B$38, 2, FALSE)</f>
        <v>8.8731800000000003E-5</v>
      </c>
      <c r="I752" s="525">
        <f>ROUND(F752*H752,6)</f>
        <v>4.1199999999999999E-4</v>
      </c>
      <c r="J752" s="318">
        <f>$F$773</f>
        <v>12</v>
      </c>
      <c r="K752" s="697">
        <f>$F$774</f>
        <v>5.66</v>
      </c>
      <c r="L752" s="132" t="s">
        <v>1898</v>
      </c>
      <c r="R752" s="510"/>
      <c r="V752" s="337" t="str">
        <f>V710</f>
        <v>kWh
Annual Savings</v>
      </c>
      <c r="W752" s="364">
        <v>16.471996316343358</v>
      </c>
      <c r="X752" s="251">
        <v>4.4836485277384011</v>
      </c>
      <c r="Y752" s="112">
        <v>4.6399999999999997</v>
      </c>
      <c r="Z752" s="17">
        <v>4.6399999999999997</v>
      </c>
      <c r="AA752" s="17">
        <v>4.6399999999999997</v>
      </c>
      <c r="AB752" s="17">
        <v>4.6399999999999997</v>
      </c>
      <c r="AC752" s="151">
        <v>4.6399999999999997</v>
      </c>
      <c r="AD752" s="151">
        <v>4.6399999999999997</v>
      </c>
      <c r="AE752" s="151">
        <v>4.6399999999999997</v>
      </c>
      <c r="AF752" s="253">
        <v>4.6399999999999997</v>
      </c>
      <c r="AG752" s="253">
        <f>IF(F752&lt;&gt;"",F752,"")</f>
        <v>4.6399999999999997</v>
      </c>
      <c r="AK752" s="339"/>
      <c r="DG752" s="994">
        <f>(DI752)/(DJ752)</f>
        <v>0.46027265770701875</v>
      </c>
      <c r="DH752" s="641" t="str">
        <f>CONCATENATE(G752," ",J752," Year EUL")</f>
        <v>Water heating RES 12 Year EUL</v>
      </c>
      <c r="DI752" s="527">
        <f>(INDEX('Avoided Cost Benefits'!$B$4:$B$865,MATCH(DH752,'Avoided Cost Benefits'!$A$4:$A$865,0)))*F752</f>
        <v>2.6051432426217263</v>
      </c>
      <c r="DJ752" s="1846">
        <f>IFERROR(K752/((1+DiscountRate)^(CurrentYear-DiscountYear)),0)</f>
        <v>5.66</v>
      </c>
    </row>
    <row r="753" spans="1:114" ht="15" customHeight="1" x14ac:dyDescent="0.25">
      <c r="A753" s="2147" t="s">
        <v>607</v>
      </c>
      <c r="B753" s="1318">
        <f t="shared" si="136"/>
        <v>403750</v>
      </c>
      <c r="C753" s="132" t="s">
        <v>1899</v>
      </c>
      <c r="D753" s="1384" t="s">
        <v>863</v>
      </c>
      <c r="E753" s="121" t="s">
        <v>1900</v>
      </c>
      <c r="F753" s="151">
        <f>ROUND(((((F759/F760)-(F761/F762))*F763*F764*F765)/(F766*F767))*F768*F769*F770,2)</f>
        <v>4.6399999999999997</v>
      </c>
      <c r="G753" s="132" t="s">
        <v>1799</v>
      </c>
      <c r="H753" s="130">
        <f>VLOOKUP(G753,'CP FACTORS'!$A$3:$B$38, 2, FALSE)</f>
        <v>8.8731800000000003E-5</v>
      </c>
      <c r="I753" s="525">
        <f>ROUND(F753*H753,6)</f>
        <v>4.1199999999999999E-4</v>
      </c>
      <c r="J753" s="318">
        <f>$F$773</f>
        <v>12</v>
      </c>
      <c r="K753" s="697">
        <f>$F$774</f>
        <v>5.66</v>
      </c>
      <c r="L753" s="132" t="s">
        <v>1898</v>
      </c>
      <c r="R753" s="510"/>
      <c r="V753" s="337" t="str">
        <f>V752</f>
        <v>kWh
Annual Savings</v>
      </c>
      <c r="W753" s="364">
        <v>16.471996316343358</v>
      </c>
      <c r="X753" s="251">
        <v>4.4836485277384011</v>
      </c>
      <c r="Y753" s="112">
        <v>4.6399999999999997</v>
      </c>
      <c r="Z753" s="17">
        <v>4.6399999999999997</v>
      </c>
      <c r="AA753" s="17">
        <v>4.6399999999999997</v>
      </c>
      <c r="AB753" s="17">
        <v>4.6399999999999997</v>
      </c>
      <c r="AC753" s="151">
        <v>4.6399999999999997</v>
      </c>
      <c r="AD753" s="151">
        <v>4.6399999999999997</v>
      </c>
      <c r="AE753" s="151">
        <v>4.6399999999999997</v>
      </c>
      <c r="AF753" s="253">
        <v>4.6399999999999997</v>
      </c>
      <c r="AG753" s="253">
        <f t="shared" ref="AG753:AG775" si="137">IF(F753&lt;&gt;"",F753,"")</f>
        <v>4.6399999999999997</v>
      </c>
      <c r="AK753" s="339"/>
      <c r="DG753" s="995">
        <f>(DI753)/(DJ753)</f>
        <v>0.46027265770701875</v>
      </c>
      <c r="DH753" s="641" t="str">
        <f>CONCATENATE(G753," ",J753," Year EUL")</f>
        <v>Water heating RES 12 Year EUL</v>
      </c>
      <c r="DI753" s="1003">
        <f>(INDEX('Avoided Cost Benefits'!$B$4:$B$865,MATCH(DH753,'Avoided Cost Benefits'!$A$4:$A$865,0)))*F753</f>
        <v>2.6051432426217263</v>
      </c>
      <c r="DJ753" s="1847">
        <f>IFERROR(K753/((1+DiscountRate)^(CurrentYear-DiscountYear)),0)</f>
        <v>5.66</v>
      </c>
    </row>
    <row r="754" spans="1:114" ht="15" hidden="1" customHeight="1" outlineLevel="1" x14ac:dyDescent="0.25">
      <c r="A754" s="2147"/>
      <c r="B754" s="549"/>
      <c r="C754" s="267"/>
      <c r="D754" s="71" t="s">
        <v>95</v>
      </c>
      <c r="E754" s="265" t="s">
        <v>1901</v>
      </c>
      <c r="F754" s="304"/>
      <c r="G754" s="304"/>
      <c r="H754" s="304"/>
      <c r="I754" s="304"/>
      <c r="J754" s="304"/>
      <c r="V754" s="73"/>
      <c r="W754" s="73"/>
      <c r="X754" s="73"/>
      <c r="Y754" s="365"/>
      <c r="Z754" s="73"/>
      <c r="AA754" s="73"/>
      <c r="AB754" s="73"/>
      <c r="AC754" s="73"/>
      <c r="AD754" s="73"/>
      <c r="AE754" s="73"/>
      <c r="AF754" s="73"/>
      <c r="AG754" s="253" t="str">
        <f t="shared" si="137"/>
        <v/>
      </c>
      <c r="AK754" s="339"/>
    </row>
    <row r="755" spans="1:114" ht="15" hidden="1" customHeight="1" outlineLevel="1" x14ac:dyDescent="0.25">
      <c r="A755" s="2147"/>
      <c r="B755" s="549"/>
      <c r="C755" s="267"/>
      <c r="D755" s="71" t="s">
        <v>609</v>
      </c>
      <c r="E755" s="50" t="s">
        <v>1902</v>
      </c>
      <c r="F755" s="584"/>
      <c r="G755" s="584"/>
      <c r="H755" s="304"/>
      <c r="I755" s="304"/>
      <c r="J755" s="304"/>
      <c r="V755" s="73"/>
      <c r="W755" s="73"/>
      <c r="X755" s="73"/>
      <c r="Y755" s="365"/>
      <c r="Z755" s="73"/>
      <c r="AA755" s="73"/>
      <c r="AB755" s="73"/>
      <c r="AC755" s="73"/>
      <c r="AD755" s="73"/>
      <c r="AE755" s="73"/>
      <c r="AF755" s="73"/>
      <c r="AG755" s="253" t="str">
        <f t="shared" si="137"/>
        <v/>
      </c>
      <c r="AK755" s="339"/>
    </row>
    <row r="756" spans="1:114" hidden="1" outlineLevel="1" x14ac:dyDescent="0.25">
      <c r="A756" s="2147"/>
      <c r="B756" s="549"/>
      <c r="C756" s="268"/>
      <c r="D756" s="585"/>
      <c r="E756" s="50" t="s">
        <v>612</v>
      </c>
      <c r="F756" s="586"/>
      <c r="G756" s="586"/>
      <c r="H756" s="586"/>
      <c r="I756" s="586"/>
      <c r="J756" s="586"/>
      <c r="V756" s="73"/>
      <c r="W756" s="73"/>
      <c r="X756" s="73"/>
      <c r="Y756" s="365"/>
      <c r="Z756" s="73"/>
      <c r="AA756" s="73"/>
      <c r="AB756" s="73"/>
      <c r="AC756" s="73"/>
      <c r="AD756" s="73"/>
      <c r="AE756" s="73"/>
      <c r="AF756" s="73"/>
      <c r="AG756" s="253" t="str">
        <f t="shared" si="137"/>
        <v/>
      </c>
      <c r="AK756" s="339"/>
    </row>
    <row r="757" spans="1:114" hidden="1" outlineLevel="1" x14ac:dyDescent="0.25">
      <c r="A757" s="2147"/>
      <c r="B757" s="549"/>
      <c r="C757" s="268"/>
      <c r="D757" s="587"/>
      <c r="E757" s="50" t="s">
        <v>1903</v>
      </c>
      <c r="F757" s="589"/>
      <c r="G757" s="590"/>
      <c r="H757" s="590"/>
      <c r="I757" s="590"/>
      <c r="J757" s="590"/>
      <c r="V757" s="73"/>
      <c r="W757" s="73"/>
      <c r="X757" s="73"/>
      <c r="Y757" s="365"/>
      <c r="Z757" s="73"/>
      <c r="AA757" s="73"/>
      <c r="AB757" s="73"/>
      <c r="AC757" s="73"/>
      <c r="AD757" s="73"/>
      <c r="AE757" s="73"/>
      <c r="AF757" s="73"/>
      <c r="AG757" s="253" t="str">
        <f t="shared" si="137"/>
        <v/>
      </c>
      <c r="AK757" s="339"/>
    </row>
    <row r="758" spans="1:114" hidden="1" outlineLevel="1" x14ac:dyDescent="0.25">
      <c r="A758" s="2147"/>
      <c r="B758" s="549"/>
      <c r="D758" s="1309" t="s">
        <v>720</v>
      </c>
      <c r="E758" s="1309" t="s">
        <v>613</v>
      </c>
      <c r="F758" s="1253" t="s">
        <v>615</v>
      </c>
      <c r="G758" s="2523" t="s">
        <v>616</v>
      </c>
      <c r="H758" s="2529"/>
      <c r="I758" s="2523" t="s">
        <v>617</v>
      </c>
      <c r="J758" s="2530"/>
      <c r="K758" s="2529"/>
      <c r="V758" s="636" t="s">
        <v>53</v>
      </c>
      <c r="W758" s="637">
        <f>W$6</f>
        <v>43252</v>
      </c>
      <c r="X758" s="637">
        <f t="shared" ref="X758:AF758" si="138">X$6</f>
        <v>43465</v>
      </c>
      <c r="Y758" s="110">
        <f t="shared" si="138"/>
        <v>43800</v>
      </c>
      <c r="Z758" s="637">
        <f t="shared" si="138"/>
        <v>43862</v>
      </c>
      <c r="AA758" s="637">
        <f t="shared" si="138"/>
        <v>44013</v>
      </c>
      <c r="AB758" s="637">
        <f t="shared" si="138"/>
        <v>44166</v>
      </c>
      <c r="AC758" s="637">
        <f t="shared" si="138"/>
        <v>44531</v>
      </c>
      <c r="AD758" s="637">
        <f t="shared" si="138"/>
        <v>44774</v>
      </c>
      <c r="AE758" s="637">
        <f t="shared" si="138"/>
        <v>45139</v>
      </c>
      <c r="AF758" s="637">
        <f t="shared" si="138"/>
        <v>45672</v>
      </c>
      <c r="AG758" s="253" t="str">
        <f t="shared" si="137"/>
        <v>Value</v>
      </c>
      <c r="AK758" s="339"/>
    </row>
    <row r="759" spans="1:114" ht="18" hidden="1" outlineLevel="1" x14ac:dyDescent="0.25">
      <c r="A759" s="2147"/>
      <c r="B759" s="549"/>
      <c r="C759" s="268"/>
      <c r="D759" s="1256" t="s">
        <v>1904</v>
      </c>
      <c r="E759" s="1250" t="s">
        <v>1905</v>
      </c>
      <c r="F759" s="1449">
        <f>(PI()*F771)/12</f>
        <v>0.14398966328953219</v>
      </c>
      <c r="G759" s="2531" t="s">
        <v>746</v>
      </c>
      <c r="H759" s="2532"/>
      <c r="I759" s="2518"/>
      <c r="J759" s="2519"/>
      <c r="K759" s="2520"/>
      <c r="P759" s="368"/>
      <c r="V759" s="366" t="str">
        <f>D759</f>
        <v>CBase</v>
      </c>
      <c r="W759" s="369">
        <f>(PI()*W771)/12</f>
        <v>0.19634954084936207</v>
      </c>
      <c r="X759" s="367">
        <f>(PI()*X771)/12</f>
        <v>0.14398966328953219</v>
      </c>
      <c r="Y759" s="164">
        <v>0.14398966328953219</v>
      </c>
      <c r="Z759" s="164">
        <v>0.14398966328953219</v>
      </c>
      <c r="AA759" s="164">
        <v>0.14398966328953219</v>
      </c>
      <c r="AB759" s="369">
        <v>0.14398966328953219</v>
      </c>
      <c r="AC759" s="369">
        <v>0.14398966328953219</v>
      </c>
      <c r="AD759" s="369">
        <v>0.14398966328953219</v>
      </c>
      <c r="AE759" s="369">
        <v>0.14398966328953219</v>
      </c>
      <c r="AF759" s="253">
        <f t="shared" ref="AF759:AF774" si="139">IF(F759&lt;&gt;"",F759,"")</f>
        <v>0.14398966328953219</v>
      </c>
      <c r="AG759" s="253">
        <f t="shared" si="137"/>
        <v>0.14398966328953219</v>
      </c>
      <c r="AK759" s="339"/>
    </row>
    <row r="760" spans="1:114" ht="51.4" hidden="1" customHeight="1" outlineLevel="1" x14ac:dyDescent="0.25">
      <c r="A760" s="2147"/>
      <c r="B760" s="549"/>
      <c r="C760" s="268"/>
      <c r="D760" s="1256" t="s">
        <v>1906</v>
      </c>
      <c r="E760" s="1271" t="s">
        <v>1907</v>
      </c>
      <c r="F760" s="1437">
        <v>1</v>
      </c>
      <c r="G760" s="2515" t="s">
        <v>1908</v>
      </c>
      <c r="H760" s="2515"/>
      <c r="I760" s="2491"/>
      <c r="J760" s="2492"/>
      <c r="K760" s="2493"/>
      <c r="P760" s="368"/>
      <c r="V760" s="366" t="str">
        <f>D760</f>
        <v>RBase</v>
      </c>
      <c r="W760" s="371">
        <v>1</v>
      </c>
      <c r="X760" s="370">
        <v>1</v>
      </c>
      <c r="Y760" s="370">
        <v>1</v>
      </c>
      <c r="Z760" s="370">
        <v>1</v>
      </c>
      <c r="AA760" s="370">
        <v>1</v>
      </c>
      <c r="AB760" s="371">
        <v>1</v>
      </c>
      <c r="AC760" s="371">
        <v>1</v>
      </c>
      <c r="AD760" s="371">
        <v>1</v>
      </c>
      <c r="AE760" s="371">
        <v>1</v>
      </c>
      <c r="AF760" s="253">
        <f t="shared" si="139"/>
        <v>1</v>
      </c>
      <c r="AG760" s="253">
        <f t="shared" si="137"/>
        <v>1</v>
      </c>
      <c r="AK760" s="339"/>
    </row>
    <row r="761" spans="1:114" ht="18" hidden="1" outlineLevel="1" x14ac:dyDescent="0.25">
      <c r="A761" s="2147"/>
      <c r="B761" s="549"/>
      <c r="C761" s="268"/>
      <c r="D761" s="1256" t="s">
        <v>1909</v>
      </c>
      <c r="E761" s="1271" t="s">
        <v>1910</v>
      </c>
      <c r="F761" s="1449">
        <f>(PI()*(F771+(2*F772))/12)</f>
        <v>0.40578905108868163</v>
      </c>
      <c r="G761" s="2516" t="s">
        <v>746</v>
      </c>
      <c r="H761" s="2517"/>
      <c r="I761" s="2518"/>
      <c r="J761" s="2519"/>
      <c r="K761" s="2520"/>
      <c r="P761" s="368"/>
      <c r="V761" s="366" t="str">
        <f>D761</f>
        <v>CEE</v>
      </c>
      <c r="W761" s="372">
        <f>(PI()*(W771+(2*W772))/12)</f>
        <v>0.45814892864851148</v>
      </c>
      <c r="X761" s="145">
        <f>(PI()*(X771+(2*X772))/12)</f>
        <v>0.40578905108868163</v>
      </c>
      <c r="Y761" s="145">
        <v>0.40578905108868163</v>
      </c>
      <c r="Z761" s="145">
        <v>0.40578905108868163</v>
      </c>
      <c r="AA761" s="145">
        <v>0.40578905108868163</v>
      </c>
      <c r="AB761" s="372">
        <v>0.40578905108868163</v>
      </c>
      <c r="AC761" s="372">
        <v>0.40578905108868163</v>
      </c>
      <c r="AD761" s="372">
        <v>0.40578905108868163</v>
      </c>
      <c r="AE761" s="372">
        <v>0.40578905108868163</v>
      </c>
      <c r="AF761" s="253">
        <f t="shared" si="139"/>
        <v>0.40578905108868163</v>
      </c>
      <c r="AG761" s="253">
        <f t="shared" si="137"/>
        <v>0.40578905108868163</v>
      </c>
      <c r="AK761" s="339"/>
    </row>
    <row r="762" spans="1:114" ht="18" hidden="1" outlineLevel="1" x14ac:dyDescent="0.25">
      <c r="A762" s="2147"/>
      <c r="B762" s="549"/>
      <c r="C762" s="268"/>
      <c r="D762" s="1256" t="s">
        <v>1911</v>
      </c>
      <c r="E762" s="1271" t="s">
        <v>1912</v>
      </c>
      <c r="F762" s="1435">
        <v>3.6</v>
      </c>
      <c r="G762" s="2513" t="s">
        <v>1913</v>
      </c>
      <c r="H762" s="2514"/>
      <c r="I762" s="2491"/>
      <c r="J762" s="2492"/>
      <c r="K762" s="2493"/>
      <c r="P762" s="368"/>
      <c r="V762" s="366" t="str">
        <f>D762</f>
        <v>REE</v>
      </c>
      <c r="W762" s="42">
        <f>4+1</f>
        <v>5</v>
      </c>
      <c r="X762" s="42">
        <v>3.6</v>
      </c>
      <c r="Y762" s="373">
        <v>3.6</v>
      </c>
      <c r="Z762" s="18">
        <v>3.6</v>
      </c>
      <c r="AA762" s="18">
        <v>3.6</v>
      </c>
      <c r="AB762" s="42">
        <v>3.6</v>
      </c>
      <c r="AC762" s="42">
        <v>3.6</v>
      </c>
      <c r="AD762" s="42">
        <v>3.6</v>
      </c>
      <c r="AE762" s="42">
        <v>3.6</v>
      </c>
      <c r="AF762" s="253">
        <f t="shared" si="139"/>
        <v>3.6</v>
      </c>
      <c r="AG762" s="253">
        <f t="shared" si="137"/>
        <v>3.6</v>
      </c>
      <c r="AK762" s="339"/>
    </row>
    <row r="763" spans="1:114" hidden="1" outlineLevel="1" x14ac:dyDescent="0.25">
      <c r="A763" s="2147"/>
      <c r="B763" s="549"/>
      <c r="C763" s="268"/>
      <c r="D763" s="136" t="s">
        <v>1914</v>
      </c>
      <c r="E763" s="1271" t="s">
        <v>1915</v>
      </c>
      <c r="F763" s="1436">
        <v>1</v>
      </c>
      <c r="G763" s="2516" t="s">
        <v>1916</v>
      </c>
      <c r="H763" s="2517"/>
      <c r="I763" s="2491"/>
      <c r="J763" s="2492"/>
      <c r="K763" s="2493"/>
      <c r="P763" s="368"/>
      <c r="V763" s="366" t="str">
        <f>D763</f>
        <v>L</v>
      </c>
      <c r="W763" s="371">
        <v>1</v>
      </c>
      <c r="X763" s="370">
        <v>1</v>
      </c>
      <c r="Y763" s="370">
        <v>1</v>
      </c>
      <c r="Z763" s="370">
        <v>1</v>
      </c>
      <c r="AA763" s="370">
        <v>1</v>
      </c>
      <c r="AB763" s="371">
        <v>1</v>
      </c>
      <c r="AC763" s="371">
        <v>1</v>
      </c>
      <c r="AD763" s="371">
        <v>1</v>
      </c>
      <c r="AE763" s="371">
        <v>1</v>
      </c>
      <c r="AF763" s="253">
        <f t="shared" si="139"/>
        <v>1</v>
      </c>
      <c r="AG763" s="253">
        <f t="shared" si="137"/>
        <v>1</v>
      </c>
      <c r="AK763" s="339"/>
    </row>
    <row r="764" spans="1:114" hidden="1" outlineLevel="1" x14ac:dyDescent="0.25">
      <c r="A764" s="2147"/>
      <c r="B764" s="549"/>
      <c r="C764" s="268"/>
      <c r="D764" s="1256" t="s">
        <v>1917</v>
      </c>
      <c r="E764" s="1291" t="s">
        <v>1918</v>
      </c>
      <c r="F764" s="1438">
        <v>58.9</v>
      </c>
      <c r="G764" s="2513" t="s">
        <v>1913</v>
      </c>
      <c r="H764" s="2514"/>
      <c r="I764" s="2491"/>
      <c r="J764" s="2492"/>
      <c r="K764" s="2493"/>
      <c r="P764" s="368"/>
      <c r="V764" s="366" t="str">
        <f t="shared" ref="V764:V773" si="140">D764</f>
        <v>DT</v>
      </c>
      <c r="W764" s="165">
        <v>60</v>
      </c>
      <c r="X764" s="374">
        <v>58.9</v>
      </c>
      <c r="Y764" s="165">
        <v>58.9</v>
      </c>
      <c r="Z764" s="165">
        <v>58.9</v>
      </c>
      <c r="AA764" s="165">
        <v>58.9</v>
      </c>
      <c r="AB764" s="165">
        <v>58.9</v>
      </c>
      <c r="AC764" s="165">
        <v>58.9</v>
      </c>
      <c r="AD764" s="165">
        <v>58.9</v>
      </c>
      <c r="AE764" s="165">
        <v>58.9</v>
      </c>
      <c r="AF764" s="253">
        <f t="shared" si="139"/>
        <v>58.9</v>
      </c>
      <c r="AG764" s="253">
        <f t="shared" si="137"/>
        <v>58.9</v>
      </c>
      <c r="AK764" s="339"/>
    </row>
    <row r="765" spans="1:114" hidden="1" outlineLevel="1" x14ac:dyDescent="0.25">
      <c r="A765" s="2147"/>
      <c r="B765" s="549"/>
      <c r="C765" s="268"/>
      <c r="D765" s="1256" t="s">
        <v>141</v>
      </c>
      <c r="E765" s="1291" t="s">
        <v>1919</v>
      </c>
      <c r="F765" s="1442">
        <v>8766</v>
      </c>
      <c r="G765" s="2494"/>
      <c r="H765" s="2495"/>
      <c r="I765" s="2491"/>
      <c r="J765" s="2492"/>
      <c r="K765" s="2493"/>
      <c r="P765" s="368"/>
      <c r="V765" s="366" t="str">
        <f t="shared" si="140"/>
        <v>Hours</v>
      </c>
      <c r="W765" s="1285">
        <v>8766</v>
      </c>
      <c r="X765" s="1285">
        <v>8766</v>
      </c>
      <c r="Y765" s="1285">
        <v>8766</v>
      </c>
      <c r="Z765" s="1285">
        <v>8766</v>
      </c>
      <c r="AA765" s="1285">
        <v>8766</v>
      </c>
      <c r="AB765" s="1285">
        <v>8766</v>
      </c>
      <c r="AC765" s="1285">
        <v>8766</v>
      </c>
      <c r="AD765" s="1285">
        <v>8766</v>
      </c>
      <c r="AE765" s="1285">
        <v>8766</v>
      </c>
      <c r="AF765" s="253">
        <f t="shared" si="139"/>
        <v>8766</v>
      </c>
      <c r="AG765" s="253">
        <f t="shared" si="137"/>
        <v>8766</v>
      </c>
      <c r="AK765" s="339"/>
    </row>
    <row r="766" spans="1:114" ht="29.65" hidden="1" customHeight="1" outlineLevel="1" x14ac:dyDescent="0.25">
      <c r="A766" s="2147"/>
      <c r="B766" s="549"/>
      <c r="C766" s="268"/>
      <c r="D766" s="1256" t="s">
        <v>1920</v>
      </c>
      <c r="E766" s="1291" t="s">
        <v>1921</v>
      </c>
      <c r="F766" s="1439">
        <v>0.98</v>
      </c>
      <c r="G766" s="2479" t="s">
        <v>1922</v>
      </c>
      <c r="H766" s="2480"/>
      <c r="I766" s="2491"/>
      <c r="J766" s="2492"/>
      <c r="K766" s="2493"/>
      <c r="P766" s="368"/>
      <c r="V766" s="366" t="str">
        <f t="shared" si="140"/>
        <v>ȠDHWElec</v>
      </c>
      <c r="W766" s="371">
        <v>0.98</v>
      </c>
      <c r="X766" s="370">
        <v>0.98</v>
      </c>
      <c r="Y766" s="370">
        <v>0.98</v>
      </c>
      <c r="Z766" s="370">
        <v>0.98</v>
      </c>
      <c r="AA766" s="370">
        <v>0.98</v>
      </c>
      <c r="AB766" s="371">
        <v>0.98</v>
      </c>
      <c r="AC766" s="371">
        <v>0.98</v>
      </c>
      <c r="AD766" s="371">
        <v>0.98</v>
      </c>
      <c r="AE766" s="371">
        <v>0.98</v>
      </c>
      <c r="AF766" s="253">
        <f t="shared" si="139"/>
        <v>0.98</v>
      </c>
      <c r="AG766" s="253">
        <f t="shared" si="137"/>
        <v>0.98</v>
      </c>
      <c r="AK766" s="339"/>
    </row>
    <row r="767" spans="1:114" hidden="1" outlineLevel="1" x14ac:dyDescent="0.25">
      <c r="A767" s="2147"/>
      <c r="B767" s="549"/>
      <c r="C767" s="268"/>
      <c r="D767" s="1256">
        <v>3412</v>
      </c>
      <c r="E767" s="1279" t="s">
        <v>1637</v>
      </c>
      <c r="F767" s="1442">
        <v>3412</v>
      </c>
      <c r="G767" s="2494" t="s">
        <v>1923</v>
      </c>
      <c r="H767" s="2495"/>
      <c r="I767" s="2491"/>
      <c r="J767" s="2492"/>
      <c r="K767" s="2493"/>
      <c r="P767" s="368"/>
      <c r="V767" s="366">
        <f t="shared" si="140"/>
        <v>3412</v>
      </c>
      <c r="W767" s="148">
        <v>3412</v>
      </c>
      <c r="X767" s="148">
        <v>3412</v>
      </c>
      <c r="Y767" s="148">
        <v>3412</v>
      </c>
      <c r="Z767" s="148">
        <v>3412</v>
      </c>
      <c r="AA767" s="148">
        <v>3412</v>
      </c>
      <c r="AB767" s="148">
        <v>3412</v>
      </c>
      <c r="AC767" s="148">
        <v>3412</v>
      </c>
      <c r="AD767" s="148">
        <v>3412</v>
      </c>
      <c r="AE767" s="148">
        <v>3412</v>
      </c>
      <c r="AF767" s="253">
        <f t="shared" si="139"/>
        <v>3412</v>
      </c>
      <c r="AG767" s="253">
        <f t="shared" si="137"/>
        <v>3412</v>
      </c>
      <c r="AK767" s="339"/>
    </row>
    <row r="768" spans="1:114" hidden="1" outlineLevel="1" x14ac:dyDescent="0.25">
      <c r="A768" s="2147"/>
      <c r="B768" s="549"/>
      <c r="C768" s="268"/>
      <c r="D768" s="1248" t="s">
        <v>1924</v>
      </c>
      <c r="E768" s="1248" t="s">
        <v>1808</v>
      </c>
      <c r="F768" s="1445">
        <v>1</v>
      </c>
      <c r="G768" s="2508" t="s">
        <v>855</v>
      </c>
      <c r="H768" s="2509"/>
      <c r="I768" s="2510" t="s">
        <v>1652</v>
      </c>
      <c r="J768" s="2511"/>
      <c r="K768" s="2512"/>
      <c r="P768" s="368"/>
      <c r="V768" s="366" t="str">
        <f t="shared" si="140"/>
        <v>*Electric Saturation</v>
      </c>
      <c r="W768" s="375">
        <v>1</v>
      </c>
      <c r="X768" s="348">
        <v>1</v>
      </c>
      <c r="Y768" s="348">
        <v>1</v>
      </c>
      <c r="Z768" s="348">
        <v>1</v>
      </c>
      <c r="AA768" s="348">
        <v>1</v>
      </c>
      <c r="AB768" s="375">
        <v>1</v>
      </c>
      <c r="AC768" s="375">
        <v>1</v>
      </c>
      <c r="AD768" s="375">
        <v>1</v>
      </c>
      <c r="AE768" s="375">
        <v>1</v>
      </c>
      <c r="AF768" s="253">
        <f t="shared" si="139"/>
        <v>1</v>
      </c>
      <c r="AG768" s="253">
        <f t="shared" si="137"/>
        <v>1</v>
      </c>
      <c r="AK768" s="339"/>
    </row>
    <row r="769" spans="1:114" hidden="1" outlineLevel="1" x14ac:dyDescent="0.25">
      <c r="A769" s="2147"/>
      <c r="B769" s="549"/>
      <c r="C769" s="268"/>
      <c r="D769" s="1248" t="s">
        <v>825</v>
      </c>
      <c r="E769" s="1248" t="s">
        <v>795</v>
      </c>
      <c r="F769" s="1447">
        <v>1</v>
      </c>
      <c r="G769" s="2508" t="s">
        <v>855</v>
      </c>
      <c r="H769" s="2509"/>
      <c r="I769" s="2510" t="s">
        <v>1652</v>
      </c>
      <c r="J769" s="2511"/>
      <c r="K769" s="2512"/>
      <c r="P769" s="368"/>
      <c r="V769" s="366" t="str">
        <f t="shared" si="140"/>
        <v>Utility Adjustment</v>
      </c>
      <c r="W769" s="375">
        <v>1</v>
      </c>
      <c r="X769" s="348">
        <v>1</v>
      </c>
      <c r="Y769" s="348">
        <v>1</v>
      </c>
      <c r="Z769" s="348">
        <v>1</v>
      </c>
      <c r="AA769" s="348">
        <v>1</v>
      </c>
      <c r="AB769" s="375">
        <v>1</v>
      </c>
      <c r="AC769" s="375">
        <v>1</v>
      </c>
      <c r="AD769" s="375">
        <v>1</v>
      </c>
      <c r="AE769" s="375">
        <v>1</v>
      </c>
      <c r="AF769" s="253">
        <f t="shared" si="139"/>
        <v>1</v>
      </c>
      <c r="AG769" s="253">
        <f t="shared" si="137"/>
        <v>1</v>
      </c>
      <c r="AK769" s="339"/>
    </row>
    <row r="770" spans="1:114" ht="29.65" hidden="1" customHeight="1" outlineLevel="1" x14ac:dyDescent="0.25">
      <c r="A770" s="2147"/>
      <c r="B770" s="549"/>
      <c r="C770" s="268"/>
      <c r="D770" s="333" t="s">
        <v>105</v>
      </c>
      <c r="E770" s="1279" t="s">
        <v>1653</v>
      </c>
      <c r="F770" s="1446">
        <v>0.96</v>
      </c>
      <c r="G770" s="2479" t="s">
        <v>1925</v>
      </c>
      <c r="H770" s="2480"/>
      <c r="I770" s="2481" t="s">
        <v>1655</v>
      </c>
      <c r="J770" s="2482"/>
      <c r="K770" s="2483"/>
      <c r="P770" s="368"/>
      <c r="V770" s="366" t="str">
        <f t="shared" si="140"/>
        <v>ISR</v>
      </c>
      <c r="W770" s="376">
        <v>1</v>
      </c>
      <c r="X770" s="377">
        <v>0.92857142857142905</v>
      </c>
      <c r="Y770" s="346">
        <v>0.96</v>
      </c>
      <c r="Z770" s="377">
        <v>0.96</v>
      </c>
      <c r="AA770" s="377">
        <v>0.96</v>
      </c>
      <c r="AB770" s="376">
        <v>0.96</v>
      </c>
      <c r="AC770" s="376">
        <v>0.96</v>
      </c>
      <c r="AD770" s="376">
        <v>0.96</v>
      </c>
      <c r="AE770" s="376">
        <v>0.96</v>
      </c>
      <c r="AF770" s="253">
        <f t="shared" si="139"/>
        <v>0.96</v>
      </c>
      <c r="AG770" s="253">
        <f t="shared" si="137"/>
        <v>0.96</v>
      </c>
      <c r="AK770" s="339"/>
    </row>
    <row r="771" spans="1:114" hidden="1" outlineLevel="1" x14ac:dyDescent="0.25">
      <c r="A771" s="2147"/>
      <c r="B771" s="549"/>
      <c r="D771" s="333" t="s">
        <v>1926</v>
      </c>
      <c r="E771" s="1300" t="s">
        <v>1927</v>
      </c>
      <c r="F771" s="1448">
        <v>0.55000000000000004</v>
      </c>
      <c r="G771" s="2479" t="s">
        <v>1928</v>
      </c>
      <c r="H771" s="2480"/>
      <c r="I771" s="2481"/>
      <c r="J771" s="2482"/>
      <c r="K771" s="2483"/>
      <c r="P771" s="368"/>
      <c r="V771" s="366" t="str">
        <f t="shared" si="140"/>
        <v>Pipe Diameter</v>
      </c>
      <c r="W771" s="376">
        <v>0.75</v>
      </c>
      <c r="X771" s="346">
        <v>0.55000000000000004</v>
      </c>
      <c r="Y771" s="377">
        <v>0.55000000000000004</v>
      </c>
      <c r="Z771" s="377">
        <v>0.55000000000000004</v>
      </c>
      <c r="AA771" s="377">
        <v>0.55000000000000004</v>
      </c>
      <c r="AB771" s="376">
        <v>0.55000000000000004</v>
      </c>
      <c r="AC771" s="376">
        <v>0.55000000000000004</v>
      </c>
      <c r="AD771" s="376">
        <v>0.55000000000000004</v>
      </c>
      <c r="AE771" s="376">
        <v>0.55000000000000004</v>
      </c>
      <c r="AF771" s="253">
        <f t="shared" si="139"/>
        <v>0.55000000000000004</v>
      </c>
      <c r="AG771" s="253">
        <f t="shared" si="137"/>
        <v>0.55000000000000004</v>
      </c>
      <c r="AK771" s="339"/>
    </row>
    <row r="772" spans="1:114" hidden="1" outlineLevel="1" x14ac:dyDescent="0.25">
      <c r="A772" s="2147"/>
      <c r="B772" s="549"/>
      <c r="D772" s="1248" t="s">
        <v>1929</v>
      </c>
      <c r="E772" s="1248" t="s">
        <v>1929</v>
      </c>
      <c r="F772" s="1448">
        <v>0.5</v>
      </c>
      <c r="G772" s="2479"/>
      <c r="H772" s="2480"/>
      <c r="I772" s="2481"/>
      <c r="J772" s="2482"/>
      <c r="K772" s="2483"/>
      <c r="P772" s="368"/>
      <c r="V772" s="366" t="str">
        <f t="shared" si="140"/>
        <v>Pipe wrap width</v>
      </c>
      <c r="W772" s="376">
        <v>0.5</v>
      </c>
      <c r="X772" s="167">
        <v>0.5</v>
      </c>
      <c r="Y772" s="167">
        <v>0.5</v>
      </c>
      <c r="Z772" s="167">
        <v>0.5</v>
      </c>
      <c r="AA772" s="167">
        <v>0.5</v>
      </c>
      <c r="AB772" s="376">
        <v>0.5</v>
      </c>
      <c r="AC772" s="376">
        <v>0.5</v>
      </c>
      <c r="AD772" s="376">
        <v>0.5</v>
      </c>
      <c r="AE772" s="376">
        <v>0.5</v>
      </c>
      <c r="AF772" s="253">
        <f t="shared" si="139"/>
        <v>0.5</v>
      </c>
      <c r="AG772" s="253">
        <f t="shared" si="137"/>
        <v>0.5</v>
      </c>
      <c r="AK772" s="339"/>
    </row>
    <row r="773" spans="1:114" ht="30.75" hidden="1" customHeight="1" outlineLevel="1" x14ac:dyDescent="0.25">
      <c r="A773" s="2147"/>
      <c r="B773" s="549"/>
      <c r="C773" s="1275"/>
      <c r="D773" s="1280" t="str">
        <f>D743</f>
        <v>EUL</v>
      </c>
      <c r="E773" s="1280" t="s">
        <v>1930</v>
      </c>
      <c r="F773" s="1442">
        <v>12</v>
      </c>
      <c r="G773" s="2501" t="s">
        <v>1931</v>
      </c>
      <c r="H773" s="2501"/>
      <c r="I773" s="2481"/>
      <c r="J773" s="2482"/>
      <c r="K773" s="2483"/>
      <c r="P773" s="368"/>
      <c r="V773" s="366" t="str">
        <f t="shared" si="140"/>
        <v>EUL</v>
      </c>
      <c r="W773" s="359">
        <v>12</v>
      </c>
      <c r="X773" s="311">
        <v>12</v>
      </c>
      <c r="Y773" s="311">
        <v>12</v>
      </c>
      <c r="Z773" s="237">
        <v>12</v>
      </c>
      <c r="AA773" s="237">
        <v>12</v>
      </c>
      <c r="AB773" s="360">
        <v>12</v>
      </c>
      <c r="AC773" s="360">
        <v>12</v>
      </c>
      <c r="AD773" s="360">
        <v>12</v>
      </c>
      <c r="AE773" s="360">
        <v>12</v>
      </c>
      <c r="AF773" s="253">
        <f t="shared" si="139"/>
        <v>12</v>
      </c>
      <c r="AG773" s="253">
        <f t="shared" si="137"/>
        <v>12</v>
      </c>
      <c r="AK773" s="339"/>
    </row>
    <row r="774" spans="1:114" ht="28.5" hidden="1" customHeight="1" outlineLevel="1" x14ac:dyDescent="0.25">
      <c r="A774" s="2147"/>
      <c r="B774" s="549"/>
      <c r="C774" s="1275"/>
      <c r="D774" s="1876" t="s">
        <v>51</v>
      </c>
      <c r="E774" s="1248" t="s">
        <v>1932</v>
      </c>
      <c r="F774" s="1450">
        <v>5.66</v>
      </c>
      <c r="G774" s="2479" t="s">
        <v>1933</v>
      </c>
      <c r="H774" s="2480"/>
      <c r="I774" s="2481"/>
      <c r="J774" s="2482"/>
      <c r="K774" s="2483"/>
      <c r="V774" s="1296"/>
      <c r="W774" s="361">
        <v>7.1</v>
      </c>
      <c r="X774" s="378">
        <v>7.1</v>
      </c>
      <c r="Y774" s="378">
        <v>7.1</v>
      </c>
      <c r="Z774" s="591">
        <v>7.1</v>
      </c>
      <c r="AA774" s="591">
        <v>7.1</v>
      </c>
      <c r="AB774" s="363">
        <v>5.66</v>
      </c>
      <c r="AC774" s="362">
        <v>5.66</v>
      </c>
      <c r="AD774" s="362">
        <v>5.66</v>
      </c>
      <c r="AE774" s="362">
        <v>5.66</v>
      </c>
      <c r="AF774" s="253">
        <f t="shared" si="139"/>
        <v>5.66</v>
      </c>
      <c r="AG774" s="253">
        <f t="shared" si="137"/>
        <v>5.66</v>
      </c>
      <c r="AK774" s="339"/>
    </row>
    <row r="775" spans="1:114" ht="15" hidden="1" customHeight="1" outlineLevel="1" x14ac:dyDescent="0.25">
      <c r="A775" s="2147"/>
      <c r="B775" s="1318"/>
      <c r="D775" s="1277"/>
      <c r="AG775" s="253" t="str">
        <f t="shared" si="137"/>
        <v/>
      </c>
      <c r="AK775" s="339"/>
    </row>
    <row r="776" spans="1:114" ht="15" customHeight="1" collapsed="1" x14ac:dyDescent="0.25">
      <c r="A776" s="2147"/>
      <c r="B776" s="549"/>
      <c r="F776" s="576"/>
      <c r="G776" s="576"/>
      <c r="AK776" s="339"/>
    </row>
    <row r="777" spans="1:114" x14ac:dyDescent="0.25">
      <c r="A777" s="2147"/>
      <c r="B777" s="2388" t="s">
        <v>1934</v>
      </c>
      <c r="C777" s="2389"/>
      <c r="D777" s="2389"/>
      <c r="E777" s="2389"/>
      <c r="F777" s="2389"/>
      <c r="G777" s="2389"/>
      <c r="H777" s="2389"/>
      <c r="I777" s="2390"/>
      <c r="J777" s="2390"/>
      <c r="K777" s="2390"/>
      <c r="L777" s="2390"/>
      <c r="M777" s="2390"/>
      <c r="N777" s="2390"/>
      <c r="O777" s="2390"/>
      <c r="P777" s="2390"/>
      <c r="Q777" s="2390"/>
      <c r="R777" s="2391"/>
      <c r="V777" s="2339" t="str">
        <f>B777</f>
        <v>Standard Programmable Thermostat</v>
      </c>
      <c r="W777" s="2340"/>
      <c r="X777" s="2340"/>
      <c r="Y777" s="2340"/>
      <c r="Z777" s="2340"/>
      <c r="AA777" s="2340"/>
      <c r="AB777" s="2340"/>
      <c r="AC777" s="2341"/>
      <c r="AD777" s="2341"/>
      <c r="AE777" s="2341"/>
      <c r="AF777" s="2341"/>
      <c r="AG777" s="2341"/>
      <c r="AH777" s="2341"/>
      <c r="AI777" s="2342"/>
      <c r="AK777" s="339"/>
    </row>
    <row r="778" spans="1:114" x14ac:dyDescent="0.25">
      <c r="A778" s="2147"/>
      <c r="B778" s="549"/>
      <c r="D778" s="1929" t="s">
        <v>1935</v>
      </c>
      <c r="E778" s="553"/>
      <c r="F778" s="264"/>
      <c r="G778" s="264"/>
      <c r="H778" s="264"/>
      <c r="I778" s="264"/>
      <c r="J778" s="264"/>
      <c r="K778" s="264"/>
      <c r="L778" s="554"/>
      <c r="AK778" s="339"/>
    </row>
    <row r="779" spans="1:114" ht="30" x14ac:dyDescent="0.25">
      <c r="A779" s="2147"/>
      <c r="B779" s="549"/>
      <c r="C779" s="1242" t="s">
        <v>43</v>
      </c>
      <c r="D779" s="1242" t="s">
        <v>597</v>
      </c>
      <c r="E779" s="1242" t="s">
        <v>45</v>
      </c>
      <c r="F779" s="1242" t="s">
        <v>46</v>
      </c>
      <c r="G779" s="1242" t="s">
        <v>47</v>
      </c>
      <c r="H779" s="1242" t="s">
        <v>48</v>
      </c>
      <c r="I779" s="1242" t="s">
        <v>49</v>
      </c>
      <c r="J779" s="1254" t="s">
        <v>50</v>
      </c>
      <c r="K779" s="1242" t="s">
        <v>51</v>
      </c>
      <c r="L779" s="1242" t="s">
        <v>52</v>
      </c>
      <c r="V779" s="636" t="s">
        <v>53</v>
      </c>
      <c r="W779" s="637">
        <f>W$6</f>
        <v>43252</v>
      </c>
      <c r="X779" s="637">
        <f t="shared" ref="X779:AG779" si="141">X$6</f>
        <v>43465</v>
      </c>
      <c r="Y779" s="110">
        <f t="shared" si="141"/>
        <v>43800</v>
      </c>
      <c r="Z779" s="637">
        <f t="shared" si="141"/>
        <v>43862</v>
      </c>
      <c r="AA779" s="637">
        <f t="shared" si="141"/>
        <v>44013</v>
      </c>
      <c r="AB779" s="637">
        <f t="shared" si="141"/>
        <v>44166</v>
      </c>
      <c r="AC779" s="637">
        <f t="shared" si="141"/>
        <v>44531</v>
      </c>
      <c r="AD779" s="637">
        <f t="shared" si="141"/>
        <v>44774</v>
      </c>
      <c r="AE779" s="637">
        <f t="shared" si="141"/>
        <v>45139</v>
      </c>
      <c r="AF779" s="637">
        <f t="shared" si="141"/>
        <v>45672</v>
      </c>
      <c r="AG779" s="637">
        <f t="shared" si="141"/>
        <v>45971</v>
      </c>
      <c r="AK779" s="339"/>
      <c r="DG779" s="1007" t="str">
        <f>'Efficient Products Deemed Table'!$DG$6</f>
        <v>TRC (2025)</v>
      </c>
      <c r="DH779" s="1007" t="str">
        <f>'Efficient Products Deemed Table'!$DH$6</f>
        <v>Benefit Lookup</v>
      </c>
      <c r="DI779" s="1007" t="str">
        <f>'Efficient Products Deemed Table'!$DI$6</f>
        <v>Benefits (2025 $)</v>
      </c>
      <c r="DJ779" s="1007" t="str">
        <f>'Efficient Products Deemed Table'!$DJ$6</f>
        <v>Incremental Cost (2025 $)</v>
      </c>
    </row>
    <row r="780" spans="1:114" x14ac:dyDescent="0.25">
      <c r="A780" s="2147" t="s">
        <v>602</v>
      </c>
      <c r="B780" s="1318">
        <f t="shared" ref="B780:B791" si="142">VALUE(LEFT(C780,6))</f>
        <v>403800</v>
      </c>
      <c r="C780" s="1273" t="s">
        <v>1936</v>
      </c>
      <c r="D780" s="1974" t="s">
        <v>810</v>
      </c>
      <c r="E780" s="1930" t="s">
        <v>1937</v>
      </c>
      <c r="F780" s="300">
        <f>ROUND($F$802*$F$803*1/$F$809*$F$810*$F$811*$F$812/1000,2)*0</f>
        <v>0</v>
      </c>
      <c r="G780" s="1273" t="s">
        <v>694</v>
      </c>
      <c r="H780" s="66">
        <f>VLOOKUP(G780,'CP FACTORS'!$A$3:$B$38, 2, FALSE)</f>
        <v>9.4741810000000004E-4</v>
      </c>
      <c r="I780" s="920">
        <f>ROUND(F780*H780,6)</f>
        <v>0</v>
      </c>
      <c r="J780" s="127">
        <f t="shared" ref="J780:J791" si="143">$F$835</f>
        <v>10</v>
      </c>
      <c r="K780" s="128">
        <f>$F$837</f>
        <v>70</v>
      </c>
      <c r="L780" s="1273" t="s">
        <v>63</v>
      </c>
      <c r="R780" s="510"/>
      <c r="V780" s="337" t="str">
        <f>F779</f>
        <v>kWh Annual Savings</v>
      </c>
      <c r="W780" s="323">
        <v>102.44464690909089</v>
      </c>
      <c r="X780" s="123">
        <v>439.92233999999996</v>
      </c>
      <c r="Y780" s="188">
        <v>201.39</v>
      </c>
      <c r="Z780" s="170">
        <v>201.39</v>
      </c>
      <c r="AA780" s="170">
        <v>201.39</v>
      </c>
      <c r="AB780" s="170">
        <v>201.39</v>
      </c>
      <c r="AC780" s="170">
        <v>201.39</v>
      </c>
      <c r="AD780" s="170">
        <v>201.39</v>
      </c>
      <c r="AE780" s="170">
        <v>201.39</v>
      </c>
      <c r="AF780" s="253">
        <v>0</v>
      </c>
      <c r="AG780" s="253">
        <f t="shared" ref="AG780:AG791" si="144">IF(F780&lt;&gt;"",F780,"")</f>
        <v>0</v>
      </c>
      <c r="AH780" s="114"/>
      <c r="AK780" s="339"/>
      <c r="DG780" s="993">
        <f>(DI780+DI781)/(DJ780+DJ781)</f>
        <v>0</v>
      </c>
      <c r="DH780" s="125" t="str">
        <f>CONCATENATE(G780," ",J780," Year EUL")</f>
        <v>Cooling RES 10 Year EUL</v>
      </c>
      <c r="DI780" s="945">
        <f>(INDEX('Avoided Cost Benefits'!$B$4:$B$865,MATCH(DH780,'Avoided Cost Benefits'!$A$4:$A$865,0)))*F780</f>
        <v>0</v>
      </c>
      <c r="DJ780" s="1845">
        <f t="shared" ref="DJ780:DJ791" si="145">IFERROR(K780/((1+DiscountRate)^(CurrentYear-DiscountYear)),0)</f>
        <v>70</v>
      </c>
    </row>
    <row r="781" spans="1:114" x14ac:dyDescent="0.25">
      <c r="A781" s="2147" t="s">
        <v>602</v>
      </c>
      <c r="B781" s="1318">
        <f t="shared" si="142"/>
        <v>403800</v>
      </c>
      <c r="C781" s="1273" t="s">
        <v>1936</v>
      </c>
      <c r="D781" s="1974" t="s">
        <v>810</v>
      </c>
      <c r="E781" s="1930" t="s">
        <v>1938</v>
      </c>
      <c r="F781" s="300">
        <f>ROUND($F$813*$F$819*$F$820*(1/$F$826)*$F$832*$F$833*$F$834/1000,2)*0</f>
        <v>0</v>
      </c>
      <c r="G781" s="1273" t="s">
        <v>695</v>
      </c>
      <c r="H781" s="66">
        <f>VLOOKUP(G781,'CP FACTORS'!$A$3:$B$38, 2, FALSE)</f>
        <v>0</v>
      </c>
      <c r="I781" s="920">
        <f t="shared" ref="I781:I791" si="146">ROUND(F781*H781,6)</f>
        <v>0</v>
      </c>
      <c r="J781" s="127">
        <f t="shared" si="143"/>
        <v>10</v>
      </c>
      <c r="K781" s="128">
        <v>0</v>
      </c>
      <c r="L781" s="1273" t="s">
        <v>63</v>
      </c>
      <c r="R781" s="510"/>
      <c r="V781" s="337" t="str">
        <f>V780</f>
        <v>kWh Annual Savings</v>
      </c>
      <c r="W781" s="323">
        <v>338.97776639999995</v>
      </c>
      <c r="X781" s="123">
        <v>48.891023999999994</v>
      </c>
      <c r="Y781" s="188">
        <v>30.37</v>
      </c>
      <c r="Z781" s="170">
        <v>30.37</v>
      </c>
      <c r="AA781" s="170">
        <v>30.37</v>
      </c>
      <c r="AB781" s="170">
        <v>30.37</v>
      </c>
      <c r="AC781" s="170">
        <v>30.37</v>
      </c>
      <c r="AD781" s="170">
        <v>30.37</v>
      </c>
      <c r="AE781" s="170">
        <v>30.37</v>
      </c>
      <c r="AF781" s="253">
        <v>0</v>
      </c>
      <c r="AG781" s="253">
        <f t="shared" si="144"/>
        <v>0</v>
      </c>
      <c r="AH781" s="114"/>
      <c r="AK781" s="339"/>
      <c r="DG781" s="1010"/>
      <c r="DH781" s="877" t="str">
        <f t="shared" ref="DH781:DH791" si="147">CONCATENATE(G781," ",J781," Year EUL")</f>
        <v>Heating RES 10 Year EUL</v>
      </c>
      <c r="DI781" s="527">
        <f>(INDEX('Avoided Cost Benefits'!$B$4:$B$865,MATCH(DH781,'Avoided Cost Benefits'!$A$4:$A$865,0)))*F781</f>
        <v>0</v>
      </c>
      <c r="DJ781" s="1846">
        <f t="shared" si="145"/>
        <v>0</v>
      </c>
    </row>
    <row r="782" spans="1:114" x14ac:dyDescent="0.25">
      <c r="A782" s="2147" t="s">
        <v>840</v>
      </c>
      <c r="B782" s="1318">
        <f t="shared" si="142"/>
        <v>403850</v>
      </c>
      <c r="C782" s="1273" t="s">
        <v>1939</v>
      </c>
      <c r="D782" s="1974" t="s">
        <v>810</v>
      </c>
      <c r="E782" s="1930" t="s">
        <v>1940</v>
      </c>
      <c r="F782" s="300">
        <f>ROUND(F802*F804*1/F$809*F$810*F$811*F$812/1000,2)*0</f>
        <v>0</v>
      </c>
      <c r="G782" s="1273" t="s">
        <v>694</v>
      </c>
      <c r="H782" s="66">
        <f>VLOOKUP(G782,'CP FACTORS'!$A$3:$B$38, 2, FALSE)</f>
        <v>9.4741810000000004E-4</v>
      </c>
      <c r="I782" s="920">
        <f t="shared" si="146"/>
        <v>0</v>
      </c>
      <c r="J782" s="127">
        <f t="shared" si="143"/>
        <v>10</v>
      </c>
      <c r="K782" s="128">
        <f>$F$837</f>
        <v>70</v>
      </c>
      <c r="L782" s="1273" t="s">
        <v>63</v>
      </c>
      <c r="R782" s="510"/>
      <c r="V782" s="337" t="str">
        <f>V781</f>
        <v>kWh Annual Savings</v>
      </c>
      <c r="W782" s="323">
        <v>157.60714909090908</v>
      </c>
      <c r="X782" s="123">
        <v>750.57839999999999</v>
      </c>
      <c r="Y782" s="188">
        <v>358.2</v>
      </c>
      <c r="Z782" s="170">
        <v>358.2</v>
      </c>
      <c r="AA782" s="170">
        <v>358.2</v>
      </c>
      <c r="AB782" s="170">
        <v>358.2</v>
      </c>
      <c r="AC782" s="170">
        <v>358.2</v>
      </c>
      <c r="AD782" s="170">
        <v>358.2</v>
      </c>
      <c r="AE782" s="170">
        <v>358.2</v>
      </c>
      <c r="AF782" s="253">
        <v>0</v>
      </c>
      <c r="AG782" s="253">
        <f t="shared" si="144"/>
        <v>0</v>
      </c>
      <c r="AH782" s="114"/>
      <c r="AK782" s="339"/>
      <c r="DG782" s="994">
        <f>(DI782+DI783)/(DJ782+DJ783)</f>
        <v>0</v>
      </c>
      <c r="DH782" s="125" t="str">
        <f t="shared" si="147"/>
        <v>Cooling RES 10 Year EUL</v>
      </c>
      <c r="DI782" s="527">
        <f>(INDEX('Avoided Cost Benefits'!$B$4:$B$865,MATCH(DH782,'Avoided Cost Benefits'!$A$4:$A$865,0)))*F782</f>
        <v>0</v>
      </c>
      <c r="DJ782" s="1846">
        <f t="shared" si="145"/>
        <v>70</v>
      </c>
    </row>
    <row r="783" spans="1:114" x14ac:dyDescent="0.25">
      <c r="A783" s="2147" t="s">
        <v>840</v>
      </c>
      <c r="B783" s="1318">
        <f t="shared" si="142"/>
        <v>403850</v>
      </c>
      <c r="C783" s="1273" t="s">
        <v>1939</v>
      </c>
      <c r="D783" s="1974" t="s">
        <v>810</v>
      </c>
      <c r="E783" s="1930" t="s">
        <v>1940</v>
      </c>
      <c r="F783" s="300">
        <f>ROUND(F814*F819*F821*(1/F827)*F$832*F$833*F$834/1000,2)*0</f>
        <v>0</v>
      </c>
      <c r="G783" s="1273" t="s">
        <v>695</v>
      </c>
      <c r="H783" s="66">
        <f>VLOOKUP(G783,'CP FACTORS'!$A$3:$B$38, 2, FALSE)</f>
        <v>0</v>
      </c>
      <c r="I783" s="920">
        <f t="shared" si="146"/>
        <v>0</v>
      </c>
      <c r="J783" s="127">
        <f t="shared" si="143"/>
        <v>10</v>
      </c>
      <c r="K783" s="128">
        <v>0</v>
      </c>
      <c r="L783" s="1273" t="s">
        <v>63</v>
      </c>
      <c r="R783" s="510"/>
      <c r="V783" s="337" t="str">
        <f t="shared" ref="V783:V791" si="148">V782</f>
        <v>kWh Annual Savings</v>
      </c>
      <c r="W783" s="323">
        <v>521.50425599999994</v>
      </c>
      <c r="X783" s="123">
        <v>135.59110655999999</v>
      </c>
      <c r="Y783" s="188">
        <v>87.38</v>
      </c>
      <c r="Z783" s="170">
        <v>87.38</v>
      </c>
      <c r="AA783" s="170">
        <v>87.38</v>
      </c>
      <c r="AB783" s="170">
        <v>87.38</v>
      </c>
      <c r="AC783" s="170">
        <v>87.38</v>
      </c>
      <c r="AD783" s="170">
        <v>87.38</v>
      </c>
      <c r="AE783" s="170">
        <v>87.38</v>
      </c>
      <c r="AF783" s="253">
        <v>0</v>
      </c>
      <c r="AG783" s="253">
        <f t="shared" si="144"/>
        <v>0</v>
      </c>
      <c r="AH783" s="114"/>
      <c r="AK783" s="339"/>
      <c r="DG783" s="1010"/>
      <c r="DH783" s="877" t="str">
        <f t="shared" si="147"/>
        <v>Heating RES 10 Year EUL</v>
      </c>
      <c r="DI783" s="527">
        <f>(INDEX('Avoided Cost Benefits'!$B$4:$B$865,MATCH(DH783,'Avoided Cost Benefits'!$A$4:$A$865,0)))*F783</f>
        <v>0</v>
      </c>
      <c r="DJ783" s="1846">
        <f t="shared" si="145"/>
        <v>0</v>
      </c>
    </row>
    <row r="784" spans="1:114" x14ac:dyDescent="0.25">
      <c r="A784" s="2147" t="s">
        <v>602</v>
      </c>
      <c r="B784" s="1318">
        <f t="shared" si="142"/>
        <v>403900</v>
      </c>
      <c r="C784" s="1273" t="s">
        <v>1941</v>
      </c>
      <c r="D784" s="1974" t="s">
        <v>810</v>
      </c>
      <c r="E784" s="1930" t="s">
        <v>1942</v>
      </c>
      <c r="F784" s="300">
        <f>ROUND($F$802*$F$805*1/$F$809*$F$810*$F$811*$F$812/1000,2)*0</f>
        <v>0</v>
      </c>
      <c r="G784" s="1273" t="s">
        <v>694</v>
      </c>
      <c r="H784" s="66">
        <f>VLOOKUP(G784,'CP FACTORS'!$A$3:$B$38, 2, FALSE)</f>
        <v>9.4741810000000004E-4</v>
      </c>
      <c r="I784" s="920">
        <f t="shared" si="146"/>
        <v>0</v>
      </c>
      <c r="J784" s="127">
        <f t="shared" si="143"/>
        <v>10</v>
      </c>
      <c r="K784" s="128">
        <f>$F$837</f>
        <v>70</v>
      </c>
      <c r="L784" s="1273" t="s">
        <v>63</v>
      </c>
      <c r="R784" s="510"/>
      <c r="V784" s="337" t="str">
        <f t="shared" si="148"/>
        <v>kWh Annual Savings</v>
      </c>
      <c r="W784" s="323">
        <v>102.44464690909089</v>
      </c>
      <c r="X784" s="123">
        <v>439.92233999999996</v>
      </c>
      <c r="Y784" s="188">
        <v>201.39</v>
      </c>
      <c r="Z784" s="170">
        <v>201.39</v>
      </c>
      <c r="AA784" s="170">
        <v>201.39</v>
      </c>
      <c r="AB784" s="170">
        <v>201.39</v>
      </c>
      <c r="AC784" s="170">
        <v>201.39</v>
      </c>
      <c r="AD784" s="170">
        <v>201.39</v>
      </c>
      <c r="AE784" s="170">
        <v>201.39</v>
      </c>
      <c r="AF784" s="253">
        <v>0</v>
      </c>
      <c r="AG784" s="253">
        <f t="shared" si="144"/>
        <v>0</v>
      </c>
      <c r="AH784" s="114"/>
      <c r="AK784" s="339"/>
      <c r="DG784" s="994">
        <f>(DI784+DI785)/(DJ784+DJ785)</f>
        <v>0</v>
      </c>
      <c r="DH784" s="125" t="str">
        <f t="shared" si="147"/>
        <v>Cooling RES 10 Year EUL</v>
      </c>
      <c r="DI784" s="527">
        <f>(INDEX('Avoided Cost Benefits'!$B$4:$B$865,MATCH(DH784,'Avoided Cost Benefits'!$A$4:$A$865,0)))*F784</f>
        <v>0</v>
      </c>
      <c r="DJ784" s="1846">
        <f t="shared" si="145"/>
        <v>70</v>
      </c>
    </row>
    <row r="785" spans="1:114" x14ac:dyDescent="0.25">
      <c r="A785" s="2147" t="s">
        <v>602</v>
      </c>
      <c r="B785" s="1318">
        <f t="shared" si="142"/>
        <v>403900</v>
      </c>
      <c r="C785" s="1273" t="s">
        <v>1941</v>
      </c>
      <c r="D785" s="1974" t="s">
        <v>810</v>
      </c>
      <c r="E785" s="1930" t="s">
        <v>1942</v>
      </c>
      <c r="F785" s="300">
        <f>ROUND($F$815*$F$819*$F$822*(1/$F$828)*$F$832*$F$833*$F$834/1000,2)*0</f>
        <v>0</v>
      </c>
      <c r="G785" s="1273" t="s">
        <v>695</v>
      </c>
      <c r="H785" s="66">
        <f>VLOOKUP(G785,'CP FACTORS'!$A$3:$B$38, 2, FALSE)</f>
        <v>0</v>
      </c>
      <c r="I785" s="920">
        <f t="shared" si="146"/>
        <v>0</v>
      </c>
      <c r="J785" s="127">
        <f t="shared" si="143"/>
        <v>10</v>
      </c>
      <c r="K785" s="128">
        <v>0</v>
      </c>
      <c r="L785" s="1273" t="s">
        <v>63</v>
      </c>
      <c r="R785" s="510"/>
      <c r="V785" s="337" t="str">
        <f t="shared" si="148"/>
        <v>kWh Annual Savings</v>
      </c>
      <c r="W785" s="323">
        <v>576.26220288000002</v>
      </c>
      <c r="X785" s="123">
        <v>100.36280586510264</v>
      </c>
      <c r="Y785" s="188">
        <v>62.33</v>
      </c>
      <c r="Z785" s="170">
        <v>62.33</v>
      </c>
      <c r="AA785" s="170">
        <v>62.33</v>
      </c>
      <c r="AB785" s="170">
        <v>62.33</v>
      </c>
      <c r="AC785" s="170">
        <v>62.33</v>
      </c>
      <c r="AD785" s="170">
        <v>62.33</v>
      </c>
      <c r="AE785" s="170">
        <v>62.33</v>
      </c>
      <c r="AF785" s="253">
        <v>0</v>
      </c>
      <c r="AG785" s="253">
        <f t="shared" si="144"/>
        <v>0</v>
      </c>
      <c r="AH785" s="114"/>
      <c r="AK785" s="339"/>
      <c r="DG785" s="1010"/>
      <c r="DH785" s="877" t="str">
        <f t="shared" si="147"/>
        <v>Heating RES 10 Year EUL</v>
      </c>
      <c r="DI785" s="527">
        <f>(INDEX('Avoided Cost Benefits'!$B$4:$B$865,MATCH(DH785,'Avoided Cost Benefits'!$A$4:$A$865,0)))*F785</f>
        <v>0</v>
      </c>
      <c r="DJ785" s="1846">
        <f t="shared" si="145"/>
        <v>0</v>
      </c>
    </row>
    <row r="786" spans="1:114" x14ac:dyDescent="0.25">
      <c r="A786" s="2147" t="s">
        <v>840</v>
      </c>
      <c r="B786" s="1318">
        <f t="shared" si="142"/>
        <v>403950</v>
      </c>
      <c r="C786" s="1273" t="s">
        <v>1943</v>
      </c>
      <c r="D786" s="1974" t="s">
        <v>810</v>
      </c>
      <c r="E786" s="1930" t="s">
        <v>1944</v>
      </c>
      <c r="F786" s="300">
        <f>ROUND(F802*F806*1/F$809*F$810*F$811*F$812/1000,2)*0</f>
        <v>0</v>
      </c>
      <c r="G786" s="1273" t="s">
        <v>694</v>
      </c>
      <c r="H786" s="66">
        <f>VLOOKUP(G786,'CP FACTORS'!$A$3:$B$38, 2, FALSE)</f>
        <v>9.4741810000000004E-4</v>
      </c>
      <c r="I786" s="920">
        <f t="shared" si="146"/>
        <v>0</v>
      </c>
      <c r="J786" s="127">
        <f t="shared" si="143"/>
        <v>10</v>
      </c>
      <c r="K786" s="128">
        <f>$F$837</f>
        <v>70</v>
      </c>
      <c r="L786" s="1273" t="s">
        <v>63</v>
      </c>
      <c r="R786" s="510"/>
      <c r="V786" s="337" t="str">
        <f>V785</f>
        <v>kWh Annual Savings</v>
      </c>
      <c r="W786" s="323">
        <v>157.60714909090908</v>
      </c>
      <c r="X786" s="123">
        <v>750.57839999999999</v>
      </c>
      <c r="Y786" s="188">
        <v>358.2</v>
      </c>
      <c r="Z786" s="170">
        <v>358.2</v>
      </c>
      <c r="AA786" s="170">
        <v>358.2</v>
      </c>
      <c r="AB786" s="170">
        <v>358.2</v>
      </c>
      <c r="AC786" s="170">
        <v>358.2</v>
      </c>
      <c r="AD786" s="170">
        <v>358.2</v>
      </c>
      <c r="AE786" s="170">
        <v>358.2</v>
      </c>
      <c r="AF786" s="253">
        <v>0</v>
      </c>
      <c r="AG786" s="253">
        <f t="shared" si="144"/>
        <v>0</v>
      </c>
      <c r="AH786" s="114"/>
      <c r="AK786" s="339"/>
      <c r="DG786" s="994">
        <f>(DI786+DI787)/(DJ786+DJ787)</f>
        <v>0</v>
      </c>
      <c r="DH786" s="125" t="str">
        <f t="shared" si="147"/>
        <v>Cooling RES 10 Year EUL</v>
      </c>
      <c r="DI786" s="527">
        <f>(INDEX('Avoided Cost Benefits'!$B$4:$B$865,MATCH(DH786,'Avoided Cost Benefits'!$A$4:$A$865,0)))*F786</f>
        <v>0</v>
      </c>
      <c r="DJ786" s="1846">
        <f t="shared" si="145"/>
        <v>70</v>
      </c>
    </row>
    <row r="787" spans="1:114" x14ac:dyDescent="0.25">
      <c r="A787" s="2147" t="s">
        <v>840</v>
      </c>
      <c r="B787" s="1318">
        <f t="shared" si="142"/>
        <v>403950</v>
      </c>
      <c r="C787" s="1273" t="s">
        <v>1943</v>
      </c>
      <c r="D787" s="1974" t="s">
        <v>810</v>
      </c>
      <c r="E787" s="1930" t="s">
        <v>1945</v>
      </c>
      <c r="F787" s="300">
        <f>ROUND(F816*F819*F823*(1/F829)*F$832*F$833*F$834/1000,2)*0</f>
        <v>0</v>
      </c>
      <c r="G787" s="1273" t="s">
        <v>695</v>
      </c>
      <c r="H787" s="66">
        <f>VLOOKUP(G787,'CP FACTORS'!$A$3:$B$38, 2, FALSE)</f>
        <v>0</v>
      </c>
      <c r="I787" s="920">
        <f t="shared" si="146"/>
        <v>0</v>
      </c>
      <c r="J787" s="127">
        <f t="shared" si="143"/>
        <v>10</v>
      </c>
      <c r="K787" s="128">
        <v>0</v>
      </c>
      <c r="L787" s="1273" t="s">
        <v>63</v>
      </c>
      <c r="R787" s="510"/>
      <c r="V787" s="337" t="str">
        <f t="shared" si="148"/>
        <v>kWh Annual Savings</v>
      </c>
      <c r="W787" s="323">
        <v>886.55723520000015</v>
      </c>
      <c r="X787" s="123">
        <v>230.64007463068151</v>
      </c>
      <c r="Y787" s="188">
        <v>148.63</v>
      </c>
      <c r="Z787" s="170">
        <v>148.63</v>
      </c>
      <c r="AA787" s="170">
        <v>148.63</v>
      </c>
      <c r="AB787" s="170">
        <v>148.63</v>
      </c>
      <c r="AC787" s="170">
        <v>148.63</v>
      </c>
      <c r="AD787" s="170">
        <v>148.63</v>
      </c>
      <c r="AE787" s="170">
        <v>148.63</v>
      </c>
      <c r="AF787" s="253">
        <v>0</v>
      </c>
      <c r="AG787" s="253">
        <f t="shared" si="144"/>
        <v>0</v>
      </c>
      <c r="AH787" s="114"/>
      <c r="AK787" s="339"/>
      <c r="DG787" s="1010"/>
      <c r="DH787" s="877" t="str">
        <f t="shared" si="147"/>
        <v>Heating RES 10 Year EUL</v>
      </c>
      <c r="DI787" s="527">
        <f>(INDEX('Avoided Cost Benefits'!$B$4:$B$865,MATCH(DH787,'Avoided Cost Benefits'!$A$4:$A$865,0)))*F787</f>
        <v>0</v>
      </c>
      <c r="DJ787" s="1846">
        <f t="shared" si="145"/>
        <v>0</v>
      </c>
    </row>
    <row r="788" spans="1:114" x14ac:dyDescent="0.25">
      <c r="A788" s="2147" t="s">
        <v>602</v>
      </c>
      <c r="B788" s="1318">
        <f t="shared" si="142"/>
        <v>404000</v>
      </c>
      <c r="C788" s="1273" t="s">
        <v>1946</v>
      </c>
      <c r="D788" s="1974" t="s">
        <v>810</v>
      </c>
      <c r="E788" s="1930" t="s">
        <v>1947</v>
      </c>
      <c r="F788" s="300">
        <f>ROUND($F$802*$F$807*1/$F$809*$F$810*$F$811*$F$812/1000,2)*0</f>
        <v>0</v>
      </c>
      <c r="G788" s="1273" t="s">
        <v>694</v>
      </c>
      <c r="H788" s="66">
        <f>VLOOKUP(G788,'CP FACTORS'!$A$3:$B$38, 2, FALSE)</f>
        <v>9.4741810000000004E-4</v>
      </c>
      <c r="I788" s="920">
        <f t="shared" si="146"/>
        <v>0</v>
      </c>
      <c r="J788" s="127">
        <f t="shared" si="143"/>
        <v>10</v>
      </c>
      <c r="K788" s="128">
        <f>$F$837</f>
        <v>70</v>
      </c>
      <c r="L788" s="1273" t="s">
        <v>63</v>
      </c>
      <c r="R788" s="510"/>
      <c r="V788" s="337" t="str">
        <f t="shared" si="148"/>
        <v>kWh Annual Savings</v>
      </c>
      <c r="W788" s="323">
        <v>102.44464690909089</v>
      </c>
      <c r="X788" s="123">
        <v>439.92233999999996</v>
      </c>
      <c r="Y788" s="188">
        <v>201.38901200000001</v>
      </c>
      <c r="Z788" s="170">
        <v>201.38901200000001</v>
      </c>
      <c r="AA788" s="170">
        <v>201.38901200000001</v>
      </c>
      <c r="AB788" s="170">
        <v>201.38901200000001</v>
      </c>
      <c r="AC788" s="170">
        <v>201.38901200000001</v>
      </c>
      <c r="AD788" s="170">
        <v>201.38901200000001</v>
      </c>
      <c r="AE788" s="170">
        <v>201.38901200000001</v>
      </c>
      <c r="AF788" s="253">
        <v>0</v>
      </c>
      <c r="AG788" s="253">
        <f t="shared" si="144"/>
        <v>0</v>
      </c>
      <c r="AH788" s="114"/>
      <c r="AK788" s="339"/>
      <c r="DG788" s="994">
        <f>(DI788+DI789)/(DJ788+DJ789)</f>
        <v>0</v>
      </c>
      <c r="DH788" s="125" t="str">
        <f t="shared" si="147"/>
        <v>Cooling RES 10 Year EUL</v>
      </c>
      <c r="DI788" s="527">
        <f>(INDEX('Avoided Cost Benefits'!$B$4:$B$865,MATCH(DH788,'Avoided Cost Benefits'!$A$4:$A$865,0)))*F788</f>
        <v>0</v>
      </c>
      <c r="DJ788" s="1846">
        <f t="shared" si="145"/>
        <v>70</v>
      </c>
    </row>
    <row r="789" spans="1:114" x14ac:dyDescent="0.25">
      <c r="A789" s="2147" t="s">
        <v>602</v>
      </c>
      <c r="B789" s="1318">
        <f t="shared" si="142"/>
        <v>404000</v>
      </c>
      <c r="C789" s="1273" t="s">
        <v>1946</v>
      </c>
      <c r="D789" s="1974" t="s">
        <v>810</v>
      </c>
      <c r="E789" s="1930" t="s">
        <v>1948</v>
      </c>
      <c r="F789" s="300">
        <v>0</v>
      </c>
      <c r="G789" s="1273" t="s">
        <v>695</v>
      </c>
      <c r="H789" s="66">
        <f>VLOOKUP(G789,'CP FACTORS'!$A$3:$B$38, 2, FALSE)</f>
        <v>0</v>
      </c>
      <c r="I789" s="920">
        <f t="shared" si="146"/>
        <v>0</v>
      </c>
      <c r="J789" s="127">
        <f t="shared" si="143"/>
        <v>10</v>
      </c>
      <c r="K789" s="128">
        <v>0</v>
      </c>
      <c r="L789" s="1273" t="s">
        <v>63</v>
      </c>
      <c r="R789" s="510"/>
      <c r="V789" s="337" t="str">
        <f t="shared" si="148"/>
        <v>kWh Annual Savings</v>
      </c>
      <c r="W789" s="323">
        <v>0</v>
      </c>
      <c r="X789" s="123">
        <v>0</v>
      </c>
      <c r="Y789" s="188">
        <v>0</v>
      </c>
      <c r="Z789" s="170">
        <v>0</v>
      </c>
      <c r="AA789" s="170">
        <v>0</v>
      </c>
      <c r="AB789" s="170">
        <v>0</v>
      </c>
      <c r="AC789" s="170">
        <v>0</v>
      </c>
      <c r="AD789" s="170">
        <v>0</v>
      </c>
      <c r="AE789" s="170">
        <v>0</v>
      </c>
      <c r="AF789" s="253">
        <v>0</v>
      </c>
      <c r="AG789" s="253">
        <f t="shared" si="144"/>
        <v>0</v>
      </c>
      <c r="AH789" s="114"/>
      <c r="AK789" s="339"/>
      <c r="DG789" s="1010"/>
      <c r="DH789" s="877" t="str">
        <f t="shared" si="147"/>
        <v>Heating RES 10 Year EUL</v>
      </c>
      <c r="DI789" s="527">
        <f>(INDEX('Avoided Cost Benefits'!$B$4:$B$865,MATCH(DH789,'Avoided Cost Benefits'!$A$4:$A$865,0)))*F789</f>
        <v>0</v>
      </c>
      <c r="DJ789" s="1846">
        <f t="shared" si="145"/>
        <v>0</v>
      </c>
    </row>
    <row r="790" spans="1:114" x14ac:dyDescent="0.25">
      <c r="A790" s="2147" t="s">
        <v>840</v>
      </c>
      <c r="B790" s="1318">
        <f t="shared" si="142"/>
        <v>404050</v>
      </c>
      <c r="C790" s="1273" t="s">
        <v>1949</v>
      </c>
      <c r="D790" s="1974" t="s">
        <v>810</v>
      </c>
      <c r="E790" s="1930" t="s">
        <v>1950</v>
      </c>
      <c r="F790" s="300">
        <f>ROUND(F802*F808*1/F$809*F$810*F$811*F$812/1000,2)*0</f>
        <v>0</v>
      </c>
      <c r="G790" s="1273" t="s">
        <v>694</v>
      </c>
      <c r="H790" s="66">
        <f>VLOOKUP(G790,'CP FACTORS'!$A$3:$B$38, 2, FALSE)</f>
        <v>9.4741810000000004E-4</v>
      </c>
      <c r="I790" s="920">
        <f t="shared" si="146"/>
        <v>0</v>
      </c>
      <c r="J790" s="127">
        <f t="shared" si="143"/>
        <v>10</v>
      </c>
      <c r="K790" s="128">
        <f>$F$837</f>
        <v>70</v>
      </c>
      <c r="L790" s="1273" t="s">
        <v>63</v>
      </c>
      <c r="R790" s="510"/>
      <c r="V790" s="337" t="str">
        <f>V789</f>
        <v>kWh Annual Savings</v>
      </c>
      <c r="W790" s="323">
        <v>157.60714909090908</v>
      </c>
      <c r="X790" s="123">
        <v>750.57839999999999</v>
      </c>
      <c r="Y790" s="188">
        <v>358.2</v>
      </c>
      <c r="Z790" s="170">
        <v>358.2</v>
      </c>
      <c r="AA790" s="170">
        <v>358.2</v>
      </c>
      <c r="AB790" s="170">
        <v>358.2</v>
      </c>
      <c r="AC790" s="170">
        <v>358.2</v>
      </c>
      <c r="AD790" s="170">
        <v>358.2</v>
      </c>
      <c r="AE790" s="170">
        <v>358.2</v>
      </c>
      <c r="AF790" s="253">
        <v>0</v>
      </c>
      <c r="AG790" s="253">
        <f t="shared" si="144"/>
        <v>0</v>
      </c>
      <c r="AH790" s="114"/>
      <c r="AK790" s="339"/>
      <c r="DG790" s="994">
        <f>(DI790+DI791)/(DJ790+DJ791)</f>
        <v>0</v>
      </c>
      <c r="DH790" s="125" t="str">
        <f t="shared" si="147"/>
        <v>Cooling RES 10 Year EUL</v>
      </c>
      <c r="DI790" s="527">
        <f>(INDEX('Avoided Cost Benefits'!$B$4:$B$865,MATCH(DH790,'Avoided Cost Benefits'!$A$4:$A$865,0)))*F790</f>
        <v>0</v>
      </c>
      <c r="DJ790" s="1846">
        <f t="shared" si="145"/>
        <v>70</v>
      </c>
    </row>
    <row r="791" spans="1:114" x14ac:dyDescent="0.25">
      <c r="A791" s="2147" t="s">
        <v>840</v>
      </c>
      <c r="B791" s="1318">
        <f t="shared" si="142"/>
        <v>404050</v>
      </c>
      <c r="C791" s="1273" t="s">
        <v>1949</v>
      </c>
      <c r="D791" s="1974" t="s">
        <v>810</v>
      </c>
      <c r="E791" s="1930" t="s">
        <v>1951</v>
      </c>
      <c r="F791" s="300">
        <v>0</v>
      </c>
      <c r="G791" s="1273" t="s">
        <v>695</v>
      </c>
      <c r="H791" s="66">
        <f>VLOOKUP(G791,'CP FACTORS'!$A$3:$B$38, 2, FALSE)</f>
        <v>0</v>
      </c>
      <c r="I791" s="920">
        <f t="shared" si="146"/>
        <v>0</v>
      </c>
      <c r="J791" s="127">
        <f t="shared" si="143"/>
        <v>10</v>
      </c>
      <c r="K791" s="128">
        <v>0</v>
      </c>
      <c r="L791" s="1273" t="s">
        <v>63</v>
      </c>
      <c r="R791" s="510"/>
      <c r="V791" s="337" t="str">
        <f t="shared" si="148"/>
        <v>kWh Annual Savings</v>
      </c>
      <c r="W791" s="323">
        <v>0</v>
      </c>
      <c r="X791" s="123">
        <v>0</v>
      </c>
      <c r="Y791" s="188">
        <v>0</v>
      </c>
      <c r="Z791" s="170">
        <v>0</v>
      </c>
      <c r="AA791" s="170">
        <v>0</v>
      </c>
      <c r="AB791" s="170">
        <v>0</v>
      </c>
      <c r="AC791" s="170">
        <v>0</v>
      </c>
      <c r="AD791" s="170">
        <v>0</v>
      </c>
      <c r="AE791" s="170">
        <v>0</v>
      </c>
      <c r="AF791" s="253">
        <v>0</v>
      </c>
      <c r="AG791" s="253">
        <f t="shared" si="144"/>
        <v>0</v>
      </c>
      <c r="AH791" s="114"/>
      <c r="AK791" s="339"/>
      <c r="DG791" s="1010"/>
      <c r="DH791" s="877" t="str">
        <f t="shared" si="147"/>
        <v>Heating RES 10 Year EUL</v>
      </c>
      <c r="DI791" s="527">
        <f>(INDEX('Avoided Cost Benefits'!$B$4:$B$865,MATCH(DH791,'Avoided Cost Benefits'!$A$4:$A$865,0)))*F791</f>
        <v>0</v>
      </c>
      <c r="DJ791" s="1846">
        <f t="shared" si="145"/>
        <v>0</v>
      </c>
    </row>
    <row r="792" spans="1:114" hidden="1" outlineLevel="1" x14ac:dyDescent="0.25">
      <c r="A792" s="2147"/>
      <c r="B792" s="549"/>
      <c r="D792" s="71" t="s">
        <v>95</v>
      </c>
      <c r="E792" s="126" t="s">
        <v>1952</v>
      </c>
      <c r="F792" s="921"/>
      <c r="AK792" s="339"/>
    </row>
    <row r="793" spans="1:114" ht="18" hidden="1" customHeight="1" outlineLevel="1" x14ac:dyDescent="0.25">
      <c r="A793" s="2147"/>
      <c r="B793" s="549"/>
      <c r="D793" s="74" t="s">
        <v>609</v>
      </c>
      <c r="E793" s="1050" t="s">
        <v>1953</v>
      </c>
      <c r="F793" s="281"/>
      <c r="G793" s="281"/>
      <c r="H793" s="281"/>
      <c r="I793" s="1151"/>
      <c r="J793" s="1151"/>
      <c r="K793" s="1151"/>
      <c r="L793" s="1151"/>
      <c r="AK793" s="339"/>
    </row>
    <row r="794" spans="1:114" hidden="1" outlineLevel="1" x14ac:dyDescent="0.25">
      <c r="A794" s="2147"/>
      <c r="B794" s="549"/>
      <c r="D794" s="780"/>
      <c r="E794" s="1050" t="s">
        <v>1954</v>
      </c>
      <c r="F794" s="281"/>
      <c r="G794" s="281"/>
      <c r="H794" s="281"/>
      <c r="I794" s="1151"/>
      <c r="J794" s="1151"/>
      <c r="K794" s="1151"/>
      <c r="L794" s="1151"/>
      <c r="V794" s="255" t="str">
        <f t="shared" ref="V794:V800" si="149">IF(C792&gt;0,C792," ")</f>
        <v xml:space="preserve"> </v>
      </c>
      <c r="AK794" s="339"/>
    </row>
    <row r="795" spans="1:114" hidden="1" outlineLevel="1" x14ac:dyDescent="0.25">
      <c r="A795" s="2147"/>
      <c r="B795" s="549"/>
      <c r="D795" s="780"/>
      <c r="E795" s="1050" t="s">
        <v>1955</v>
      </c>
      <c r="F795" s="281"/>
      <c r="G795" s="281"/>
      <c r="H795" s="281"/>
      <c r="I795" s="1151"/>
      <c r="J795" s="1151"/>
      <c r="K795" s="1151"/>
      <c r="L795" s="1151"/>
      <c r="V795" s="255" t="str">
        <f t="shared" si="149"/>
        <v xml:space="preserve"> </v>
      </c>
      <c r="AK795" s="339"/>
    </row>
    <row r="796" spans="1:114" hidden="1" outlineLevel="1" x14ac:dyDescent="0.25">
      <c r="A796" s="2147"/>
      <c r="B796" s="549"/>
      <c r="D796" s="780"/>
      <c r="E796" s="780"/>
      <c r="F796" s="281"/>
      <c r="G796" s="281"/>
      <c r="H796" s="281"/>
      <c r="I796" s="1151"/>
      <c r="J796" s="1151"/>
      <c r="K796" s="1151"/>
      <c r="L796" s="1151"/>
      <c r="V796" s="255" t="str">
        <f t="shared" si="149"/>
        <v xml:space="preserve"> </v>
      </c>
      <c r="AK796" s="339"/>
    </row>
    <row r="797" spans="1:114" hidden="1" outlineLevel="1" x14ac:dyDescent="0.25">
      <c r="A797" s="2147"/>
      <c r="B797" s="549"/>
      <c r="D797" s="780"/>
      <c r="E797" s="780"/>
      <c r="F797" s="281"/>
      <c r="G797" s="281"/>
      <c r="H797" s="281"/>
      <c r="I797" s="1151"/>
      <c r="J797" s="1151"/>
      <c r="K797" s="1151"/>
      <c r="L797" s="1151"/>
      <c r="V797" s="255" t="str">
        <f t="shared" si="149"/>
        <v xml:space="preserve"> </v>
      </c>
      <c r="AK797" s="339"/>
    </row>
    <row r="798" spans="1:114" hidden="1" outlineLevel="1" x14ac:dyDescent="0.25">
      <c r="A798" s="2147"/>
      <c r="B798" s="549"/>
      <c r="D798" s="780"/>
      <c r="E798" s="780"/>
      <c r="F798" s="281"/>
      <c r="G798" s="281"/>
      <c r="H798" s="281"/>
      <c r="I798" s="1151"/>
      <c r="J798" s="1151"/>
      <c r="K798" s="1151"/>
      <c r="L798" s="1151"/>
      <c r="V798" s="255" t="str">
        <f t="shared" si="149"/>
        <v xml:space="preserve"> </v>
      </c>
      <c r="AK798" s="339"/>
    </row>
    <row r="799" spans="1:114" ht="15" hidden="1" customHeight="1" outlineLevel="1" x14ac:dyDescent="0.25">
      <c r="A799" s="2147"/>
      <c r="B799" s="549"/>
      <c r="D799" s="780"/>
      <c r="E799" s="780"/>
      <c r="F799" s="281"/>
      <c r="G799" s="281"/>
      <c r="H799" s="281"/>
      <c r="I799" s="1151"/>
      <c r="J799" s="1151"/>
      <c r="K799" s="1151"/>
      <c r="L799" s="1151"/>
      <c r="V799" s="255" t="str">
        <f t="shared" si="149"/>
        <v xml:space="preserve"> </v>
      </c>
      <c r="AK799" s="339"/>
    </row>
    <row r="800" spans="1:114" hidden="1" outlineLevel="1" x14ac:dyDescent="0.25">
      <c r="A800" s="2147"/>
      <c r="B800" s="549"/>
      <c r="V800" s="255" t="str">
        <f t="shared" si="149"/>
        <v xml:space="preserve"> </v>
      </c>
      <c r="AK800" s="339"/>
    </row>
    <row r="801" spans="1:37" hidden="1" outlineLevel="1" x14ac:dyDescent="0.25">
      <c r="A801" s="2147"/>
      <c r="B801" s="549"/>
      <c r="D801" s="1309" t="s">
        <v>720</v>
      </c>
      <c r="E801" s="1309" t="s">
        <v>613</v>
      </c>
      <c r="F801" s="1242" t="s">
        <v>615</v>
      </c>
      <c r="G801" s="1242" t="s">
        <v>616</v>
      </c>
      <c r="H801" s="1242" t="s">
        <v>721</v>
      </c>
      <c r="V801" s="636" t="s">
        <v>53</v>
      </c>
      <c r="W801" s="637">
        <f>W$6</f>
        <v>43252</v>
      </c>
      <c r="X801" s="637">
        <f t="shared" ref="X801:AG801" si="150">X$6</f>
        <v>43465</v>
      </c>
      <c r="Y801" s="110">
        <f t="shared" si="150"/>
        <v>43800</v>
      </c>
      <c r="Z801" s="637">
        <f t="shared" si="150"/>
        <v>43862</v>
      </c>
      <c r="AA801" s="637">
        <f t="shared" si="150"/>
        <v>44013</v>
      </c>
      <c r="AB801" s="637">
        <f t="shared" si="150"/>
        <v>44166</v>
      </c>
      <c r="AC801" s="637">
        <f t="shared" si="150"/>
        <v>44531</v>
      </c>
      <c r="AD801" s="637">
        <f t="shared" si="150"/>
        <v>44774</v>
      </c>
      <c r="AE801" s="637">
        <f t="shared" si="150"/>
        <v>45139</v>
      </c>
      <c r="AF801" s="637">
        <f t="shared" si="150"/>
        <v>45672</v>
      </c>
      <c r="AG801" s="637">
        <f t="shared" si="150"/>
        <v>45971</v>
      </c>
      <c r="AK801" s="339"/>
    </row>
    <row r="802" spans="1:37" ht="87" hidden="1" customHeight="1" outlineLevel="1" x14ac:dyDescent="0.25">
      <c r="A802" s="2147"/>
      <c r="B802" s="549"/>
      <c r="D802" s="1291" t="s">
        <v>1386</v>
      </c>
      <c r="E802" s="1291" t="s">
        <v>753</v>
      </c>
      <c r="F802" s="1454">
        <v>869</v>
      </c>
      <c r="G802" s="1251" t="s">
        <v>1956</v>
      </c>
      <c r="H802" s="1300"/>
      <c r="V802" s="1287" t="str">
        <f>D802</f>
        <v>EFLHcool</v>
      </c>
      <c r="W802" s="261">
        <v>1215</v>
      </c>
      <c r="X802" s="283">
        <v>1215</v>
      </c>
      <c r="Y802" s="283">
        <v>869</v>
      </c>
      <c r="Z802" s="297">
        <v>869</v>
      </c>
      <c r="AA802" s="297">
        <v>869</v>
      </c>
      <c r="AB802" s="297">
        <v>869</v>
      </c>
      <c r="AC802" s="297">
        <v>869</v>
      </c>
      <c r="AD802" s="297">
        <v>869</v>
      </c>
      <c r="AE802" s="297">
        <v>869</v>
      </c>
      <c r="AF802" s="253">
        <f t="shared" ref="AF802:AF837" si="151">IF(F802&lt;&gt;"",F802,"")</f>
        <v>869</v>
      </c>
      <c r="AG802" s="261"/>
      <c r="AK802" s="339"/>
    </row>
    <row r="803" spans="1:37" ht="45" hidden="1" outlineLevel="1" x14ac:dyDescent="0.25">
      <c r="A803" s="2147"/>
      <c r="B803" s="549"/>
      <c r="D803" s="2528" t="s">
        <v>1957</v>
      </c>
      <c r="E803" s="1930" t="s">
        <v>1937</v>
      </c>
      <c r="F803" s="1461">
        <v>20240</v>
      </c>
      <c r="G803" s="1278" t="s">
        <v>1958</v>
      </c>
      <c r="H803" s="1300"/>
      <c r="V803" s="2488" t="str">
        <f>D803</f>
        <v>CapacityCooling</v>
      </c>
      <c r="W803" s="261">
        <f>0.65*36000</f>
        <v>23400</v>
      </c>
      <c r="X803" s="293">
        <v>21100</v>
      </c>
      <c r="Y803" s="282">
        <v>20240</v>
      </c>
      <c r="Z803" s="422">
        <v>20240</v>
      </c>
      <c r="AA803" s="422">
        <v>20240</v>
      </c>
      <c r="AB803" s="422">
        <v>20240</v>
      </c>
      <c r="AC803" s="745">
        <v>20240</v>
      </c>
      <c r="AD803" s="745">
        <v>20240</v>
      </c>
      <c r="AE803" s="745">
        <v>20240</v>
      </c>
      <c r="AF803" s="253">
        <f t="shared" si="151"/>
        <v>20240</v>
      </c>
      <c r="AG803" s="272"/>
      <c r="AK803" s="339"/>
    </row>
    <row r="804" spans="1:37" hidden="1" outlineLevel="1" x14ac:dyDescent="0.25">
      <c r="A804" s="2147"/>
      <c r="B804" s="549"/>
      <c r="D804" s="2528"/>
      <c r="E804" s="1930" t="s">
        <v>1940</v>
      </c>
      <c r="F804" s="1461">
        <v>36000</v>
      </c>
      <c r="G804" s="1736"/>
      <c r="H804" s="1300"/>
      <c r="V804" s="2489"/>
      <c r="W804" s="261">
        <v>36000</v>
      </c>
      <c r="X804" s="283">
        <v>36000</v>
      </c>
      <c r="Y804" s="283">
        <v>36000</v>
      </c>
      <c r="Z804" s="297">
        <v>36000</v>
      </c>
      <c r="AA804" s="297">
        <v>36000</v>
      </c>
      <c r="AB804" s="297">
        <v>36000</v>
      </c>
      <c r="AC804" s="746">
        <v>36000</v>
      </c>
      <c r="AD804" s="746">
        <v>36000</v>
      </c>
      <c r="AE804" s="746">
        <v>36000</v>
      </c>
      <c r="AF804" s="253">
        <f t="shared" si="151"/>
        <v>36000</v>
      </c>
      <c r="AG804" s="272"/>
      <c r="AK804" s="339"/>
    </row>
    <row r="805" spans="1:37" ht="45" hidden="1" outlineLevel="1" x14ac:dyDescent="0.25">
      <c r="A805" s="2147"/>
      <c r="B805" s="549"/>
      <c r="D805" s="2528"/>
      <c r="E805" s="1930" t="s">
        <v>1942</v>
      </c>
      <c r="F805" s="1461">
        <v>20240</v>
      </c>
      <c r="G805" s="1278" t="s">
        <v>1958</v>
      </c>
      <c r="H805" s="1300"/>
      <c r="V805" s="2489"/>
      <c r="W805" s="261">
        <f>0.65*36000</f>
        <v>23400</v>
      </c>
      <c r="X805" s="293">
        <v>21100</v>
      </c>
      <c r="Y805" s="282">
        <v>20240</v>
      </c>
      <c r="Z805" s="422">
        <v>20240</v>
      </c>
      <c r="AA805" s="422">
        <v>20240</v>
      </c>
      <c r="AB805" s="422">
        <v>20240</v>
      </c>
      <c r="AC805" s="745">
        <v>20240</v>
      </c>
      <c r="AD805" s="745">
        <v>20240</v>
      </c>
      <c r="AE805" s="745">
        <v>20240</v>
      </c>
      <c r="AF805" s="253">
        <f t="shared" si="151"/>
        <v>20240</v>
      </c>
      <c r="AG805" s="272"/>
      <c r="AK805" s="339"/>
    </row>
    <row r="806" spans="1:37" hidden="1" outlineLevel="1" x14ac:dyDescent="0.25">
      <c r="A806" s="2147"/>
      <c r="B806" s="549"/>
      <c r="D806" s="2528"/>
      <c r="E806" s="1930" t="s">
        <v>1945</v>
      </c>
      <c r="F806" s="1461">
        <v>36000</v>
      </c>
      <c r="G806" s="1736"/>
      <c r="H806" s="1300"/>
      <c r="V806" s="2489"/>
      <c r="W806" s="261">
        <v>36000</v>
      </c>
      <c r="X806" s="283">
        <v>36000</v>
      </c>
      <c r="Y806" s="283">
        <v>36000</v>
      </c>
      <c r="Z806" s="297">
        <v>36000</v>
      </c>
      <c r="AA806" s="297">
        <v>36000</v>
      </c>
      <c r="AB806" s="297">
        <v>36000</v>
      </c>
      <c r="AC806" s="746">
        <v>36000</v>
      </c>
      <c r="AD806" s="746">
        <v>36000</v>
      </c>
      <c r="AE806" s="746">
        <v>36000</v>
      </c>
      <c r="AF806" s="253">
        <f t="shared" si="151"/>
        <v>36000</v>
      </c>
      <c r="AG806" s="272"/>
      <c r="AK806" s="339"/>
    </row>
    <row r="807" spans="1:37" ht="45" hidden="1" outlineLevel="1" x14ac:dyDescent="0.25">
      <c r="A807" s="2147"/>
      <c r="B807" s="549"/>
      <c r="D807" s="2528"/>
      <c r="E807" s="1930" t="s">
        <v>1947</v>
      </c>
      <c r="F807" s="1461">
        <v>20240</v>
      </c>
      <c r="G807" s="1278" t="s">
        <v>1958</v>
      </c>
      <c r="H807" s="1300"/>
      <c r="V807" s="2489"/>
      <c r="W807" s="261">
        <f>0.65*36000</f>
        <v>23400</v>
      </c>
      <c r="X807" s="293">
        <v>21100</v>
      </c>
      <c r="Y807" s="282">
        <v>20240</v>
      </c>
      <c r="Z807" s="422">
        <v>20240</v>
      </c>
      <c r="AA807" s="422">
        <v>20240</v>
      </c>
      <c r="AB807" s="422">
        <v>20240</v>
      </c>
      <c r="AC807" s="745">
        <v>20240</v>
      </c>
      <c r="AD807" s="745">
        <v>20240</v>
      </c>
      <c r="AE807" s="745">
        <v>20240</v>
      </c>
      <c r="AF807" s="253">
        <f t="shared" si="151"/>
        <v>20240</v>
      </c>
      <c r="AG807" s="272"/>
      <c r="AK807" s="339"/>
    </row>
    <row r="808" spans="1:37" hidden="1" outlineLevel="1" x14ac:dyDescent="0.25">
      <c r="A808" s="2147"/>
      <c r="B808" s="549"/>
      <c r="D808" s="2528"/>
      <c r="E808" s="1930" t="s">
        <v>1951</v>
      </c>
      <c r="F808" s="1461">
        <v>36000</v>
      </c>
      <c r="G808" s="1736"/>
      <c r="H808" s="1300"/>
      <c r="V808" s="2489"/>
      <c r="W808" s="261">
        <v>36000</v>
      </c>
      <c r="X808" s="283">
        <v>36000</v>
      </c>
      <c r="Y808" s="283">
        <v>36000</v>
      </c>
      <c r="Z808" s="297">
        <v>36000</v>
      </c>
      <c r="AA808" s="297">
        <v>36000</v>
      </c>
      <c r="AB808" s="297">
        <v>36000</v>
      </c>
      <c r="AC808" s="746">
        <v>36000</v>
      </c>
      <c r="AD808" s="746">
        <v>36000</v>
      </c>
      <c r="AE808" s="746">
        <v>36000</v>
      </c>
      <c r="AF808" s="253">
        <f t="shared" si="151"/>
        <v>36000</v>
      </c>
      <c r="AG808" s="272"/>
      <c r="AK808" s="339"/>
    </row>
    <row r="809" spans="1:37" ht="75" hidden="1" outlineLevel="1" x14ac:dyDescent="0.25">
      <c r="A809" s="2147"/>
      <c r="B809" s="549"/>
      <c r="D809" s="1291" t="s">
        <v>1959</v>
      </c>
      <c r="E809" s="1291" t="s">
        <v>742</v>
      </c>
      <c r="F809" s="1462">
        <v>10</v>
      </c>
      <c r="G809" s="333" t="s">
        <v>1960</v>
      </c>
      <c r="H809" s="1278" t="s">
        <v>725</v>
      </c>
      <c r="V809" s="271" t="str">
        <f>D809</f>
        <v>SEER</v>
      </c>
      <c r="W809" s="261">
        <v>11</v>
      </c>
      <c r="X809" s="293">
        <v>10</v>
      </c>
      <c r="Y809" s="297">
        <v>10</v>
      </c>
      <c r="Z809" s="297">
        <v>10</v>
      </c>
      <c r="AA809" s="297">
        <v>10</v>
      </c>
      <c r="AB809" s="297">
        <v>10</v>
      </c>
      <c r="AC809" s="297">
        <v>10</v>
      </c>
      <c r="AD809" s="297">
        <v>10</v>
      </c>
      <c r="AE809" s="297">
        <v>10</v>
      </c>
      <c r="AF809" s="253">
        <f t="shared" si="151"/>
        <v>10</v>
      </c>
      <c r="AG809" s="261"/>
      <c r="AK809" s="339"/>
    </row>
    <row r="810" spans="1:37" ht="45" hidden="1" outlineLevel="1" x14ac:dyDescent="0.25">
      <c r="A810" s="2147"/>
      <c r="B810" s="549"/>
      <c r="D810" s="1291" t="s">
        <v>1961</v>
      </c>
      <c r="E810" s="1291" t="s">
        <v>742</v>
      </c>
      <c r="F810" s="1455">
        <v>1.9083333333333337</v>
      </c>
      <c r="G810" s="1278" t="s">
        <v>1962</v>
      </c>
      <c r="H810" s="1300"/>
      <c r="V810" s="271" t="str">
        <f>D810</f>
        <v>Sbdegreescooling</v>
      </c>
      <c r="W810" s="272">
        <v>3.67</v>
      </c>
      <c r="X810" s="379">
        <v>3.67</v>
      </c>
      <c r="Y810" s="286">
        <v>1.9083333333333337</v>
      </c>
      <c r="Z810" s="379">
        <v>1.9083333333333337</v>
      </c>
      <c r="AA810" s="379">
        <v>1.9083333333333337</v>
      </c>
      <c r="AB810" s="379">
        <v>1.9083333333333337</v>
      </c>
      <c r="AC810" s="379">
        <v>1.9083333333333337</v>
      </c>
      <c r="AD810" s="379">
        <v>1.9083333333333337</v>
      </c>
      <c r="AE810" s="379">
        <v>1.9083333333333337</v>
      </c>
      <c r="AF810" s="253">
        <f t="shared" si="151"/>
        <v>1.9083333333333337</v>
      </c>
      <c r="AG810" s="272"/>
      <c r="AK810" s="339"/>
    </row>
    <row r="811" spans="1:37" ht="60" hidden="1" outlineLevel="1" x14ac:dyDescent="0.25">
      <c r="A811" s="2147"/>
      <c r="B811" s="549"/>
      <c r="D811" s="1291" t="s">
        <v>1963</v>
      </c>
      <c r="E811" s="1291" t="s">
        <v>742</v>
      </c>
      <c r="F811" s="1458">
        <v>0.06</v>
      </c>
      <c r="G811" s="1278" t="s">
        <v>1964</v>
      </c>
      <c r="H811" s="1300"/>
      <c r="V811" s="271" t="str">
        <f>D811</f>
        <v>SFcooling</v>
      </c>
      <c r="W811" s="269">
        <v>0.06</v>
      </c>
      <c r="X811" s="284">
        <v>0.06</v>
      </c>
      <c r="Y811" s="175">
        <v>0.06</v>
      </c>
      <c r="Z811" s="173">
        <v>0.06</v>
      </c>
      <c r="AA811" s="173">
        <v>0.06</v>
      </c>
      <c r="AB811" s="173">
        <v>0.06</v>
      </c>
      <c r="AC811" s="173">
        <v>0.06</v>
      </c>
      <c r="AD811" s="173">
        <v>0.06</v>
      </c>
      <c r="AE811" s="173">
        <v>0.06</v>
      </c>
      <c r="AF811" s="253">
        <f t="shared" si="151"/>
        <v>0.06</v>
      </c>
      <c r="AG811" s="269"/>
      <c r="AK811" s="339"/>
    </row>
    <row r="812" spans="1:37" ht="45" hidden="1" outlineLevel="1" x14ac:dyDescent="0.25">
      <c r="A812" s="2147"/>
      <c r="B812" s="549"/>
      <c r="D812" s="1291" t="s">
        <v>1965</v>
      </c>
      <c r="E812" s="1291" t="s">
        <v>742</v>
      </c>
      <c r="F812" s="1458">
        <v>1</v>
      </c>
      <c r="G812" s="1278" t="s">
        <v>1966</v>
      </c>
      <c r="H812" s="121"/>
      <c r="V812" s="271" t="str">
        <f>D812</f>
        <v>EFcooling</v>
      </c>
      <c r="W812" s="269">
        <v>0.18</v>
      </c>
      <c r="X812" s="175">
        <v>1</v>
      </c>
      <c r="Y812" s="173">
        <v>1</v>
      </c>
      <c r="Z812" s="173">
        <v>1</v>
      </c>
      <c r="AA812" s="173">
        <v>1</v>
      </c>
      <c r="AB812" s="173">
        <v>1</v>
      </c>
      <c r="AC812" s="173">
        <v>1</v>
      </c>
      <c r="AD812" s="173">
        <v>1</v>
      </c>
      <c r="AE812" s="173">
        <v>1</v>
      </c>
      <c r="AF812" s="253">
        <f t="shared" si="151"/>
        <v>1</v>
      </c>
      <c r="AG812" s="269"/>
      <c r="AK812" s="339"/>
    </row>
    <row r="813" spans="1:37" hidden="1" outlineLevel="1" x14ac:dyDescent="0.25">
      <c r="A813" s="2147"/>
      <c r="B813" s="549"/>
      <c r="D813" s="2355" t="s">
        <v>251</v>
      </c>
      <c r="E813" s="1930" t="s">
        <v>1937</v>
      </c>
      <c r="F813" s="503">
        <v>1</v>
      </c>
      <c r="G813" s="1736"/>
      <c r="H813" s="1300"/>
      <c r="V813" s="2488" t="str">
        <f>D813</f>
        <v>%ElectricHeat</v>
      </c>
      <c r="W813" s="269">
        <v>1</v>
      </c>
      <c r="X813" s="284">
        <v>1</v>
      </c>
      <c r="Y813" s="284">
        <v>1</v>
      </c>
      <c r="Z813" s="173">
        <v>1</v>
      </c>
      <c r="AA813" s="173">
        <v>1</v>
      </c>
      <c r="AB813" s="173">
        <v>1</v>
      </c>
      <c r="AC813" s="173">
        <v>1</v>
      </c>
      <c r="AD813" s="173">
        <v>1</v>
      </c>
      <c r="AE813" s="173">
        <v>1</v>
      </c>
      <c r="AF813" s="253">
        <f t="shared" si="151"/>
        <v>1</v>
      </c>
      <c r="AG813" s="269"/>
      <c r="AK813" s="339"/>
    </row>
    <row r="814" spans="1:37" hidden="1" outlineLevel="1" x14ac:dyDescent="0.25">
      <c r="A814" s="2147"/>
      <c r="B814" s="549"/>
      <c r="D814" s="2356"/>
      <c r="E814" s="1930" t="s">
        <v>1940</v>
      </c>
      <c r="F814" s="503">
        <v>1</v>
      </c>
      <c r="G814" s="1736"/>
      <c r="H814" s="1300"/>
      <c r="V814" s="2489"/>
      <c r="W814" s="269">
        <v>1</v>
      </c>
      <c r="X814" s="284">
        <v>1</v>
      </c>
      <c r="Y814" s="284">
        <v>1</v>
      </c>
      <c r="Z814" s="173">
        <v>1</v>
      </c>
      <c r="AA814" s="173">
        <v>1</v>
      </c>
      <c r="AB814" s="173">
        <v>1</v>
      </c>
      <c r="AC814" s="173">
        <v>1</v>
      </c>
      <c r="AD814" s="173">
        <v>1</v>
      </c>
      <c r="AE814" s="173">
        <v>1</v>
      </c>
      <c r="AF814" s="253">
        <f t="shared" si="151"/>
        <v>1</v>
      </c>
      <c r="AG814" s="269"/>
      <c r="AK814" s="339"/>
    </row>
    <row r="815" spans="1:37" hidden="1" outlineLevel="1" x14ac:dyDescent="0.25">
      <c r="A815" s="2147"/>
      <c r="B815" s="549"/>
      <c r="D815" s="2356"/>
      <c r="E815" s="1930" t="s">
        <v>1942</v>
      </c>
      <c r="F815" s="503">
        <v>1</v>
      </c>
      <c r="G815" s="1736"/>
      <c r="H815" s="1300"/>
      <c r="V815" s="2489"/>
      <c r="W815" s="269">
        <v>1</v>
      </c>
      <c r="X815" s="284">
        <v>1</v>
      </c>
      <c r="Y815" s="284">
        <v>1</v>
      </c>
      <c r="Z815" s="173">
        <v>1</v>
      </c>
      <c r="AA815" s="173">
        <v>1</v>
      </c>
      <c r="AB815" s="173">
        <v>1</v>
      </c>
      <c r="AC815" s="173">
        <v>1</v>
      </c>
      <c r="AD815" s="173">
        <v>1</v>
      </c>
      <c r="AE815" s="173">
        <v>1</v>
      </c>
      <c r="AF815" s="253">
        <f t="shared" si="151"/>
        <v>1</v>
      </c>
      <c r="AG815" s="269"/>
      <c r="AK815" s="339"/>
    </row>
    <row r="816" spans="1:37" hidden="1" outlineLevel="1" x14ac:dyDescent="0.25">
      <c r="A816" s="2147"/>
      <c r="B816" s="549"/>
      <c r="D816" s="2356"/>
      <c r="E816" s="1930" t="s">
        <v>1945</v>
      </c>
      <c r="F816" s="503">
        <v>1</v>
      </c>
      <c r="G816" s="1736"/>
      <c r="H816" s="1300"/>
      <c r="V816" s="2489"/>
      <c r="W816" s="269">
        <v>1</v>
      </c>
      <c r="X816" s="284">
        <v>1</v>
      </c>
      <c r="Y816" s="284">
        <v>1</v>
      </c>
      <c r="Z816" s="173">
        <v>1</v>
      </c>
      <c r="AA816" s="173">
        <v>1</v>
      </c>
      <c r="AB816" s="173">
        <v>1</v>
      </c>
      <c r="AC816" s="173">
        <v>1</v>
      </c>
      <c r="AD816" s="173">
        <v>1</v>
      </c>
      <c r="AE816" s="173">
        <v>1</v>
      </c>
      <c r="AF816" s="253">
        <f t="shared" si="151"/>
        <v>1</v>
      </c>
      <c r="AG816" s="269"/>
      <c r="AK816" s="339"/>
    </row>
    <row r="817" spans="1:37" hidden="1" outlineLevel="1" x14ac:dyDescent="0.25">
      <c r="A817" s="2147"/>
      <c r="B817" s="549"/>
      <c r="D817" s="2356"/>
      <c r="E817" s="1930" t="s">
        <v>1947</v>
      </c>
      <c r="F817" s="503">
        <v>0</v>
      </c>
      <c r="G817" s="1736"/>
      <c r="H817" s="1300"/>
      <c r="V817" s="2489"/>
      <c r="W817" s="269">
        <v>0</v>
      </c>
      <c r="X817" s="284">
        <v>0</v>
      </c>
      <c r="Y817" s="284">
        <v>0</v>
      </c>
      <c r="Z817" s="173">
        <v>0</v>
      </c>
      <c r="AA817" s="173">
        <v>0</v>
      </c>
      <c r="AB817" s="173">
        <v>0</v>
      </c>
      <c r="AC817" s="173">
        <v>0</v>
      </c>
      <c r="AD817" s="173">
        <v>0</v>
      </c>
      <c r="AE817" s="173">
        <v>0</v>
      </c>
      <c r="AF817" s="253">
        <f t="shared" si="151"/>
        <v>0</v>
      </c>
      <c r="AG817" s="269"/>
      <c r="AK817" s="339"/>
    </row>
    <row r="818" spans="1:37" hidden="1" outlineLevel="1" x14ac:dyDescent="0.25">
      <c r="A818" s="2147"/>
      <c r="B818" s="549"/>
      <c r="D818" s="2356"/>
      <c r="E818" s="1930" t="s">
        <v>1951</v>
      </c>
      <c r="F818" s="503">
        <v>0</v>
      </c>
      <c r="G818" s="1736"/>
      <c r="H818" s="1300"/>
      <c r="V818" s="2489"/>
      <c r="W818" s="269">
        <v>0</v>
      </c>
      <c r="X818" s="284">
        <v>0</v>
      </c>
      <c r="Y818" s="284">
        <v>0</v>
      </c>
      <c r="Z818" s="173">
        <v>0</v>
      </c>
      <c r="AA818" s="173">
        <v>0</v>
      </c>
      <c r="AB818" s="173">
        <v>0</v>
      </c>
      <c r="AC818" s="173">
        <v>0</v>
      </c>
      <c r="AD818" s="173">
        <v>0</v>
      </c>
      <c r="AE818" s="173">
        <v>0</v>
      </c>
      <c r="AF818" s="253">
        <f t="shared" si="151"/>
        <v>0</v>
      </c>
      <c r="AG818" s="269"/>
      <c r="AK818" s="339"/>
    </row>
    <row r="819" spans="1:37" ht="32.65" hidden="1" customHeight="1" outlineLevel="1" x14ac:dyDescent="0.25">
      <c r="A819" s="2147"/>
      <c r="B819" s="549"/>
      <c r="D819" s="1298" t="s">
        <v>1777</v>
      </c>
      <c r="E819" s="1291" t="s">
        <v>753</v>
      </c>
      <c r="F819" s="1454">
        <v>1496</v>
      </c>
      <c r="G819" s="1260" t="s">
        <v>1967</v>
      </c>
      <c r="H819" s="1300"/>
      <c r="V819" s="1287" t="str">
        <f>D819</f>
        <v>EFLHheat</v>
      </c>
      <c r="W819" s="261">
        <v>2009</v>
      </c>
      <c r="X819" s="283">
        <v>2009</v>
      </c>
      <c r="Y819" s="283">
        <v>1496</v>
      </c>
      <c r="Z819" s="297">
        <v>1496</v>
      </c>
      <c r="AA819" s="297">
        <v>1496</v>
      </c>
      <c r="AB819" s="297">
        <v>1496</v>
      </c>
      <c r="AC819" s="297">
        <v>1496</v>
      </c>
      <c r="AD819" s="297">
        <v>1496</v>
      </c>
      <c r="AE819" s="297">
        <v>1496</v>
      </c>
      <c r="AF819" s="253">
        <f t="shared" si="151"/>
        <v>1496</v>
      </c>
      <c r="AG819" s="261"/>
      <c r="AK819" s="339"/>
    </row>
    <row r="820" spans="1:37" ht="45" hidden="1" outlineLevel="1" x14ac:dyDescent="0.25">
      <c r="A820" s="2147"/>
      <c r="B820" s="549"/>
      <c r="D820" s="2355" t="s">
        <v>1968</v>
      </c>
      <c r="E820" s="1930" t="s">
        <v>1937</v>
      </c>
      <c r="F820" s="1463">
        <v>20240</v>
      </c>
      <c r="G820" s="1278" t="s">
        <v>1969</v>
      </c>
      <c r="H820" s="1300"/>
      <c r="V820" s="2488" t="str">
        <f>D820</f>
        <v>CapacityHeating</v>
      </c>
      <c r="W820" s="283">
        <v>37856</v>
      </c>
      <c r="X820" s="293">
        <v>21000</v>
      </c>
      <c r="Y820" s="293">
        <v>20240</v>
      </c>
      <c r="Z820" s="297">
        <v>20240</v>
      </c>
      <c r="AA820" s="297">
        <v>20240</v>
      </c>
      <c r="AB820" s="297">
        <v>20240</v>
      </c>
      <c r="AC820" s="297">
        <v>20240</v>
      </c>
      <c r="AD820" s="297">
        <v>20240</v>
      </c>
      <c r="AE820" s="297">
        <v>20240</v>
      </c>
      <c r="AF820" s="253">
        <f t="shared" si="151"/>
        <v>20240</v>
      </c>
      <c r="AG820" s="283"/>
      <c r="AK820" s="339"/>
    </row>
    <row r="821" spans="1:37" hidden="1" outlineLevel="1" x14ac:dyDescent="0.25">
      <c r="A821" s="2147"/>
      <c r="B821" s="549"/>
      <c r="D821" s="2356"/>
      <c r="E821" s="1930" t="s">
        <v>1940</v>
      </c>
      <c r="F821" s="1463">
        <v>36000</v>
      </c>
      <c r="G821" s="1278"/>
      <c r="H821" s="1300"/>
      <c r="V821" s="2489"/>
      <c r="W821" s="283">
        <v>58240</v>
      </c>
      <c r="X821" s="283">
        <v>58240</v>
      </c>
      <c r="Y821" s="283">
        <v>58240</v>
      </c>
      <c r="Z821" s="297">
        <v>58240</v>
      </c>
      <c r="AA821" s="297">
        <v>58240</v>
      </c>
      <c r="AB821" s="297">
        <v>58240</v>
      </c>
      <c r="AC821" s="297">
        <v>58240</v>
      </c>
      <c r="AD821" s="297">
        <v>58240</v>
      </c>
      <c r="AE821" s="297">
        <v>58240</v>
      </c>
      <c r="AF821" s="253">
        <f t="shared" si="151"/>
        <v>36000</v>
      </c>
      <c r="AG821" s="283"/>
      <c r="AK821" s="339"/>
    </row>
    <row r="822" spans="1:37" ht="45" hidden="1" outlineLevel="1" x14ac:dyDescent="0.25">
      <c r="A822" s="2147"/>
      <c r="B822" s="549"/>
      <c r="D822" s="2356"/>
      <c r="E822" s="1930" t="s">
        <v>1942</v>
      </c>
      <c r="F822" s="1463">
        <v>20240</v>
      </c>
      <c r="G822" s="1278" t="s">
        <v>1969</v>
      </c>
      <c r="H822" s="1300"/>
      <c r="V822" s="2489"/>
      <c r="W822" s="283">
        <v>31368.563200000001</v>
      </c>
      <c r="X822" s="293">
        <v>21000</v>
      </c>
      <c r="Y822" s="293">
        <v>20240</v>
      </c>
      <c r="Z822" s="297">
        <v>20240</v>
      </c>
      <c r="AA822" s="297">
        <v>20240</v>
      </c>
      <c r="AB822" s="297">
        <v>20240</v>
      </c>
      <c r="AC822" s="297">
        <v>20240</v>
      </c>
      <c r="AD822" s="297">
        <v>20240</v>
      </c>
      <c r="AE822" s="297">
        <v>20240</v>
      </c>
      <c r="AF822" s="253">
        <f t="shared" si="151"/>
        <v>20240</v>
      </c>
      <c r="AG822" s="283"/>
      <c r="AK822" s="339"/>
    </row>
    <row r="823" spans="1:37" hidden="1" outlineLevel="1" x14ac:dyDescent="0.25">
      <c r="A823" s="2147"/>
      <c r="B823" s="549"/>
      <c r="D823" s="2356"/>
      <c r="E823" s="1930" t="s">
        <v>1945</v>
      </c>
      <c r="F823" s="1463">
        <v>36000</v>
      </c>
      <c r="G823" s="1278"/>
      <c r="H823" s="1300"/>
      <c r="V823" s="2489"/>
      <c r="W823" s="283">
        <v>48259.328000000001</v>
      </c>
      <c r="X823" s="283">
        <v>48259.328000000001</v>
      </c>
      <c r="Y823" s="283">
        <v>48259.328000000001</v>
      </c>
      <c r="Z823" s="297">
        <v>48259.328000000001</v>
      </c>
      <c r="AA823" s="297">
        <v>48259.328000000001</v>
      </c>
      <c r="AB823" s="297">
        <v>48259.328000000001</v>
      </c>
      <c r="AC823" s="297">
        <v>48259.328000000001</v>
      </c>
      <c r="AD823" s="297">
        <v>48259.328000000001</v>
      </c>
      <c r="AE823" s="297">
        <v>48259.328000000001</v>
      </c>
      <c r="AF823" s="253">
        <f t="shared" si="151"/>
        <v>36000</v>
      </c>
      <c r="AG823" s="283"/>
      <c r="AK823" s="339"/>
    </row>
    <row r="824" spans="1:37" hidden="1" outlineLevel="1" x14ac:dyDescent="0.25">
      <c r="A824" s="2147"/>
      <c r="B824" s="549"/>
      <c r="D824" s="2356"/>
      <c r="E824" s="1930" t="s">
        <v>1947</v>
      </c>
      <c r="F824" s="1463">
        <v>0</v>
      </c>
      <c r="G824" s="1278"/>
      <c r="H824" s="1300"/>
      <c r="V824" s="2489"/>
      <c r="W824" s="283">
        <v>0</v>
      </c>
      <c r="X824" s="283">
        <v>0</v>
      </c>
      <c r="Y824" s="283">
        <v>0</v>
      </c>
      <c r="Z824" s="297">
        <v>0</v>
      </c>
      <c r="AA824" s="297">
        <v>0</v>
      </c>
      <c r="AB824" s="297">
        <v>0</v>
      </c>
      <c r="AC824" s="297">
        <v>0</v>
      </c>
      <c r="AD824" s="297">
        <v>0</v>
      </c>
      <c r="AE824" s="297">
        <v>0</v>
      </c>
      <c r="AF824" s="253">
        <f t="shared" si="151"/>
        <v>0</v>
      </c>
      <c r="AG824" s="283"/>
      <c r="AK824" s="339"/>
    </row>
    <row r="825" spans="1:37" hidden="1" outlineLevel="1" x14ac:dyDescent="0.25">
      <c r="A825" s="2147"/>
      <c r="B825" s="549"/>
      <c r="D825" s="2356"/>
      <c r="E825" s="1930" t="s">
        <v>1951</v>
      </c>
      <c r="F825" s="1463">
        <v>0</v>
      </c>
      <c r="G825" s="1278"/>
      <c r="H825" s="1300"/>
      <c r="V825" s="2489"/>
      <c r="W825" s="283">
        <v>0</v>
      </c>
      <c r="X825" s="283">
        <v>0</v>
      </c>
      <c r="Y825" s="283">
        <v>0</v>
      </c>
      <c r="Z825" s="297">
        <v>0</v>
      </c>
      <c r="AA825" s="297">
        <v>0</v>
      </c>
      <c r="AB825" s="297">
        <v>0</v>
      </c>
      <c r="AC825" s="297">
        <v>0</v>
      </c>
      <c r="AD825" s="297">
        <v>0</v>
      </c>
      <c r="AE825" s="297">
        <v>0</v>
      </c>
      <c r="AF825" s="253">
        <f t="shared" si="151"/>
        <v>0</v>
      </c>
      <c r="AG825" s="283"/>
      <c r="AK825" s="339"/>
    </row>
    <row r="826" spans="1:37" ht="30.75" hidden="1" customHeight="1" outlineLevel="1" x14ac:dyDescent="0.25">
      <c r="A826" s="2147"/>
      <c r="B826" s="549"/>
      <c r="D826" s="2355" t="s">
        <v>1970</v>
      </c>
      <c r="E826" s="1930" t="s">
        <v>1937</v>
      </c>
      <c r="F826" s="1462">
        <v>7</v>
      </c>
      <c r="G826" s="2526" t="s">
        <v>1971</v>
      </c>
      <c r="H826" s="1300"/>
      <c r="V826" s="2488" t="str">
        <f>D826</f>
        <v>HSPF</v>
      </c>
      <c r="W826" s="381">
        <v>7</v>
      </c>
      <c r="X826" s="381">
        <v>7</v>
      </c>
      <c r="Y826" s="380">
        <v>7</v>
      </c>
      <c r="Z826" s="380">
        <v>7</v>
      </c>
      <c r="AA826" s="380">
        <v>7</v>
      </c>
      <c r="AB826" s="380">
        <v>7</v>
      </c>
      <c r="AC826" s="380">
        <v>7</v>
      </c>
      <c r="AD826" s="380">
        <v>7</v>
      </c>
      <c r="AE826" s="380">
        <v>7</v>
      </c>
      <c r="AF826" s="253">
        <f t="shared" si="151"/>
        <v>7</v>
      </c>
      <c r="AG826" s="381"/>
      <c r="AK826" s="339"/>
    </row>
    <row r="827" spans="1:37" ht="34.5" hidden="1" customHeight="1" outlineLevel="1" x14ac:dyDescent="0.25">
      <c r="A827" s="2147"/>
      <c r="B827" s="549"/>
      <c r="D827" s="2356"/>
      <c r="E827" s="1930" t="s">
        <v>1940</v>
      </c>
      <c r="F827" s="1462">
        <v>7</v>
      </c>
      <c r="G827" s="2527"/>
      <c r="H827" s="1300"/>
      <c r="V827" s="2489"/>
      <c r="W827" s="381">
        <v>7</v>
      </c>
      <c r="X827" s="381">
        <v>7</v>
      </c>
      <c r="Y827" s="380">
        <v>7</v>
      </c>
      <c r="Z827" s="380">
        <v>7</v>
      </c>
      <c r="AA827" s="380">
        <v>7</v>
      </c>
      <c r="AB827" s="380">
        <v>7</v>
      </c>
      <c r="AC827" s="380">
        <v>7</v>
      </c>
      <c r="AD827" s="380">
        <v>7</v>
      </c>
      <c r="AE827" s="380">
        <v>7</v>
      </c>
      <c r="AF827" s="253">
        <f t="shared" si="151"/>
        <v>7</v>
      </c>
      <c r="AG827" s="381"/>
      <c r="AK827" s="339"/>
    </row>
    <row r="828" spans="1:37" ht="31.5" hidden="1" customHeight="1" outlineLevel="1" x14ac:dyDescent="0.25">
      <c r="A828" s="2147"/>
      <c r="B828" s="549"/>
      <c r="D828" s="2356"/>
      <c r="E828" s="1930" t="s">
        <v>1942</v>
      </c>
      <c r="F828" s="1464">
        <f>3.41*1+7*0</f>
        <v>3.41</v>
      </c>
      <c r="G828" s="2478" t="s">
        <v>1972</v>
      </c>
      <c r="H828" s="1300"/>
      <c r="V828" s="2489"/>
      <c r="W828" s="381">
        <v>3.4119999999999999</v>
      </c>
      <c r="X828" s="1387">
        <f>3.41*1+7*0</f>
        <v>3.41</v>
      </c>
      <c r="Y828" s="957">
        <v>3.41</v>
      </c>
      <c r="Z828" s="957">
        <v>3.41</v>
      </c>
      <c r="AA828" s="957">
        <v>3.41</v>
      </c>
      <c r="AB828" s="957">
        <v>3.41</v>
      </c>
      <c r="AC828" s="957">
        <v>3.41</v>
      </c>
      <c r="AD828" s="957">
        <v>3.41</v>
      </c>
      <c r="AE828" s="957">
        <v>3.41</v>
      </c>
      <c r="AF828" s="253">
        <f t="shared" si="151"/>
        <v>3.41</v>
      </c>
      <c r="AG828" s="381"/>
      <c r="AK828" s="339"/>
    </row>
    <row r="829" spans="1:37" hidden="1" outlineLevel="1" x14ac:dyDescent="0.25">
      <c r="A829" s="2147"/>
      <c r="B829" s="549"/>
      <c r="D829" s="2356"/>
      <c r="E829" s="1930" t="s">
        <v>1945</v>
      </c>
      <c r="F829" s="1464">
        <f>3.41*1+7*0</f>
        <v>3.41</v>
      </c>
      <c r="G829" s="2478"/>
      <c r="H829" s="1300"/>
      <c r="V829" s="2489"/>
      <c r="W829" s="381">
        <v>3.4119999999999999</v>
      </c>
      <c r="X829" s="1387">
        <f>3.41*1+7*0</f>
        <v>3.41</v>
      </c>
      <c r="Y829" s="957">
        <v>3.41</v>
      </c>
      <c r="Z829" s="957">
        <v>3.41</v>
      </c>
      <c r="AA829" s="957">
        <v>3.41</v>
      </c>
      <c r="AB829" s="957">
        <v>3.41</v>
      </c>
      <c r="AC829" s="957">
        <v>3.41</v>
      </c>
      <c r="AD829" s="957">
        <v>3.41</v>
      </c>
      <c r="AE829" s="957">
        <v>3.41</v>
      </c>
      <c r="AF829" s="253">
        <f t="shared" si="151"/>
        <v>3.41</v>
      </c>
      <c r="AG829" s="381"/>
      <c r="AK829" s="339"/>
    </row>
    <row r="830" spans="1:37" hidden="1" outlineLevel="1" x14ac:dyDescent="0.25">
      <c r="A830" s="2147"/>
      <c r="B830" s="549"/>
      <c r="D830" s="2356"/>
      <c r="E830" s="1930" t="s">
        <v>1947</v>
      </c>
      <c r="F830" s="1465">
        <v>0</v>
      </c>
      <c r="G830" s="1429"/>
      <c r="H830" s="1300"/>
      <c r="V830" s="2489"/>
      <c r="W830" s="381">
        <v>0</v>
      </c>
      <c r="X830" s="381">
        <v>0</v>
      </c>
      <c r="Y830" s="380">
        <v>0</v>
      </c>
      <c r="Z830" s="380">
        <v>0</v>
      </c>
      <c r="AA830" s="380">
        <v>0</v>
      </c>
      <c r="AB830" s="380">
        <v>0</v>
      </c>
      <c r="AC830" s="380">
        <v>0</v>
      </c>
      <c r="AD830" s="380">
        <v>0</v>
      </c>
      <c r="AE830" s="380">
        <v>0</v>
      </c>
      <c r="AF830" s="253">
        <f t="shared" si="151"/>
        <v>0</v>
      </c>
      <c r="AG830" s="381"/>
      <c r="AK830" s="339"/>
    </row>
    <row r="831" spans="1:37" hidden="1" outlineLevel="1" x14ac:dyDescent="0.25">
      <c r="A831" s="2147"/>
      <c r="B831" s="549"/>
      <c r="D831" s="2356"/>
      <c r="E831" s="1930" t="s">
        <v>1951</v>
      </c>
      <c r="F831" s="1465">
        <v>0</v>
      </c>
      <c r="G831" s="1429"/>
      <c r="H831" s="1300"/>
      <c r="V831" s="2489"/>
      <c r="W831" s="381">
        <v>0</v>
      </c>
      <c r="X831" s="381">
        <v>0</v>
      </c>
      <c r="Y831" s="380">
        <v>0</v>
      </c>
      <c r="Z831" s="380">
        <v>0</v>
      </c>
      <c r="AA831" s="380">
        <v>0</v>
      </c>
      <c r="AB831" s="380">
        <v>0</v>
      </c>
      <c r="AC831" s="380">
        <v>0</v>
      </c>
      <c r="AD831" s="380">
        <v>0</v>
      </c>
      <c r="AE831" s="380">
        <v>0</v>
      </c>
      <c r="AF831" s="253">
        <f t="shared" si="151"/>
        <v>0</v>
      </c>
      <c r="AG831" s="381"/>
      <c r="AK831" s="339"/>
    </row>
    <row r="832" spans="1:37" ht="45" hidden="1" outlineLevel="1" x14ac:dyDescent="0.25">
      <c r="A832" s="2147"/>
      <c r="B832" s="549"/>
      <c r="D832" s="1291" t="s">
        <v>1973</v>
      </c>
      <c r="E832" s="1291" t="s">
        <v>742</v>
      </c>
      <c r="F832" s="1455">
        <v>1.8</v>
      </c>
      <c r="G832" s="1278" t="s">
        <v>1958</v>
      </c>
      <c r="H832" s="1300"/>
      <c r="V832" s="271" t="str">
        <f>D832</f>
        <v>Sbdegreesheating</v>
      </c>
      <c r="W832" s="285">
        <v>8</v>
      </c>
      <c r="X832" s="285">
        <v>8</v>
      </c>
      <c r="Y832" s="286">
        <v>1.8</v>
      </c>
      <c r="Z832" s="379">
        <v>1.8</v>
      </c>
      <c r="AA832" s="379">
        <v>1.8</v>
      </c>
      <c r="AB832" s="379">
        <v>1.8</v>
      </c>
      <c r="AC832" s="379">
        <v>1.8</v>
      </c>
      <c r="AD832" s="379">
        <v>1.8</v>
      </c>
      <c r="AE832" s="379">
        <v>1.8</v>
      </c>
      <c r="AF832" s="253">
        <f t="shared" si="151"/>
        <v>1.8</v>
      </c>
      <c r="AG832" s="285"/>
      <c r="AK832" s="339"/>
    </row>
    <row r="833" spans="1:114" ht="18" hidden="1" outlineLevel="1" x14ac:dyDescent="0.25">
      <c r="A833" s="2147"/>
      <c r="B833" s="549"/>
      <c r="D833" s="1291" t="s">
        <v>1974</v>
      </c>
      <c r="E833" s="121" t="s">
        <v>742</v>
      </c>
      <c r="F833" s="1458">
        <v>0.03</v>
      </c>
      <c r="G833" s="1278" t="s">
        <v>1975</v>
      </c>
      <c r="H833" s="1300"/>
      <c r="V833" s="271" t="str">
        <f>D833</f>
        <v>SFheating</v>
      </c>
      <c r="W833" s="269">
        <v>0.03</v>
      </c>
      <c r="X833" s="284">
        <v>0.03</v>
      </c>
      <c r="Y833" s="173">
        <v>0.03</v>
      </c>
      <c r="Z833" s="173">
        <v>0.03</v>
      </c>
      <c r="AA833" s="173">
        <v>0.03</v>
      </c>
      <c r="AB833" s="173">
        <v>0.03</v>
      </c>
      <c r="AC833" s="173">
        <v>0.03</v>
      </c>
      <c r="AD833" s="173">
        <v>0.03</v>
      </c>
      <c r="AE833" s="173">
        <v>0.03</v>
      </c>
      <c r="AF833" s="253">
        <f t="shared" si="151"/>
        <v>0.03</v>
      </c>
      <c r="AG833" s="284"/>
      <c r="AK833" s="339"/>
    </row>
    <row r="834" spans="1:114" ht="45" hidden="1" outlineLevel="1" x14ac:dyDescent="0.25">
      <c r="A834" s="2147"/>
      <c r="B834" s="549"/>
      <c r="D834" s="1291" t="s">
        <v>1976</v>
      </c>
      <c r="E834" s="1291" t="s">
        <v>742</v>
      </c>
      <c r="F834" s="1458">
        <v>0.13</v>
      </c>
      <c r="G834" s="1278" t="s">
        <v>1977</v>
      </c>
      <c r="H834" s="121"/>
      <c r="V834" s="271" t="str">
        <f>D834</f>
        <v>EFheating</v>
      </c>
      <c r="W834" s="284">
        <v>0.13</v>
      </c>
      <c r="X834" s="284">
        <v>0.13</v>
      </c>
      <c r="Y834" s="284">
        <v>0.13</v>
      </c>
      <c r="Z834" s="173">
        <v>0.13</v>
      </c>
      <c r="AA834" s="173">
        <v>0.13</v>
      </c>
      <c r="AB834" s="173">
        <v>0.13</v>
      </c>
      <c r="AC834" s="173">
        <v>0.13</v>
      </c>
      <c r="AD834" s="173">
        <v>0.13</v>
      </c>
      <c r="AE834" s="173">
        <v>0.13</v>
      </c>
      <c r="AF834" s="253">
        <f t="shared" si="151"/>
        <v>0.13</v>
      </c>
      <c r="AG834" s="284"/>
      <c r="AK834" s="339"/>
    </row>
    <row r="835" spans="1:114" ht="90" hidden="1" outlineLevel="1" x14ac:dyDescent="0.25">
      <c r="A835" s="2147"/>
      <c r="B835" s="549"/>
      <c r="C835" s="1275"/>
      <c r="D835" s="1280" t="str">
        <f>D773</f>
        <v>EUL</v>
      </c>
      <c r="E835" s="1280" t="str">
        <f>E773</f>
        <v>Effective Useful Life (All)</v>
      </c>
      <c r="F835" s="1441">
        <v>10</v>
      </c>
      <c r="G835" s="1278" t="s">
        <v>1978</v>
      </c>
      <c r="H835" s="1300"/>
      <c r="V835" s="271" t="str">
        <f>D835</f>
        <v>EUL</v>
      </c>
      <c r="W835" s="311">
        <v>10</v>
      </c>
      <c r="X835" s="311">
        <v>10</v>
      </c>
      <c r="Y835" s="311">
        <v>10</v>
      </c>
      <c r="Z835" s="237">
        <v>10</v>
      </c>
      <c r="AA835" s="237">
        <v>10</v>
      </c>
      <c r="AB835" s="237">
        <v>10</v>
      </c>
      <c r="AC835" s="237">
        <v>10</v>
      </c>
      <c r="AD835" s="237">
        <v>10</v>
      </c>
      <c r="AE835" s="237">
        <v>10</v>
      </c>
      <c r="AF835" s="253">
        <f t="shared" si="151"/>
        <v>10</v>
      </c>
      <c r="AG835" s="360"/>
      <c r="AK835" s="339"/>
    </row>
    <row r="836" spans="1:114" hidden="1" outlineLevel="1" x14ac:dyDescent="0.25">
      <c r="A836" s="2147"/>
      <c r="B836" s="549"/>
      <c r="C836" s="1275"/>
      <c r="D836" s="1280" t="s">
        <v>105</v>
      </c>
      <c r="E836" s="1280" t="s">
        <v>1979</v>
      </c>
      <c r="F836" s="1446">
        <v>1</v>
      </c>
      <c r="G836" s="1278" t="s">
        <v>1980</v>
      </c>
      <c r="H836" s="1300"/>
      <c r="V836" s="1287"/>
      <c r="W836" s="311"/>
      <c r="X836" s="311"/>
      <c r="Y836" s="311"/>
      <c r="Z836" s="237"/>
      <c r="AA836" s="237"/>
      <c r="AB836" s="237"/>
      <c r="AC836" s="237"/>
      <c r="AD836" s="237"/>
      <c r="AE836" s="237"/>
      <c r="AF836" s="253">
        <f t="shared" si="151"/>
        <v>1</v>
      </c>
      <c r="AG836" s="360"/>
      <c r="AK836" s="339"/>
    </row>
    <row r="837" spans="1:114" hidden="1" outlineLevel="1" x14ac:dyDescent="0.25">
      <c r="A837" s="2147"/>
      <c r="B837" s="549"/>
      <c r="C837" s="1275"/>
      <c r="D837" s="1876" t="s">
        <v>688</v>
      </c>
      <c r="E837" s="1280" t="str">
        <f>E774</f>
        <v>Incremental Cost - Direct Install (DI)</v>
      </c>
      <c r="F837" s="1466">
        <v>70</v>
      </c>
      <c r="G837" s="1278" t="s">
        <v>1981</v>
      </c>
      <c r="H837" s="1300"/>
      <c r="V837" s="1296"/>
      <c r="W837" s="361">
        <v>70</v>
      </c>
      <c r="X837" s="378">
        <v>70</v>
      </c>
      <c r="Y837" s="378">
        <v>70</v>
      </c>
      <c r="Z837" s="591">
        <v>70</v>
      </c>
      <c r="AA837" s="591">
        <v>70</v>
      </c>
      <c r="AB837" s="591">
        <v>70</v>
      </c>
      <c r="AC837" s="591">
        <v>70</v>
      </c>
      <c r="AD837" s="591">
        <v>70</v>
      </c>
      <c r="AE837" s="591">
        <v>70</v>
      </c>
      <c r="AF837" s="253">
        <f t="shared" si="151"/>
        <v>70</v>
      </c>
      <c r="AG837" s="362"/>
      <c r="AK837" s="339"/>
    </row>
    <row r="838" spans="1:114" hidden="1" outlineLevel="1" x14ac:dyDescent="0.25">
      <c r="A838" s="2147"/>
      <c r="B838" s="549"/>
      <c r="D838" s="1388"/>
      <c r="E838" s="100"/>
      <c r="F838" s="522"/>
      <c r="G838" s="576"/>
      <c r="V838" s="255" t="str">
        <f>IF(C833&gt;0,C833," ")</f>
        <v xml:space="preserve"> </v>
      </c>
      <c r="AK838" s="339"/>
    </row>
    <row r="839" spans="1:114" ht="15" hidden="1" customHeight="1" outlineLevel="1" x14ac:dyDescent="0.25">
      <c r="A839" s="2147"/>
      <c r="B839" s="549"/>
      <c r="C839" s="1275"/>
      <c r="X839" s="265"/>
      <c r="Y839" s="516" t="s">
        <v>1982</v>
      </c>
      <c r="Z839" s="303"/>
      <c r="AA839" s="303"/>
      <c r="AK839" s="339"/>
    </row>
    <row r="840" spans="1:114" ht="15" hidden="1" customHeight="1" outlineLevel="1" x14ac:dyDescent="0.25">
      <c r="A840" s="2147"/>
      <c r="B840" s="549"/>
      <c r="AK840" s="339"/>
    </row>
    <row r="841" spans="1:114" ht="15" customHeight="1" collapsed="1" x14ac:dyDescent="0.25">
      <c r="A841" s="2147"/>
      <c r="B841" s="549"/>
      <c r="AK841" s="339"/>
    </row>
    <row r="842" spans="1:114" ht="15" customHeight="1" x14ac:dyDescent="0.25">
      <c r="A842" s="2147"/>
      <c r="B842" s="2525" t="s">
        <v>1983</v>
      </c>
      <c r="C842" s="2389"/>
      <c r="D842" s="2389"/>
      <c r="E842" s="2389"/>
      <c r="F842" s="2389"/>
      <c r="G842" s="2389"/>
      <c r="H842" s="2389"/>
      <c r="I842" s="2390"/>
      <c r="J842" s="2390"/>
      <c r="K842" s="2390"/>
      <c r="L842" s="2390"/>
      <c r="M842" s="2390"/>
      <c r="N842" s="2390"/>
      <c r="O842" s="2390"/>
      <c r="P842" s="2390"/>
      <c r="Q842" s="2390"/>
      <c r="R842" s="2391"/>
      <c r="V842" s="2339" t="str">
        <f>B842</f>
        <v>LightingLED bulbs</v>
      </c>
      <c r="W842" s="2340"/>
      <c r="X842" s="2340"/>
      <c r="Y842" s="2340"/>
      <c r="Z842" s="2340"/>
      <c r="AA842" s="2340"/>
      <c r="AB842" s="2340"/>
      <c r="AC842" s="2341"/>
      <c r="AD842" s="2341"/>
      <c r="AE842" s="2341"/>
      <c r="AF842" s="2341"/>
      <c r="AG842" s="2341"/>
      <c r="AH842" s="2341"/>
      <c r="AI842" s="2342"/>
      <c r="AK842" s="339"/>
    </row>
    <row r="843" spans="1:114" x14ac:dyDescent="0.25">
      <c r="A843" s="2147"/>
      <c r="B843" s="50"/>
      <c r="C843" s="49"/>
      <c r="D843" s="100"/>
      <c r="E843" s="100"/>
      <c r="F843" s="149" t="s">
        <v>1984</v>
      </c>
      <c r="G843" s="50"/>
      <c r="H843" s="50"/>
      <c r="I843" s="50"/>
      <c r="J843" s="50"/>
      <c r="K843" s="50"/>
      <c r="L843" s="50"/>
      <c r="M843" s="50"/>
      <c r="N843" s="50"/>
      <c r="O843" s="50"/>
      <c r="AK843" s="339"/>
    </row>
    <row r="844" spans="1:114" x14ac:dyDescent="0.25">
      <c r="A844" s="2147"/>
      <c r="B844" s="50"/>
      <c r="C844" s="2486" t="s">
        <v>43</v>
      </c>
      <c r="D844" s="2486" t="s">
        <v>597</v>
      </c>
      <c r="E844" s="2486" t="s">
        <v>45</v>
      </c>
      <c r="F844" s="2486" t="s">
        <v>46</v>
      </c>
      <c r="G844" s="2486" t="s">
        <v>1985</v>
      </c>
      <c r="H844" s="2486" t="s">
        <v>1986</v>
      </c>
      <c r="I844" s="2486" t="s">
        <v>1987</v>
      </c>
      <c r="J844" s="2486" t="s">
        <v>1988</v>
      </c>
      <c r="K844" s="2486" t="s">
        <v>1989</v>
      </c>
      <c r="L844" s="2486" t="s">
        <v>1990</v>
      </c>
      <c r="M844" s="2486" t="s">
        <v>49</v>
      </c>
      <c r="N844" s="2486" t="s">
        <v>1991</v>
      </c>
      <c r="O844" s="2486" t="s">
        <v>1992</v>
      </c>
      <c r="P844" s="2523" t="s">
        <v>1605</v>
      </c>
      <c r="Q844" s="2524"/>
      <c r="R844" s="2486" t="s">
        <v>52</v>
      </c>
      <c r="AK844" s="339"/>
    </row>
    <row r="845" spans="1:114" ht="30" x14ac:dyDescent="0.25">
      <c r="A845" s="2147"/>
      <c r="B845" s="50"/>
      <c r="C845" s="2487"/>
      <c r="D845" s="2487"/>
      <c r="E845" s="2487"/>
      <c r="F845" s="2487"/>
      <c r="G845" s="2487"/>
      <c r="H845" s="2487"/>
      <c r="I845" s="2487"/>
      <c r="J845" s="2487"/>
      <c r="K845" s="2487"/>
      <c r="L845" s="2487"/>
      <c r="M845" s="2487"/>
      <c r="N845" s="2487"/>
      <c r="O845" s="2487"/>
      <c r="P845" s="1270" t="s">
        <v>757</v>
      </c>
      <c r="Q845" s="1270" t="s">
        <v>759</v>
      </c>
      <c r="R845" s="2487"/>
      <c r="V845" s="636" t="s">
        <v>53</v>
      </c>
      <c r="W845" s="637">
        <f t="shared" ref="W845:AG845" si="152">W6</f>
        <v>43252</v>
      </c>
      <c r="X845" s="637">
        <f t="shared" si="152"/>
        <v>43465</v>
      </c>
      <c r="Y845" s="637">
        <f t="shared" si="152"/>
        <v>43800</v>
      </c>
      <c r="Z845" s="637">
        <f t="shared" si="152"/>
        <v>43862</v>
      </c>
      <c r="AA845" s="637">
        <f t="shared" si="152"/>
        <v>44013</v>
      </c>
      <c r="AB845" s="637">
        <f t="shared" si="152"/>
        <v>44166</v>
      </c>
      <c r="AC845" s="637">
        <f t="shared" si="152"/>
        <v>44531</v>
      </c>
      <c r="AD845" s="637">
        <f t="shared" si="152"/>
        <v>44774</v>
      </c>
      <c r="AE845" s="637">
        <f t="shared" si="152"/>
        <v>45139</v>
      </c>
      <c r="AF845" s="637">
        <f t="shared" si="152"/>
        <v>45672</v>
      </c>
      <c r="AG845" s="637">
        <f t="shared" si="152"/>
        <v>45971</v>
      </c>
      <c r="AK845" s="339"/>
      <c r="DG845" s="1007" t="str">
        <f>'Efficient Products Deemed Table'!$DG$6</f>
        <v>TRC (2025)</v>
      </c>
      <c r="DH845" s="1007" t="str">
        <f>'Efficient Products Deemed Table'!$DH$6</f>
        <v>Benefit Lookup</v>
      </c>
      <c r="DI845" s="1007" t="str">
        <f>'Efficient Products Deemed Table'!$DI$6</f>
        <v>Benefits (2025 $)</v>
      </c>
      <c r="DJ845" s="1007" t="str">
        <f>'Efficient Products Deemed Table'!$DJ$6</f>
        <v>Incremental Cost (2025 $)</v>
      </c>
    </row>
    <row r="846" spans="1:114" x14ac:dyDescent="0.25">
      <c r="A846" s="2147" t="s">
        <v>1993</v>
      </c>
      <c r="B846" s="1318">
        <f t="shared" ref="B846:B857" si="153">VALUE(LEFT(C846,6))</f>
        <v>404450</v>
      </c>
      <c r="C846" s="18" t="s">
        <v>1994</v>
      </c>
      <c r="D846" s="2094" t="s">
        <v>863</v>
      </c>
      <c r="E846" s="1248" t="s">
        <v>1995</v>
      </c>
      <c r="F846" s="57">
        <f>ROUND(K846+L846,2)</f>
        <v>44.56</v>
      </c>
      <c r="G846" s="384" t="s">
        <v>775</v>
      </c>
      <c r="H846" s="66">
        <f>VLOOKUP(G846,'CP FACTORS'!$A$3:$B$38, 2, FALSE)</f>
        <v>1.4925290000000001E-4</v>
      </c>
      <c r="I846" s="384" t="s">
        <v>62</v>
      </c>
      <c r="J846" s="66">
        <f>VLOOKUP(I846,'CP FACTORS'!$A$3:$B$38, 2, FALSE)</f>
        <v>1.899635E-4</v>
      </c>
      <c r="K846" s="44">
        <f t="shared" ref="K846:K856" si="154">((F863-F875)*$F$896*$F$887*(1-$F$889)*($F$890*$F$892)/1000)</f>
        <v>44.563401514255574</v>
      </c>
      <c r="L846" s="508">
        <f t="shared" ref="L846:L856" si="155">((F863-F875)*(1-$F$896)*$F$887*(1-$F$889)*($F$893*$F$895)/1000)</f>
        <v>0</v>
      </c>
      <c r="M846" s="43">
        <f t="shared" ref="M846:M857" si="156">IFERROR(ROUND(((K846/F846)*H846+IFERROR((L846/F846),0)*J846)*F846,6),0)</f>
        <v>6.6509999999999998E-3</v>
      </c>
      <c r="N846" s="44">
        <f t="shared" ref="N846:N857" si="157">F$901</f>
        <v>8</v>
      </c>
      <c r="O846" s="44">
        <v>0</v>
      </c>
      <c r="P846" s="1823">
        <f t="shared" ref="P846" si="158">F906</f>
        <v>1.66</v>
      </c>
      <c r="Q846" s="1824">
        <f t="shared" ref="Q846" si="159">G906</f>
        <v>1.66</v>
      </c>
      <c r="R846" s="132" t="s">
        <v>63</v>
      </c>
      <c r="V846" s="337" t="str">
        <f>F844</f>
        <v>kWh Annual Savings</v>
      </c>
      <c r="W846" s="364">
        <v>23.12165583413233</v>
      </c>
      <c r="X846" s="385">
        <v>23.769345599999998</v>
      </c>
      <c r="Y846" s="112">
        <v>23.59</v>
      </c>
      <c r="Z846" s="17">
        <v>23.59</v>
      </c>
      <c r="AA846" s="17">
        <v>23.59</v>
      </c>
      <c r="AB846" s="395">
        <v>23.59</v>
      </c>
      <c r="AC846" s="42">
        <v>23.59</v>
      </c>
      <c r="AD846" s="42">
        <v>23.59</v>
      </c>
      <c r="AE846" s="47">
        <v>5.24</v>
      </c>
      <c r="AF846" s="253">
        <v>44.56</v>
      </c>
      <c r="AG846" s="253">
        <f t="shared" ref="AG846:AG857" si="160">IF(F846&lt;&gt;"",F846,"")</f>
        <v>44.56</v>
      </c>
      <c r="AH846" s="114"/>
      <c r="AK846" s="339"/>
      <c r="DG846" s="993">
        <f t="shared" ref="DG846:DG857" si="161">IFERROR((DI846)/(DJ846),0)</f>
        <v>10.714425002390662</v>
      </c>
      <c r="DH846" s="1272" t="str">
        <f>CONCATENATE(G846," ",N846," Year EUL")</f>
        <v>Lighting RES 8 Year EUL</v>
      </c>
      <c r="DI846" s="945">
        <f>(INDEX('Avoided Cost Benefits'!$B$4:$B$865,MATCH(DH846,'Avoided Cost Benefits'!$A$4:$A$865,0)))*F846</f>
        <v>17.785945503968499</v>
      </c>
      <c r="DJ846" s="1856">
        <f t="shared" ref="DJ846:DJ857" si="162">IFERROR(P846/((1+DiscountRate)^(CurrentYear-DiscountYear)),0)</f>
        <v>1.66</v>
      </c>
    </row>
    <row r="847" spans="1:114" x14ac:dyDescent="0.25">
      <c r="A847" s="2147" t="s">
        <v>1993</v>
      </c>
      <c r="B847" s="1318">
        <f t="shared" si="153"/>
        <v>404500</v>
      </c>
      <c r="C847" s="18" t="s">
        <v>1996</v>
      </c>
      <c r="D847" s="2094" t="s">
        <v>863</v>
      </c>
      <c r="E847" s="1248" t="s">
        <v>1997</v>
      </c>
      <c r="F847" s="57">
        <f>ROUND(K847+L847,2)</f>
        <v>22.22</v>
      </c>
      <c r="G847" s="384" t="s">
        <v>775</v>
      </c>
      <c r="H847" s="66">
        <f>VLOOKUP(G847,'CP FACTORS'!$A$3:$B$38, 2, FALSE)</f>
        <v>1.4925290000000001E-4</v>
      </c>
      <c r="I847" s="384" t="s">
        <v>62</v>
      </c>
      <c r="J847" s="66">
        <f>VLOOKUP(I847,'CP FACTORS'!$A$3:$B$38, 2, FALSE)</f>
        <v>1.899635E-4</v>
      </c>
      <c r="K847" s="151">
        <f t="shared" si="154"/>
        <v>22.216166343136237</v>
      </c>
      <c r="L847" s="508">
        <f t="shared" si="155"/>
        <v>0</v>
      </c>
      <c r="M847" s="43">
        <f t="shared" si="156"/>
        <v>3.3159999999999999E-3</v>
      </c>
      <c r="N847" s="44">
        <f t="shared" si="157"/>
        <v>8</v>
      </c>
      <c r="O847" s="44">
        <v>0</v>
      </c>
      <c r="P847" s="1823">
        <f t="shared" ref="P847:P857" si="163">F907</f>
        <v>1.45</v>
      </c>
      <c r="Q847" s="1824">
        <f t="shared" ref="Q847:Q857" si="164">G907</f>
        <v>1.45</v>
      </c>
      <c r="R847" s="132" t="s">
        <v>63</v>
      </c>
      <c r="V847" s="337" t="str">
        <f>V846</f>
        <v>kWh Annual Savings</v>
      </c>
      <c r="W847" s="364">
        <v>20.693881971548436</v>
      </c>
      <c r="X847" s="385">
        <v>22.524950447999998</v>
      </c>
      <c r="Y847" s="112">
        <v>21.12</v>
      </c>
      <c r="Z847" s="17">
        <v>21.12</v>
      </c>
      <c r="AA847" s="17">
        <v>21.12</v>
      </c>
      <c r="AB847" s="112">
        <v>22.22</v>
      </c>
      <c r="AC847" s="42">
        <v>22.22</v>
      </c>
      <c r="AD847" s="42">
        <v>22.22</v>
      </c>
      <c r="AE847" s="42">
        <v>22.22</v>
      </c>
      <c r="AF847" s="253">
        <v>22.22</v>
      </c>
      <c r="AG847" s="253">
        <f t="shared" si="160"/>
        <v>22.22</v>
      </c>
      <c r="AH847" s="114"/>
      <c r="AK847" s="339"/>
      <c r="DG847" s="993">
        <f t="shared" si="161"/>
        <v>6.1165682705717206</v>
      </c>
      <c r="DH847" s="641" t="str">
        <f t="shared" ref="DH847:DH855" si="165">CONCATENATE(G847," ",N847," Year EUL")</f>
        <v>Lighting RES 8 Year EUL</v>
      </c>
      <c r="DI847" s="527">
        <f>(INDEX('Avoided Cost Benefits'!$B$4:$B$865,MATCH(DH847,'Avoided Cost Benefits'!$A$4:$A$865,0)))*F847</f>
        <v>8.8690239923289944</v>
      </c>
      <c r="DJ847" s="1857">
        <f t="shared" si="162"/>
        <v>1.45</v>
      </c>
    </row>
    <row r="848" spans="1:114" x14ac:dyDescent="0.25">
      <c r="A848" s="2147" t="s">
        <v>1993</v>
      </c>
      <c r="B848" s="1318">
        <f t="shared" si="153"/>
        <v>404600</v>
      </c>
      <c r="C848" s="18" t="s">
        <v>1998</v>
      </c>
      <c r="D848" s="2094" t="s">
        <v>863</v>
      </c>
      <c r="E848" s="1248" t="s">
        <v>1999</v>
      </c>
      <c r="F848" s="57">
        <f t="shared" ref="F848:F857" si="166">ROUND(K848+L848,2)</f>
        <v>58.33</v>
      </c>
      <c r="G848" s="384" t="s">
        <v>775</v>
      </c>
      <c r="H848" s="66">
        <f>VLOOKUP(G848,'CP FACTORS'!$A$3:$B$38, 2, FALSE)</f>
        <v>1.4925290000000001E-4</v>
      </c>
      <c r="I848" s="384" t="s">
        <v>62</v>
      </c>
      <c r="J848" s="66">
        <f>VLOOKUP(I848,'CP FACTORS'!$A$3:$B$38, 2, FALSE)</f>
        <v>1.899635E-4</v>
      </c>
      <c r="K848" s="44">
        <f t="shared" si="154"/>
        <v>58.325628452481567</v>
      </c>
      <c r="L848" s="508">
        <f t="shared" si="155"/>
        <v>0</v>
      </c>
      <c r="M848" s="43">
        <f t="shared" si="156"/>
        <v>8.7049999999999992E-3</v>
      </c>
      <c r="N848" s="44">
        <f t="shared" si="157"/>
        <v>8</v>
      </c>
      <c r="O848" s="44">
        <v>0</v>
      </c>
      <c r="P848" s="1823">
        <f t="shared" si="163"/>
        <v>1.66</v>
      </c>
      <c r="Q848" s="1824">
        <f t="shared" si="164"/>
        <v>1.66</v>
      </c>
      <c r="R848" s="132" t="s">
        <v>63</v>
      </c>
      <c r="V848" s="337" t="str">
        <f t="shared" ref="V848:V857" si="167">V847</f>
        <v>kWh Annual Savings</v>
      </c>
      <c r="W848" s="364">
        <v>42.871403525787038</v>
      </c>
      <c r="X848" s="251">
        <v>46.853574768000001</v>
      </c>
      <c r="Y848" s="160">
        <v>27.52</v>
      </c>
      <c r="Z848" s="20">
        <v>27.52</v>
      </c>
      <c r="AA848" s="20">
        <v>27.52</v>
      </c>
      <c r="AB848" s="395">
        <v>27.52</v>
      </c>
      <c r="AC848" s="42">
        <v>27.52</v>
      </c>
      <c r="AD848" s="42">
        <v>27.52</v>
      </c>
      <c r="AE848" s="47">
        <v>5.5</v>
      </c>
      <c r="AF848" s="253">
        <v>58.33</v>
      </c>
      <c r="AG848" s="253">
        <f t="shared" si="160"/>
        <v>58.33</v>
      </c>
      <c r="AH848" s="114"/>
      <c r="AK848" s="339"/>
      <c r="DG848" s="993">
        <f t="shared" si="161"/>
        <v>14.025413159547739</v>
      </c>
      <c r="DH848" s="641" t="str">
        <f t="shared" si="165"/>
        <v>Lighting RES 8 Year EUL</v>
      </c>
      <c r="DI848" s="527">
        <f>(INDEX('Avoided Cost Benefits'!$B$4:$B$865,MATCH(DH848,'Avoided Cost Benefits'!$A$4:$A$865,0)))*F848</f>
        <v>23.282185844849245</v>
      </c>
      <c r="DJ848" s="1857">
        <f t="shared" si="162"/>
        <v>1.66</v>
      </c>
    </row>
    <row r="849" spans="1:114" x14ac:dyDescent="0.25">
      <c r="A849" s="2147" t="s">
        <v>1993</v>
      </c>
      <c r="B849" s="1318">
        <f t="shared" si="153"/>
        <v>404650</v>
      </c>
      <c r="C849" s="18" t="s">
        <v>2000</v>
      </c>
      <c r="D849" s="2094" t="s">
        <v>863</v>
      </c>
      <c r="E849" s="1248" t="s">
        <v>2001</v>
      </c>
      <c r="F849" s="57">
        <f>ROUND(K849+L849,2)</f>
        <v>27.79</v>
      </c>
      <c r="G849" s="384" t="s">
        <v>775</v>
      </c>
      <c r="H849" s="66">
        <f>VLOOKUP(G849,'CP FACTORS'!$A$3:$B$38, 2, FALSE)</f>
        <v>1.4925290000000001E-4</v>
      </c>
      <c r="I849" s="384" t="s">
        <v>62</v>
      </c>
      <c r="J849" s="66">
        <f>VLOOKUP(I849,'CP FACTORS'!$A$3:$B$38, 2, FALSE)</f>
        <v>1.899635E-4</v>
      </c>
      <c r="K849" s="44">
        <f t="shared" si="154"/>
        <v>27.786591532418186</v>
      </c>
      <c r="L849" s="508">
        <f t="shared" si="155"/>
        <v>0</v>
      </c>
      <c r="M849" s="43">
        <f t="shared" si="156"/>
        <v>4.1469999999999996E-3</v>
      </c>
      <c r="N849" s="44">
        <f t="shared" si="157"/>
        <v>8</v>
      </c>
      <c r="O849" s="44">
        <v>0</v>
      </c>
      <c r="P849" s="1823">
        <f t="shared" si="163"/>
        <v>1.45</v>
      </c>
      <c r="Q849" s="1824">
        <f t="shared" si="164"/>
        <v>1.45</v>
      </c>
      <c r="R849" s="132" t="s">
        <v>63</v>
      </c>
      <c r="V849" s="337" t="str">
        <f t="shared" si="167"/>
        <v>kWh Annual Savings</v>
      </c>
      <c r="W849" s="364">
        <v>27.232172426866967</v>
      </c>
      <c r="X849" s="385">
        <v>29.641772160000002</v>
      </c>
      <c r="Y849" s="112">
        <v>27.79</v>
      </c>
      <c r="Z849" s="17">
        <v>27.79</v>
      </c>
      <c r="AA849" s="17">
        <v>27.79</v>
      </c>
      <c r="AB849" s="395">
        <v>27.79</v>
      </c>
      <c r="AC849" s="42">
        <v>27.79</v>
      </c>
      <c r="AD849" s="42">
        <v>27.79</v>
      </c>
      <c r="AE849" s="42">
        <v>27.79</v>
      </c>
      <c r="AF849" s="253">
        <v>27.79</v>
      </c>
      <c r="AG849" s="253">
        <f t="shared" si="160"/>
        <v>27.79</v>
      </c>
      <c r="AH849" s="114"/>
      <c r="AK849" s="339"/>
      <c r="DG849" s="993">
        <f t="shared" si="161"/>
        <v>7.6498394347069363</v>
      </c>
      <c r="DH849" s="641" t="str">
        <f t="shared" si="165"/>
        <v>Lighting RES 8 Year EUL</v>
      </c>
      <c r="DI849" s="527">
        <f>(INDEX('Avoided Cost Benefits'!$B$4:$B$865,MATCH(DH849,'Avoided Cost Benefits'!$A$4:$A$865,0)))*F849</f>
        <v>11.092267180325058</v>
      </c>
      <c r="DJ849" s="1857">
        <f t="shared" si="162"/>
        <v>1.45</v>
      </c>
    </row>
    <row r="850" spans="1:114" x14ac:dyDescent="0.25">
      <c r="A850" s="2147" t="s">
        <v>1993</v>
      </c>
      <c r="B850" s="1318">
        <f t="shared" si="153"/>
        <v>404651</v>
      </c>
      <c r="C850" s="18" t="s">
        <v>2002</v>
      </c>
      <c r="D850" s="2094" t="s">
        <v>863</v>
      </c>
      <c r="E850" s="1248" t="s">
        <v>2003</v>
      </c>
      <c r="F850" s="57">
        <f>ROUND(K850+L850,2)</f>
        <v>41.94</v>
      </c>
      <c r="G850" s="384" t="s">
        <v>775</v>
      </c>
      <c r="H850" s="66">
        <f>VLOOKUP(G850,'CP FACTORS'!$A$3:$B$38, 2, FALSE)</f>
        <v>1.4925290000000001E-4</v>
      </c>
      <c r="I850" s="384" t="s">
        <v>62</v>
      </c>
      <c r="J850" s="66">
        <f>VLOOKUP(I850,'CP FACTORS'!$A$3:$B$38, 2, FALSE)</f>
        <v>1.899635E-4</v>
      </c>
      <c r="K850" s="44">
        <f t="shared" si="154"/>
        <v>41.942024954593478</v>
      </c>
      <c r="L850" s="508">
        <f t="shared" si="155"/>
        <v>0</v>
      </c>
      <c r="M850" s="43">
        <f t="shared" si="156"/>
        <v>6.2599999999999999E-3</v>
      </c>
      <c r="N850" s="44">
        <f t="shared" si="157"/>
        <v>8</v>
      </c>
      <c r="O850" s="44">
        <v>0</v>
      </c>
      <c r="P850" s="1823">
        <f t="shared" si="163"/>
        <v>1.66</v>
      </c>
      <c r="Q850" s="1824">
        <f t="shared" si="164"/>
        <v>1.66</v>
      </c>
      <c r="R850" s="132" t="s">
        <v>63</v>
      </c>
      <c r="V850" s="337" t="str">
        <f t="shared" si="167"/>
        <v>kWh Annual Savings</v>
      </c>
      <c r="W850" s="364"/>
      <c r="X850" s="385"/>
      <c r="Y850" s="112"/>
      <c r="Z850" s="17"/>
      <c r="AA850" s="17"/>
      <c r="AB850" s="112">
        <v>28.84</v>
      </c>
      <c r="AC850" s="42">
        <v>35.39</v>
      </c>
      <c r="AD850" s="42">
        <v>35.39</v>
      </c>
      <c r="AE850" s="42">
        <v>35.39</v>
      </c>
      <c r="AF850" s="253">
        <v>41.94</v>
      </c>
      <c r="AG850" s="253">
        <f t="shared" si="160"/>
        <v>41.94</v>
      </c>
      <c r="AH850" s="114"/>
      <c r="AK850" s="339"/>
      <c r="DG850" s="993">
        <f t="shared" si="161"/>
        <v>10.084447589772537</v>
      </c>
      <c r="DH850" s="641" t="str">
        <f>CONCATENATE(G850," ",N850," Year EUL")</f>
        <v>Lighting RES 8 Year EUL</v>
      </c>
      <c r="DI850" s="527">
        <f>(INDEX('Avoided Cost Benefits'!$B$4:$B$865,MATCH(DH850,'Avoided Cost Benefits'!$A$4:$A$865,0)))*F850</f>
        <v>16.740182999022412</v>
      </c>
      <c r="DJ850" s="1857">
        <f t="shared" si="162"/>
        <v>1.66</v>
      </c>
    </row>
    <row r="851" spans="1:114" x14ac:dyDescent="0.25">
      <c r="A851" s="2147" t="s">
        <v>1993</v>
      </c>
      <c r="B851" s="1318">
        <f t="shared" si="153"/>
        <v>404700</v>
      </c>
      <c r="C851" s="18" t="s">
        <v>2004</v>
      </c>
      <c r="D851" s="2094" t="s">
        <v>863</v>
      </c>
      <c r="E851" s="1248" t="s">
        <v>2005</v>
      </c>
      <c r="F851" s="57">
        <f t="shared" si="166"/>
        <v>69.47</v>
      </c>
      <c r="G851" s="384" t="s">
        <v>775</v>
      </c>
      <c r="H851" s="66">
        <f>VLOOKUP(G851,'CP FACTORS'!$A$3:$B$38, 2, FALSE)</f>
        <v>1.4925290000000001E-4</v>
      </c>
      <c r="I851" s="384" t="s">
        <v>62</v>
      </c>
      <c r="J851" s="66">
        <f>VLOOKUP(I851,'CP FACTORS'!$A$3:$B$38, 2, FALSE)</f>
        <v>1.899635E-4</v>
      </c>
      <c r="K851" s="44">
        <f t="shared" si="154"/>
        <v>69.466478831045464</v>
      </c>
      <c r="L851" s="508">
        <f t="shared" si="155"/>
        <v>0</v>
      </c>
      <c r="M851" s="43">
        <f t="shared" si="156"/>
        <v>1.0368E-2</v>
      </c>
      <c r="N851" s="44">
        <f t="shared" si="157"/>
        <v>8</v>
      </c>
      <c r="O851" s="44">
        <v>0</v>
      </c>
      <c r="P851" s="1823">
        <f t="shared" si="163"/>
        <v>1.66</v>
      </c>
      <c r="Q851" s="1824">
        <f t="shared" si="164"/>
        <v>1.66</v>
      </c>
      <c r="R851" s="132" t="s">
        <v>63</v>
      </c>
      <c r="V851" s="337" t="str">
        <f t="shared" si="167"/>
        <v>kWh Annual Savings</v>
      </c>
      <c r="W851" s="364">
        <v>32.691452276592656</v>
      </c>
      <c r="X851" s="385">
        <v>28.663034399999997</v>
      </c>
      <c r="Y851" s="112">
        <v>26.87</v>
      </c>
      <c r="Z851" s="17">
        <v>26.87</v>
      </c>
      <c r="AA851" s="17">
        <v>26.87</v>
      </c>
      <c r="AB851" s="395">
        <v>26.87</v>
      </c>
      <c r="AC851" s="42">
        <v>26.87</v>
      </c>
      <c r="AD851" s="42">
        <v>26.87</v>
      </c>
      <c r="AE851" s="42">
        <v>26.87</v>
      </c>
      <c r="AF851" s="253">
        <v>69.47</v>
      </c>
      <c r="AG851" s="253">
        <f t="shared" si="160"/>
        <v>69.47</v>
      </c>
      <c r="AH851" s="114"/>
      <c r="AK851" s="339"/>
      <c r="DG851" s="993">
        <f t="shared" si="161"/>
        <v>16.704019410145406</v>
      </c>
      <c r="DH851" s="641" t="str">
        <f t="shared" si="165"/>
        <v>Lighting RES 8 Year EUL</v>
      </c>
      <c r="DI851" s="527">
        <f>(INDEX('Avoided Cost Benefits'!$B$4:$B$865,MATCH(DH851,'Avoided Cost Benefits'!$A$4:$A$865,0)))*F851</f>
        <v>27.728672220841371</v>
      </c>
      <c r="DJ851" s="1857">
        <f t="shared" si="162"/>
        <v>1.66</v>
      </c>
    </row>
    <row r="852" spans="1:114" x14ac:dyDescent="0.25">
      <c r="A852" s="2147" t="s">
        <v>1993</v>
      </c>
      <c r="B852" s="1318">
        <f t="shared" si="153"/>
        <v>404750</v>
      </c>
      <c r="C852" s="18" t="s">
        <v>2006</v>
      </c>
      <c r="D852" s="2094" t="s">
        <v>863</v>
      </c>
      <c r="E852" s="1248" t="s">
        <v>2007</v>
      </c>
      <c r="F852" s="57">
        <f t="shared" si="166"/>
        <v>87.16</v>
      </c>
      <c r="G852" s="384" t="s">
        <v>775</v>
      </c>
      <c r="H852" s="66">
        <f>VLOOKUP(G852,'CP FACTORS'!$A$3:$B$38, 2, FALSE)</f>
        <v>1.4925290000000001E-4</v>
      </c>
      <c r="I852" s="384" t="s">
        <v>62</v>
      </c>
      <c r="J852" s="66">
        <f>VLOOKUP(I852,'CP FACTORS'!$A$3:$B$38, 2, FALSE)</f>
        <v>1.899635E-4</v>
      </c>
      <c r="K852" s="44">
        <f t="shared" si="154"/>
        <v>87.160770608764579</v>
      </c>
      <c r="L852" s="508">
        <f t="shared" si="155"/>
        <v>0</v>
      </c>
      <c r="M852" s="43">
        <f t="shared" si="156"/>
        <v>1.3009E-2</v>
      </c>
      <c r="N852" s="44">
        <f t="shared" si="157"/>
        <v>8</v>
      </c>
      <c r="O852" s="44">
        <v>0</v>
      </c>
      <c r="P852" s="1823">
        <f t="shared" si="163"/>
        <v>1.66</v>
      </c>
      <c r="Q852" s="1824">
        <f t="shared" si="164"/>
        <v>1.66</v>
      </c>
      <c r="R852" s="132" t="s">
        <v>63</v>
      </c>
      <c r="V852" s="337" t="str">
        <f t="shared" si="167"/>
        <v>kWh Annual Savings</v>
      </c>
      <c r="W852" s="364">
        <v>52.66599384441254</v>
      </c>
      <c r="X852" s="385">
        <v>37.052215199999999</v>
      </c>
      <c r="Y852" s="112">
        <v>34.729999999999997</v>
      </c>
      <c r="Z852" s="17">
        <v>34.729999999999997</v>
      </c>
      <c r="AA852" s="17">
        <v>34.729999999999997</v>
      </c>
      <c r="AB852" s="395">
        <v>34.729999999999997</v>
      </c>
      <c r="AC852" s="42">
        <v>34.729999999999997</v>
      </c>
      <c r="AD852" s="42">
        <v>34.729999999999997</v>
      </c>
      <c r="AE852" s="42">
        <v>34.729999999999997</v>
      </c>
      <c r="AF852" s="253">
        <v>87.16</v>
      </c>
      <c r="AG852" s="253">
        <f t="shared" si="160"/>
        <v>87.16</v>
      </c>
      <c r="AH852" s="114"/>
      <c r="AK852" s="339"/>
      <c r="DG852" s="993">
        <f t="shared" si="161"/>
        <v>20.957569192288378</v>
      </c>
      <c r="DH852" s="641" t="str">
        <f t="shared" si="165"/>
        <v>Lighting RES 8 Year EUL</v>
      </c>
      <c r="DI852" s="527">
        <f>(INDEX('Avoided Cost Benefits'!$B$4:$B$865,MATCH(DH852,'Avoided Cost Benefits'!$A$4:$A$865,0)))*F852</f>
        <v>34.789564859198705</v>
      </c>
      <c r="DJ852" s="1857">
        <f t="shared" si="162"/>
        <v>1.66</v>
      </c>
    </row>
    <row r="853" spans="1:114" x14ac:dyDescent="0.25">
      <c r="A853" s="2147" t="s">
        <v>1993</v>
      </c>
      <c r="B853" s="1318">
        <f t="shared" si="153"/>
        <v>404800</v>
      </c>
      <c r="C853" s="18" t="s">
        <v>2008</v>
      </c>
      <c r="D853" s="2094" t="s">
        <v>863</v>
      </c>
      <c r="E853" s="1248" t="s">
        <v>2009</v>
      </c>
      <c r="F853" s="57">
        <f>ROUND(K853+L853,2)</f>
        <v>37.35</v>
      </c>
      <c r="G853" s="386" t="s">
        <v>775</v>
      </c>
      <c r="H853" s="66">
        <f>VLOOKUP(G853,'CP FACTORS'!$A$3:$B$38, 2, FALSE)</f>
        <v>1.4925290000000001E-4</v>
      </c>
      <c r="I853" s="386" t="s">
        <v>62</v>
      </c>
      <c r="J853" s="66">
        <f>VLOOKUP(I853,'CP FACTORS'!$A$3:$B$38, 2, FALSE)</f>
        <v>1.899635E-4</v>
      </c>
      <c r="K853" s="57">
        <f t="shared" si="154"/>
        <v>37.354615975184814</v>
      </c>
      <c r="L853" s="594">
        <f t="shared" si="155"/>
        <v>0</v>
      </c>
      <c r="M853" s="43">
        <f t="shared" si="156"/>
        <v>5.5750000000000001E-3</v>
      </c>
      <c r="N853" s="44">
        <f t="shared" si="157"/>
        <v>8</v>
      </c>
      <c r="O853" s="44">
        <v>0</v>
      </c>
      <c r="P853" s="1823">
        <f t="shared" si="163"/>
        <v>1.45</v>
      </c>
      <c r="Q853" s="1824">
        <f t="shared" si="164"/>
        <v>1.45</v>
      </c>
      <c r="R853" s="132" t="s">
        <v>63</v>
      </c>
      <c r="V853" s="337" t="str">
        <f t="shared" si="167"/>
        <v>kWh Annual Savings</v>
      </c>
      <c r="W853" s="364">
        <v>36.609288404042864</v>
      </c>
      <c r="X853" s="385">
        <v>39.848608800000001</v>
      </c>
      <c r="Y853" s="112">
        <v>37.35</v>
      </c>
      <c r="Z853" s="17">
        <v>37.35</v>
      </c>
      <c r="AA853" s="17">
        <v>37.35</v>
      </c>
      <c r="AB853" s="395">
        <v>37.35</v>
      </c>
      <c r="AC853" s="42">
        <v>37.35</v>
      </c>
      <c r="AD853" s="42">
        <v>37.35</v>
      </c>
      <c r="AE853" s="42">
        <v>37.35</v>
      </c>
      <c r="AF853" s="253">
        <v>37.35</v>
      </c>
      <c r="AG853" s="253">
        <f t="shared" si="160"/>
        <v>37.35</v>
      </c>
      <c r="AH853" s="114"/>
      <c r="AK853" s="339"/>
      <c r="DG853" s="993">
        <f t="shared" si="161"/>
        <v>10.281450265789999</v>
      </c>
      <c r="DH853" s="641" t="str">
        <f t="shared" si="165"/>
        <v>Lighting RES 8 Year EUL</v>
      </c>
      <c r="DI853" s="527">
        <f>(INDEX('Avoided Cost Benefits'!$B$4:$B$865,MATCH(DH853,'Avoided Cost Benefits'!$A$4:$A$865,0)))*F853</f>
        <v>14.908102885395499</v>
      </c>
      <c r="DJ853" s="1857">
        <f t="shared" si="162"/>
        <v>1.45</v>
      </c>
    </row>
    <row r="854" spans="1:114" x14ac:dyDescent="0.25">
      <c r="A854" s="2147" t="s">
        <v>1993</v>
      </c>
      <c r="B854" s="1318">
        <f t="shared" si="153"/>
        <v>404850</v>
      </c>
      <c r="C854" s="18" t="s">
        <v>2010</v>
      </c>
      <c r="D854" s="2094" t="s">
        <v>863</v>
      </c>
      <c r="E854" s="1248" t="s">
        <v>2011</v>
      </c>
      <c r="F854" s="57">
        <f t="shared" si="166"/>
        <v>23.26</v>
      </c>
      <c r="G854" s="386" t="s">
        <v>775</v>
      </c>
      <c r="H854" s="66">
        <f>VLOOKUP(G854,'CP FACTORS'!$A$3:$B$38, 2, FALSE)</f>
        <v>1.4925290000000001E-4</v>
      </c>
      <c r="I854" s="386" t="s">
        <v>62</v>
      </c>
      <c r="J854" s="66">
        <f>VLOOKUP(I854,'CP FACTORS'!$A$3:$B$38, 2, FALSE)</f>
        <v>1.899635E-4</v>
      </c>
      <c r="K854" s="42">
        <f t="shared" si="154"/>
        <v>23.264716967001075</v>
      </c>
      <c r="L854" s="594">
        <f t="shared" si="155"/>
        <v>0</v>
      </c>
      <c r="M854" s="43">
        <f t="shared" si="156"/>
        <v>3.4719999999999998E-3</v>
      </c>
      <c r="N854" s="44">
        <f t="shared" si="157"/>
        <v>8</v>
      </c>
      <c r="O854" s="44">
        <v>0</v>
      </c>
      <c r="P854" s="1823">
        <f t="shared" si="163"/>
        <v>1.66</v>
      </c>
      <c r="Q854" s="1824">
        <f t="shared" si="164"/>
        <v>1.66</v>
      </c>
      <c r="R854" s="132" t="s">
        <v>63</v>
      </c>
      <c r="V854" s="337" t="str">
        <f t="shared" si="167"/>
        <v>kWh Annual Savings</v>
      </c>
      <c r="W854" s="364">
        <v>23.063851694547001</v>
      </c>
      <c r="X854" s="385">
        <v>25.104623543999999</v>
      </c>
      <c r="Y854" s="112">
        <v>23.53</v>
      </c>
      <c r="Z854" s="17">
        <v>23.53</v>
      </c>
      <c r="AA854" s="17">
        <v>23.53</v>
      </c>
      <c r="AB854" s="395">
        <v>23.53</v>
      </c>
      <c r="AC854" s="42">
        <v>23.53</v>
      </c>
      <c r="AD854" s="42">
        <v>23.53</v>
      </c>
      <c r="AE854" s="42">
        <v>23.53</v>
      </c>
      <c r="AF854" s="253">
        <v>23.26</v>
      </c>
      <c r="AG854" s="253">
        <f t="shared" si="160"/>
        <v>23.26</v>
      </c>
      <c r="AH854" s="114"/>
      <c r="AK854" s="339"/>
      <c r="DG854" s="993">
        <f t="shared" si="161"/>
        <v>5.592852907441805</v>
      </c>
      <c r="DH854" s="641" t="str">
        <f t="shared" si="165"/>
        <v>Lighting RES 8 Year EUL</v>
      </c>
      <c r="DI854" s="527">
        <f>(INDEX('Avoided Cost Benefits'!$B$4:$B$865,MATCH(DH854,'Avoided Cost Benefits'!$A$4:$A$865,0)))*F854</f>
        <v>9.2841358263533955</v>
      </c>
      <c r="DJ854" s="1857">
        <f t="shared" si="162"/>
        <v>1.66</v>
      </c>
    </row>
    <row r="855" spans="1:114" x14ac:dyDescent="0.25">
      <c r="A855" s="2147" t="s">
        <v>1993</v>
      </c>
      <c r="B855" s="1318">
        <f t="shared" si="153"/>
        <v>404950</v>
      </c>
      <c r="C855" s="18" t="s">
        <v>2012</v>
      </c>
      <c r="D855" s="2094" t="s">
        <v>863</v>
      </c>
      <c r="E855" s="1248" t="s">
        <v>2013</v>
      </c>
      <c r="F855" s="57">
        <f>ROUND(K855+L855,2)</f>
        <v>60.95</v>
      </c>
      <c r="G855" s="386" t="s">
        <v>775</v>
      </c>
      <c r="H855" s="66">
        <f>VLOOKUP(G855,'CP FACTORS'!$A$3:$B$38, 2, FALSE)</f>
        <v>1.4925290000000001E-4</v>
      </c>
      <c r="I855" s="386" t="s">
        <v>62</v>
      </c>
      <c r="J855" s="66">
        <f>VLOOKUP(I855,'CP FACTORS'!$A$3:$B$38, 2, FALSE)</f>
        <v>1.899635E-4</v>
      </c>
      <c r="K855" s="57">
        <f t="shared" si="154"/>
        <v>60.947005012143649</v>
      </c>
      <c r="L855" s="594">
        <f t="shared" si="155"/>
        <v>0</v>
      </c>
      <c r="M855" s="43">
        <f t="shared" si="156"/>
        <v>9.0969999999999992E-3</v>
      </c>
      <c r="N855" s="44">
        <f t="shared" si="157"/>
        <v>8</v>
      </c>
      <c r="O855" s="44">
        <v>0</v>
      </c>
      <c r="P855" s="1823">
        <f t="shared" si="163"/>
        <v>1.66</v>
      </c>
      <c r="Q855" s="1824">
        <f t="shared" si="164"/>
        <v>1.66</v>
      </c>
      <c r="R855" s="132" t="s">
        <v>63</v>
      </c>
      <c r="V855" s="337" t="str">
        <f t="shared" si="167"/>
        <v>kWh Annual Savings</v>
      </c>
      <c r="W855" s="364">
        <v>23.211573384598399</v>
      </c>
      <c r="X855" s="385">
        <v>14.681066400000002</v>
      </c>
      <c r="Y855" s="112">
        <v>14.42</v>
      </c>
      <c r="Z855" s="17">
        <v>14.42</v>
      </c>
      <c r="AA855" s="17">
        <v>14.42</v>
      </c>
      <c r="AB855" s="395">
        <v>14.42</v>
      </c>
      <c r="AC855" s="42">
        <v>14.42</v>
      </c>
      <c r="AD855" s="42">
        <v>14.42</v>
      </c>
      <c r="AE855" s="47">
        <v>3.21</v>
      </c>
      <c r="AF855" s="253">
        <v>60.95</v>
      </c>
      <c r="AG855" s="253">
        <f t="shared" si="160"/>
        <v>60.95</v>
      </c>
      <c r="AH855" s="114"/>
      <c r="AK855" s="339"/>
      <c r="DG855" s="993">
        <f t="shared" si="161"/>
        <v>14.655390572165864</v>
      </c>
      <c r="DH855" s="641" t="str">
        <f t="shared" si="165"/>
        <v>Lighting RES 8 Year EUL</v>
      </c>
      <c r="DI855" s="527">
        <f>(INDEX('Avoided Cost Benefits'!$B$4:$B$865,MATCH(DH855,'Avoided Cost Benefits'!$A$4:$A$865,0)))*F855</f>
        <v>24.327948349795331</v>
      </c>
      <c r="DJ855" s="1857">
        <f t="shared" si="162"/>
        <v>1.66</v>
      </c>
    </row>
    <row r="856" spans="1:114" x14ac:dyDescent="0.25">
      <c r="A856" s="2147" t="s">
        <v>1993</v>
      </c>
      <c r="B856" s="1318">
        <f t="shared" si="153"/>
        <v>405410</v>
      </c>
      <c r="C856" s="18" t="s">
        <v>2014</v>
      </c>
      <c r="D856" s="2094" t="s">
        <v>863</v>
      </c>
      <c r="E856" s="1248" t="s">
        <v>2015</v>
      </c>
      <c r="F856" s="57">
        <f>ROUND(K856+L856,2)</f>
        <v>15.07</v>
      </c>
      <c r="G856" s="386" t="s">
        <v>775</v>
      </c>
      <c r="H856" s="66">
        <f>VLOOKUP(G856,'CP FACTORS'!$A$3:$B$38, 2, FALSE)</f>
        <v>1.4925290000000001E-4</v>
      </c>
      <c r="I856" s="386" t="s">
        <v>62</v>
      </c>
      <c r="J856" s="66">
        <f>VLOOKUP(I856,'CP FACTORS'!$A$3:$B$38, 2, FALSE)</f>
        <v>1.899635E-4</v>
      </c>
      <c r="K856" s="57">
        <f t="shared" si="154"/>
        <v>15.07291521805703</v>
      </c>
      <c r="L856" s="594">
        <f t="shared" si="155"/>
        <v>0</v>
      </c>
      <c r="M856" s="43">
        <f t="shared" si="156"/>
        <v>2.2499999999999998E-3</v>
      </c>
      <c r="N856" s="44">
        <f t="shared" si="157"/>
        <v>8</v>
      </c>
      <c r="O856" s="44">
        <v>0</v>
      </c>
      <c r="P856" s="1823">
        <f t="shared" si="163"/>
        <v>1.45</v>
      </c>
      <c r="Q856" s="1824">
        <f t="shared" si="164"/>
        <v>1.45</v>
      </c>
      <c r="R856" s="132" t="s">
        <v>63</v>
      </c>
      <c r="V856" s="337" t="str">
        <f t="shared" si="167"/>
        <v>kWh Annual Savings</v>
      </c>
      <c r="W856" s="364"/>
      <c r="X856" s="385"/>
      <c r="Y856" s="112"/>
      <c r="Z856" s="17"/>
      <c r="AA856" s="17"/>
      <c r="AB856" s="112">
        <v>15.07</v>
      </c>
      <c r="AC856" s="42">
        <v>15.07</v>
      </c>
      <c r="AD856" s="42">
        <v>15.07</v>
      </c>
      <c r="AE856" s="42">
        <v>15.07</v>
      </c>
      <c r="AF856" s="253">
        <v>15.07</v>
      </c>
      <c r="AG856" s="253">
        <f t="shared" si="160"/>
        <v>15.07</v>
      </c>
      <c r="AH856" s="114"/>
      <c r="AK856" s="339"/>
      <c r="DG856" s="993">
        <f t="shared" si="161"/>
        <v>4.1483656092491374</v>
      </c>
      <c r="DH856" s="641" t="str">
        <f t="shared" ref="DH856:DH857" si="168">CONCATENATE(G856," ",N856," Year EUL")</f>
        <v>Lighting RES 8 Year EUL</v>
      </c>
      <c r="DI856" s="527">
        <f>(INDEX('Avoided Cost Benefits'!$B$4:$B$865,MATCH(DH856,'Avoided Cost Benefits'!$A$4:$A$865,0)))*F856</f>
        <v>6.0151301334112492</v>
      </c>
      <c r="DJ856" s="1857">
        <f t="shared" si="162"/>
        <v>1.45</v>
      </c>
    </row>
    <row r="857" spans="1:114" x14ac:dyDescent="0.25">
      <c r="A857" s="2147" t="s">
        <v>840</v>
      </c>
      <c r="B857" s="1318">
        <f t="shared" si="153"/>
        <v>405430</v>
      </c>
      <c r="C857" s="18" t="s">
        <v>2016</v>
      </c>
      <c r="D857" s="2094" t="s">
        <v>810</v>
      </c>
      <c r="E857" s="1248" t="s">
        <v>774</v>
      </c>
      <c r="F857" s="42">
        <f t="shared" si="166"/>
        <v>28.53</v>
      </c>
      <c r="G857" s="386" t="s">
        <v>775</v>
      </c>
      <c r="H857" s="66">
        <f>VLOOKUP(G857,'CP FACTORS'!$A$3:$B$38, 2, FALSE)</f>
        <v>1.4925290000000001E-4</v>
      </c>
      <c r="I857" s="386" t="s">
        <v>62</v>
      </c>
      <c r="J857" s="66">
        <f>VLOOKUP(I857,'CP FACTORS'!$A$3:$B$38, 2, FALSE)</f>
        <v>1.899635E-4</v>
      </c>
      <c r="K857" s="57">
        <f>((F874-F886)*$F$896*$F$887*(1-$F$889)*($F$891*$F$892)/1000)</f>
        <v>28.526284813109683</v>
      </c>
      <c r="L857" s="594">
        <f>((F874-F886)*(1-$F$896)*$F$887*(1-$F$889)*($F$894*$F$895)/1000)</f>
        <v>0</v>
      </c>
      <c r="M857" s="43">
        <f t="shared" si="156"/>
        <v>4.2579999999999996E-3</v>
      </c>
      <c r="N857" s="44">
        <f t="shared" si="157"/>
        <v>8</v>
      </c>
      <c r="O857" s="1825">
        <v>0</v>
      </c>
      <c r="P857" s="387">
        <f t="shared" si="163"/>
        <v>3.35</v>
      </c>
      <c r="Q857" s="1826">
        <f t="shared" si="164"/>
        <v>3.35</v>
      </c>
      <c r="R857" s="923" t="s">
        <v>63</v>
      </c>
      <c r="V857" s="337" t="str">
        <f t="shared" si="167"/>
        <v>kWh Annual Savings</v>
      </c>
      <c r="W857" s="364"/>
      <c r="X857" s="385"/>
      <c r="Y857" s="112"/>
      <c r="Z857" s="17"/>
      <c r="AA857" s="17"/>
      <c r="AB857" s="112"/>
      <c r="AC857" s="47">
        <v>28.53</v>
      </c>
      <c r="AD857" s="42">
        <v>28.53</v>
      </c>
      <c r="AE857" s="42">
        <v>28.53</v>
      </c>
      <c r="AF857" s="253">
        <v>28.53</v>
      </c>
      <c r="AG857" s="253">
        <f t="shared" si="160"/>
        <v>28.53</v>
      </c>
      <c r="AH857" s="114"/>
      <c r="AK857" s="339"/>
      <c r="DG857" s="993">
        <f t="shared" si="161"/>
        <v>3.3992940943502052</v>
      </c>
      <c r="DH857" s="641" t="str">
        <f t="shared" si="168"/>
        <v>Lighting RES 8 Year EUL</v>
      </c>
      <c r="DI857" s="1003">
        <f>(INDEX('Avoided Cost Benefits'!$B$4:$B$865,MATCH(DH857,'Avoided Cost Benefits'!$A$4:$A$865,0)))*F857</f>
        <v>11.387635216073187</v>
      </c>
      <c r="DJ857" s="1858">
        <f t="shared" si="162"/>
        <v>3.35</v>
      </c>
    </row>
    <row r="858" spans="1:114" hidden="1" outlineLevel="1" x14ac:dyDescent="0.25">
      <c r="A858" s="2147"/>
      <c r="B858" s="50"/>
      <c r="C858" s="49"/>
      <c r="D858" s="74" t="s">
        <v>95</v>
      </c>
      <c r="E858" s="265" t="s">
        <v>2017</v>
      </c>
      <c r="F858" s="1145"/>
      <c r="G858" s="424"/>
      <c r="H858" s="915"/>
      <c r="I858" s="424"/>
      <c r="J858" s="915"/>
      <c r="K858" s="389"/>
      <c r="L858" s="1330"/>
      <c r="M858" s="391"/>
      <c r="N858" s="595"/>
      <c r="O858" s="595"/>
      <c r="P858" s="623"/>
      <c r="Q858" s="623"/>
      <c r="R858" s="50"/>
      <c r="AK858" s="339"/>
      <c r="DJ858" s="1073"/>
    </row>
    <row r="859" spans="1:114" hidden="1" outlineLevel="1" x14ac:dyDescent="0.25">
      <c r="A859" s="2147"/>
      <c r="B859" s="50"/>
      <c r="C859" s="49"/>
      <c r="D859" s="388"/>
      <c r="E859" s="50" t="s">
        <v>777</v>
      </c>
      <c r="F859" s="389"/>
      <c r="G859" s="424"/>
      <c r="H859" s="1331"/>
      <c r="I859" s="50"/>
      <c r="J859" s="595"/>
      <c r="K859" s="391"/>
      <c r="L859" s="50"/>
      <c r="M859" s="50"/>
      <c r="N859" s="50"/>
      <c r="AK859" s="339"/>
      <c r="DJ859" s="1073"/>
    </row>
    <row r="860" spans="1:114" hidden="1" outlineLevel="1" x14ac:dyDescent="0.25">
      <c r="A860" s="2147"/>
      <c r="B860" s="50"/>
      <c r="C860" s="49"/>
      <c r="D860" s="74" t="s">
        <v>609</v>
      </c>
      <c r="E860" s="50" t="s">
        <v>612</v>
      </c>
      <c r="F860" s="50"/>
      <c r="G860" s="50"/>
      <c r="H860" s="50"/>
      <c r="I860" s="50"/>
      <c r="J860" s="595"/>
      <c r="K860" s="391"/>
      <c r="L860" s="50"/>
      <c r="M860" s="50"/>
      <c r="N860" s="50"/>
      <c r="V860" s="255" t="str">
        <f>IF(C858&gt;0,C858," ")</f>
        <v xml:space="preserve"> </v>
      </c>
      <c r="AK860" s="339"/>
      <c r="DJ860" s="1073"/>
    </row>
    <row r="861" spans="1:114" hidden="1" outlineLevel="1" x14ac:dyDescent="0.25">
      <c r="A861" s="2147"/>
      <c r="B861" s="50"/>
      <c r="C861" s="49"/>
      <c r="D861" s="100"/>
      <c r="E861" s="100"/>
      <c r="F861" s="50"/>
      <c r="G861" s="50"/>
      <c r="H861" s="50"/>
      <c r="I861" s="50"/>
      <c r="J861" s="595"/>
      <c r="K861" s="391"/>
      <c r="L861" s="50"/>
      <c r="M861" s="50"/>
      <c r="N861" s="50"/>
      <c r="V861" s="255" t="str">
        <f>IF(C859&gt;0,C859," ")</f>
        <v xml:space="preserve"> </v>
      </c>
      <c r="AK861" s="339"/>
      <c r="DJ861" s="1073"/>
    </row>
    <row r="862" spans="1:114" hidden="1" outlineLevel="1" x14ac:dyDescent="0.25">
      <c r="A862" s="2147"/>
      <c r="B862" s="50"/>
      <c r="C862" s="392"/>
      <c r="D862" s="393" t="s">
        <v>613</v>
      </c>
      <c r="E862" s="393" t="s">
        <v>99</v>
      </c>
      <c r="F862" s="2502" t="s">
        <v>615</v>
      </c>
      <c r="G862" s="2490"/>
      <c r="H862" s="2502" t="s">
        <v>617</v>
      </c>
      <c r="I862" s="2490"/>
      <c r="J862" s="50"/>
      <c r="K862" s="50"/>
      <c r="L862" s="50"/>
      <c r="M862" s="50"/>
      <c r="N862" s="50"/>
      <c r="V862" s="802" t="s">
        <v>53</v>
      </c>
      <c r="W862" s="1569">
        <f>$W$6</f>
        <v>43252</v>
      </c>
      <c r="X862" s="1569">
        <f>$X$6</f>
        <v>43465</v>
      </c>
      <c r="Y862" s="1571">
        <f>$Y$6</f>
        <v>43800</v>
      </c>
      <c r="Z862" s="1569">
        <f>$Z$6</f>
        <v>43862</v>
      </c>
      <c r="AA862" s="1569">
        <f>$AA$6</f>
        <v>44013</v>
      </c>
      <c r="AB862" s="1569">
        <f>$AB$6</f>
        <v>44166</v>
      </c>
      <c r="AC862" s="1569">
        <f>$AC$6</f>
        <v>44531</v>
      </c>
      <c r="AD862" s="1569">
        <f>$AD$6</f>
        <v>44774</v>
      </c>
      <c r="AE862" s="1569">
        <f>$AE$6</f>
        <v>45139</v>
      </c>
      <c r="AF862" s="1569">
        <f>$AF$6</f>
        <v>45672</v>
      </c>
      <c r="AG862" s="1569">
        <f>$AG$6</f>
        <v>45971</v>
      </c>
      <c r="AK862" s="339"/>
    </row>
    <row r="863" spans="1:114" ht="15" hidden="1" customHeight="1" outlineLevel="1" x14ac:dyDescent="0.25">
      <c r="A863" s="2147"/>
      <c r="B863" s="50"/>
      <c r="C863" s="392"/>
      <c r="D863" s="2498" t="s">
        <v>2018</v>
      </c>
      <c r="E863" s="1248" t="s">
        <v>1995</v>
      </c>
      <c r="F863" s="1567">
        <v>75</v>
      </c>
      <c r="G863" s="17"/>
      <c r="H863" s="2484" t="s">
        <v>2019</v>
      </c>
      <c r="I863" s="2485"/>
      <c r="J863" s="50"/>
      <c r="K863" s="50"/>
      <c r="L863" s="50"/>
      <c r="M863" s="50"/>
      <c r="N863" s="50"/>
      <c r="V863" s="2498" t="s">
        <v>2018</v>
      </c>
      <c r="W863" s="395">
        <v>43</v>
      </c>
      <c r="X863" s="112">
        <v>43</v>
      </c>
      <c r="Y863" s="20">
        <v>43</v>
      </c>
      <c r="Z863" s="20">
        <v>43</v>
      </c>
      <c r="AA863" s="20">
        <v>43</v>
      </c>
      <c r="AB863" s="20">
        <v>43</v>
      </c>
      <c r="AC863" s="20">
        <v>43</v>
      </c>
      <c r="AD863" s="20">
        <v>43</v>
      </c>
      <c r="AE863" s="160">
        <v>15</v>
      </c>
      <c r="AF863" s="253">
        <v>75</v>
      </c>
      <c r="AG863" s="253">
        <f t="shared" ref="AG863:AG903" si="169">IF(F863&lt;&gt;"",F863,"")</f>
        <v>75</v>
      </c>
      <c r="AK863" s="339"/>
    </row>
    <row r="864" spans="1:114" ht="15" hidden="1" customHeight="1" outlineLevel="1" x14ac:dyDescent="0.25">
      <c r="A864" s="2147"/>
      <c r="B864" s="50"/>
      <c r="C864" s="392"/>
      <c r="D864" s="2499"/>
      <c r="E864" s="1248" t="s">
        <v>1997</v>
      </c>
      <c r="F864" s="1567">
        <v>43</v>
      </c>
      <c r="G864" s="17"/>
      <c r="H864" s="2484" t="s">
        <v>780</v>
      </c>
      <c r="I864" s="2485"/>
      <c r="J864" s="50"/>
      <c r="K864" s="50"/>
      <c r="L864" s="50"/>
      <c r="M864" s="50"/>
      <c r="N864" s="50"/>
      <c r="V864" s="2499"/>
      <c r="W864" s="395">
        <v>41.32</v>
      </c>
      <c r="X864" s="395">
        <v>41.32</v>
      </c>
      <c r="Y864" s="515">
        <v>41.32</v>
      </c>
      <c r="Z864" s="515">
        <v>41.32</v>
      </c>
      <c r="AA864" s="515">
        <v>41.32</v>
      </c>
      <c r="AB864" s="160">
        <v>43</v>
      </c>
      <c r="AC864" s="20">
        <v>43</v>
      </c>
      <c r="AD864" s="20">
        <v>43</v>
      </c>
      <c r="AE864" s="20">
        <v>43</v>
      </c>
      <c r="AF864" s="253">
        <v>43</v>
      </c>
      <c r="AG864" s="253">
        <f t="shared" si="169"/>
        <v>43</v>
      </c>
      <c r="AK864" s="339"/>
    </row>
    <row r="865" spans="1:37" ht="15" hidden="1" customHeight="1" outlineLevel="1" x14ac:dyDescent="0.25">
      <c r="A865" s="2147"/>
      <c r="B865" s="50"/>
      <c r="C865" s="392"/>
      <c r="D865" s="2499"/>
      <c r="E865" s="1248" t="s">
        <v>1999</v>
      </c>
      <c r="F865" s="1567">
        <v>100</v>
      </c>
      <c r="G865" s="17"/>
      <c r="H865" s="2484" t="s">
        <v>2020</v>
      </c>
      <c r="I865" s="2485"/>
      <c r="J865" s="50"/>
      <c r="K865" s="50"/>
      <c r="L865" s="50"/>
      <c r="M865" s="50"/>
      <c r="N865" s="50"/>
      <c r="V865" s="2499"/>
      <c r="W865" s="395">
        <v>76.25</v>
      </c>
      <c r="X865" s="396">
        <v>76.25</v>
      </c>
      <c r="Y865" s="160">
        <v>53</v>
      </c>
      <c r="Z865" s="20">
        <v>53</v>
      </c>
      <c r="AA865" s="20">
        <v>53</v>
      </c>
      <c r="AB865" s="20">
        <v>53</v>
      </c>
      <c r="AC865" s="20">
        <v>53</v>
      </c>
      <c r="AD865" s="20">
        <v>53</v>
      </c>
      <c r="AE865" s="20">
        <v>53</v>
      </c>
      <c r="AF865" s="253">
        <v>100</v>
      </c>
      <c r="AG865" s="253">
        <f t="shared" si="169"/>
        <v>100</v>
      </c>
      <c r="AK865" s="339"/>
    </row>
    <row r="866" spans="1:37" ht="15" hidden="1" customHeight="1" outlineLevel="1" x14ac:dyDescent="0.25">
      <c r="A866" s="2147"/>
      <c r="B866" s="50"/>
      <c r="C866" s="392"/>
      <c r="D866" s="2499"/>
      <c r="E866" s="1248" t="s">
        <v>2001</v>
      </c>
      <c r="F866" s="1567">
        <v>53</v>
      </c>
      <c r="G866" s="17"/>
      <c r="H866" s="2484" t="s">
        <v>780</v>
      </c>
      <c r="I866" s="2485"/>
      <c r="J866" s="50"/>
      <c r="K866" s="50"/>
      <c r="L866" s="50"/>
      <c r="M866" s="50"/>
      <c r="N866" s="50"/>
      <c r="V866" s="2499"/>
      <c r="W866" s="17">
        <v>53</v>
      </c>
      <c r="X866" s="17">
        <v>53</v>
      </c>
      <c r="Y866" s="1389">
        <v>53</v>
      </c>
      <c r="Z866" s="515">
        <v>53</v>
      </c>
      <c r="AA866" s="515">
        <v>53</v>
      </c>
      <c r="AB866" s="20">
        <v>53</v>
      </c>
      <c r="AC866" s="20">
        <v>53</v>
      </c>
      <c r="AD866" s="20">
        <v>53</v>
      </c>
      <c r="AE866" s="20">
        <v>53</v>
      </c>
      <c r="AF866" s="253">
        <v>53</v>
      </c>
      <c r="AG866" s="253">
        <f t="shared" si="169"/>
        <v>53</v>
      </c>
      <c r="AK866" s="339"/>
    </row>
    <row r="867" spans="1:37" ht="15" hidden="1" customHeight="1" outlineLevel="1" x14ac:dyDescent="0.25">
      <c r="A867" s="2147"/>
      <c r="B867" s="50"/>
      <c r="C867" s="392"/>
      <c r="D867" s="2499"/>
      <c r="E867" s="1248" t="s">
        <v>2003</v>
      </c>
      <c r="F867" s="1567">
        <v>75</v>
      </c>
      <c r="G867" s="17"/>
      <c r="H867" s="2484" t="s">
        <v>2021</v>
      </c>
      <c r="I867" s="2484"/>
      <c r="J867" s="50"/>
      <c r="K867" s="50"/>
      <c r="L867" s="50"/>
      <c r="M867" s="50"/>
      <c r="N867" s="50"/>
      <c r="V867" s="2499"/>
      <c r="W867" s="395"/>
      <c r="X867" s="112"/>
      <c r="Y867" s="20"/>
      <c r="Z867" s="20"/>
      <c r="AA867" s="20"/>
      <c r="AB867" s="160">
        <v>65</v>
      </c>
      <c r="AC867" s="20">
        <v>65</v>
      </c>
      <c r="AD867" s="20">
        <v>65</v>
      </c>
      <c r="AE867" s="20">
        <v>65</v>
      </c>
      <c r="AF867" s="253">
        <v>75</v>
      </c>
      <c r="AG867" s="253">
        <f t="shared" si="169"/>
        <v>75</v>
      </c>
      <c r="AK867" s="339"/>
    </row>
    <row r="868" spans="1:37" ht="15" hidden="1" customHeight="1" outlineLevel="1" x14ac:dyDescent="0.25">
      <c r="A868" s="2147"/>
      <c r="B868" s="50"/>
      <c r="C868" s="392"/>
      <c r="D868" s="2499"/>
      <c r="E868" s="1248" t="s">
        <v>2005</v>
      </c>
      <c r="F868" s="1567">
        <v>120</v>
      </c>
      <c r="G868" s="17"/>
      <c r="H868" s="2484" t="s">
        <v>2022</v>
      </c>
      <c r="I868" s="2484"/>
      <c r="J868" s="50"/>
      <c r="K868" s="50"/>
      <c r="L868" s="50"/>
      <c r="M868" s="50"/>
      <c r="N868" s="50"/>
      <c r="V868" s="2499"/>
      <c r="W868" s="395">
        <v>62.1</v>
      </c>
      <c r="X868" s="112">
        <v>55</v>
      </c>
      <c r="Y868" s="20">
        <v>55</v>
      </c>
      <c r="Z868" s="20">
        <v>55</v>
      </c>
      <c r="AA868" s="20">
        <v>55</v>
      </c>
      <c r="AB868" s="20">
        <v>55</v>
      </c>
      <c r="AC868" s="20">
        <v>55</v>
      </c>
      <c r="AD868" s="20">
        <v>55</v>
      </c>
      <c r="AE868" s="20">
        <v>55</v>
      </c>
      <c r="AF868" s="253">
        <v>120</v>
      </c>
      <c r="AG868" s="253">
        <f t="shared" si="169"/>
        <v>120</v>
      </c>
      <c r="AK868" s="339"/>
    </row>
    <row r="869" spans="1:37" ht="15" hidden="1" customHeight="1" outlineLevel="1" x14ac:dyDescent="0.25">
      <c r="A869" s="2147"/>
      <c r="B869" s="50"/>
      <c r="C869" s="392"/>
      <c r="D869" s="2499"/>
      <c r="E869" s="1248" t="s">
        <v>2007</v>
      </c>
      <c r="F869" s="1567">
        <v>150</v>
      </c>
      <c r="G869" s="17"/>
      <c r="H869" s="2484" t="s">
        <v>2023</v>
      </c>
      <c r="I869" s="2484"/>
      <c r="J869" s="50"/>
      <c r="K869" s="50"/>
      <c r="L869" s="50"/>
      <c r="M869" s="50"/>
      <c r="N869" s="50"/>
      <c r="V869" s="2499"/>
      <c r="W869" s="395">
        <v>100</v>
      </c>
      <c r="X869" s="112">
        <v>70</v>
      </c>
      <c r="Y869" s="515">
        <v>70</v>
      </c>
      <c r="Z869" s="515">
        <v>70</v>
      </c>
      <c r="AA869" s="515">
        <v>70</v>
      </c>
      <c r="AB869" s="20">
        <v>70</v>
      </c>
      <c r="AC869" s="20">
        <v>70</v>
      </c>
      <c r="AD869" s="20">
        <v>70</v>
      </c>
      <c r="AE869" s="20">
        <v>70</v>
      </c>
      <c r="AF869" s="253">
        <v>150</v>
      </c>
      <c r="AG869" s="253">
        <f t="shared" si="169"/>
        <v>150</v>
      </c>
      <c r="AK869" s="339"/>
    </row>
    <row r="870" spans="1:37" ht="15" hidden="1" customHeight="1" outlineLevel="1" x14ac:dyDescent="0.25">
      <c r="A870" s="2147"/>
      <c r="B870" s="50"/>
      <c r="C870" s="392"/>
      <c r="D870" s="2499"/>
      <c r="E870" s="1248" t="s">
        <v>2009</v>
      </c>
      <c r="F870" s="1567">
        <v>72</v>
      </c>
      <c r="G870" s="17"/>
      <c r="H870" s="2484" t="s">
        <v>780</v>
      </c>
      <c r="I870" s="2485"/>
      <c r="J870" s="50"/>
      <c r="K870" s="50"/>
      <c r="L870" s="50"/>
      <c r="M870" s="50"/>
      <c r="N870" s="50"/>
      <c r="V870" s="2499"/>
      <c r="W870" s="395">
        <v>72</v>
      </c>
      <c r="X870" s="395">
        <v>72</v>
      </c>
      <c r="Y870" s="515">
        <v>72</v>
      </c>
      <c r="Z870" s="515">
        <v>72</v>
      </c>
      <c r="AA870" s="515">
        <v>72</v>
      </c>
      <c r="AB870" s="20">
        <v>72</v>
      </c>
      <c r="AC870" s="20">
        <v>72</v>
      </c>
      <c r="AD870" s="20">
        <v>72</v>
      </c>
      <c r="AE870" s="20">
        <v>72</v>
      </c>
      <c r="AF870" s="253">
        <v>72</v>
      </c>
      <c r="AG870" s="253">
        <f t="shared" si="169"/>
        <v>72</v>
      </c>
      <c r="AK870" s="339"/>
    </row>
    <row r="871" spans="1:37" ht="15" hidden="1" customHeight="1" outlineLevel="1" x14ac:dyDescent="0.25">
      <c r="A871" s="2147"/>
      <c r="B871" s="50"/>
      <c r="C871" s="392"/>
      <c r="D871" s="2499"/>
      <c r="E871" s="1248" t="s">
        <v>2011</v>
      </c>
      <c r="F871" s="1567">
        <v>40</v>
      </c>
      <c r="G871" s="17"/>
      <c r="H871" s="2484" t="s">
        <v>2024</v>
      </c>
      <c r="I871" s="2485"/>
      <c r="J871" s="50"/>
      <c r="K871" s="50"/>
      <c r="L871" s="50"/>
      <c r="M871" s="50"/>
      <c r="N871" s="50"/>
      <c r="V871" s="2499"/>
      <c r="W871" s="396">
        <v>40.409999999999997</v>
      </c>
      <c r="X871" s="396">
        <v>40.409999999999997</v>
      </c>
      <c r="Y871" s="515">
        <v>40.409999999999997</v>
      </c>
      <c r="Z871" s="515">
        <v>40.409999999999997</v>
      </c>
      <c r="AA871" s="515">
        <v>40.409999999999997</v>
      </c>
      <c r="AB871" s="20">
        <v>40.409999999999997</v>
      </c>
      <c r="AC871" s="20">
        <v>40.409999999999997</v>
      </c>
      <c r="AD871" s="20">
        <v>40.409999999999997</v>
      </c>
      <c r="AE871" s="20">
        <v>40.409999999999997</v>
      </c>
      <c r="AF871" s="253">
        <v>40</v>
      </c>
      <c r="AG871" s="253">
        <f t="shared" si="169"/>
        <v>40</v>
      </c>
      <c r="AK871" s="339"/>
    </row>
    <row r="872" spans="1:37" hidden="1" outlineLevel="1" x14ac:dyDescent="0.25">
      <c r="A872" s="2147"/>
      <c r="B872" s="50"/>
      <c r="C872" s="392"/>
      <c r="D872" s="2499"/>
      <c r="E872" s="1248" t="s">
        <v>2013</v>
      </c>
      <c r="F872" s="1567">
        <v>100</v>
      </c>
      <c r="G872" s="17"/>
      <c r="H872" s="2484" t="s">
        <v>2025</v>
      </c>
      <c r="I872" s="2485"/>
      <c r="J872" s="50"/>
      <c r="K872" s="50"/>
      <c r="L872" s="50"/>
      <c r="M872" s="50"/>
      <c r="N872" s="50"/>
      <c r="V872" s="2499"/>
      <c r="W872" s="396">
        <v>42.04</v>
      </c>
      <c r="X872" s="112">
        <v>29</v>
      </c>
      <c r="Y872" s="20">
        <v>29</v>
      </c>
      <c r="Z872" s="20">
        <v>29</v>
      </c>
      <c r="AA872" s="20">
        <v>29</v>
      </c>
      <c r="AB872" s="20">
        <v>29</v>
      </c>
      <c r="AC872" s="20">
        <v>29</v>
      </c>
      <c r="AD872" s="20">
        <v>29</v>
      </c>
      <c r="AE872" s="160">
        <v>11.9</v>
      </c>
      <c r="AF872" s="253">
        <v>100</v>
      </c>
      <c r="AG872" s="253">
        <f t="shared" si="169"/>
        <v>100</v>
      </c>
      <c r="AK872" s="339"/>
    </row>
    <row r="873" spans="1:37" ht="15" hidden="1" customHeight="1" outlineLevel="1" x14ac:dyDescent="0.25">
      <c r="A873" s="2147"/>
      <c r="B873" s="50"/>
      <c r="C873" s="392"/>
      <c r="D873" s="2499"/>
      <c r="E873" s="1248" t="s">
        <v>2015</v>
      </c>
      <c r="F873" s="1567">
        <v>29</v>
      </c>
      <c r="G873" s="17"/>
      <c r="H873" s="2484" t="s">
        <v>780</v>
      </c>
      <c r="I873" s="2485"/>
      <c r="J873" s="50"/>
      <c r="K873" s="50"/>
      <c r="L873" s="50"/>
      <c r="M873" s="50"/>
      <c r="N873" s="50"/>
      <c r="V873" s="2499"/>
      <c r="W873" s="397"/>
      <c r="X873" s="397"/>
      <c r="Y873" s="515"/>
      <c r="Z873" s="515"/>
      <c r="AA873" s="515"/>
      <c r="AB873" s="160">
        <v>29</v>
      </c>
      <c r="AC873" s="20">
        <v>29</v>
      </c>
      <c r="AD873" s="20">
        <v>29</v>
      </c>
      <c r="AE873" s="20">
        <v>29</v>
      </c>
      <c r="AF873" s="253">
        <v>29</v>
      </c>
      <c r="AG873" s="253">
        <f t="shared" si="169"/>
        <v>29</v>
      </c>
      <c r="AK873" s="339"/>
    </row>
    <row r="874" spans="1:37" hidden="1" outlineLevel="1" x14ac:dyDescent="0.25">
      <c r="A874" s="2147"/>
      <c r="B874" s="50"/>
      <c r="C874" s="392"/>
      <c r="D874" s="2500"/>
      <c r="E874" s="1248" t="s">
        <v>774</v>
      </c>
      <c r="F874" s="1567">
        <v>7</v>
      </c>
      <c r="G874" s="17"/>
      <c r="H874" s="2484" t="s">
        <v>2026</v>
      </c>
      <c r="I874" s="2484"/>
      <c r="J874" s="50"/>
      <c r="K874" s="50"/>
      <c r="L874" s="50"/>
      <c r="M874" s="50"/>
      <c r="N874" s="50"/>
      <c r="V874" s="2500"/>
      <c r="W874" s="397"/>
      <c r="X874" s="397"/>
      <c r="Y874" s="515"/>
      <c r="Z874" s="515"/>
      <c r="AA874" s="515"/>
      <c r="AB874" s="160"/>
      <c r="AC874" s="160">
        <v>7</v>
      </c>
      <c r="AD874" s="20">
        <v>7</v>
      </c>
      <c r="AE874" s="20">
        <v>7</v>
      </c>
      <c r="AF874" s="253">
        <v>7</v>
      </c>
      <c r="AG874" s="253">
        <f t="shared" si="169"/>
        <v>7</v>
      </c>
      <c r="AK874" s="339"/>
    </row>
    <row r="875" spans="1:37" hidden="1" outlineLevel="1" x14ac:dyDescent="0.25">
      <c r="A875" s="2147"/>
      <c r="B875" s="50"/>
      <c r="C875" s="392"/>
      <c r="D875" s="2498" t="s">
        <v>2027</v>
      </c>
      <c r="E875" s="1248" t="s">
        <v>1995</v>
      </c>
      <c r="F875" s="859">
        <v>7</v>
      </c>
      <c r="G875" s="17"/>
      <c r="H875" s="2484" t="s">
        <v>2028</v>
      </c>
      <c r="I875" s="2490"/>
      <c r="J875" s="50"/>
      <c r="K875" s="50"/>
      <c r="L875" s="50"/>
      <c r="M875" s="50"/>
      <c r="N875" s="50"/>
      <c r="V875" s="2498" t="s">
        <v>2027</v>
      </c>
      <c r="W875" s="395">
        <v>7</v>
      </c>
      <c r="X875" s="112">
        <v>9</v>
      </c>
      <c r="Y875" s="160">
        <v>7</v>
      </c>
      <c r="Z875" s="20">
        <v>7</v>
      </c>
      <c r="AA875" s="20">
        <v>7</v>
      </c>
      <c r="AB875" s="17">
        <v>7</v>
      </c>
      <c r="AC875" s="17">
        <v>7</v>
      </c>
      <c r="AD875" s="17">
        <v>7</v>
      </c>
      <c r="AE875" s="17">
        <v>7</v>
      </c>
      <c r="AF875" s="253">
        <v>7</v>
      </c>
      <c r="AG875" s="253">
        <f t="shared" si="169"/>
        <v>7</v>
      </c>
      <c r="AK875" s="339"/>
    </row>
    <row r="876" spans="1:37" hidden="1" outlineLevel="1" x14ac:dyDescent="0.25">
      <c r="A876" s="2147"/>
      <c r="B876" s="50"/>
      <c r="C876" s="392"/>
      <c r="D876" s="2499"/>
      <c r="E876" s="1248" t="s">
        <v>1997</v>
      </c>
      <c r="F876" s="859">
        <v>9.1</v>
      </c>
      <c r="G876" s="17"/>
      <c r="H876" s="2484" t="s">
        <v>784</v>
      </c>
      <c r="I876" s="2490"/>
      <c r="J876" s="50"/>
      <c r="K876" s="50"/>
      <c r="L876" s="50"/>
      <c r="M876" s="50"/>
      <c r="N876" s="50"/>
      <c r="V876" s="2499"/>
      <c r="W876" s="395">
        <v>9.1</v>
      </c>
      <c r="X876" s="395">
        <v>9.1</v>
      </c>
      <c r="Y876" s="515">
        <v>9.1</v>
      </c>
      <c r="Z876" s="515">
        <v>9.1</v>
      </c>
      <c r="AA876" s="515">
        <v>9.1</v>
      </c>
      <c r="AB876" s="17">
        <v>9.1</v>
      </c>
      <c r="AC876" s="17">
        <v>9.1</v>
      </c>
      <c r="AD876" s="17">
        <v>9.1</v>
      </c>
      <c r="AE876" s="17">
        <v>9.1</v>
      </c>
      <c r="AF876" s="253">
        <v>9.1</v>
      </c>
      <c r="AG876" s="253">
        <f t="shared" si="169"/>
        <v>9.1</v>
      </c>
      <c r="AK876" s="339"/>
    </row>
    <row r="877" spans="1:37" hidden="1" outlineLevel="1" x14ac:dyDescent="0.25">
      <c r="A877" s="2147"/>
      <c r="B877" s="50"/>
      <c r="C877" s="392"/>
      <c r="D877" s="2499"/>
      <c r="E877" s="1248" t="s">
        <v>1999</v>
      </c>
      <c r="F877" s="859">
        <v>11</v>
      </c>
      <c r="G877" s="17"/>
      <c r="H877" s="2484" t="s">
        <v>2028</v>
      </c>
      <c r="I877" s="2490"/>
      <c r="J877" s="50"/>
      <c r="K877" s="50"/>
      <c r="L877" s="50"/>
      <c r="M877" s="50"/>
      <c r="N877" s="50"/>
      <c r="V877" s="2499"/>
      <c r="W877" s="395">
        <v>9.5</v>
      </c>
      <c r="X877" s="112">
        <v>9.23</v>
      </c>
      <c r="Y877" s="160">
        <v>11</v>
      </c>
      <c r="Z877" s="20">
        <v>11</v>
      </c>
      <c r="AA877" s="20">
        <v>11</v>
      </c>
      <c r="AB877" s="17">
        <v>11</v>
      </c>
      <c r="AC877" s="17">
        <v>11</v>
      </c>
      <c r="AD877" s="17">
        <v>11</v>
      </c>
      <c r="AE877" s="17">
        <v>11</v>
      </c>
      <c r="AF877" s="253">
        <v>11</v>
      </c>
      <c r="AG877" s="253">
        <f t="shared" si="169"/>
        <v>11</v>
      </c>
      <c r="AK877" s="339"/>
    </row>
    <row r="878" spans="1:37" hidden="1" outlineLevel="1" x14ac:dyDescent="0.25">
      <c r="A878" s="2147"/>
      <c r="B878" s="50"/>
      <c r="C878" s="392"/>
      <c r="D878" s="2499"/>
      <c r="E878" s="1248" t="s">
        <v>2001</v>
      </c>
      <c r="F878" s="859">
        <v>10.6</v>
      </c>
      <c r="G878" s="17"/>
      <c r="H878" s="2484" t="s">
        <v>784</v>
      </c>
      <c r="I878" s="2490"/>
      <c r="J878" s="50"/>
      <c r="K878" s="50"/>
      <c r="L878" s="50"/>
      <c r="M878" s="50"/>
      <c r="N878" s="50"/>
      <c r="V878" s="2499"/>
      <c r="W878" s="395">
        <v>10.6</v>
      </c>
      <c r="X878" s="395">
        <v>10.6</v>
      </c>
      <c r="Y878" s="395">
        <v>10.6</v>
      </c>
      <c r="Z878" s="17">
        <v>10.6</v>
      </c>
      <c r="AA878" s="17">
        <v>10.6</v>
      </c>
      <c r="AB878" s="17">
        <v>10.6</v>
      </c>
      <c r="AC878" s="17">
        <v>10.6</v>
      </c>
      <c r="AD878" s="17">
        <v>10.6</v>
      </c>
      <c r="AE878" s="17">
        <v>10.6</v>
      </c>
      <c r="AF878" s="253">
        <v>10.6</v>
      </c>
      <c r="AG878" s="253">
        <f t="shared" si="169"/>
        <v>10.6</v>
      </c>
      <c r="AK878" s="339"/>
    </row>
    <row r="879" spans="1:37" hidden="1" outlineLevel="1" x14ac:dyDescent="0.25">
      <c r="A879" s="2147"/>
      <c r="B879" s="50"/>
      <c r="C879" s="392"/>
      <c r="D879" s="2499"/>
      <c r="E879" s="1248" t="s">
        <v>2003</v>
      </c>
      <c r="F879" s="859">
        <v>11</v>
      </c>
      <c r="G879" s="17"/>
      <c r="H879" s="2484" t="s">
        <v>2029</v>
      </c>
      <c r="I879" s="2484"/>
      <c r="J879" s="50"/>
      <c r="K879" s="50"/>
      <c r="L879" s="50"/>
      <c r="M879" s="50"/>
      <c r="N879" s="50"/>
      <c r="V879" s="2499"/>
      <c r="W879" s="395"/>
      <c r="X879" s="395"/>
      <c r="Y879" s="395"/>
      <c r="Z879" s="17"/>
      <c r="AA879" s="17"/>
      <c r="AB879" s="112">
        <v>11</v>
      </c>
      <c r="AC879" s="17">
        <v>11</v>
      </c>
      <c r="AD879" s="17">
        <v>11</v>
      </c>
      <c r="AE879" s="17">
        <v>11</v>
      </c>
      <c r="AF879" s="253">
        <v>11</v>
      </c>
      <c r="AG879" s="253">
        <f t="shared" si="169"/>
        <v>11</v>
      </c>
      <c r="AK879" s="339"/>
    </row>
    <row r="880" spans="1:37" hidden="1" outlineLevel="1" x14ac:dyDescent="0.25">
      <c r="A880" s="2147"/>
      <c r="B880" s="50"/>
      <c r="C880" s="392"/>
      <c r="D880" s="2499"/>
      <c r="E880" s="1248" t="s">
        <v>2005</v>
      </c>
      <c r="F880" s="859">
        <v>14</v>
      </c>
      <c r="G880" s="17"/>
      <c r="H880" s="2484" t="s">
        <v>2028</v>
      </c>
      <c r="I880" s="2490"/>
      <c r="J880" s="50"/>
      <c r="K880" s="50"/>
      <c r="L880" s="50"/>
      <c r="M880" s="50"/>
      <c r="N880" s="50"/>
      <c r="V880" s="2499"/>
      <c r="W880" s="395">
        <v>11.2</v>
      </c>
      <c r="X880" s="112">
        <v>14</v>
      </c>
      <c r="Y880" s="20">
        <v>14</v>
      </c>
      <c r="Z880" s="20">
        <v>14</v>
      </c>
      <c r="AA880" s="20">
        <v>14</v>
      </c>
      <c r="AB880" s="17">
        <v>14</v>
      </c>
      <c r="AC880" s="17">
        <v>14</v>
      </c>
      <c r="AD880" s="17">
        <v>14</v>
      </c>
      <c r="AE880" s="17">
        <v>14</v>
      </c>
      <c r="AF880" s="253">
        <v>14</v>
      </c>
      <c r="AG880" s="253">
        <f t="shared" si="169"/>
        <v>14</v>
      </c>
      <c r="AK880" s="339"/>
    </row>
    <row r="881" spans="1:37" hidden="1" outlineLevel="1" x14ac:dyDescent="0.25">
      <c r="A881" s="2147"/>
      <c r="B881" s="50"/>
      <c r="C881" s="392"/>
      <c r="D881" s="2499"/>
      <c r="E881" s="1248" t="s">
        <v>2007</v>
      </c>
      <c r="F881" s="859">
        <v>17</v>
      </c>
      <c r="G881" s="17"/>
      <c r="H881" s="2484" t="s">
        <v>2030</v>
      </c>
      <c r="I881" s="2490"/>
      <c r="J881" s="50"/>
      <c r="K881" s="50"/>
      <c r="L881" s="50"/>
      <c r="M881" s="50"/>
      <c r="N881" s="50"/>
      <c r="V881" s="2499"/>
      <c r="W881" s="20">
        <v>18</v>
      </c>
      <c r="X881" s="112">
        <v>17</v>
      </c>
      <c r="Y881" s="1389">
        <v>17</v>
      </c>
      <c r="Z881" s="515">
        <v>17</v>
      </c>
      <c r="AA881" s="515">
        <v>17</v>
      </c>
      <c r="AB881" s="17">
        <v>17</v>
      </c>
      <c r="AC881" s="17">
        <v>17</v>
      </c>
      <c r="AD881" s="17">
        <v>17</v>
      </c>
      <c r="AE881" s="17">
        <v>17</v>
      </c>
      <c r="AF881" s="253">
        <v>17</v>
      </c>
      <c r="AG881" s="253">
        <f t="shared" si="169"/>
        <v>17</v>
      </c>
      <c r="AK881" s="339"/>
    </row>
    <row r="882" spans="1:37" hidden="1" outlineLevel="1" x14ac:dyDescent="0.25">
      <c r="A882" s="2147"/>
      <c r="B882" s="50"/>
      <c r="C882" s="392"/>
      <c r="D882" s="2499"/>
      <c r="E882" s="1248" t="s">
        <v>2009</v>
      </c>
      <c r="F882" s="859">
        <v>15</v>
      </c>
      <c r="G882" s="17"/>
      <c r="H882" s="2484" t="s">
        <v>784</v>
      </c>
      <c r="I882" s="2490"/>
      <c r="J882" s="50"/>
      <c r="K882" s="50"/>
      <c r="L882" s="50"/>
      <c r="M882" s="50"/>
      <c r="N882" s="50"/>
      <c r="V882" s="2499"/>
      <c r="W882" s="20">
        <v>15</v>
      </c>
      <c r="X882" s="20">
        <v>15</v>
      </c>
      <c r="Y882" s="1389">
        <v>15</v>
      </c>
      <c r="Z882" s="515">
        <v>15</v>
      </c>
      <c r="AA882" s="515">
        <v>15</v>
      </c>
      <c r="AB882" s="20">
        <v>15</v>
      </c>
      <c r="AC882" s="20">
        <v>15</v>
      </c>
      <c r="AD882" s="20">
        <v>15</v>
      </c>
      <c r="AE882" s="20">
        <v>15</v>
      </c>
      <c r="AF882" s="253">
        <v>15</v>
      </c>
      <c r="AG882" s="253">
        <f t="shared" si="169"/>
        <v>15</v>
      </c>
      <c r="AK882" s="339"/>
    </row>
    <row r="883" spans="1:37" hidden="1" outlineLevel="1" x14ac:dyDescent="0.25">
      <c r="A883" s="2147"/>
      <c r="B883" s="50"/>
      <c r="C883" s="392"/>
      <c r="D883" s="2499"/>
      <c r="E883" s="1248" t="s">
        <v>2011</v>
      </c>
      <c r="F883" s="859">
        <v>4.5</v>
      </c>
      <c r="G883" s="17"/>
      <c r="H883" s="2484" t="s">
        <v>784</v>
      </c>
      <c r="I883" s="2490"/>
      <c r="J883" s="50"/>
      <c r="K883" s="50"/>
      <c r="L883" s="50"/>
      <c r="M883" s="50"/>
      <c r="N883" s="50"/>
      <c r="V883" s="2499"/>
      <c r="W883" s="20">
        <v>4.5</v>
      </c>
      <c r="X883" s="20">
        <v>4.5</v>
      </c>
      <c r="Y883" s="1389">
        <v>4.5</v>
      </c>
      <c r="Z883" s="515">
        <v>4.5</v>
      </c>
      <c r="AA883" s="515">
        <v>4.5</v>
      </c>
      <c r="AB883" s="20">
        <v>4.5</v>
      </c>
      <c r="AC883" s="20">
        <v>4.5</v>
      </c>
      <c r="AD883" s="20">
        <v>4.5</v>
      </c>
      <c r="AE883" s="20">
        <v>4.5</v>
      </c>
      <c r="AF883" s="253">
        <v>4.5</v>
      </c>
      <c r="AG883" s="253">
        <f t="shared" si="169"/>
        <v>4.5</v>
      </c>
      <c r="AK883" s="339"/>
    </row>
    <row r="884" spans="1:37" hidden="1" outlineLevel="1" x14ac:dyDescent="0.25">
      <c r="A884" s="2147"/>
      <c r="B884" s="50"/>
      <c r="C884" s="392"/>
      <c r="D884" s="2499"/>
      <c r="E884" s="1248" t="s">
        <v>2013</v>
      </c>
      <c r="F884" s="859">
        <v>7</v>
      </c>
      <c r="G884" s="17"/>
      <c r="H884" s="2484" t="s">
        <v>2028</v>
      </c>
      <c r="I884" s="2490"/>
      <c r="J884" s="50"/>
      <c r="K884" s="50"/>
      <c r="L884" s="50"/>
      <c r="M884" s="50"/>
      <c r="N884" s="50"/>
      <c r="V884" s="2499"/>
      <c r="W884" s="20">
        <v>5.9</v>
      </c>
      <c r="X884" s="112">
        <v>8</v>
      </c>
      <c r="Y884" s="160">
        <v>7</v>
      </c>
      <c r="Z884" s="20">
        <v>7</v>
      </c>
      <c r="AA884" s="20">
        <v>7</v>
      </c>
      <c r="AB884" s="17">
        <v>7</v>
      </c>
      <c r="AC884" s="17">
        <v>7</v>
      </c>
      <c r="AD884" s="17">
        <v>7</v>
      </c>
      <c r="AE884" s="17">
        <v>7</v>
      </c>
      <c r="AF884" s="253">
        <v>7</v>
      </c>
      <c r="AG884" s="253">
        <f t="shared" si="169"/>
        <v>7</v>
      </c>
      <c r="AK884" s="339"/>
    </row>
    <row r="885" spans="1:37" hidden="1" outlineLevel="1" x14ac:dyDescent="0.25">
      <c r="A885" s="2147"/>
      <c r="B885" s="50"/>
      <c r="C885" s="392"/>
      <c r="D885" s="2499"/>
      <c r="E885" s="1248" t="s">
        <v>2015</v>
      </c>
      <c r="F885" s="859">
        <v>6</v>
      </c>
      <c r="G885" s="17"/>
      <c r="H885" s="2484" t="s">
        <v>784</v>
      </c>
      <c r="I885" s="2490"/>
      <c r="J885" s="50"/>
      <c r="K885" s="50"/>
      <c r="L885" s="50"/>
      <c r="M885" s="50"/>
      <c r="N885" s="50"/>
      <c r="V885" s="2499"/>
      <c r="W885" s="20"/>
      <c r="X885" s="20"/>
      <c r="Y885" s="20"/>
      <c r="Z885" s="20"/>
      <c r="AA885" s="20"/>
      <c r="AB885" s="160">
        <v>6</v>
      </c>
      <c r="AC885" s="20">
        <v>6</v>
      </c>
      <c r="AD885" s="20">
        <v>6</v>
      </c>
      <c r="AE885" s="20">
        <v>6</v>
      </c>
      <c r="AF885" s="253">
        <v>6</v>
      </c>
      <c r="AG885" s="253">
        <f t="shared" si="169"/>
        <v>6</v>
      </c>
      <c r="AK885" s="339"/>
    </row>
    <row r="886" spans="1:37" hidden="1" outlineLevel="1" x14ac:dyDescent="0.25">
      <c r="A886" s="2147"/>
      <c r="B886" s="50"/>
      <c r="C886" s="392"/>
      <c r="D886" s="2500"/>
      <c r="E886" s="1248" t="s">
        <v>774</v>
      </c>
      <c r="F886" s="1559">
        <v>0.3</v>
      </c>
      <c r="G886" s="17"/>
      <c r="H886" s="2484" t="s">
        <v>784</v>
      </c>
      <c r="I886" s="2490"/>
      <c r="J886" s="50"/>
      <c r="K886" s="50"/>
      <c r="L886" s="50"/>
      <c r="M886" s="50"/>
      <c r="N886" s="50"/>
      <c r="V886" s="2500"/>
      <c r="W886" s="20"/>
      <c r="X886" s="20"/>
      <c r="Y886" s="20"/>
      <c r="Z886" s="20"/>
      <c r="AA886" s="20"/>
      <c r="AB886" s="160"/>
      <c r="AC886" s="160">
        <v>0.3</v>
      </c>
      <c r="AD886" s="20">
        <v>0.3</v>
      </c>
      <c r="AE886" s="20">
        <v>0.3</v>
      </c>
      <c r="AF886" s="253">
        <v>0.3</v>
      </c>
      <c r="AG886" s="253">
        <f t="shared" si="169"/>
        <v>0.3</v>
      </c>
      <c r="AK886" s="339"/>
    </row>
    <row r="887" spans="1:37" ht="15" hidden="1" customHeight="1" outlineLevel="1" x14ac:dyDescent="0.25">
      <c r="A887" s="2147"/>
      <c r="B887" s="50"/>
      <c r="C887" s="392"/>
      <c r="D887" s="2522" t="s">
        <v>105</v>
      </c>
      <c r="E887" s="1282" t="s">
        <v>2031</v>
      </c>
      <c r="F887" s="1451">
        <v>0.98180000000000001</v>
      </c>
      <c r="G887" s="17"/>
      <c r="H887" s="2484" t="s">
        <v>2032</v>
      </c>
      <c r="I887" s="2490"/>
      <c r="J887" s="50"/>
      <c r="K887" s="398"/>
      <c r="L887" s="50"/>
      <c r="M887" s="50"/>
      <c r="N887" s="50"/>
      <c r="V887" s="2522" t="s">
        <v>105</v>
      </c>
      <c r="W887" s="1052">
        <v>0.95120000000000005</v>
      </c>
      <c r="X887" s="1568">
        <v>0.97</v>
      </c>
      <c r="Y887" s="179">
        <v>0.98180000000000001</v>
      </c>
      <c r="Z887" s="180">
        <v>0.98180000000000001</v>
      </c>
      <c r="AA887" s="180">
        <v>0.98180000000000001</v>
      </c>
      <c r="AB887" s="1556">
        <v>0.98180000000000001</v>
      </c>
      <c r="AC887" s="1556">
        <v>0.98180000000000001</v>
      </c>
      <c r="AD887" s="1556">
        <v>0.98180000000000001</v>
      </c>
      <c r="AE887" s="1556">
        <v>0.98180000000000001</v>
      </c>
      <c r="AF887" s="253">
        <v>0.98180000000000001</v>
      </c>
      <c r="AG887" s="253">
        <f t="shared" si="169"/>
        <v>0.98180000000000001</v>
      </c>
      <c r="AK887" s="339"/>
    </row>
    <row r="888" spans="1:37" ht="15" hidden="1" customHeight="1" outlineLevel="1" x14ac:dyDescent="0.25">
      <c r="A888" s="2147"/>
      <c r="B888" s="50"/>
      <c r="C888" s="392"/>
      <c r="D888" s="2522"/>
      <c r="E888" s="1282" t="s">
        <v>2033</v>
      </c>
      <c r="F888" s="1451">
        <v>1</v>
      </c>
      <c r="G888" s="17"/>
      <c r="H888" s="2484" t="s">
        <v>2034</v>
      </c>
      <c r="I888" s="2484"/>
      <c r="J888" s="50"/>
      <c r="K888" s="398"/>
      <c r="L888" s="50"/>
      <c r="M888" s="50"/>
      <c r="N888" s="50"/>
      <c r="V888" s="2522"/>
      <c r="W888" s="1052"/>
      <c r="X888" s="1568"/>
      <c r="Y888" s="179"/>
      <c r="Z888" s="180"/>
      <c r="AA888" s="180"/>
      <c r="AB888" s="1568">
        <v>1</v>
      </c>
      <c r="AC888" s="1556">
        <v>1</v>
      </c>
      <c r="AD888" s="1556">
        <v>1</v>
      </c>
      <c r="AE888" s="1556">
        <v>1</v>
      </c>
      <c r="AF888" s="253">
        <v>1</v>
      </c>
      <c r="AG888" s="253">
        <f t="shared" si="169"/>
        <v>1</v>
      </c>
      <c r="AK888" s="339"/>
    </row>
    <row r="889" spans="1:37" hidden="1" outlineLevel="1" x14ac:dyDescent="0.25">
      <c r="A889" s="2147"/>
      <c r="B889" s="50"/>
      <c r="C889" s="392"/>
      <c r="D889" s="394" t="s">
        <v>794</v>
      </c>
      <c r="E889" s="394" t="s">
        <v>742</v>
      </c>
      <c r="F889" s="1566">
        <v>0</v>
      </c>
      <c r="G889" s="17"/>
      <c r="H889" s="2484" t="s">
        <v>2032</v>
      </c>
      <c r="I889" s="2490"/>
      <c r="J889" s="50"/>
      <c r="K889" s="398"/>
      <c r="L889" s="50"/>
      <c r="M889" s="50"/>
      <c r="N889" s="50"/>
      <c r="V889" s="394" t="s">
        <v>794</v>
      </c>
      <c r="W889" s="1052">
        <v>1.6525893496695268E-2</v>
      </c>
      <c r="X889" s="1568">
        <v>0</v>
      </c>
      <c r="Y889" s="1568">
        <v>0</v>
      </c>
      <c r="Z889" s="1556">
        <v>0</v>
      </c>
      <c r="AA889" s="1556">
        <v>0</v>
      </c>
      <c r="AB889" s="1556">
        <v>0</v>
      </c>
      <c r="AC889" s="1556">
        <v>0</v>
      </c>
      <c r="AD889" s="1556">
        <v>0</v>
      </c>
      <c r="AE889" s="1556">
        <v>0</v>
      </c>
      <c r="AF889" s="253">
        <v>0</v>
      </c>
      <c r="AG889" s="253">
        <f t="shared" si="169"/>
        <v>0</v>
      </c>
      <c r="AK889" s="339"/>
    </row>
    <row r="890" spans="1:37" ht="15" hidden="1" customHeight="1" outlineLevel="1" x14ac:dyDescent="0.25">
      <c r="A890" s="2147"/>
      <c r="B890" s="50"/>
      <c r="C890" s="392"/>
      <c r="D890" s="2522" t="s">
        <v>2035</v>
      </c>
      <c r="E890" s="394" t="s">
        <v>849</v>
      </c>
      <c r="F890" s="1561">
        <v>674.17573847971641</v>
      </c>
      <c r="G890" s="17"/>
      <c r="H890" s="2484" t="s">
        <v>2036</v>
      </c>
      <c r="I890" s="2484"/>
      <c r="J890" s="50"/>
      <c r="K890" s="50"/>
      <c r="L890" s="50"/>
      <c r="M890" s="50"/>
      <c r="N890" s="50"/>
      <c r="V890" s="2522" t="s">
        <v>2035</v>
      </c>
      <c r="W890" s="1570">
        <v>693.5</v>
      </c>
      <c r="X890" s="56">
        <v>728</v>
      </c>
      <c r="Y890" s="1392">
        <v>674.17573847971641</v>
      </c>
      <c r="Z890" s="515">
        <v>674.17573847971641</v>
      </c>
      <c r="AA890" s="515">
        <v>674.17573847971641</v>
      </c>
      <c r="AB890" s="399">
        <v>674.17573847971641</v>
      </c>
      <c r="AC890" s="399">
        <v>674.17573847971641</v>
      </c>
      <c r="AD890" s="399">
        <v>674.17573847971641</v>
      </c>
      <c r="AE890" s="399">
        <v>674.17573847971641</v>
      </c>
      <c r="AF890" s="253">
        <v>674.17573847971641</v>
      </c>
      <c r="AG890" s="253">
        <f t="shared" si="169"/>
        <v>674.17573847971641</v>
      </c>
      <c r="AK890" s="339"/>
    </row>
    <row r="891" spans="1:37" ht="15" hidden="1" customHeight="1" outlineLevel="1" x14ac:dyDescent="0.25">
      <c r="A891" s="2147"/>
      <c r="B891" s="50"/>
      <c r="C891" s="392"/>
      <c r="D891" s="2522"/>
      <c r="E891" s="394" t="s">
        <v>2037</v>
      </c>
      <c r="F891" s="1561">
        <v>4380</v>
      </c>
      <c r="G891" s="17"/>
      <c r="H891" s="2484" t="s">
        <v>2038</v>
      </c>
      <c r="I891" s="2484"/>
      <c r="J891" s="50"/>
      <c r="K891" s="50"/>
      <c r="L891" s="50"/>
      <c r="M891" s="50"/>
      <c r="N891" s="50"/>
      <c r="V891" s="2522"/>
      <c r="W891" s="1570"/>
      <c r="X891" s="56"/>
      <c r="Y891" s="1392"/>
      <c r="Z891" s="515"/>
      <c r="AA891" s="515"/>
      <c r="AB891" s="399"/>
      <c r="AC891" s="56">
        <v>4380</v>
      </c>
      <c r="AD891" s="399">
        <v>4380</v>
      </c>
      <c r="AE891" s="399">
        <v>4380</v>
      </c>
      <c r="AF891" s="253">
        <v>4380</v>
      </c>
      <c r="AG891" s="253">
        <f t="shared" si="169"/>
        <v>4380</v>
      </c>
      <c r="AK891" s="339"/>
    </row>
    <row r="892" spans="1:37" hidden="1" outlineLevel="1" x14ac:dyDescent="0.25">
      <c r="A892" s="2147"/>
      <c r="B892" s="50"/>
      <c r="C892" s="392"/>
      <c r="D892" s="394" t="s">
        <v>2039</v>
      </c>
      <c r="E892" s="394" t="s">
        <v>2040</v>
      </c>
      <c r="F892" s="1448">
        <v>0.99008680582907171</v>
      </c>
      <c r="G892" s="17"/>
      <c r="H892" s="2484" t="s">
        <v>2041</v>
      </c>
      <c r="I892" s="2490"/>
      <c r="J892" s="50"/>
      <c r="K892" s="50"/>
      <c r="L892" s="50"/>
      <c r="M892" s="50"/>
      <c r="N892" s="50"/>
      <c r="V892" s="394" t="s">
        <v>2039</v>
      </c>
      <c r="W892" s="1570">
        <v>0.99</v>
      </c>
      <c r="X892" s="1570">
        <v>0.99</v>
      </c>
      <c r="Y892" s="1392">
        <v>0.99008680582907171</v>
      </c>
      <c r="Z892" s="515">
        <v>0.99008680582907171</v>
      </c>
      <c r="AA892" s="515">
        <v>0.99008680582907171</v>
      </c>
      <c r="AB892" s="399">
        <v>0.99008680582907171</v>
      </c>
      <c r="AC892" s="399">
        <v>0.99008680582907171</v>
      </c>
      <c r="AD892" s="399">
        <v>0.99008680582907171</v>
      </c>
      <c r="AE892" s="399">
        <v>0.99008680582907171</v>
      </c>
      <c r="AF892" s="253">
        <v>0.99008680582907171</v>
      </c>
      <c r="AG892" s="253">
        <f t="shared" si="169"/>
        <v>0.99008680582907171</v>
      </c>
      <c r="AK892" s="339"/>
    </row>
    <row r="893" spans="1:37" ht="15" hidden="1" customHeight="1" outlineLevel="1" x14ac:dyDescent="0.25">
      <c r="A893" s="2147"/>
      <c r="B893" s="50"/>
      <c r="C893" s="392"/>
      <c r="D893" s="2522" t="s">
        <v>2042</v>
      </c>
      <c r="E893" s="394" t="s">
        <v>849</v>
      </c>
      <c r="F893" s="1560">
        <v>7321.0388096521265</v>
      </c>
      <c r="G893" s="17"/>
      <c r="H893" s="2484" t="s">
        <v>2036</v>
      </c>
      <c r="I893" s="2484"/>
      <c r="J893" s="50"/>
      <c r="K893" s="50"/>
      <c r="L893" s="50"/>
      <c r="M893" s="50"/>
      <c r="N893" s="50"/>
      <c r="V893" s="2522" t="s">
        <v>2042</v>
      </c>
      <c r="W893" s="1570">
        <v>3613</v>
      </c>
      <c r="X893" s="56">
        <v>5949</v>
      </c>
      <c r="Y893" s="1392">
        <v>7321.0388096521265</v>
      </c>
      <c r="Z893" s="515">
        <v>7321.0388096521265</v>
      </c>
      <c r="AA893" s="515">
        <v>7321.0388096521265</v>
      </c>
      <c r="AB893" s="399">
        <v>7321.0388096521265</v>
      </c>
      <c r="AC893" s="399">
        <v>7321.0388096521265</v>
      </c>
      <c r="AD893" s="399">
        <v>7321.0388096521265</v>
      </c>
      <c r="AE893" s="399">
        <v>7321.0388096521265</v>
      </c>
      <c r="AF893" s="253">
        <v>7321.0388096521265</v>
      </c>
      <c r="AG893" s="253">
        <f t="shared" si="169"/>
        <v>7321.0388096521265</v>
      </c>
      <c r="AK893" s="339"/>
    </row>
    <row r="894" spans="1:37" ht="15" hidden="1" customHeight="1" outlineLevel="1" x14ac:dyDescent="0.25">
      <c r="A894" s="2147"/>
      <c r="B894" s="50"/>
      <c r="C894" s="392"/>
      <c r="D894" s="2522"/>
      <c r="E894" s="394" t="s">
        <v>2037</v>
      </c>
      <c r="F894" s="1560">
        <v>4380</v>
      </c>
      <c r="G894" s="17"/>
      <c r="H894" s="2484" t="s">
        <v>2038</v>
      </c>
      <c r="I894" s="2484"/>
      <c r="J894" s="50"/>
      <c r="K894" s="50"/>
      <c r="L894" s="50"/>
      <c r="M894" s="50"/>
      <c r="N894" s="50"/>
      <c r="V894" s="2522"/>
      <c r="W894" s="1570"/>
      <c r="X894" s="56"/>
      <c r="Y894" s="1392"/>
      <c r="Z894" s="515"/>
      <c r="AA894" s="515"/>
      <c r="AB894" s="399"/>
      <c r="AC894" s="56">
        <v>4380</v>
      </c>
      <c r="AD894" s="399">
        <v>4380</v>
      </c>
      <c r="AE894" s="399">
        <v>4380</v>
      </c>
      <c r="AF894" s="253">
        <v>4380</v>
      </c>
      <c r="AG894" s="253">
        <f t="shared" si="169"/>
        <v>4380</v>
      </c>
      <c r="AK894" s="339"/>
    </row>
    <row r="895" spans="1:37" ht="15" hidden="1" customHeight="1" outlineLevel="1" x14ac:dyDescent="0.25">
      <c r="A895" s="2147"/>
      <c r="B895" s="50"/>
      <c r="C895" s="392"/>
      <c r="D895" s="394" t="s">
        <v>2043</v>
      </c>
      <c r="E895" s="394" t="s">
        <v>791</v>
      </c>
      <c r="F895" s="1560">
        <v>0.96568754422551695</v>
      </c>
      <c r="G895" s="17"/>
      <c r="H895" s="2484" t="s">
        <v>2044</v>
      </c>
      <c r="I895" s="2484"/>
      <c r="J895" s="50"/>
      <c r="K895" s="50"/>
      <c r="L895" s="50"/>
      <c r="M895" s="50"/>
      <c r="N895" s="50"/>
      <c r="V895" s="394" t="s">
        <v>2043</v>
      </c>
      <c r="W895" s="1570">
        <v>1.1000000000000001</v>
      </c>
      <c r="X895" s="1570">
        <v>2.1</v>
      </c>
      <c r="Y895" s="1392">
        <v>0.96568754422551695</v>
      </c>
      <c r="Z895" s="515">
        <v>0.96568754422551695</v>
      </c>
      <c r="AA895" s="515">
        <v>0.96568754422551695</v>
      </c>
      <c r="AB895" s="399">
        <v>0.96568754422551695</v>
      </c>
      <c r="AC895" s="399">
        <v>0.96568754422551695</v>
      </c>
      <c r="AD895" s="399">
        <v>0.96568754422551695</v>
      </c>
      <c r="AE895" s="399">
        <v>0.96568754422551695</v>
      </c>
      <c r="AF895" s="253">
        <v>0.96568754422551695</v>
      </c>
      <c r="AG895" s="253">
        <f t="shared" si="169"/>
        <v>0.96568754422551695</v>
      </c>
      <c r="AK895" s="339"/>
    </row>
    <row r="896" spans="1:37" hidden="1" outlineLevel="1" x14ac:dyDescent="0.25">
      <c r="A896" s="2147"/>
      <c r="B896" s="50"/>
      <c r="C896" s="392"/>
      <c r="D896" s="394" t="s">
        <v>2045</v>
      </c>
      <c r="E896" s="394" t="s">
        <v>742</v>
      </c>
      <c r="F896" s="1565">
        <v>1</v>
      </c>
      <c r="G896" s="17"/>
      <c r="H896" s="2484" t="s">
        <v>2046</v>
      </c>
      <c r="I896" s="2490"/>
      <c r="J896" s="50"/>
      <c r="K896" s="50"/>
      <c r="L896" s="50"/>
      <c r="M896" s="50"/>
      <c r="N896" s="50"/>
      <c r="V896" s="394" t="s">
        <v>2045</v>
      </c>
      <c r="W896" s="400">
        <v>1</v>
      </c>
      <c r="X896" s="400">
        <v>1</v>
      </c>
      <c r="Y896" s="400">
        <v>1</v>
      </c>
      <c r="Z896" s="400">
        <v>1</v>
      </c>
      <c r="AA896" s="400">
        <v>1</v>
      </c>
      <c r="AB896" s="400">
        <v>1</v>
      </c>
      <c r="AC896" s="400">
        <v>1</v>
      </c>
      <c r="AD896" s="400">
        <v>1</v>
      </c>
      <c r="AE896" s="400">
        <v>1</v>
      </c>
      <c r="AF896" s="253">
        <v>1</v>
      </c>
      <c r="AG896" s="253">
        <f t="shared" si="169"/>
        <v>1</v>
      </c>
      <c r="AK896" s="339"/>
    </row>
    <row r="897" spans="1:45" ht="15" hidden="1" customHeight="1" outlineLevel="1" x14ac:dyDescent="0.25">
      <c r="A897" s="2147"/>
      <c r="B897" s="50"/>
      <c r="C897" s="392"/>
      <c r="D897" s="394" t="s">
        <v>2047</v>
      </c>
      <c r="E897" s="394" t="s">
        <v>775</v>
      </c>
      <c r="F897" s="1563">
        <v>1.4925290000000001E-4</v>
      </c>
      <c r="G897" s="17"/>
      <c r="H897" s="2484" t="s">
        <v>2048</v>
      </c>
      <c r="I897" s="2490"/>
      <c r="J897" s="50"/>
      <c r="K897" s="50"/>
      <c r="L897" s="50"/>
      <c r="M897" s="50"/>
      <c r="N897" s="50"/>
      <c r="V897" s="394" t="s">
        <v>2047</v>
      </c>
      <c r="W897" s="402">
        <v>1.4925290000000001E-4</v>
      </c>
      <c r="X897" s="402">
        <v>1.4925290000000001E-4</v>
      </c>
      <c r="Y897" s="402">
        <v>1.4925290000000001E-4</v>
      </c>
      <c r="Z897" s="401">
        <v>1.4925290000000001E-4</v>
      </c>
      <c r="AA897" s="401">
        <v>1.4925290000000001E-4</v>
      </c>
      <c r="AB897" s="401">
        <v>1.4925290000000001E-4</v>
      </c>
      <c r="AC897" s="401">
        <v>1.4925290000000001E-4</v>
      </c>
      <c r="AD897" s="401">
        <v>1.4925290000000001E-4</v>
      </c>
      <c r="AE897" s="401">
        <v>1.4925290000000001E-4</v>
      </c>
      <c r="AF897" s="253">
        <v>1.4925290000000001E-4</v>
      </c>
      <c r="AG897" s="253">
        <f t="shared" si="169"/>
        <v>1.4925290000000001E-4</v>
      </c>
      <c r="AK897" s="339"/>
    </row>
    <row r="898" spans="1:45" ht="15" hidden="1" customHeight="1" outlineLevel="1" x14ac:dyDescent="0.25">
      <c r="A898" s="2147"/>
      <c r="B898" s="50"/>
      <c r="C898" s="392"/>
      <c r="D898" s="394" t="s">
        <v>2049</v>
      </c>
      <c r="E898" s="394" t="s">
        <v>62</v>
      </c>
      <c r="F898" s="1558">
        <v>1.899635E-4</v>
      </c>
      <c r="G898" s="17"/>
      <c r="H898" s="2484" t="s">
        <v>2048</v>
      </c>
      <c r="I898" s="2490"/>
      <c r="J898" s="50"/>
      <c r="K898" s="50"/>
      <c r="L898" s="50"/>
      <c r="M898" s="50"/>
      <c r="N898" s="50"/>
      <c r="V898" s="394" t="s">
        <v>2049</v>
      </c>
      <c r="W898" s="402">
        <v>1.899635E-4</v>
      </c>
      <c r="X898" s="402">
        <v>1.899635E-4</v>
      </c>
      <c r="Y898" s="402">
        <v>1.899635E-4</v>
      </c>
      <c r="Z898" s="401">
        <v>1.899635E-4</v>
      </c>
      <c r="AA898" s="401">
        <v>1.899635E-4</v>
      </c>
      <c r="AB898" s="401">
        <v>1.899635E-4</v>
      </c>
      <c r="AC898" s="401">
        <v>1.899635E-4</v>
      </c>
      <c r="AD898" s="401">
        <v>1.899635E-4</v>
      </c>
      <c r="AE898" s="401">
        <v>1.899635E-4</v>
      </c>
      <c r="AF898" s="253">
        <v>1.899635E-4</v>
      </c>
      <c r="AG898" s="253">
        <f t="shared" si="169"/>
        <v>1.899635E-4</v>
      </c>
      <c r="AK898" s="339"/>
    </row>
    <row r="899" spans="1:45" hidden="1" outlineLevel="1" x14ac:dyDescent="0.25">
      <c r="A899" s="2147"/>
      <c r="B899" s="50"/>
      <c r="C899" s="392"/>
      <c r="D899" s="394" t="s">
        <v>2050</v>
      </c>
      <c r="E899" s="394" t="s">
        <v>2051</v>
      </c>
      <c r="F899" s="1562">
        <v>8760</v>
      </c>
      <c r="G899" s="17"/>
      <c r="H899" s="2484" t="s">
        <v>2052</v>
      </c>
      <c r="I899" s="2490"/>
      <c r="J899" s="50"/>
      <c r="K899" s="50"/>
      <c r="L899" s="50"/>
      <c r="M899" s="50"/>
      <c r="N899" s="50"/>
      <c r="V899" s="394" t="s">
        <v>2050</v>
      </c>
      <c r="W899" s="29">
        <v>8760</v>
      </c>
      <c r="X899" s="29">
        <v>8760</v>
      </c>
      <c r="Y899" s="29">
        <v>8760</v>
      </c>
      <c r="Z899" s="19">
        <v>8760</v>
      </c>
      <c r="AA899" s="19">
        <v>8760</v>
      </c>
      <c r="AB899" s="19">
        <v>8760</v>
      </c>
      <c r="AC899" s="19">
        <v>8760</v>
      </c>
      <c r="AD899" s="19">
        <v>8760</v>
      </c>
      <c r="AE899" s="19">
        <v>8760</v>
      </c>
      <c r="AF899" s="253">
        <v>8760</v>
      </c>
      <c r="AG899" s="253">
        <f t="shared" si="169"/>
        <v>8760</v>
      </c>
      <c r="AK899" s="339"/>
    </row>
    <row r="900" spans="1:45" hidden="1" outlineLevel="1" x14ac:dyDescent="0.25">
      <c r="A900" s="2147"/>
      <c r="B900" s="50"/>
      <c r="C900" s="392"/>
      <c r="D900" s="394" t="s">
        <v>2053</v>
      </c>
      <c r="E900" s="394" t="s">
        <v>2054</v>
      </c>
      <c r="F900" s="1562">
        <v>4380</v>
      </c>
      <c r="G900" s="17"/>
      <c r="H900" s="2484" t="s">
        <v>2055</v>
      </c>
      <c r="I900" s="2490"/>
      <c r="J900" s="50"/>
      <c r="K900" s="50"/>
      <c r="L900" s="50"/>
      <c r="M900" s="50"/>
      <c r="N900" s="50"/>
      <c r="V900" s="394" t="s">
        <v>2053</v>
      </c>
      <c r="W900" s="29">
        <v>4380</v>
      </c>
      <c r="X900" s="29">
        <v>4380</v>
      </c>
      <c r="Y900" s="29">
        <v>4380</v>
      </c>
      <c r="Z900" s="19">
        <v>4380</v>
      </c>
      <c r="AA900" s="19">
        <v>4380</v>
      </c>
      <c r="AB900" s="19">
        <v>4380</v>
      </c>
      <c r="AC900" s="19">
        <v>4380</v>
      </c>
      <c r="AD900" s="19">
        <v>4380</v>
      </c>
      <c r="AE900" s="19">
        <v>4380</v>
      </c>
      <c r="AF900" s="253">
        <v>4380</v>
      </c>
      <c r="AG900" s="253">
        <f t="shared" si="169"/>
        <v>4380</v>
      </c>
      <c r="AK900" s="339"/>
    </row>
    <row r="901" spans="1:45" hidden="1" outlineLevel="1" x14ac:dyDescent="0.25">
      <c r="A901" s="2147"/>
      <c r="B901" s="549"/>
      <c r="C901" s="1275"/>
      <c r="D901" s="2496" t="s">
        <v>50</v>
      </c>
      <c r="E901" s="1280" t="s">
        <v>2056</v>
      </c>
      <c r="F901" s="1803">
        <v>8</v>
      </c>
      <c r="G901" s="17"/>
      <c r="H901" s="2484" t="s">
        <v>2057</v>
      </c>
      <c r="I901" s="2490"/>
      <c r="V901" s="2496" t="s">
        <v>50</v>
      </c>
      <c r="W901" s="665">
        <v>7</v>
      </c>
      <c r="X901" s="665">
        <v>7</v>
      </c>
      <c r="Y901" s="665">
        <v>7</v>
      </c>
      <c r="Z901" s="665">
        <v>7</v>
      </c>
      <c r="AA901" s="665">
        <v>7</v>
      </c>
      <c r="AB901" s="665">
        <v>7</v>
      </c>
      <c r="AC901" s="665">
        <v>7</v>
      </c>
      <c r="AD901" s="665">
        <v>7</v>
      </c>
      <c r="AE901" s="665">
        <v>7</v>
      </c>
      <c r="AF901" s="253">
        <v>8</v>
      </c>
      <c r="AG901" s="253">
        <f t="shared" si="169"/>
        <v>8</v>
      </c>
      <c r="AK901" s="339"/>
    </row>
    <row r="902" spans="1:45" ht="44.65" hidden="1" customHeight="1" outlineLevel="1" x14ac:dyDescent="0.25">
      <c r="A902" s="2147"/>
      <c r="B902" s="549"/>
      <c r="C902" s="1275"/>
      <c r="D902" s="2496"/>
      <c r="E902" s="1280" t="s">
        <v>2058</v>
      </c>
      <c r="F902" s="1803">
        <v>8</v>
      </c>
      <c r="G902" s="17"/>
      <c r="H902" s="2497" t="s">
        <v>2059</v>
      </c>
      <c r="I902" s="2497"/>
      <c r="V902" s="2496"/>
      <c r="W902" s="665"/>
      <c r="X902" s="665"/>
      <c r="Y902" s="665"/>
      <c r="Z902" s="665"/>
      <c r="AA902" s="665"/>
      <c r="AB902" s="665"/>
      <c r="AC902" s="773">
        <v>19</v>
      </c>
      <c r="AD902" s="665">
        <v>19</v>
      </c>
      <c r="AE902" s="665">
        <v>19</v>
      </c>
      <c r="AF902" s="253">
        <v>8</v>
      </c>
      <c r="AG902" s="253">
        <f t="shared" si="169"/>
        <v>8</v>
      </c>
      <c r="AK902" s="339"/>
    </row>
    <row r="903" spans="1:45" hidden="1" outlineLevel="1" x14ac:dyDescent="0.25">
      <c r="A903" s="2147"/>
      <c r="B903" s="549"/>
      <c r="C903" s="1275"/>
      <c r="D903" s="2496"/>
      <c r="E903" s="1280" t="s">
        <v>2060</v>
      </c>
      <c r="F903" s="1557"/>
      <c r="G903" s="17"/>
      <c r="H903" s="2484"/>
      <c r="I903" s="2490"/>
      <c r="V903" s="2383"/>
      <c r="W903" s="665">
        <v>7</v>
      </c>
      <c r="X903" s="665">
        <v>7</v>
      </c>
      <c r="Y903" s="665">
        <v>7</v>
      </c>
      <c r="Z903" s="665">
        <v>7</v>
      </c>
      <c r="AA903" s="665">
        <v>7</v>
      </c>
      <c r="AB903" s="665">
        <v>7</v>
      </c>
      <c r="AC903" s="665">
        <v>7</v>
      </c>
      <c r="AD903" s="665">
        <v>7</v>
      </c>
      <c r="AE903" s="665">
        <v>7</v>
      </c>
      <c r="AF903" s="253" t="s">
        <v>935</v>
      </c>
      <c r="AG903" s="253" t="str">
        <f t="shared" si="169"/>
        <v/>
      </c>
      <c r="AK903" s="339"/>
    </row>
    <row r="904" spans="1:45" hidden="1" outlineLevel="1" x14ac:dyDescent="0.25">
      <c r="A904" s="2147"/>
      <c r="B904" s="549"/>
      <c r="C904" s="1275"/>
      <c r="D904" s="2668" t="s">
        <v>613</v>
      </c>
      <c r="E904" s="2668" t="s">
        <v>99</v>
      </c>
      <c r="F904" s="2502" t="s">
        <v>757</v>
      </c>
      <c r="G904" s="2502" t="s">
        <v>759</v>
      </c>
      <c r="H904" s="2668" t="s">
        <v>617</v>
      </c>
      <c r="I904" s="2383"/>
      <c r="V904" s="265"/>
      <c r="W904" s="265"/>
      <c r="X904" s="265"/>
      <c r="Y904" s="265"/>
      <c r="Z904" s="265"/>
      <c r="AA904" s="265"/>
      <c r="AB904" s="265"/>
      <c r="AC904" s="265"/>
      <c r="AD904" s="265"/>
      <c r="AE904" s="265"/>
      <c r="AF904" s="265"/>
      <c r="AG904" s="265"/>
      <c r="AI904" s="637">
        <f>$W$6</f>
        <v>43252</v>
      </c>
      <c r="AJ904" s="637">
        <f>$X$6</f>
        <v>43465</v>
      </c>
      <c r="AK904" s="637">
        <f>$Y$6</f>
        <v>43800</v>
      </c>
      <c r="AL904" s="637">
        <f>$Z$6</f>
        <v>43862</v>
      </c>
      <c r="AM904" s="637">
        <f>$AA$6</f>
        <v>44013</v>
      </c>
      <c r="AN904" s="637">
        <f>$AB$6</f>
        <v>44166</v>
      </c>
      <c r="AO904" s="637">
        <f>$AC$6</f>
        <v>44531</v>
      </c>
      <c r="AP904" s="637">
        <f>$AD$6</f>
        <v>44774</v>
      </c>
      <c r="AQ904" s="637">
        <f>$AE$6</f>
        <v>45139</v>
      </c>
      <c r="AR904" s="637">
        <f>$AF$6</f>
        <v>45672</v>
      </c>
      <c r="AS904" s="637">
        <f>$AG$6</f>
        <v>45971</v>
      </c>
    </row>
    <row r="905" spans="1:45" hidden="1" outlineLevel="1" x14ac:dyDescent="0.25">
      <c r="A905" s="2147"/>
      <c r="B905" s="549"/>
      <c r="C905" s="1275"/>
      <c r="D905" s="2383"/>
      <c r="E905" s="2383"/>
      <c r="F905" s="2413"/>
      <c r="G905" s="2413"/>
      <c r="H905" s="2383"/>
      <c r="I905" s="2383"/>
      <c r="V905" s="265"/>
      <c r="W905" s="265"/>
      <c r="X905" s="265"/>
      <c r="Y905" s="265"/>
      <c r="Z905" s="265"/>
      <c r="AA905" s="265"/>
      <c r="AB905" s="265"/>
      <c r="AC905" s="265"/>
      <c r="AD905" s="265"/>
      <c r="AE905" s="265"/>
      <c r="AF905" s="265"/>
      <c r="AG905" s="265"/>
      <c r="AI905" s="110" t="str">
        <f>$Q$845</f>
        <v>MF</v>
      </c>
      <c r="AJ905" s="110" t="str">
        <f t="shared" ref="AJ905:AS905" si="170">$Q$845</f>
        <v>MF</v>
      </c>
      <c r="AK905" s="110" t="str">
        <f t="shared" si="170"/>
        <v>MF</v>
      </c>
      <c r="AL905" s="110" t="str">
        <f t="shared" si="170"/>
        <v>MF</v>
      </c>
      <c r="AM905" s="110" t="str">
        <f t="shared" si="170"/>
        <v>MF</v>
      </c>
      <c r="AN905" s="110" t="str">
        <f t="shared" si="170"/>
        <v>MF</v>
      </c>
      <c r="AO905" s="110" t="str">
        <f t="shared" si="170"/>
        <v>MF</v>
      </c>
      <c r="AP905" s="110" t="str">
        <f t="shared" si="170"/>
        <v>MF</v>
      </c>
      <c r="AQ905" s="110" t="str">
        <f t="shared" si="170"/>
        <v>MF</v>
      </c>
      <c r="AR905" s="110" t="str">
        <f t="shared" si="170"/>
        <v>MF</v>
      </c>
      <c r="AS905" s="110" t="str">
        <f t="shared" si="170"/>
        <v>MF</v>
      </c>
    </row>
    <row r="906" spans="1:45" hidden="1" outlineLevel="1" x14ac:dyDescent="0.25">
      <c r="A906" s="2147"/>
      <c r="B906" s="549"/>
      <c r="C906" s="1275"/>
      <c r="D906" s="2445" t="s">
        <v>51</v>
      </c>
      <c r="E906" s="1256" t="s">
        <v>1995</v>
      </c>
      <c r="F906" s="1564">
        <v>1.66</v>
      </c>
      <c r="G906" s="742">
        <f>F906</f>
        <v>1.66</v>
      </c>
      <c r="H906" s="2484" t="s">
        <v>2061</v>
      </c>
      <c r="I906" s="2490"/>
      <c r="V906" s="2440" t="str">
        <f>D906</f>
        <v>Inc. Cost</v>
      </c>
      <c r="W906" s="774">
        <v>6</v>
      </c>
      <c r="X906" s="403">
        <v>6</v>
      </c>
      <c r="Y906" s="362">
        <v>6</v>
      </c>
      <c r="Z906" s="362">
        <v>6</v>
      </c>
      <c r="AA906" s="362">
        <v>6</v>
      </c>
      <c r="AB906" s="387">
        <v>6</v>
      </c>
      <c r="AC906" s="362">
        <v>6</v>
      </c>
      <c r="AD906" s="362">
        <v>6</v>
      </c>
      <c r="AE906" s="362">
        <v>6</v>
      </c>
      <c r="AF906" s="253">
        <v>1.66</v>
      </c>
      <c r="AG906" s="253">
        <f t="shared" ref="AG906:AG917" si="171">IF(F906&lt;&gt;"",F906,"")</f>
        <v>1.66</v>
      </c>
      <c r="AI906" s="403">
        <v>3.3</v>
      </c>
      <c r="AJ906" s="403">
        <v>3.3</v>
      </c>
      <c r="AK906" s="403">
        <v>3.3</v>
      </c>
      <c r="AL906" s="403">
        <v>3.3</v>
      </c>
      <c r="AM906" s="403">
        <v>3.3</v>
      </c>
      <c r="AN906" s="387">
        <v>3.3</v>
      </c>
      <c r="AO906" s="362">
        <v>3.3</v>
      </c>
      <c r="AP906" s="362">
        <v>3.3</v>
      </c>
      <c r="AQ906" s="362">
        <v>3.3</v>
      </c>
      <c r="AR906" s="362">
        <v>1.66</v>
      </c>
      <c r="AS906" s="362">
        <f t="shared" ref="AS906:AS917" si="172">IF(G906&lt;&gt;"",G906,"")</f>
        <v>1.66</v>
      </c>
    </row>
    <row r="907" spans="1:45" hidden="1" outlineLevel="1" x14ac:dyDescent="0.25">
      <c r="A907" s="2147"/>
      <c r="B907" s="549"/>
      <c r="C907" s="1275"/>
      <c r="D907" s="2521"/>
      <c r="E907" s="1256" t="s">
        <v>1997</v>
      </c>
      <c r="F907" s="1564">
        <v>1.45</v>
      </c>
      <c r="G907" s="742">
        <f>F907</f>
        <v>1.45</v>
      </c>
      <c r="H907" s="2484" t="s">
        <v>2062</v>
      </c>
      <c r="I907" s="2490"/>
      <c r="V907" s="2441"/>
      <c r="W907" s="774">
        <v>6</v>
      </c>
      <c r="X907" s="403">
        <v>6</v>
      </c>
      <c r="Y907" s="362">
        <v>6</v>
      </c>
      <c r="Z907" s="362">
        <v>6</v>
      </c>
      <c r="AA907" s="362">
        <v>6</v>
      </c>
      <c r="AB907" s="387">
        <v>6</v>
      </c>
      <c r="AC907" s="362">
        <v>6</v>
      </c>
      <c r="AD907" s="362">
        <v>6</v>
      </c>
      <c r="AE907" s="362">
        <v>6</v>
      </c>
      <c r="AF907" s="253">
        <v>1.45</v>
      </c>
      <c r="AG907" s="253">
        <f t="shared" si="171"/>
        <v>1.45</v>
      </c>
      <c r="AI907" s="403">
        <v>3.68</v>
      </c>
      <c r="AJ907" s="403">
        <v>3.68</v>
      </c>
      <c r="AK907" s="403">
        <v>3.68</v>
      </c>
      <c r="AL907" s="403">
        <v>3.68</v>
      </c>
      <c r="AM907" s="403">
        <v>3.68</v>
      </c>
      <c r="AN907" s="387">
        <v>3.68</v>
      </c>
      <c r="AO907" s="362">
        <v>3.68</v>
      </c>
      <c r="AP907" s="362">
        <v>3.68</v>
      </c>
      <c r="AQ907" s="362">
        <v>3.68</v>
      </c>
      <c r="AR907" s="362">
        <v>1.45</v>
      </c>
      <c r="AS907" s="362">
        <f t="shared" si="172"/>
        <v>1.45</v>
      </c>
    </row>
    <row r="908" spans="1:45" ht="14.45" hidden="1" customHeight="1" outlineLevel="1" x14ac:dyDescent="0.25">
      <c r="A908" s="2147"/>
      <c r="B908" s="549"/>
      <c r="C908" s="1275"/>
      <c r="D908" s="2521"/>
      <c r="E908" s="1256" t="s">
        <v>1999</v>
      </c>
      <c r="F908" s="1564">
        <v>1.66</v>
      </c>
      <c r="G908" s="742">
        <f t="shared" ref="G908:G914" si="173">F908</f>
        <v>1.66</v>
      </c>
      <c r="H908" s="2484" t="s">
        <v>2061</v>
      </c>
      <c r="I908" s="2490"/>
      <c r="V908" s="2441"/>
      <c r="W908" s="774">
        <v>6</v>
      </c>
      <c r="X908" s="403">
        <v>6</v>
      </c>
      <c r="Y908" s="362">
        <v>6</v>
      </c>
      <c r="Z908" s="362">
        <v>6</v>
      </c>
      <c r="AA908" s="362">
        <v>6</v>
      </c>
      <c r="AB908" s="387">
        <v>6</v>
      </c>
      <c r="AC908" s="362">
        <v>6</v>
      </c>
      <c r="AD908" s="362">
        <v>6</v>
      </c>
      <c r="AE908" s="362">
        <v>6</v>
      </c>
      <c r="AF908" s="253">
        <v>1.66</v>
      </c>
      <c r="AG908" s="253">
        <f t="shared" si="171"/>
        <v>1.66</v>
      </c>
      <c r="AI908" s="403">
        <v>3.53</v>
      </c>
      <c r="AJ908" s="403">
        <v>3.53</v>
      </c>
      <c r="AK908" s="403">
        <v>3.53</v>
      </c>
      <c r="AL908" s="403">
        <v>3.53</v>
      </c>
      <c r="AM908" s="403">
        <v>3.53</v>
      </c>
      <c r="AN908" s="387">
        <v>3.53</v>
      </c>
      <c r="AO908" s="362">
        <v>3.53</v>
      </c>
      <c r="AP908" s="362">
        <v>3.53</v>
      </c>
      <c r="AQ908" s="362">
        <v>3.53</v>
      </c>
      <c r="AR908" s="362">
        <v>1.66</v>
      </c>
      <c r="AS908" s="362">
        <f t="shared" si="172"/>
        <v>1.66</v>
      </c>
    </row>
    <row r="909" spans="1:45" ht="14.45" hidden="1" customHeight="1" outlineLevel="1" x14ac:dyDescent="0.25">
      <c r="A909" s="2147"/>
      <c r="B909" s="549"/>
      <c r="C909" s="1275"/>
      <c r="D909" s="2521"/>
      <c r="E909" s="1256" t="s">
        <v>2001</v>
      </c>
      <c r="F909" s="1564">
        <v>1.45</v>
      </c>
      <c r="G909" s="742">
        <f t="shared" si="173"/>
        <v>1.45</v>
      </c>
      <c r="H909" s="2484" t="s">
        <v>2062</v>
      </c>
      <c r="I909" s="2490"/>
      <c r="V909" s="2441"/>
      <c r="W909" s="774">
        <v>8</v>
      </c>
      <c r="X909" s="403">
        <v>8</v>
      </c>
      <c r="Y909" s="362">
        <v>8</v>
      </c>
      <c r="Z909" s="362">
        <v>8</v>
      </c>
      <c r="AA909" s="362">
        <v>8</v>
      </c>
      <c r="AB909" s="387">
        <v>8</v>
      </c>
      <c r="AC909" s="362">
        <v>8</v>
      </c>
      <c r="AD909" s="362">
        <v>8</v>
      </c>
      <c r="AE909" s="362">
        <v>8</v>
      </c>
      <c r="AF909" s="253">
        <v>1.45</v>
      </c>
      <c r="AG909" s="253">
        <f t="shared" si="171"/>
        <v>1.45</v>
      </c>
      <c r="AI909" s="403">
        <v>6.27</v>
      </c>
      <c r="AJ909" s="403">
        <v>6.27</v>
      </c>
      <c r="AK909" s="403">
        <v>6.27</v>
      </c>
      <c r="AL909" s="403">
        <v>6.27</v>
      </c>
      <c r="AM909" s="403">
        <v>6.27</v>
      </c>
      <c r="AN909" s="387">
        <v>6.27</v>
      </c>
      <c r="AO909" s="362">
        <v>6.27</v>
      </c>
      <c r="AP909" s="362">
        <v>6.27</v>
      </c>
      <c r="AQ909" s="362">
        <v>6.27</v>
      </c>
      <c r="AR909" s="362">
        <v>1.45</v>
      </c>
      <c r="AS909" s="362">
        <f t="shared" si="172"/>
        <v>1.45</v>
      </c>
    </row>
    <row r="910" spans="1:45" ht="14.45" hidden="1" customHeight="1" outlineLevel="1" x14ac:dyDescent="0.25">
      <c r="A910" s="2147"/>
      <c r="B910" s="549"/>
      <c r="C910" s="1275"/>
      <c r="D910" s="2521"/>
      <c r="E910" s="1256" t="s">
        <v>2003</v>
      </c>
      <c r="F910" s="1564">
        <v>1.66</v>
      </c>
      <c r="G910" s="742">
        <f t="shared" si="173"/>
        <v>1.66</v>
      </c>
      <c r="H910" s="2484" t="s">
        <v>2061</v>
      </c>
      <c r="I910" s="2490"/>
      <c r="V910" s="2441"/>
      <c r="W910" s="774"/>
      <c r="X910" s="403"/>
      <c r="Y910" s="362"/>
      <c r="Z910" s="362"/>
      <c r="AA910" s="362"/>
      <c r="AB910" s="663">
        <v>10</v>
      </c>
      <c r="AC910" s="362">
        <v>10</v>
      </c>
      <c r="AD910" s="362">
        <v>10</v>
      </c>
      <c r="AE910" s="362">
        <v>10</v>
      </c>
      <c r="AF910" s="253">
        <v>1.66</v>
      </c>
      <c r="AG910" s="253">
        <f t="shared" si="171"/>
        <v>1.66</v>
      </c>
      <c r="AI910" s="403"/>
      <c r="AJ910" s="403"/>
      <c r="AK910" s="403"/>
      <c r="AL910" s="403"/>
      <c r="AM910" s="403"/>
      <c r="AN910" s="663">
        <v>4.92</v>
      </c>
      <c r="AO910" s="362">
        <v>4.92</v>
      </c>
      <c r="AP910" s="362">
        <v>4.92</v>
      </c>
      <c r="AQ910" s="362">
        <v>4.92</v>
      </c>
      <c r="AR910" s="362">
        <v>1.66</v>
      </c>
      <c r="AS910" s="362">
        <f t="shared" si="172"/>
        <v>1.66</v>
      </c>
    </row>
    <row r="911" spans="1:45" hidden="1" outlineLevel="1" x14ac:dyDescent="0.25">
      <c r="A911" s="2147"/>
      <c r="B911" s="549"/>
      <c r="C911" s="1275"/>
      <c r="D911" s="2521"/>
      <c r="E911" s="1256" t="s">
        <v>2005</v>
      </c>
      <c r="F911" s="1564">
        <v>1.66</v>
      </c>
      <c r="G911" s="742">
        <f t="shared" si="173"/>
        <v>1.66</v>
      </c>
      <c r="H911" s="2484" t="s">
        <v>2061</v>
      </c>
      <c r="I911" s="2490"/>
      <c r="V911" s="2441"/>
      <c r="W911" s="774">
        <v>10</v>
      </c>
      <c r="X911" s="403">
        <v>10</v>
      </c>
      <c r="Y911" s="362">
        <v>10</v>
      </c>
      <c r="Z911" s="362">
        <v>10</v>
      </c>
      <c r="AA911" s="362">
        <v>10</v>
      </c>
      <c r="AB911" s="387">
        <v>10</v>
      </c>
      <c r="AC911" s="362">
        <v>10</v>
      </c>
      <c r="AD911" s="362">
        <v>10</v>
      </c>
      <c r="AE911" s="362">
        <v>10</v>
      </c>
      <c r="AF911" s="253">
        <v>1.66</v>
      </c>
      <c r="AG911" s="253">
        <f t="shared" si="171"/>
        <v>1.66</v>
      </c>
      <c r="AI911" s="403">
        <v>4.92</v>
      </c>
      <c r="AJ911" s="403">
        <v>4.92</v>
      </c>
      <c r="AK911" s="403">
        <v>4.92</v>
      </c>
      <c r="AL911" s="403">
        <v>4.92</v>
      </c>
      <c r="AM911" s="403">
        <v>4.92</v>
      </c>
      <c r="AN911" s="387">
        <v>4.92</v>
      </c>
      <c r="AO911" s="362">
        <v>4.92</v>
      </c>
      <c r="AP911" s="362">
        <v>4.92</v>
      </c>
      <c r="AQ911" s="362">
        <v>4.92</v>
      </c>
      <c r="AR911" s="362">
        <v>1.66</v>
      </c>
      <c r="AS911" s="362">
        <f t="shared" si="172"/>
        <v>1.66</v>
      </c>
    </row>
    <row r="912" spans="1:45" ht="14.45" hidden="1" customHeight="1" outlineLevel="1" x14ac:dyDescent="0.25">
      <c r="A912" s="2147"/>
      <c r="B912" s="549"/>
      <c r="C912" s="1275"/>
      <c r="D912" s="2521"/>
      <c r="E912" s="1256" t="s">
        <v>2007</v>
      </c>
      <c r="F912" s="1564">
        <v>1.66</v>
      </c>
      <c r="G912" s="742">
        <f t="shared" si="173"/>
        <v>1.66</v>
      </c>
      <c r="H912" s="2484" t="s">
        <v>2061</v>
      </c>
      <c r="I912" s="2490"/>
      <c r="V912" s="2441"/>
      <c r="W912" s="774">
        <v>15</v>
      </c>
      <c r="X912" s="403">
        <v>15</v>
      </c>
      <c r="Y912" s="362">
        <v>15</v>
      </c>
      <c r="Z912" s="362">
        <v>15</v>
      </c>
      <c r="AA912" s="362">
        <v>15</v>
      </c>
      <c r="AB912" s="387">
        <v>15</v>
      </c>
      <c r="AC912" s="362">
        <v>15</v>
      </c>
      <c r="AD912" s="362">
        <v>15</v>
      </c>
      <c r="AE912" s="362">
        <v>15</v>
      </c>
      <c r="AF912" s="253">
        <v>1.66</v>
      </c>
      <c r="AG912" s="253">
        <f t="shared" si="171"/>
        <v>1.66</v>
      </c>
      <c r="AI912" s="403">
        <v>4.92</v>
      </c>
      <c r="AJ912" s="403">
        <v>4.92</v>
      </c>
      <c r="AK912" s="403">
        <v>4.92</v>
      </c>
      <c r="AL912" s="403">
        <v>4.92</v>
      </c>
      <c r="AM912" s="403">
        <v>4.92</v>
      </c>
      <c r="AN912" s="387">
        <v>4.92</v>
      </c>
      <c r="AO912" s="362">
        <v>4.92</v>
      </c>
      <c r="AP912" s="362">
        <v>4.92</v>
      </c>
      <c r="AQ912" s="362">
        <v>4.92</v>
      </c>
      <c r="AR912" s="362">
        <v>1.66</v>
      </c>
      <c r="AS912" s="362">
        <f t="shared" si="172"/>
        <v>1.66</v>
      </c>
    </row>
    <row r="913" spans="1:114" ht="14.45" hidden="1" customHeight="1" outlineLevel="1" x14ac:dyDescent="0.25">
      <c r="A913" s="2147"/>
      <c r="B913" s="549"/>
      <c r="C913" s="1275"/>
      <c r="D913" s="2521"/>
      <c r="E913" s="1256" t="s">
        <v>2009</v>
      </c>
      <c r="F913" s="1564">
        <v>1.45</v>
      </c>
      <c r="G913" s="742">
        <f t="shared" si="173"/>
        <v>1.45</v>
      </c>
      <c r="H913" s="2484" t="s">
        <v>2062</v>
      </c>
      <c r="I913" s="2490"/>
      <c r="V913" s="2441"/>
      <c r="W913" s="774">
        <v>8</v>
      </c>
      <c r="X913" s="403">
        <v>8</v>
      </c>
      <c r="Y913" s="362">
        <v>8</v>
      </c>
      <c r="Z913" s="362">
        <v>8</v>
      </c>
      <c r="AA913" s="362">
        <v>8</v>
      </c>
      <c r="AB913" s="387">
        <v>8</v>
      </c>
      <c r="AC913" s="362">
        <v>8</v>
      </c>
      <c r="AD913" s="362">
        <v>8</v>
      </c>
      <c r="AE913" s="362">
        <v>8</v>
      </c>
      <c r="AF913" s="253">
        <v>1.45</v>
      </c>
      <c r="AG913" s="253">
        <f t="shared" si="171"/>
        <v>1.45</v>
      </c>
      <c r="AI913" s="403">
        <v>7.83</v>
      </c>
      <c r="AJ913" s="403">
        <v>7.83</v>
      </c>
      <c r="AK913" s="403">
        <v>7.83</v>
      </c>
      <c r="AL913" s="403">
        <v>7.83</v>
      </c>
      <c r="AM913" s="403">
        <v>7.83</v>
      </c>
      <c r="AN913" s="387">
        <v>7.83</v>
      </c>
      <c r="AO913" s="362">
        <v>7.83</v>
      </c>
      <c r="AP913" s="362">
        <v>7.83</v>
      </c>
      <c r="AQ913" s="362">
        <v>7.83</v>
      </c>
      <c r="AR913" s="362">
        <v>1.45</v>
      </c>
      <c r="AS913" s="362">
        <f t="shared" si="172"/>
        <v>1.45</v>
      </c>
    </row>
    <row r="914" spans="1:114" hidden="1" outlineLevel="1" x14ac:dyDescent="0.25">
      <c r="A914" s="2147"/>
      <c r="B914" s="549"/>
      <c r="C914" s="1275"/>
      <c r="D914" s="2521"/>
      <c r="E914" s="1256" t="s">
        <v>2011</v>
      </c>
      <c r="F914" s="1564">
        <v>1.66</v>
      </c>
      <c r="G914" s="742">
        <f t="shared" si="173"/>
        <v>1.66</v>
      </c>
      <c r="H914" s="2484" t="s">
        <v>2061</v>
      </c>
      <c r="I914" s="2490"/>
      <c r="V914" s="2441"/>
      <c r="W914" s="774">
        <v>7</v>
      </c>
      <c r="X914" s="403">
        <v>7</v>
      </c>
      <c r="Y914" s="362">
        <v>7</v>
      </c>
      <c r="Z914" s="362">
        <v>7</v>
      </c>
      <c r="AA914" s="362">
        <v>7</v>
      </c>
      <c r="AB914" s="387">
        <v>7</v>
      </c>
      <c r="AC914" s="362">
        <v>7</v>
      </c>
      <c r="AD914" s="362">
        <v>7</v>
      </c>
      <c r="AE914" s="362">
        <v>7</v>
      </c>
      <c r="AF914" s="253">
        <v>1.66</v>
      </c>
      <c r="AG914" s="253">
        <f t="shared" si="171"/>
        <v>1.66</v>
      </c>
      <c r="AI914" s="403">
        <v>3.27</v>
      </c>
      <c r="AJ914" s="403">
        <v>3.27</v>
      </c>
      <c r="AK914" s="403">
        <v>3.27</v>
      </c>
      <c r="AL914" s="403">
        <v>3.27</v>
      </c>
      <c r="AM914" s="403">
        <v>3.27</v>
      </c>
      <c r="AN914" s="387">
        <v>3.27</v>
      </c>
      <c r="AO914" s="362">
        <v>3.27</v>
      </c>
      <c r="AP914" s="362">
        <v>3.27</v>
      </c>
      <c r="AQ914" s="362">
        <v>3.27</v>
      </c>
      <c r="AR914" s="362">
        <v>1.66</v>
      </c>
      <c r="AS914" s="362">
        <f t="shared" si="172"/>
        <v>1.66</v>
      </c>
    </row>
    <row r="915" spans="1:114" ht="14.45" hidden="1" customHeight="1" outlineLevel="1" x14ac:dyDescent="0.25">
      <c r="A915" s="2147"/>
      <c r="B915" s="549"/>
      <c r="C915" s="1275"/>
      <c r="D915" s="2521"/>
      <c r="E915" s="1256" t="s">
        <v>2013</v>
      </c>
      <c r="F915" s="1564">
        <v>1.66</v>
      </c>
      <c r="G915" s="1564">
        <v>1.66</v>
      </c>
      <c r="H915" s="2484" t="s">
        <v>2061</v>
      </c>
      <c r="I915" s="2490"/>
      <c r="V915" s="2441"/>
      <c r="W915" s="774">
        <v>7</v>
      </c>
      <c r="X915" s="403">
        <v>7</v>
      </c>
      <c r="Y915" s="362">
        <v>7</v>
      </c>
      <c r="Z915" s="362">
        <v>7</v>
      </c>
      <c r="AA915" s="362">
        <v>7</v>
      </c>
      <c r="AB915" s="387">
        <v>7</v>
      </c>
      <c r="AC915" s="362">
        <v>7</v>
      </c>
      <c r="AD915" s="362">
        <v>7</v>
      </c>
      <c r="AE915" s="362">
        <v>7</v>
      </c>
      <c r="AF915" s="253">
        <v>1.66</v>
      </c>
      <c r="AG915" s="253">
        <f t="shared" si="171"/>
        <v>1.66</v>
      </c>
      <c r="AI915" s="403">
        <v>3.27</v>
      </c>
      <c r="AJ915" s="403">
        <v>3.27</v>
      </c>
      <c r="AK915" s="403">
        <v>3.27</v>
      </c>
      <c r="AL915" s="403">
        <v>3.27</v>
      </c>
      <c r="AM915" s="403">
        <v>3.27</v>
      </c>
      <c r="AN915" s="387">
        <v>3.27</v>
      </c>
      <c r="AO915" s="362">
        <v>3.27</v>
      </c>
      <c r="AP915" s="362">
        <v>3.27</v>
      </c>
      <c r="AQ915" s="362">
        <v>3.27</v>
      </c>
      <c r="AR915" s="362">
        <v>1.66</v>
      </c>
      <c r="AS915" s="362">
        <f t="shared" si="172"/>
        <v>1.66</v>
      </c>
    </row>
    <row r="916" spans="1:114" hidden="1" outlineLevel="1" x14ac:dyDescent="0.25">
      <c r="A916" s="2147"/>
      <c r="B916" s="50"/>
      <c r="C916" s="49"/>
      <c r="D916" s="2521"/>
      <c r="E916" s="1256" t="s">
        <v>2015</v>
      </c>
      <c r="F916" s="742">
        <f>F907</f>
        <v>1.45</v>
      </c>
      <c r="G916" s="742">
        <f>F916</f>
        <v>1.45</v>
      </c>
      <c r="H916" s="2484" t="s">
        <v>2062</v>
      </c>
      <c r="I916" s="2490"/>
      <c r="K916" s="50"/>
      <c r="L916" s="50"/>
      <c r="M916" s="50"/>
      <c r="N916" s="50"/>
      <c r="V916" s="2441"/>
      <c r="W916" s="1390"/>
      <c r="X916" s="240"/>
      <c r="Y916" s="362"/>
      <c r="Z916" s="362"/>
      <c r="AA916" s="362"/>
      <c r="AB916" s="664">
        <v>6</v>
      </c>
      <c r="AC916" s="362">
        <v>6</v>
      </c>
      <c r="AD916" s="362">
        <v>6</v>
      </c>
      <c r="AE916" s="362">
        <v>6</v>
      </c>
      <c r="AF916" s="253">
        <v>1.45</v>
      </c>
      <c r="AG916" s="253">
        <f t="shared" si="171"/>
        <v>1.45</v>
      </c>
      <c r="AI916" s="240"/>
      <c r="AJ916" s="240"/>
      <c r="AK916" s="240"/>
      <c r="AL916" s="240"/>
      <c r="AM916" s="240"/>
      <c r="AN916" s="664">
        <f>AN907</f>
        <v>3.68</v>
      </c>
      <c r="AO916" s="362">
        <v>3.68</v>
      </c>
      <c r="AP916" s="362">
        <v>3.68</v>
      </c>
      <c r="AQ916" s="362">
        <v>3.68</v>
      </c>
      <c r="AR916" s="362">
        <v>1.45</v>
      </c>
      <c r="AS916" s="362">
        <f t="shared" si="172"/>
        <v>1.45</v>
      </c>
    </row>
    <row r="917" spans="1:114" ht="42.95" hidden="1" customHeight="1" outlineLevel="1" x14ac:dyDescent="0.25">
      <c r="A917" s="2147"/>
      <c r="B917" s="50"/>
      <c r="C917" s="49"/>
      <c r="D917" s="2446"/>
      <c r="E917" s="1249" t="s">
        <v>774</v>
      </c>
      <c r="F917" s="742">
        <v>3.35</v>
      </c>
      <c r="G917" s="742">
        <f>F917</f>
        <v>3.35</v>
      </c>
      <c r="H917" s="2484" t="s">
        <v>2063</v>
      </c>
      <c r="I917" s="2484"/>
      <c r="K917" s="50"/>
      <c r="L917" s="50"/>
      <c r="M917" s="50"/>
      <c r="N917" s="50"/>
      <c r="V917" s="2442"/>
      <c r="W917" s="240"/>
      <c r="X917" s="240"/>
      <c r="Y917" s="362"/>
      <c r="Z917" s="362"/>
      <c r="AA917" s="362"/>
      <c r="AB917" s="664"/>
      <c r="AC917" s="363">
        <v>3.35</v>
      </c>
      <c r="AD917" s="362">
        <v>3.35</v>
      </c>
      <c r="AE917" s="362">
        <v>3.35</v>
      </c>
      <c r="AF917" s="253">
        <v>3.35</v>
      </c>
      <c r="AG917" s="253">
        <f t="shared" si="171"/>
        <v>3.35</v>
      </c>
      <c r="AI917" s="240"/>
      <c r="AJ917" s="240"/>
      <c r="AK917" s="240"/>
      <c r="AL917" s="240"/>
      <c r="AM917" s="240"/>
      <c r="AN917" s="664"/>
      <c r="AO917" s="363">
        <v>3.35</v>
      </c>
      <c r="AP917" s="362">
        <v>3.35</v>
      </c>
      <c r="AQ917" s="362">
        <v>3.35</v>
      </c>
      <c r="AR917" s="362">
        <v>3.35</v>
      </c>
      <c r="AS917" s="362">
        <f t="shared" si="172"/>
        <v>3.35</v>
      </c>
    </row>
    <row r="918" spans="1:114" hidden="1" outlineLevel="1" x14ac:dyDescent="0.25">
      <c r="A918" s="2147"/>
      <c r="B918" s="50"/>
      <c r="C918" s="49"/>
      <c r="D918" s="100"/>
      <c r="E918" s="100"/>
      <c r="F918" s="50"/>
      <c r="G918" s="50"/>
      <c r="H918" s="50"/>
      <c r="I918" s="50"/>
      <c r="J918" s="50"/>
      <c r="K918" s="50"/>
      <c r="L918" s="50"/>
      <c r="M918" s="50"/>
      <c r="N918" s="50"/>
      <c r="AK918" s="339"/>
    </row>
    <row r="919" spans="1:114" collapsed="1" x14ac:dyDescent="0.25">
      <c r="A919" s="2147"/>
      <c r="B919" s="50"/>
      <c r="C919" s="49"/>
      <c r="D919" s="100"/>
      <c r="E919" s="100"/>
      <c r="F919" s="50"/>
      <c r="G919" s="50"/>
      <c r="H919" s="50"/>
      <c r="I919" s="50"/>
      <c r="J919" s="50"/>
      <c r="K919" s="50"/>
      <c r="L919" s="50"/>
      <c r="M919" s="50"/>
      <c r="N919" s="50"/>
      <c r="AK919" s="339"/>
    </row>
    <row r="920" spans="1:114" x14ac:dyDescent="0.25">
      <c r="A920" s="2147"/>
      <c r="B920" s="2388" t="s">
        <v>2064</v>
      </c>
      <c r="C920" s="2389"/>
      <c r="D920" s="2389"/>
      <c r="E920" s="2389"/>
      <c r="F920" s="2389"/>
      <c r="G920" s="2389"/>
      <c r="H920" s="2389"/>
      <c r="I920" s="2390"/>
      <c r="J920" s="2390"/>
      <c r="K920" s="2390"/>
      <c r="L920" s="2390"/>
      <c r="M920" s="2390"/>
      <c r="N920" s="2390"/>
      <c r="O920" s="2390"/>
      <c r="P920" s="2390"/>
      <c r="Q920" s="2390"/>
      <c r="R920" s="2391"/>
      <c r="V920" s="1234" t="str">
        <f>B920</f>
        <v>Advanced Tier 2 Power Strips Tier 2</v>
      </c>
      <c r="W920" s="1235"/>
      <c r="X920" s="1235"/>
      <c r="Y920" s="1235"/>
      <c r="Z920" s="1235"/>
      <c r="AA920" s="1235"/>
      <c r="AB920" s="1235"/>
      <c r="AC920" s="1235"/>
      <c r="AD920" s="1235"/>
      <c r="AE920" s="1235"/>
      <c r="AF920" s="1235"/>
      <c r="AG920" s="1235"/>
      <c r="AH920" s="1235"/>
      <c r="AI920" s="1269"/>
      <c r="AK920" s="339"/>
    </row>
    <row r="921" spans="1:114" x14ac:dyDescent="0.25">
      <c r="A921" s="2147"/>
      <c r="B921" s="50"/>
      <c r="C921" s="49"/>
      <c r="D921" s="100"/>
      <c r="E921" s="100"/>
      <c r="F921" s="50"/>
      <c r="G921" s="50"/>
      <c r="H921" s="50"/>
      <c r="I921" s="50"/>
      <c r="J921" s="50"/>
      <c r="K921" s="50"/>
      <c r="L921" s="50"/>
      <c r="M921" s="50"/>
      <c r="N921" s="50"/>
      <c r="AK921" s="339"/>
    </row>
    <row r="922" spans="1:114" ht="30" x14ac:dyDescent="0.25">
      <c r="A922" s="2147"/>
      <c r="B922" s="50"/>
      <c r="C922" s="1242" t="s">
        <v>43</v>
      </c>
      <c r="D922" s="1242" t="s">
        <v>597</v>
      </c>
      <c r="E922" s="1242" t="s">
        <v>45</v>
      </c>
      <c r="F922" s="1242" t="s">
        <v>46</v>
      </c>
      <c r="G922" s="1242" t="s">
        <v>47</v>
      </c>
      <c r="H922" s="1242" t="s">
        <v>48</v>
      </c>
      <c r="I922" s="1242" t="s">
        <v>49</v>
      </c>
      <c r="J922" s="1242" t="s">
        <v>50</v>
      </c>
      <c r="K922" s="1242" t="s">
        <v>51</v>
      </c>
      <c r="L922" s="1242" t="s">
        <v>52</v>
      </c>
      <c r="M922" s="50"/>
      <c r="N922" s="50"/>
      <c r="V922" s="636" t="s">
        <v>53</v>
      </c>
      <c r="W922" s="637">
        <v>43252</v>
      </c>
      <c r="X922" s="637">
        <f>$X$6</f>
        <v>43465</v>
      </c>
      <c r="Y922" s="110">
        <f>$Y$6</f>
        <v>43800</v>
      </c>
      <c r="Z922" s="637">
        <f>$Z$6</f>
        <v>43862</v>
      </c>
      <c r="AA922" s="637">
        <f>$AA$6</f>
        <v>44013</v>
      </c>
      <c r="AB922" s="637">
        <f>$AB$6</f>
        <v>44166</v>
      </c>
      <c r="AC922" s="637">
        <f>$AC$6</f>
        <v>44531</v>
      </c>
      <c r="AD922" s="637">
        <f>$AD$6</f>
        <v>44774</v>
      </c>
      <c r="AE922" s="637">
        <f>$AE$6</f>
        <v>45139</v>
      </c>
      <c r="AF922" s="637">
        <f>$AF$6</f>
        <v>45672</v>
      </c>
      <c r="AG922" s="637">
        <f>$AG$6</f>
        <v>45971</v>
      </c>
      <c r="AK922" s="339"/>
      <c r="DG922" s="991" t="str">
        <f>$DG$6</f>
        <v>TRC (2025)</v>
      </c>
      <c r="DH922" s="761" t="str">
        <f>$DH$6</f>
        <v>Benefit Lookup</v>
      </c>
      <c r="DI922" s="1006" t="str">
        <f>$DI$6</f>
        <v>Benefits (2025 $)</v>
      </c>
      <c r="DJ922" s="1072" t="str">
        <f>$DJ$6</f>
        <v>Incremental Cost (2025 $)</v>
      </c>
    </row>
    <row r="923" spans="1:114" s="1041" customFormat="1" x14ac:dyDescent="0.25">
      <c r="A923" s="2147" t="s">
        <v>602</v>
      </c>
      <c r="B923" s="1318">
        <f t="shared" ref="B923:B924" si="174">VALUE(LEFT(C923,6))</f>
        <v>405750</v>
      </c>
      <c r="C923" s="327" t="s">
        <v>2065</v>
      </c>
      <c r="D923" s="2094" t="s">
        <v>810</v>
      </c>
      <c r="E923" s="1248" t="s">
        <v>2066</v>
      </c>
      <c r="F923" s="150">
        <f>G929*G930*G931</f>
        <v>177.07999999999998</v>
      </c>
      <c r="G923" s="386" t="s">
        <v>2067</v>
      </c>
      <c r="H923" s="66">
        <f>VLOOKUP(G923,'CP FACTORS'!$A$3:$B$38, 2, FALSE)</f>
        <v>1.148238E-4</v>
      </c>
      <c r="I923" s="525">
        <f t="shared" ref="I923:I924" si="175">ROUND(F923*H923,6)</f>
        <v>2.0333E-2</v>
      </c>
      <c r="J923" s="57">
        <v>10</v>
      </c>
      <c r="K923" s="159">
        <f>G933</f>
        <v>60</v>
      </c>
      <c r="L923" s="18" t="s">
        <v>63</v>
      </c>
      <c r="M923" s="1042"/>
      <c r="N923" s="1042"/>
      <c r="O923" s="1042"/>
      <c r="P923" s="1042"/>
      <c r="Q923" s="1042"/>
      <c r="R923" s="1042"/>
      <c r="S923" s="1042"/>
      <c r="T923" s="1042"/>
      <c r="U923" s="1042"/>
      <c r="V923" s="1312" t="str">
        <f t="shared" ref="V923:V924" si="176">$F$922</f>
        <v>kWh Annual Savings</v>
      </c>
      <c r="W923" s="1391">
        <v>162</v>
      </c>
      <c r="X923" s="1391">
        <v>162</v>
      </c>
      <c r="Y923" s="1391">
        <v>162</v>
      </c>
      <c r="Z923" s="1391">
        <v>162</v>
      </c>
      <c r="AA923" s="1391">
        <v>162</v>
      </c>
      <c r="AB923" s="1392">
        <v>151.96</v>
      </c>
      <c r="AC923" s="42">
        <v>151.96</v>
      </c>
      <c r="AD923" s="42">
        <v>151.96</v>
      </c>
      <c r="AE923" s="47">
        <v>153.9</v>
      </c>
      <c r="AF923" s="253">
        <v>177.07999999999998</v>
      </c>
      <c r="AG923" s="253">
        <f t="shared" ref="AG923:AG924" si="177">IF(F923&lt;&gt;"",F923,"")</f>
        <v>177.07999999999998</v>
      </c>
      <c r="AH923" s="255"/>
      <c r="AI923" s="255"/>
      <c r="AJ923" s="255"/>
      <c r="AK923" s="339"/>
      <c r="AL923" s="255"/>
      <c r="DG923" s="993">
        <f t="shared" ref="DG923:DG924" si="178">(DI923)/(DJ923)</f>
        <v>1.4787956550776207</v>
      </c>
      <c r="DH923" s="1272" t="str">
        <f t="shared" ref="DH923:DH924" si="179">CONCATENATE(G923," ",J923," Year EUL")</f>
        <v>Miscellaneous RES 10 Year EUL</v>
      </c>
      <c r="DI923" s="945">
        <f>(INDEX('Avoided Cost Benefits'!$B$4:$B$865,MATCH(DH923,'Avoided Cost Benefits'!$A$4:$A$865,0)))*F923</f>
        <v>88.727739304657234</v>
      </c>
      <c r="DJ923" s="1846">
        <f t="shared" ref="DJ923:DJ924" si="180">IFERROR(K923/((1+DiscountRate)^(CurrentYear-DiscountYear)),0)</f>
        <v>60</v>
      </c>
    </row>
    <row r="924" spans="1:114" s="1041" customFormat="1" x14ac:dyDescent="0.25">
      <c r="A924" s="2147" t="s">
        <v>840</v>
      </c>
      <c r="B924" s="1318">
        <f t="shared" si="174"/>
        <v>405751</v>
      </c>
      <c r="C924" s="327" t="s">
        <v>2068</v>
      </c>
      <c r="D924" s="2094" t="s">
        <v>810</v>
      </c>
      <c r="E924" s="1248" t="s">
        <v>2069</v>
      </c>
      <c r="F924" s="150">
        <f>G929*G930*G931</f>
        <v>177.07999999999998</v>
      </c>
      <c r="G924" s="386" t="s">
        <v>2067</v>
      </c>
      <c r="H924" s="66">
        <f>VLOOKUP(G924,'CP FACTORS'!$A$3:$B$38, 2, FALSE)</f>
        <v>1.148238E-4</v>
      </c>
      <c r="I924" s="525">
        <f t="shared" si="175"/>
        <v>2.0333E-2</v>
      </c>
      <c r="J924" s="57">
        <v>10</v>
      </c>
      <c r="K924" s="159">
        <f>G933</f>
        <v>60</v>
      </c>
      <c r="L924" s="18" t="s">
        <v>63</v>
      </c>
      <c r="M924" s="1042"/>
      <c r="N924" s="1042"/>
      <c r="O924" s="1042"/>
      <c r="P924" s="1042"/>
      <c r="Q924" s="1042"/>
      <c r="R924" s="1042"/>
      <c r="S924" s="1042"/>
      <c r="T924" s="1042"/>
      <c r="U924" s="1042"/>
      <c r="V924" s="1249" t="str">
        <f t="shared" si="176"/>
        <v>kWh Annual Savings</v>
      </c>
      <c r="W924" s="1391"/>
      <c r="X924" s="1391"/>
      <c r="Y924" s="1391"/>
      <c r="Z924" s="1391"/>
      <c r="AA924" s="1391"/>
      <c r="AB924" s="1392">
        <v>153.9</v>
      </c>
      <c r="AC924" s="151">
        <v>153.9</v>
      </c>
      <c r="AD924" s="151">
        <v>153.9</v>
      </c>
      <c r="AE924" s="151">
        <v>153.9</v>
      </c>
      <c r="AF924" s="253">
        <v>177.07999999999998</v>
      </c>
      <c r="AG924" s="253">
        <f t="shared" si="177"/>
        <v>177.07999999999998</v>
      </c>
      <c r="AH924" s="255"/>
      <c r="AI924" s="255"/>
      <c r="AJ924" s="255"/>
      <c r="AK924" s="339"/>
      <c r="AL924" s="255"/>
      <c r="DG924" s="998">
        <f t="shared" si="178"/>
        <v>1.4787956550776207</v>
      </c>
      <c r="DH924" s="1272" t="str">
        <f t="shared" si="179"/>
        <v>Miscellaneous RES 10 Year EUL</v>
      </c>
      <c r="DI924" s="1008">
        <f>(INDEX('Avoided Cost Benefits'!$B$4:$B$865,MATCH(DH924,'Avoided Cost Benefits'!$A$4:$A$865,0)))*F924</f>
        <v>88.727739304657234</v>
      </c>
      <c r="DJ924" s="1846">
        <f t="shared" si="180"/>
        <v>60</v>
      </c>
    </row>
    <row r="925" spans="1:114" hidden="1" outlineLevel="1" x14ac:dyDescent="0.25">
      <c r="A925" s="2147"/>
      <c r="B925" s="1318"/>
      <c r="C925" s="70"/>
      <c r="D925" s="74" t="s">
        <v>95</v>
      </c>
      <c r="E925" s="74" t="s">
        <v>2070</v>
      </c>
      <c r="F925" s="49"/>
      <c r="G925" s="50"/>
      <c r="H925" s="50" t="s">
        <v>2071</v>
      </c>
      <c r="I925" s="50"/>
      <c r="J925" s="50"/>
      <c r="K925" s="50"/>
      <c r="L925" s="49"/>
      <c r="M925" s="1042"/>
      <c r="N925" s="1042"/>
      <c r="O925" s="1042"/>
      <c r="P925" s="1042"/>
      <c r="Q925" s="1042"/>
      <c r="R925" s="1042"/>
      <c r="S925" s="1042"/>
      <c r="T925" s="1042"/>
      <c r="U925" s="1042"/>
      <c r="V925" s="50"/>
      <c r="W925" s="1495"/>
      <c r="X925" s="1495"/>
      <c r="Y925" s="1495"/>
      <c r="Z925" s="1495"/>
      <c r="AA925" s="1495"/>
      <c r="AB925" s="1496"/>
      <c r="AC925" s="1497"/>
      <c r="AD925" s="1497"/>
      <c r="AE925" s="1497"/>
      <c r="AF925" s="1498"/>
      <c r="AK925" s="339"/>
      <c r="AM925" s="1041"/>
      <c r="DG925" s="1499"/>
      <c r="DH925" s="565"/>
      <c r="DI925" s="527"/>
      <c r="DJ925" s="1500"/>
    </row>
    <row r="926" spans="1:114" hidden="1" outlineLevel="1" x14ac:dyDescent="0.25">
      <c r="A926" s="2147"/>
      <c r="B926" s="1318"/>
      <c r="C926" s="70"/>
      <c r="D926" s="74" t="s">
        <v>609</v>
      </c>
      <c r="E926" s="74" t="s">
        <v>2072</v>
      </c>
      <c r="F926" s="49"/>
      <c r="G926" s="50"/>
      <c r="H926" s="50"/>
      <c r="I926" s="50"/>
      <c r="J926" s="50"/>
      <c r="K926" s="50"/>
      <c r="L926" s="49"/>
      <c r="M926" s="1042"/>
      <c r="N926" s="1042"/>
      <c r="O926" s="1042"/>
      <c r="P926" s="1042"/>
      <c r="Q926" s="1042"/>
      <c r="R926" s="1042"/>
      <c r="S926" s="1042"/>
      <c r="T926" s="1042"/>
      <c r="U926" s="1042"/>
      <c r="V926" s="50"/>
      <c r="W926" s="1495"/>
      <c r="X926" s="1495"/>
      <c r="Y926" s="1495"/>
      <c r="Z926" s="1495"/>
      <c r="AA926" s="1495"/>
      <c r="AB926" s="1496"/>
      <c r="AC926" s="1497"/>
      <c r="AD926" s="1497"/>
      <c r="AE926" s="1497"/>
      <c r="AF926" s="1498"/>
      <c r="AK926" s="339"/>
      <c r="AM926" s="1041"/>
      <c r="DG926" s="1499"/>
      <c r="DH926" s="565"/>
      <c r="DI926" s="527"/>
      <c r="DJ926" s="1500"/>
    </row>
    <row r="927" spans="1:114" hidden="1" outlineLevel="1" x14ac:dyDescent="0.25">
      <c r="A927" s="2147"/>
      <c r="B927" s="1318"/>
      <c r="C927" s="70"/>
      <c r="D927" s="100"/>
      <c r="E927" s="1317" t="s">
        <v>612</v>
      </c>
      <c r="F927" s="49"/>
      <c r="G927" s="50"/>
      <c r="H927" s="50"/>
      <c r="I927" s="50"/>
      <c r="J927" s="50"/>
      <c r="K927" s="50"/>
      <c r="L927" s="49"/>
      <c r="M927" s="1042"/>
      <c r="N927" s="1042"/>
      <c r="O927" s="1042"/>
      <c r="P927" s="1042"/>
      <c r="Q927" s="1042"/>
      <c r="R927" s="1042"/>
      <c r="S927" s="1042"/>
      <c r="T927" s="1042"/>
      <c r="U927" s="1042"/>
      <c r="V927" s="50"/>
      <c r="W927" s="1495"/>
      <c r="X927" s="1495"/>
      <c r="Y927" s="1495"/>
      <c r="Z927" s="1495"/>
      <c r="AA927" s="1495"/>
      <c r="AB927" s="1496"/>
      <c r="AC927" s="1497"/>
      <c r="AD927" s="1497"/>
      <c r="AE927" s="1497"/>
      <c r="AF927" s="1498"/>
      <c r="AK927" s="339"/>
      <c r="AM927" s="1041"/>
      <c r="DG927" s="1499"/>
      <c r="DH927" s="565"/>
      <c r="DI927" s="527"/>
      <c r="DJ927" s="1500"/>
    </row>
    <row r="928" spans="1:114" hidden="1" outlineLevel="1" x14ac:dyDescent="0.25">
      <c r="A928" s="2147"/>
      <c r="B928" s="50"/>
      <c r="C928" s="49"/>
      <c r="D928" s="1242" t="s">
        <v>720</v>
      </c>
      <c r="E928" s="1242" t="s">
        <v>613</v>
      </c>
      <c r="F928" s="1242" t="s">
        <v>614</v>
      </c>
      <c r="G928" s="1242" t="s">
        <v>615</v>
      </c>
      <c r="H928" s="1242" t="s">
        <v>616</v>
      </c>
      <c r="I928" s="1242" t="s">
        <v>910</v>
      </c>
      <c r="J928" s="50"/>
      <c r="K928" s="50"/>
      <c r="L928" s="50"/>
      <c r="M928" s="50"/>
      <c r="N928" s="50"/>
      <c r="AK928" s="339"/>
    </row>
    <row r="929" spans="1:114" ht="150" hidden="1" outlineLevel="1" x14ac:dyDescent="0.25">
      <c r="A929" s="2147"/>
      <c r="B929" s="50"/>
      <c r="C929" s="49"/>
      <c r="D929" s="1248" t="s">
        <v>2073</v>
      </c>
      <c r="E929" s="1251" t="s">
        <v>2074</v>
      </c>
      <c r="F929" s="1311" t="s">
        <v>742</v>
      </c>
      <c r="G929" s="1442">
        <v>466</v>
      </c>
      <c r="H929" s="1247" t="s">
        <v>2075</v>
      </c>
      <c r="I929" s="1311"/>
      <c r="J929" s="50"/>
      <c r="K929" s="50"/>
      <c r="L929" s="50"/>
      <c r="M929" s="50"/>
      <c r="N929" s="50"/>
      <c r="AK929" s="339"/>
    </row>
    <row r="930" spans="1:114" ht="75" hidden="1" outlineLevel="1" x14ac:dyDescent="0.25">
      <c r="A930" s="2147"/>
      <c r="B930" s="50"/>
      <c r="C930" s="49"/>
      <c r="D930" s="1865" t="s">
        <v>2076</v>
      </c>
      <c r="E930" s="758" t="s">
        <v>2077</v>
      </c>
      <c r="F930" s="103" t="s">
        <v>2078</v>
      </c>
      <c r="G930" s="1886">
        <v>0.4</v>
      </c>
      <c r="H930" s="1715" t="s">
        <v>2079</v>
      </c>
      <c r="I930" s="719"/>
      <c r="J930" s="50"/>
      <c r="K930" s="50"/>
      <c r="L930" s="50"/>
      <c r="M930" s="50"/>
      <c r="N930" s="50"/>
      <c r="AK930" s="339"/>
    </row>
    <row r="931" spans="1:114" ht="60" hidden="1" outlineLevel="1" x14ac:dyDescent="0.25">
      <c r="A931" s="2147"/>
      <c r="B931" s="50"/>
      <c r="C931" s="49"/>
      <c r="D931" s="1878" t="s">
        <v>105</v>
      </c>
      <c r="E931" s="758" t="s">
        <v>2080</v>
      </c>
      <c r="F931" s="1879" t="s">
        <v>1840</v>
      </c>
      <c r="G931" s="1451">
        <v>0.95</v>
      </c>
      <c r="H931" s="1715" t="s">
        <v>2081</v>
      </c>
      <c r="I931" s="719"/>
      <c r="J931" s="50"/>
      <c r="K931" s="149"/>
      <c r="L931" s="50"/>
      <c r="M931" s="50"/>
      <c r="N931" s="50"/>
      <c r="V931" s="2436" t="s">
        <v>2082</v>
      </c>
      <c r="W931" s="1311">
        <v>31</v>
      </c>
      <c r="X931" s="1311">
        <v>31</v>
      </c>
      <c r="Y931" s="1311">
        <v>31</v>
      </c>
      <c r="Z931" s="1311">
        <v>31</v>
      </c>
      <c r="AA931" s="1311">
        <v>31</v>
      </c>
      <c r="AB931" s="1311">
        <v>31</v>
      </c>
      <c r="AC931" s="1311">
        <v>31</v>
      </c>
      <c r="AD931" s="1311">
        <v>31</v>
      </c>
      <c r="AE931" s="1311">
        <v>31</v>
      </c>
      <c r="AF931" s="253">
        <f t="shared" ref="AF931:AF933" si="181">IF(G931&lt;&gt;"",G931,"")</f>
        <v>0.95</v>
      </c>
      <c r="AG931" s="1371"/>
      <c r="AK931" s="339"/>
    </row>
    <row r="932" spans="1:114" ht="45" hidden="1" outlineLevel="1" x14ac:dyDescent="0.25">
      <c r="A932" s="2147"/>
      <c r="B932" s="50"/>
      <c r="C932" s="49"/>
      <c r="D932" s="1292" t="s">
        <v>50</v>
      </c>
      <c r="E932" s="1292" t="s">
        <v>801</v>
      </c>
      <c r="F932" s="1735" t="s">
        <v>742</v>
      </c>
      <c r="G932" s="1452">
        <v>10</v>
      </c>
      <c r="H932" s="1715" t="s">
        <v>2083</v>
      </c>
      <c r="I932" s="1887"/>
      <c r="J932" s="50"/>
      <c r="K932" s="149"/>
      <c r="L932" s="50"/>
      <c r="M932" s="50"/>
      <c r="N932" s="50"/>
      <c r="V932" s="2478"/>
      <c r="W932" s="1311">
        <v>75.099999999999994</v>
      </c>
      <c r="X932" s="1311">
        <v>75.099999999999994</v>
      </c>
      <c r="Y932" s="1311">
        <v>75.099999999999994</v>
      </c>
      <c r="Z932" s="1311">
        <v>75.099999999999994</v>
      </c>
      <c r="AA932" s="1311">
        <v>75.099999999999994</v>
      </c>
      <c r="AB932" s="1311">
        <v>75.099999999999994</v>
      </c>
      <c r="AC932" s="1311">
        <v>75.099999999999994</v>
      </c>
      <c r="AD932" s="1311">
        <v>75.099999999999994</v>
      </c>
      <c r="AE932" s="1311">
        <v>75.099999999999994</v>
      </c>
      <c r="AF932" s="253">
        <f t="shared" si="181"/>
        <v>10</v>
      </c>
      <c r="AG932" s="1371"/>
      <c r="AK932" s="339"/>
    </row>
    <row r="933" spans="1:114" ht="45" hidden="1" outlineLevel="1" x14ac:dyDescent="0.25">
      <c r="A933" s="2147"/>
      <c r="B933" s="50"/>
      <c r="C933" s="49"/>
      <c r="D933" s="1880" t="s">
        <v>51</v>
      </c>
      <c r="E933" s="1880" t="s">
        <v>688</v>
      </c>
      <c r="F933" s="747" t="s">
        <v>1840</v>
      </c>
      <c r="G933" s="1450">
        <v>60</v>
      </c>
      <c r="H933" s="1716" t="s">
        <v>2084</v>
      </c>
      <c r="I933" s="1716" t="s">
        <v>2084</v>
      </c>
      <c r="J933" s="50"/>
      <c r="K933" s="149"/>
      <c r="L933" s="50"/>
      <c r="M933" s="50"/>
      <c r="N933" s="50"/>
      <c r="V933" s="1260"/>
      <c r="W933" s="81"/>
      <c r="X933" s="81"/>
      <c r="Y933" s="81"/>
      <c r="Z933" s="81"/>
      <c r="AA933" s="81"/>
      <c r="AB933" s="211">
        <v>1</v>
      </c>
      <c r="AC933" s="98">
        <v>1</v>
      </c>
      <c r="AD933" s="98">
        <v>1</v>
      </c>
      <c r="AE933" s="98">
        <v>1</v>
      </c>
      <c r="AF933" s="253">
        <f t="shared" si="181"/>
        <v>60</v>
      </c>
      <c r="AG933" s="1371"/>
      <c r="AK933" s="339"/>
    </row>
    <row r="934" spans="1:114" hidden="1" outlineLevel="1" x14ac:dyDescent="0.25">
      <c r="A934" s="2147"/>
      <c r="C934" s="1275"/>
      <c r="D934" s="596"/>
      <c r="E934" s="878"/>
      <c r="F934" s="879"/>
      <c r="G934" s="879"/>
      <c r="H934" s="1286"/>
      <c r="I934" s="1286"/>
      <c r="J934" s="1286"/>
      <c r="K934" s="149"/>
      <c r="L934" s="50"/>
      <c r="V934" s="714"/>
      <c r="W934" s="716"/>
      <c r="X934" s="716"/>
      <c r="Y934" s="716"/>
      <c r="Z934" s="716"/>
      <c r="AA934" s="716"/>
      <c r="AB934" s="715"/>
      <c r="AC934" s="717"/>
      <c r="AD934" s="717"/>
      <c r="AE934" s="717"/>
      <c r="AF934" s="717"/>
      <c r="AG934" s="717"/>
      <c r="AK934" s="339"/>
    </row>
    <row r="935" spans="1:114" ht="15" hidden="1" customHeight="1" outlineLevel="1" x14ac:dyDescent="0.25">
      <c r="A935" s="2147"/>
      <c r="B935" s="50"/>
      <c r="C935" s="49"/>
      <c r="D935" s="141"/>
      <c r="E935" s="1233"/>
      <c r="F935" s="1233"/>
      <c r="G935" s="1233"/>
      <c r="H935" s="1233"/>
      <c r="I935" s="1233"/>
      <c r="M935" s="50"/>
      <c r="N935" s="50"/>
      <c r="V935" s="265"/>
      <c r="W935" s="265"/>
      <c r="X935" s="265"/>
      <c r="Y935" s="516" t="s">
        <v>1454</v>
      </c>
      <c r="AK935" s="339"/>
    </row>
    <row r="936" spans="1:114" collapsed="1" x14ac:dyDescent="0.25">
      <c r="A936" s="2147"/>
      <c r="B936" s="50"/>
      <c r="C936" s="49"/>
      <c r="D936" s="100"/>
      <c r="E936" s="100"/>
      <c r="F936" s="50"/>
      <c r="G936" s="50"/>
      <c r="H936" s="50"/>
      <c r="I936" s="50"/>
      <c r="J936" s="50"/>
      <c r="K936" s="50"/>
      <c r="L936" s="50"/>
      <c r="M936" s="50"/>
      <c r="N936" s="50"/>
      <c r="AK936" s="339"/>
    </row>
    <row r="937" spans="1:114" x14ac:dyDescent="0.25">
      <c r="A937" s="2147"/>
      <c r="B937" s="2388" t="s">
        <v>2085</v>
      </c>
      <c r="C937" s="2389"/>
      <c r="D937" s="2389"/>
      <c r="E937" s="2389"/>
      <c r="F937" s="2389"/>
      <c r="G937" s="2389"/>
      <c r="H937" s="2389"/>
      <c r="I937" s="2390"/>
      <c r="J937" s="2390"/>
      <c r="K937" s="2390"/>
      <c r="L937" s="2390"/>
      <c r="M937" s="2390"/>
      <c r="N937" s="2390"/>
      <c r="O937" s="2390"/>
      <c r="P937" s="2390"/>
      <c r="Q937" s="2390"/>
      <c r="R937" s="2391"/>
      <c r="V937" s="1234" t="str">
        <f>B937</f>
        <v>Refrigerator</v>
      </c>
      <c r="W937" s="1235"/>
      <c r="X937" s="1235"/>
      <c r="Y937" s="1235"/>
      <c r="Z937" s="1235"/>
      <c r="AA937" s="1235"/>
      <c r="AB937" s="1235"/>
      <c r="AC937" s="1235"/>
      <c r="AD937" s="1235"/>
      <c r="AE937" s="1235"/>
      <c r="AF937" s="1235"/>
      <c r="AG937" s="1235"/>
      <c r="AH937" s="1235"/>
      <c r="AI937" s="1269"/>
      <c r="AK937" s="339"/>
    </row>
    <row r="938" spans="1:114" x14ac:dyDescent="0.25">
      <c r="A938" s="2147"/>
      <c r="B938" s="50"/>
      <c r="C938" s="49"/>
      <c r="D938" s="100"/>
      <c r="E938" s="100"/>
      <c r="F938" s="50"/>
      <c r="G938" s="50"/>
      <c r="H938" s="50"/>
      <c r="I938" s="50"/>
      <c r="J938" s="50"/>
      <c r="K938" s="50"/>
      <c r="L938" s="50"/>
      <c r="M938" s="50"/>
      <c r="N938" s="50"/>
      <c r="AK938" s="339"/>
    </row>
    <row r="939" spans="1:114" ht="30" x14ac:dyDescent="0.25">
      <c r="A939" s="2147"/>
      <c r="C939" s="1242" t="s">
        <v>43</v>
      </c>
      <c r="D939" s="1242" t="s">
        <v>597</v>
      </c>
      <c r="E939" s="1242" t="s">
        <v>45</v>
      </c>
      <c r="F939" s="1242" t="s">
        <v>46</v>
      </c>
      <c r="G939" s="1242" t="s">
        <v>47</v>
      </c>
      <c r="H939" s="1242" t="s">
        <v>48</v>
      </c>
      <c r="I939" s="1242" t="s">
        <v>49</v>
      </c>
      <c r="J939" s="1242" t="s">
        <v>50</v>
      </c>
      <c r="K939" s="1242" t="s">
        <v>51</v>
      </c>
      <c r="L939" s="1242" t="s">
        <v>52</v>
      </c>
      <c r="V939" s="636" t="s">
        <v>53</v>
      </c>
      <c r="W939" s="637">
        <v>43252</v>
      </c>
      <c r="X939" s="637">
        <f>$X$6</f>
        <v>43465</v>
      </c>
      <c r="Y939" s="110">
        <f>$Y$6</f>
        <v>43800</v>
      </c>
      <c r="Z939" s="637">
        <f>$Z$6</f>
        <v>43862</v>
      </c>
      <c r="AA939" s="637">
        <f>$AA$6</f>
        <v>44013</v>
      </c>
      <c r="AB939" s="637">
        <f>$AB$6</f>
        <v>44166</v>
      </c>
      <c r="AC939" s="637">
        <f>$AC$6</f>
        <v>44531</v>
      </c>
      <c r="AD939" s="637">
        <f>$AD$6</f>
        <v>44774</v>
      </c>
      <c r="AE939" s="637">
        <f>$AE$6</f>
        <v>45139</v>
      </c>
      <c r="AF939" s="637">
        <f>$AF$6</f>
        <v>45672</v>
      </c>
      <c r="AG939" s="637">
        <f>$AG$6</f>
        <v>45971</v>
      </c>
      <c r="AK939" s="339"/>
      <c r="DG939" s="991" t="str">
        <f>$DG$6</f>
        <v>TRC (2025)</v>
      </c>
      <c r="DH939" s="761" t="str">
        <f>$DH$6</f>
        <v>Benefit Lookup</v>
      </c>
      <c r="DI939" s="1006" t="str">
        <f>$DI$6</f>
        <v>Benefits (2025 $)</v>
      </c>
      <c r="DJ939" s="1072" t="str">
        <f>$DJ$6</f>
        <v>Incremental Cost (2025 $)</v>
      </c>
    </row>
    <row r="940" spans="1:114" x14ac:dyDescent="0.25">
      <c r="A940" s="2147" t="s">
        <v>2086</v>
      </c>
      <c r="B940" s="1318">
        <f t="shared" ref="B940:B943" si="182">VALUE(LEFT(C940,6))</f>
        <v>405800</v>
      </c>
      <c r="C940" s="18" t="s">
        <v>2087</v>
      </c>
      <c r="D940" s="2094" t="s">
        <v>810</v>
      </c>
      <c r="E940" s="1240" t="s">
        <v>2088</v>
      </c>
      <c r="F940" s="300">
        <f>ROUND(F951-F954,2)</f>
        <v>643.5</v>
      </c>
      <c r="G940" s="57" t="s">
        <v>2089</v>
      </c>
      <c r="H940" s="66">
        <f>VLOOKUP(G940,'CP FACTORS'!$A$3:$B$38, 2, FALSE)</f>
        <v>1.2852529999999999E-4</v>
      </c>
      <c r="I940" s="525">
        <f>ROUND(F940*H940,6)</f>
        <v>8.2706000000000002E-2</v>
      </c>
      <c r="J940" s="44">
        <f>$F$968</f>
        <v>5</v>
      </c>
      <c r="K940" s="144">
        <f>$F$970</f>
        <v>28</v>
      </c>
      <c r="L940" s="18" t="s">
        <v>63</v>
      </c>
      <c r="M940" s="304"/>
      <c r="V940" s="337" t="str">
        <f>F939</f>
        <v>kWh Annual Savings</v>
      </c>
      <c r="W940" s="364">
        <v>564.66038920276219</v>
      </c>
      <c r="X940" s="251">
        <v>564.66038920276219</v>
      </c>
      <c r="Y940" s="252">
        <v>564.66</v>
      </c>
      <c r="Z940" s="252">
        <v>564.66</v>
      </c>
      <c r="AA940" s="252">
        <v>564.66</v>
      </c>
      <c r="AB940" s="252">
        <v>564.66</v>
      </c>
      <c r="AC940" s="300">
        <v>564.66</v>
      </c>
      <c r="AD940" s="300">
        <v>564.66</v>
      </c>
      <c r="AE940" s="300">
        <v>564.66</v>
      </c>
      <c r="AF940" s="253">
        <v>643.5</v>
      </c>
      <c r="AG940" s="253">
        <f t="shared" ref="AG940:AG943" si="183">IF(F940&lt;&gt;"",F940,"")</f>
        <v>643.5</v>
      </c>
      <c r="AK940" s="339"/>
      <c r="DG940" s="993">
        <f>(DI940+DI941)/(DJ940+DJ941)</f>
        <v>7.0802679163207047</v>
      </c>
      <c r="DH940" s="1272" t="str">
        <f>CONCATENATE(G940," ",J940," Year EUL")</f>
        <v>Refrigeration RES 5 Year EUL</v>
      </c>
      <c r="DI940" s="945">
        <f>(INDEX('Avoided Cost Benefits'!$B$4:$B$865,MATCH(DH940,'Avoided Cost Benefits'!$A$4:$A$865,0)))*F940</f>
        <v>182.88494132325033</v>
      </c>
      <c r="DJ940" s="1845">
        <f>IFERROR(K940/((1+DiscountRate)^(CurrentYear-DiscountYear)),0)</f>
        <v>28</v>
      </c>
    </row>
    <row r="941" spans="1:114" x14ac:dyDescent="0.25">
      <c r="A941" s="2147" t="s">
        <v>2086</v>
      </c>
      <c r="B941" s="1318">
        <f t="shared" si="182"/>
        <v>405800</v>
      </c>
      <c r="C941" s="18" t="s">
        <v>2087</v>
      </c>
      <c r="D941" s="2094" t="s">
        <v>810</v>
      </c>
      <c r="E941" s="1241" t="s">
        <v>2090</v>
      </c>
      <c r="F941" s="1393">
        <f>ROUND(F953-F954,2)</f>
        <v>41.53</v>
      </c>
      <c r="G941" s="57" t="s">
        <v>2091</v>
      </c>
      <c r="H941" s="66">
        <f>VLOOKUP(G941,'CP FACTORS'!$A$3:$B$38, 2, FALSE)</f>
        <v>1.2852529999999999E-4</v>
      </c>
      <c r="I941" s="525">
        <f>ROUND(F941*H941,6)</f>
        <v>5.3379999999999999E-3</v>
      </c>
      <c r="J941" s="44">
        <f>$F$969</f>
        <v>10</v>
      </c>
      <c r="K941" s="144">
        <v>0</v>
      </c>
      <c r="L941" s="18" t="s">
        <v>63</v>
      </c>
      <c r="M941" s="304"/>
      <c r="V941" s="337" t="str">
        <f>V940</f>
        <v>kWh Annual Savings</v>
      </c>
      <c r="W941" s="364">
        <v>46.722222222222229</v>
      </c>
      <c r="X941" s="251">
        <v>46.722222222222229</v>
      </c>
      <c r="Y941" s="252">
        <v>46.72</v>
      </c>
      <c r="Z941" s="252">
        <v>46.72</v>
      </c>
      <c r="AA941" s="252">
        <v>46.72</v>
      </c>
      <c r="AB941" s="252">
        <v>46.72</v>
      </c>
      <c r="AC941" s="1393">
        <v>46.72</v>
      </c>
      <c r="AD941" s="1393">
        <v>46.72</v>
      </c>
      <c r="AE941" s="1393">
        <v>46.72</v>
      </c>
      <c r="AF941" s="253">
        <v>41.53</v>
      </c>
      <c r="AG941" s="253">
        <f t="shared" si="183"/>
        <v>41.53</v>
      </c>
      <c r="AK941" s="339"/>
      <c r="DG941" s="1010"/>
      <c r="DH941" s="641" t="str">
        <f>CONCATENATE(G941," ",J941," Year EUL")</f>
        <v>Refrigeration RES ER2 10 Year EUL</v>
      </c>
      <c r="DI941" s="527">
        <f>(INDEX('Avoided Cost Benefits'!$B$4:$B$865,MATCH(DH941,'Avoided Cost Benefits'!$A$4:$A$865,0)))*F941</f>
        <v>15.362560333729393</v>
      </c>
      <c r="DJ941" s="1846">
        <f>IFERROR(K941/((1+DiscountRate)^(CurrentYear-DiscountYear)),0)</f>
        <v>0</v>
      </c>
    </row>
    <row r="942" spans="1:114" x14ac:dyDescent="0.25">
      <c r="A942" s="2147" t="s">
        <v>2086</v>
      </c>
      <c r="B942" s="1318">
        <f t="shared" si="182"/>
        <v>405825</v>
      </c>
      <c r="C942" s="18" t="s">
        <v>2092</v>
      </c>
      <c r="D942" s="2094" t="s">
        <v>810</v>
      </c>
      <c r="E942" s="1240" t="s">
        <v>2093</v>
      </c>
      <c r="F942" s="300">
        <f>F952-F954</f>
        <v>1298.5452350427352</v>
      </c>
      <c r="G942" s="57" t="s">
        <v>2089</v>
      </c>
      <c r="H942" s="66">
        <f>VLOOKUP(G942,'CP FACTORS'!$A$3:$B$38, 2, FALSE)</f>
        <v>1.2852529999999999E-4</v>
      </c>
      <c r="I942" s="525">
        <f>ROUND(F942*H942,6)</f>
        <v>0.16689599999999999</v>
      </c>
      <c r="J942" s="44">
        <f>$F$968</f>
        <v>5</v>
      </c>
      <c r="K942" s="144">
        <f>$F$970</f>
        <v>28</v>
      </c>
      <c r="L942" s="18" t="s">
        <v>63</v>
      </c>
      <c r="M942" s="304"/>
      <c r="V942" s="337" t="str">
        <f>V941</f>
        <v>kWh Annual Savings</v>
      </c>
      <c r="W942" s="364"/>
      <c r="X942" s="251"/>
      <c r="Y942" s="254">
        <v>1269.9100000000001</v>
      </c>
      <c r="Z942" s="252">
        <v>1269.9100000000001</v>
      </c>
      <c r="AA942" s="252">
        <v>1269.9100000000001</v>
      </c>
      <c r="AB942" s="252">
        <v>1269.9100000000001</v>
      </c>
      <c r="AC942" s="300">
        <v>1269.9100000000001</v>
      </c>
      <c r="AD942" s="300">
        <v>1269.9100000000001</v>
      </c>
      <c r="AE942" s="300">
        <v>1269.9100000000001</v>
      </c>
      <c r="AF942" s="253">
        <v>1298.5452350427352</v>
      </c>
      <c r="AG942" s="253">
        <f t="shared" si="183"/>
        <v>1298.5452350427352</v>
      </c>
      <c r="AK942" s="339"/>
      <c r="DG942" s="994">
        <f>(DI942+DI943)/(DJ942+DJ943)</f>
        <v>13.729058535416348</v>
      </c>
      <c r="DH942" s="641" t="str">
        <f>CONCATENATE(G942," ",J942," Year EUL")</f>
        <v>Refrigeration RES 5 Year EUL</v>
      </c>
      <c r="DI942" s="527">
        <f>(INDEX('Avoided Cost Benefits'!$B$4:$B$865,MATCH(DH942,'Avoided Cost Benefits'!$A$4:$A$865,0)))*F942</f>
        <v>369.05107865792837</v>
      </c>
      <c r="DJ942" s="1846">
        <f>IFERROR(K942/((1+DiscountRate)^(CurrentYear-DiscountYear)),0)</f>
        <v>28</v>
      </c>
    </row>
    <row r="943" spans="1:114" x14ac:dyDescent="0.25">
      <c r="A943" s="2147" t="s">
        <v>2086</v>
      </c>
      <c r="B943" s="1318">
        <f t="shared" si="182"/>
        <v>405825</v>
      </c>
      <c r="C943" s="18" t="s">
        <v>2092</v>
      </c>
      <c r="D943" s="2094" t="s">
        <v>810</v>
      </c>
      <c r="E943" s="1241" t="s">
        <v>2094</v>
      </c>
      <c r="F943" s="1393">
        <f>ROUND(F953-F954,2)</f>
        <v>41.53</v>
      </c>
      <c r="G943" s="57" t="s">
        <v>2091</v>
      </c>
      <c r="H943" s="66">
        <f>VLOOKUP(G943,'CP FACTORS'!$A$3:$B$38, 2, FALSE)</f>
        <v>1.2852529999999999E-4</v>
      </c>
      <c r="I943" s="525">
        <f>ROUND(F943*H943,6)</f>
        <v>5.3379999999999999E-3</v>
      </c>
      <c r="J943" s="44">
        <f>$F$969</f>
        <v>10</v>
      </c>
      <c r="K943" s="144">
        <v>0</v>
      </c>
      <c r="L943" s="18" t="s">
        <v>63</v>
      </c>
      <c r="M943" s="304"/>
      <c r="V943" s="337" t="str">
        <f>V942</f>
        <v>kWh Annual Savings</v>
      </c>
      <c r="W943" s="364"/>
      <c r="X943" s="251"/>
      <c r="Y943" s="254">
        <v>46.72</v>
      </c>
      <c r="Z943" s="252">
        <v>46.72</v>
      </c>
      <c r="AA943" s="252">
        <v>46.72</v>
      </c>
      <c r="AB943" s="252">
        <v>46.72</v>
      </c>
      <c r="AC943" s="1393">
        <v>46.72</v>
      </c>
      <c r="AD943" s="1393">
        <v>46.72</v>
      </c>
      <c r="AE943" s="1393">
        <v>46.72</v>
      </c>
      <c r="AF943" s="253">
        <v>41.53</v>
      </c>
      <c r="AG943" s="253">
        <f t="shared" si="183"/>
        <v>41.53</v>
      </c>
      <c r="AK943" s="339"/>
      <c r="DG943" s="1011"/>
      <c r="DH943" s="641" t="str">
        <f>CONCATENATE(G943," ",J943," Year EUL")</f>
        <v>Refrigeration RES ER2 10 Year EUL</v>
      </c>
      <c r="DI943" s="1003">
        <f>(INDEX('Avoided Cost Benefits'!$B$4:$B$865,MATCH(DH943,'Avoided Cost Benefits'!$A$4:$A$865,0)))*F943</f>
        <v>15.362560333729393</v>
      </c>
      <c r="DJ943" s="1847">
        <f>IFERROR(K943/((1+DiscountRate)^(CurrentYear-DiscountYear)),0)</f>
        <v>0</v>
      </c>
    </row>
    <row r="944" spans="1:114" hidden="1" outlineLevel="1" x14ac:dyDescent="0.25">
      <c r="A944" s="2147"/>
      <c r="B944" s="1318"/>
      <c r="C944" s="49"/>
      <c r="D944" s="74" t="s">
        <v>95</v>
      </c>
      <c r="E944" s="74" t="s">
        <v>2095</v>
      </c>
      <c r="G944" s="389"/>
      <c r="I944" s="391"/>
      <c r="J944" s="595"/>
      <c r="K944" s="391"/>
      <c r="L944" s="50"/>
      <c r="AK944" s="339"/>
    </row>
    <row r="945" spans="1:37" hidden="1" outlineLevel="1" x14ac:dyDescent="0.25">
      <c r="A945" s="2147"/>
      <c r="B945" s="1318"/>
      <c r="C945" s="49"/>
      <c r="D945" s="74" t="s">
        <v>609</v>
      </c>
      <c r="E945" s="74" t="s">
        <v>2096</v>
      </c>
      <c r="G945" s="389"/>
      <c r="I945" s="391"/>
      <c r="J945" s="595"/>
      <c r="K945" s="391"/>
      <c r="L945" s="50"/>
      <c r="AK945" s="339"/>
    </row>
    <row r="946" spans="1:37" hidden="1" outlineLevel="1" x14ac:dyDescent="0.25">
      <c r="A946" s="2147"/>
      <c r="B946" s="1318"/>
      <c r="C946" s="49"/>
      <c r="D946" s="100"/>
      <c r="E946" s="1317" t="s">
        <v>612</v>
      </c>
      <c r="G946" s="389"/>
      <c r="I946" s="391"/>
      <c r="J946" s="595"/>
      <c r="K946" s="391"/>
      <c r="L946" s="50"/>
      <c r="AK946" s="339"/>
    </row>
    <row r="947" spans="1:37" hidden="1" outlineLevel="1" x14ac:dyDescent="0.25">
      <c r="A947" s="2147"/>
      <c r="B947" s="1318"/>
      <c r="C947" s="49"/>
      <c r="D947" s="141" t="s">
        <v>2097</v>
      </c>
      <c r="E947" s="388"/>
      <c r="G947" s="389"/>
      <c r="I947" s="391"/>
      <c r="J947" s="595"/>
      <c r="K947" s="391"/>
      <c r="L947" s="50"/>
      <c r="AK947" s="339"/>
    </row>
    <row r="948" spans="1:37" hidden="1" outlineLevel="1" x14ac:dyDescent="0.25">
      <c r="A948" s="2147"/>
      <c r="B948" s="1318"/>
      <c r="C948" s="49"/>
      <c r="D948" s="388"/>
      <c r="E948" s="388"/>
      <c r="G948" s="389"/>
      <c r="I948" s="391"/>
      <c r="J948" s="595"/>
      <c r="K948" s="391"/>
      <c r="L948" s="50"/>
      <c r="AK948" s="339"/>
    </row>
    <row r="949" spans="1:37" hidden="1" outlineLevel="1" x14ac:dyDescent="0.25">
      <c r="A949" s="2147"/>
      <c r="B949" s="1318"/>
      <c r="AK949" s="339"/>
    </row>
    <row r="950" spans="1:37" hidden="1" outlineLevel="1" x14ac:dyDescent="0.25">
      <c r="A950" s="2147"/>
      <c r="B950" s="1318"/>
      <c r="D950" s="1242" t="s">
        <v>720</v>
      </c>
      <c r="E950" s="1242" t="s">
        <v>613</v>
      </c>
      <c r="F950" s="1242" t="s">
        <v>615</v>
      </c>
      <c r="G950" s="1242" t="s">
        <v>616</v>
      </c>
      <c r="H950" s="576"/>
      <c r="I950" s="50"/>
      <c r="J950" s="50"/>
      <c r="K950" s="576"/>
      <c r="L950" s="576"/>
      <c r="M950" s="576"/>
      <c r="N950" s="576"/>
      <c r="O950" s="576"/>
      <c r="P950" s="576"/>
      <c r="Q950" s="576"/>
      <c r="R950" s="576"/>
      <c r="V950" s="636" t="s">
        <v>53</v>
      </c>
      <c r="W950" s="637">
        <f>W$6</f>
        <v>43252</v>
      </c>
      <c r="X950" s="637">
        <f t="shared" ref="X950:AG950" si="184">X$6</f>
        <v>43465</v>
      </c>
      <c r="Y950" s="110">
        <f t="shared" si="184"/>
        <v>43800</v>
      </c>
      <c r="Z950" s="637">
        <f t="shared" si="184"/>
        <v>43862</v>
      </c>
      <c r="AA950" s="637">
        <f t="shared" si="184"/>
        <v>44013</v>
      </c>
      <c r="AB950" s="637">
        <f t="shared" si="184"/>
        <v>44166</v>
      </c>
      <c r="AC950" s="637">
        <f t="shared" si="184"/>
        <v>44531</v>
      </c>
      <c r="AD950" s="637">
        <f t="shared" si="184"/>
        <v>44774</v>
      </c>
      <c r="AE950" s="637">
        <f t="shared" si="184"/>
        <v>45139</v>
      </c>
      <c r="AF950" s="637">
        <f t="shared" si="184"/>
        <v>45672</v>
      </c>
      <c r="AG950" s="637">
        <f t="shared" si="184"/>
        <v>45971</v>
      </c>
      <c r="AK950" s="339"/>
    </row>
    <row r="951" spans="1:37" ht="28.9" hidden="1" customHeight="1" outlineLevel="1" x14ac:dyDescent="0.25">
      <c r="A951" s="2147"/>
      <c r="B951" s="1318"/>
      <c r="D951" s="2454" t="s">
        <v>2098</v>
      </c>
      <c r="E951" s="121" t="s">
        <v>2099</v>
      </c>
      <c r="F951" s="1485">
        <f>SUMPRODUCT($F$956:$F$961, $F$962:$F$967)/SUM($F$962:$F$967)</f>
        <v>1017.245138888889</v>
      </c>
      <c r="G951" s="1300" t="s">
        <v>746</v>
      </c>
      <c r="H951" s="576"/>
      <c r="I951" s="2456" t="s">
        <v>2100</v>
      </c>
      <c r="J951" s="2457"/>
      <c r="K951" s="2457"/>
      <c r="L951" s="2457"/>
      <c r="M951" s="2457"/>
      <c r="N951" s="2457"/>
      <c r="O951" s="2457"/>
      <c r="P951" s="2457"/>
      <c r="Q951" s="2457"/>
      <c r="R951" s="2458"/>
      <c r="V951" s="2454" t="s">
        <v>2098</v>
      </c>
      <c r="W951" s="404">
        <v>985.16038920276219</v>
      </c>
      <c r="X951" s="404">
        <f>SUMPRODUCT($F$956:$F$961, $F$962:$F$967)/SUM($F$962:$F$967)</f>
        <v>1017.245138888889</v>
      </c>
      <c r="Y951" s="404">
        <v>985.16038920276219</v>
      </c>
      <c r="Z951" s="404">
        <v>985.16038920276219</v>
      </c>
      <c r="AA951" s="404">
        <v>985.16038920276219</v>
      </c>
      <c r="AB951" s="404">
        <v>985.16038920276219</v>
      </c>
      <c r="AC951" s="404">
        <v>985.16038920276219</v>
      </c>
      <c r="AD951" s="404">
        <v>985.16038920276219</v>
      </c>
      <c r="AE951" s="404">
        <v>985.16038920276219</v>
      </c>
      <c r="AF951" s="253">
        <f t="shared" ref="AF951:AF970" si="185">IF(F951&lt;&gt;"",F951,"")</f>
        <v>1017.245138888889</v>
      </c>
      <c r="AG951" s="405"/>
      <c r="AK951" s="339"/>
    </row>
    <row r="952" spans="1:37" hidden="1" outlineLevel="1" x14ac:dyDescent="0.25">
      <c r="A952" s="2147"/>
      <c r="B952" s="1318"/>
      <c r="D952" s="2455"/>
      <c r="E952" s="121" t="s">
        <v>2101</v>
      </c>
      <c r="F952" s="1485">
        <f>SUMPRODUCT($F$959:$F$961, $F$965:$F$967)/SUM($F$965:$F$967)</f>
        <v>1672.2927350427351</v>
      </c>
      <c r="G952" s="1300" t="s">
        <v>746</v>
      </c>
      <c r="H952" s="576"/>
      <c r="I952" s="2459"/>
      <c r="J952" s="2460"/>
      <c r="K952" s="2460"/>
      <c r="L952" s="2460"/>
      <c r="M952" s="2460"/>
      <c r="N952" s="2460"/>
      <c r="O952" s="2460"/>
      <c r="P952" s="2460"/>
      <c r="Q952" s="2460"/>
      <c r="R952" s="2461"/>
      <c r="V952" s="2455"/>
      <c r="W952" s="404"/>
      <c r="X952" s="404"/>
      <c r="Y952" s="168">
        <v>1690.4148148148149</v>
      </c>
      <c r="Z952" s="404">
        <v>1690.4148148148149</v>
      </c>
      <c r="AA952" s="404">
        <v>1690.4148148148149</v>
      </c>
      <c r="AB952" s="404">
        <v>1690.4148148148149</v>
      </c>
      <c r="AC952" s="404">
        <v>1690.4148148148149</v>
      </c>
      <c r="AD952" s="404">
        <v>1690.4148148148149</v>
      </c>
      <c r="AE952" s="404">
        <v>1690.4148148148149</v>
      </c>
      <c r="AF952" s="253">
        <f t="shared" si="185"/>
        <v>1672.2927350427351</v>
      </c>
      <c r="AG952" s="405"/>
      <c r="AK952" s="339"/>
    </row>
    <row r="953" spans="1:37" ht="18" hidden="1" outlineLevel="1" x14ac:dyDescent="0.35">
      <c r="A953" s="2147"/>
      <c r="B953" s="1318"/>
      <c r="D953" s="333" t="s">
        <v>2102</v>
      </c>
      <c r="E953" s="121" t="s">
        <v>2103</v>
      </c>
      <c r="F953" s="1483">
        <f>8.07*22.5 + 233.7</f>
        <v>415.27499999999998</v>
      </c>
      <c r="G953" s="1300" t="s">
        <v>2104</v>
      </c>
      <c r="H953" s="576"/>
      <c r="I953" s="1433" t="s">
        <v>2105</v>
      </c>
      <c r="J953" s="1302" t="s">
        <v>2106</v>
      </c>
      <c r="K953" s="2665" t="s">
        <v>2107</v>
      </c>
      <c r="L953" s="2666"/>
      <c r="M953" s="2667"/>
      <c r="N953" s="2665" t="s">
        <v>2108</v>
      </c>
      <c r="O953" s="2666"/>
      <c r="P953" s="2666"/>
      <c r="Q953" s="2666"/>
      <c r="R953" s="2667"/>
      <c r="V953" s="333" t="s">
        <v>2102</v>
      </c>
      <c r="W953" s="404"/>
      <c r="X953" s="404"/>
      <c r="Y953" s="168"/>
      <c r="Z953" s="404"/>
      <c r="AA953" s="404"/>
      <c r="AB953" s="404"/>
      <c r="AC953" s="404"/>
      <c r="AD953" s="404"/>
      <c r="AE953" s="404"/>
      <c r="AF953" s="253">
        <f t="shared" si="185"/>
        <v>415.27499999999998</v>
      </c>
      <c r="AG953" s="405"/>
      <c r="AK953" s="339"/>
    </row>
    <row r="954" spans="1:37" ht="30" hidden="1" outlineLevel="1" x14ac:dyDescent="0.35">
      <c r="A954" s="2147"/>
      <c r="B954" s="1318"/>
      <c r="D954" s="333" t="s">
        <v>2109</v>
      </c>
      <c r="E954" s="121" t="s">
        <v>2110</v>
      </c>
      <c r="F954" s="1483">
        <f>(F953 * (1 - F955))</f>
        <v>373.7475</v>
      </c>
      <c r="G954" s="1300"/>
      <c r="H954" s="576"/>
      <c r="I954" s="1433"/>
      <c r="J954" s="1302" t="s">
        <v>2111</v>
      </c>
      <c r="K954" s="1302" t="s">
        <v>2112</v>
      </c>
      <c r="L954" s="1302" t="s">
        <v>2113</v>
      </c>
      <c r="M954" s="1302" t="s">
        <v>2111</v>
      </c>
      <c r="N954" s="1302" t="s">
        <v>2112</v>
      </c>
      <c r="O954" s="1302" t="s">
        <v>2113</v>
      </c>
      <c r="P954" s="1302" t="s">
        <v>2111</v>
      </c>
      <c r="Q954" s="1302" t="s">
        <v>2114</v>
      </c>
      <c r="R954" s="1302" t="s">
        <v>2115</v>
      </c>
      <c r="V954" s="333" t="s">
        <v>2109</v>
      </c>
      <c r="W954" s="404">
        <v>467.22222222222223</v>
      </c>
      <c r="X954" s="404">
        <f>$F$956</f>
        <v>467.22222222222223</v>
      </c>
      <c r="Y954" s="404">
        <v>467.22222222222223</v>
      </c>
      <c r="Z954" s="404">
        <v>467.22222222222223</v>
      </c>
      <c r="AA954" s="404">
        <v>467.22222222222223</v>
      </c>
      <c r="AB954" s="404">
        <v>467.22222222222223</v>
      </c>
      <c r="AC954" s="404">
        <v>467.22222222222223</v>
      </c>
      <c r="AD954" s="404">
        <v>467.22222222222223</v>
      </c>
      <c r="AE954" s="404">
        <v>467.22222222222223</v>
      </c>
      <c r="AF954" s="253">
        <f t="shared" si="185"/>
        <v>373.7475</v>
      </c>
      <c r="AG954" s="405"/>
      <c r="AJ954" s="339"/>
    </row>
    <row r="955" spans="1:37" hidden="1" outlineLevel="1" x14ac:dyDescent="0.25">
      <c r="A955" s="2147"/>
      <c r="B955" s="1318"/>
      <c r="D955" s="333" t="s">
        <v>2116</v>
      </c>
      <c r="E955" s="121" t="s">
        <v>2117</v>
      </c>
      <c r="F955" s="460">
        <v>0.1</v>
      </c>
      <c r="G955" s="1278" t="s">
        <v>2118</v>
      </c>
      <c r="H955" s="576"/>
      <c r="I955" s="333" t="s">
        <v>2119</v>
      </c>
      <c r="J955" s="1278">
        <v>483</v>
      </c>
      <c r="K955" s="1278">
        <v>592</v>
      </c>
      <c r="L955" s="1278">
        <v>592</v>
      </c>
      <c r="M955" s="1278">
        <v>592</v>
      </c>
      <c r="N955" s="1278">
        <v>374</v>
      </c>
      <c r="O955" s="1278">
        <v>374</v>
      </c>
      <c r="P955" s="1278">
        <v>374</v>
      </c>
      <c r="Q955" s="1278">
        <v>412</v>
      </c>
      <c r="R955" s="1278">
        <v>412</v>
      </c>
      <c r="V955" s="333" t="str">
        <f t="shared" ref="V955:V968" si="186">D955</f>
        <v>% Savings</v>
      </c>
      <c r="W955" s="98">
        <v>0.1</v>
      </c>
      <c r="X955" s="98">
        <v>0.1</v>
      </c>
      <c r="Y955" s="98">
        <v>0.1</v>
      </c>
      <c r="Z955" s="98">
        <v>0.1</v>
      </c>
      <c r="AA955" s="98">
        <v>0.1</v>
      </c>
      <c r="AB955" s="98">
        <v>0.1</v>
      </c>
      <c r="AC955" s="98">
        <v>0.1</v>
      </c>
      <c r="AD955" s="98">
        <v>0.1</v>
      </c>
      <c r="AE955" s="98">
        <v>0.1</v>
      </c>
      <c r="AF955" s="253">
        <f t="shared" si="185"/>
        <v>0.1</v>
      </c>
      <c r="AG955" s="406"/>
      <c r="AJ955" s="339"/>
    </row>
    <row r="956" spans="1:37" ht="31.5" hidden="1" outlineLevel="1" x14ac:dyDescent="0.35">
      <c r="A956" s="2147"/>
      <c r="B956" s="1318"/>
      <c r="D956" s="333" t="s">
        <v>2120</v>
      </c>
      <c r="E956" s="333" t="s">
        <v>2121</v>
      </c>
      <c r="F956" s="1485">
        <f>AVERAGE($J$955:$R$955)</f>
        <v>467.22222222222223</v>
      </c>
      <c r="G956" s="1278" t="s">
        <v>746</v>
      </c>
      <c r="H956" s="576"/>
      <c r="I956" s="333" t="s">
        <v>2122</v>
      </c>
      <c r="J956" s="1278">
        <v>724</v>
      </c>
      <c r="K956" s="1278">
        <v>747</v>
      </c>
      <c r="L956" s="1278">
        <v>747</v>
      </c>
      <c r="M956" s="1278">
        <v>747</v>
      </c>
      <c r="N956" s="1278">
        <v>556</v>
      </c>
      <c r="O956" s="1278">
        <v>556</v>
      </c>
      <c r="P956" s="1278">
        <v>556</v>
      </c>
      <c r="Q956" s="1278">
        <v>613</v>
      </c>
      <c r="R956" s="1278">
        <v>613</v>
      </c>
      <c r="V956" s="333" t="str">
        <f t="shared" si="186"/>
        <v>kWh2011-2015</v>
      </c>
      <c r="W956" s="404">
        <v>467.22222222222223</v>
      </c>
      <c r="X956" s="404">
        <f>AVERAGE($J$955:$R$955)</f>
        <v>467.22222222222223</v>
      </c>
      <c r="Y956" s="404">
        <v>467.22222222222223</v>
      </c>
      <c r="Z956" s="404">
        <v>467.22222222222223</v>
      </c>
      <c r="AA956" s="404">
        <v>467.22222222222223</v>
      </c>
      <c r="AB956" s="404">
        <v>467.22222222222223</v>
      </c>
      <c r="AC956" s="404">
        <v>467.22222222222223</v>
      </c>
      <c r="AD956" s="404">
        <v>467.22222222222223</v>
      </c>
      <c r="AE956" s="404">
        <v>467.22222222222223</v>
      </c>
      <c r="AF956" s="253">
        <f t="shared" si="185"/>
        <v>467.22222222222223</v>
      </c>
      <c r="AG956" s="405"/>
      <c r="AJ956" s="339"/>
    </row>
    <row r="957" spans="1:37" ht="31.5" hidden="1" outlineLevel="1" x14ac:dyDescent="0.35">
      <c r="A957" s="2147"/>
      <c r="B957" s="1318"/>
      <c r="D957" s="333" t="s">
        <v>2123</v>
      </c>
      <c r="E957" s="333" t="s">
        <v>2124</v>
      </c>
      <c r="F957" s="1485">
        <f>AVERAGE($J$956:$R$956)</f>
        <v>651</v>
      </c>
      <c r="G957" s="1278" t="s">
        <v>746</v>
      </c>
      <c r="H957" s="576"/>
      <c r="I957" s="333" t="s">
        <v>2125</v>
      </c>
      <c r="J957" s="1278">
        <v>962</v>
      </c>
      <c r="K957" s="1278">
        <v>1139</v>
      </c>
      <c r="L957" s="1278">
        <v>1139</v>
      </c>
      <c r="M957" s="1278">
        <v>1139</v>
      </c>
      <c r="N957" s="1278">
        <v>861</v>
      </c>
      <c r="O957" s="1278">
        <v>861</v>
      </c>
      <c r="P957" s="1278">
        <v>861</v>
      </c>
      <c r="Q957" s="1278">
        <v>962</v>
      </c>
      <c r="R957" s="1278">
        <v>962</v>
      </c>
      <c r="V957" s="333" t="str">
        <f t="shared" si="186"/>
        <v>kWh2001(after July)-2010</v>
      </c>
      <c r="W957" s="404">
        <v>651</v>
      </c>
      <c r="X957" s="404">
        <f>AVERAGE($J$956:$R$956)</f>
        <v>651</v>
      </c>
      <c r="Y957" s="404">
        <v>651</v>
      </c>
      <c r="Z957" s="404">
        <v>651</v>
      </c>
      <c r="AA957" s="404">
        <v>651</v>
      </c>
      <c r="AB957" s="404">
        <v>651</v>
      </c>
      <c r="AC957" s="404">
        <v>651</v>
      </c>
      <c r="AD957" s="404">
        <v>651</v>
      </c>
      <c r="AE957" s="404">
        <v>651</v>
      </c>
      <c r="AF957" s="253">
        <f t="shared" si="185"/>
        <v>651</v>
      </c>
      <c r="AG957" s="405"/>
      <c r="AJ957" s="339"/>
    </row>
    <row r="958" spans="1:37" ht="18" hidden="1" outlineLevel="1" x14ac:dyDescent="0.35">
      <c r="A958" s="2147"/>
      <c r="B958" s="1318"/>
      <c r="D958" s="333" t="s">
        <v>2126</v>
      </c>
      <c r="E958" s="333" t="s">
        <v>2127</v>
      </c>
      <c r="F958" s="1485">
        <f>AVERAGE($J$957:$R$957)</f>
        <v>987.33333333333337</v>
      </c>
      <c r="G958" s="1278" t="s">
        <v>746</v>
      </c>
      <c r="H958" s="576"/>
      <c r="I958" s="333" t="s">
        <v>2128</v>
      </c>
      <c r="J958" s="1300">
        <v>1519</v>
      </c>
      <c r="K958" s="1300">
        <v>1617</v>
      </c>
      <c r="L958" s="1300">
        <v>1617</v>
      </c>
      <c r="M958" s="1300">
        <v>1617</v>
      </c>
      <c r="N958" s="1300">
        <v>1272</v>
      </c>
      <c r="O958" s="1300">
        <v>1272</v>
      </c>
      <c r="P958" s="1300">
        <v>1272</v>
      </c>
      <c r="Q958" s="1300">
        <v>1432</v>
      </c>
      <c r="R958" s="1300">
        <v>1432</v>
      </c>
      <c r="V958" s="333" t="str">
        <f t="shared" si="186"/>
        <v>kWh1993-2001(before June)</v>
      </c>
      <c r="W958" s="404">
        <v>987.33333333333337</v>
      </c>
      <c r="X958" s="404">
        <f>AVERAGE($J$957:$R$957)</f>
        <v>987.33333333333337</v>
      </c>
      <c r="Y958" s="404">
        <v>987.33333333333337</v>
      </c>
      <c r="Z958" s="404">
        <v>987.33333333333337</v>
      </c>
      <c r="AA958" s="404">
        <v>987.33333333333337</v>
      </c>
      <c r="AB958" s="404">
        <v>987.33333333333337</v>
      </c>
      <c r="AC958" s="404">
        <v>987.33333333333337</v>
      </c>
      <c r="AD958" s="404">
        <v>987.33333333333337</v>
      </c>
      <c r="AE958" s="404">
        <v>987.33333333333337</v>
      </c>
      <c r="AF958" s="253">
        <f t="shared" si="185"/>
        <v>987.33333333333337</v>
      </c>
      <c r="AG958" s="405"/>
      <c r="AJ958" s="339"/>
    </row>
    <row r="959" spans="1:37" ht="18" hidden="1" outlineLevel="1" x14ac:dyDescent="0.35">
      <c r="A959" s="2147"/>
      <c r="B959" s="1318"/>
      <c r="D959" s="333" t="s">
        <v>2129</v>
      </c>
      <c r="E959" s="333" t="s">
        <v>2130</v>
      </c>
      <c r="F959" s="1485">
        <f>AVERAGE($J$958:$R$958)</f>
        <v>1450</v>
      </c>
      <c r="G959" s="1278" t="s">
        <v>746</v>
      </c>
      <c r="H959" s="50"/>
      <c r="I959" s="333" t="s">
        <v>2131</v>
      </c>
      <c r="J959" s="1278">
        <v>1992</v>
      </c>
      <c r="K959" s="1278">
        <v>2119</v>
      </c>
      <c r="L959" s="1278">
        <v>2119</v>
      </c>
      <c r="M959" s="1278">
        <v>2119</v>
      </c>
      <c r="N959" s="1278">
        <v>1668</v>
      </c>
      <c r="O959" s="1278">
        <v>1668</v>
      </c>
      <c r="P959" s="1278">
        <v>1668</v>
      </c>
      <c r="Q959" s="1278">
        <v>1877</v>
      </c>
      <c r="R959" s="1278">
        <v>1877</v>
      </c>
      <c r="V959" s="333" t="str">
        <f t="shared" si="186"/>
        <v>kWh1990-1992</v>
      </c>
      <c r="W959" s="404">
        <v>1450</v>
      </c>
      <c r="X959" s="404">
        <f>AVERAGE($J$958:$R$958)</f>
        <v>1450</v>
      </c>
      <c r="Y959" s="404">
        <v>1450</v>
      </c>
      <c r="Z959" s="404">
        <v>1450</v>
      </c>
      <c r="AA959" s="404">
        <v>1450</v>
      </c>
      <c r="AB959" s="404">
        <v>1450</v>
      </c>
      <c r="AC959" s="404">
        <v>1450</v>
      </c>
      <c r="AD959" s="404">
        <v>1450</v>
      </c>
      <c r="AE959" s="404">
        <v>1450</v>
      </c>
      <c r="AF959" s="253">
        <f t="shared" si="185"/>
        <v>1450</v>
      </c>
      <c r="AG959" s="405"/>
      <c r="AJ959" s="339"/>
    </row>
    <row r="960" spans="1:37" ht="18" hidden="1" outlineLevel="1" x14ac:dyDescent="0.35">
      <c r="A960" s="2147"/>
      <c r="B960" s="1318"/>
      <c r="D960" s="333" t="s">
        <v>2132</v>
      </c>
      <c r="E960" s="333" t="s">
        <v>2133</v>
      </c>
      <c r="F960" s="1485">
        <f>AVERAGE($J$959:$R$959)</f>
        <v>1900.7777777777778</v>
      </c>
      <c r="G960" s="1278" t="s">
        <v>746</v>
      </c>
      <c r="H960" s="576"/>
      <c r="I960" s="333" t="s">
        <v>2134</v>
      </c>
      <c r="J960" s="1300">
        <v>2523</v>
      </c>
      <c r="K960" s="1300">
        <v>2684</v>
      </c>
      <c r="L960" s="1300">
        <v>2684</v>
      </c>
      <c r="M960" s="1300">
        <v>2684</v>
      </c>
      <c r="N960" s="1300"/>
      <c r="O960" s="1300">
        <v>2112</v>
      </c>
      <c r="P960" s="1300">
        <v>2112</v>
      </c>
      <c r="Q960" s="1300">
        <v>2377</v>
      </c>
      <c r="R960" s="1300">
        <v>2377</v>
      </c>
      <c r="V960" s="333" t="str">
        <f t="shared" si="186"/>
        <v>kWh1980-1989</v>
      </c>
      <c r="W960" s="404">
        <v>1900.7777777777778</v>
      </c>
      <c r="X960" s="404">
        <f>AVERAGE($J$959:$R$959)</f>
        <v>1900.7777777777778</v>
      </c>
      <c r="Y960" s="404">
        <v>1900.7777777777778</v>
      </c>
      <c r="Z960" s="404">
        <v>1900.7777777777778</v>
      </c>
      <c r="AA960" s="404">
        <v>1900.7777777777778</v>
      </c>
      <c r="AB960" s="404">
        <v>1900.7777777777778</v>
      </c>
      <c r="AC960" s="404">
        <v>1900.7777777777778</v>
      </c>
      <c r="AD960" s="404">
        <v>1900.7777777777778</v>
      </c>
      <c r="AE960" s="404">
        <v>1900.7777777777778</v>
      </c>
      <c r="AF960" s="253">
        <f t="shared" si="185"/>
        <v>1900.7777777777778</v>
      </c>
      <c r="AG960" s="405"/>
      <c r="AJ960" s="339"/>
    </row>
    <row r="961" spans="1:114" ht="18" hidden="1" outlineLevel="1" x14ac:dyDescent="0.35">
      <c r="A961" s="2147"/>
      <c r="B961" s="1318"/>
      <c r="D961" s="333" t="s">
        <v>2135</v>
      </c>
      <c r="E961" s="333" t="s">
        <v>2136</v>
      </c>
      <c r="F961" s="1485">
        <f>AVERAGE($J$960:$R$960)</f>
        <v>2444.125</v>
      </c>
      <c r="G961" s="1278" t="s">
        <v>746</v>
      </c>
      <c r="H961" s="50"/>
      <c r="V961" s="333" t="str">
        <f t="shared" si="186"/>
        <v>kWhbefore 1980</v>
      </c>
      <c r="W961" s="404">
        <v>2444.125</v>
      </c>
      <c r="X961" s="404">
        <f>AVERAGE($J$960:$R$960)</f>
        <v>2444.125</v>
      </c>
      <c r="Y961" s="404">
        <v>2444.125</v>
      </c>
      <c r="Z961" s="404">
        <v>2444.125</v>
      </c>
      <c r="AA961" s="404">
        <v>2444.125</v>
      </c>
      <c r="AB961" s="404">
        <v>2444.125</v>
      </c>
      <c r="AC961" s="404">
        <v>2444.125</v>
      </c>
      <c r="AD961" s="404">
        <v>2444.125</v>
      </c>
      <c r="AE961" s="404">
        <v>2444.125</v>
      </c>
      <c r="AF961" s="253">
        <f t="shared" si="185"/>
        <v>2444.125</v>
      </c>
      <c r="AG961" s="405"/>
      <c r="AK961" s="339"/>
    </row>
    <row r="962" spans="1:114" ht="18" hidden="1" outlineLevel="1" x14ac:dyDescent="0.35">
      <c r="A962" s="2147"/>
      <c r="B962" s="1318"/>
      <c r="D962" s="333" t="s">
        <v>2137</v>
      </c>
      <c r="E962" s="333" t="s">
        <v>2138</v>
      </c>
      <c r="F962" s="1445">
        <f>1/4*0.9</f>
        <v>0.22500000000000001</v>
      </c>
      <c r="G962" s="1278" t="s">
        <v>2139</v>
      </c>
      <c r="H962" s="576"/>
      <c r="I962" s="576"/>
      <c r="J962" s="576"/>
      <c r="K962" s="576"/>
      <c r="L962" s="576"/>
      <c r="M962" s="576"/>
      <c r="N962" s="576"/>
      <c r="O962" s="576"/>
      <c r="P962" s="576"/>
      <c r="Q962" s="576"/>
      <c r="R962" s="576"/>
      <c r="S962" s="576"/>
      <c r="V962" s="333" t="str">
        <f t="shared" si="186"/>
        <v>Number of Units2011-2015</v>
      </c>
      <c r="W962" s="407">
        <v>0</v>
      </c>
      <c r="X962" s="407">
        <v>0</v>
      </c>
      <c r="Y962" s="407">
        <v>0</v>
      </c>
      <c r="Z962" s="407">
        <v>0</v>
      </c>
      <c r="AA962" s="407">
        <v>0</v>
      </c>
      <c r="AB962" s="407">
        <v>0</v>
      </c>
      <c r="AC962" s="407">
        <v>0</v>
      </c>
      <c r="AD962" s="407">
        <v>0</v>
      </c>
      <c r="AE962" s="407">
        <v>0</v>
      </c>
      <c r="AF962" s="253">
        <f t="shared" si="185"/>
        <v>0.22500000000000001</v>
      </c>
      <c r="AG962" s="408"/>
      <c r="AK962" s="339"/>
    </row>
    <row r="963" spans="1:114" ht="31.5" hidden="1" outlineLevel="1" x14ac:dyDescent="0.35">
      <c r="A963" s="2147"/>
      <c r="B963" s="1318"/>
      <c r="D963" s="333" t="s">
        <v>2140</v>
      </c>
      <c r="E963" s="333" t="s">
        <v>2141</v>
      </c>
      <c r="F963" s="1445">
        <f t="shared" ref="F963:F965" si="187">1/4*0.9</f>
        <v>0.22500000000000001</v>
      </c>
      <c r="G963" s="1278" t="s">
        <v>2139</v>
      </c>
      <c r="H963" s="576"/>
      <c r="I963" s="576"/>
      <c r="J963" s="576"/>
      <c r="K963" s="576"/>
      <c r="L963" s="576"/>
      <c r="M963" s="576"/>
      <c r="N963" s="576"/>
      <c r="O963" s="576"/>
      <c r="P963" s="576"/>
      <c r="Q963" s="576"/>
      <c r="R963" s="576"/>
      <c r="S963" s="576"/>
      <c r="V963" s="333" t="str">
        <f t="shared" si="186"/>
        <v>Number of Units2001(after July)-2010</v>
      </c>
      <c r="W963" s="407">
        <v>65</v>
      </c>
      <c r="X963" s="407">
        <v>65</v>
      </c>
      <c r="Y963" s="407">
        <v>65</v>
      </c>
      <c r="Z963" s="407">
        <v>65</v>
      </c>
      <c r="AA963" s="407">
        <v>65</v>
      </c>
      <c r="AB963" s="407">
        <v>65</v>
      </c>
      <c r="AC963" s="407">
        <v>65</v>
      </c>
      <c r="AD963" s="407">
        <v>65</v>
      </c>
      <c r="AE963" s="407">
        <v>65</v>
      </c>
      <c r="AF963" s="253">
        <f t="shared" si="185"/>
        <v>0.22500000000000001</v>
      </c>
      <c r="AG963" s="408"/>
      <c r="AK963" s="339"/>
    </row>
    <row r="964" spans="1:114" ht="31.5" hidden="1" outlineLevel="1" x14ac:dyDescent="0.35">
      <c r="A964" s="2147"/>
      <c r="B964" s="1318"/>
      <c r="D964" s="333" t="s">
        <v>2142</v>
      </c>
      <c r="E964" s="333" t="s">
        <v>2143</v>
      </c>
      <c r="F964" s="1445">
        <f t="shared" si="187"/>
        <v>0.22500000000000001</v>
      </c>
      <c r="G964" s="1278" t="s">
        <v>2139</v>
      </c>
      <c r="H964" s="576"/>
      <c r="I964" s="576"/>
      <c r="J964" s="576"/>
      <c r="K964" s="576"/>
      <c r="L964" s="576"/>
      <c r="M964" s="576"/>
      <c r="N964" s="576"/>
      <c r="O964" s="576"/>
      <c r="P964" s="576"/>
      <c r="Q964" s="576"/>
      <c r="R964" s="576"/>
      <c r="S964" s="576"/>
      <c r="V964" s="333" t="str">
        <f t="shared" si="186"/>
        <v>Number of Units1993-2001(before June)</v>
      </c>
      <c r="W964" s="407">
        <v>259</v>
      </c>
      <c r="X964" s="407">
        <v>259</v>
      </c>
      <c r="Y964" s="407">
        <v>259</v>
      </c>
      <c r="Z964" s="407">
        <v>259</v>
      </c>
      <c r="AA964" s="407">
        <v>259</v>
      </c>
      <c r="AB964" s="407">
        <v>259</v>
      </c>
      <c r="AC964" s="407">
        <v>259</v>
      </c>
      <c r="AD964" s="407">
        <v>259</v>
      </c>
      <c r="AE964" s="407">
        <v>259</v>
      </c>
      <c r="AF964" s="253">
        <f t="shared" si="185"/>
        <v>0.22500000000000001</v>
      </c>
      <c r="AG964" s="408"/>
      <c r="AK964" s="339"/>
    </row>
    <row r="965" spans="1:114" ht="18" hidden="1" outlineLevel="1" x14ac:dyDescent="0.35">
      <c r="A965" s="2147"/>
      <c r="B965" s="1318"/>
      <c r="D965" s="333" t="s">
        <v>2144</v>
      </c>
      <c r="E965" s="333" t="s">
        <v>2145</v>
      </c>
      <c r="F965" s="1445">
        <f t="shared" si="187"/>
        <v>0.22500000000000001</v>
      </c>
      <c r="G965" s="1278" t="s">
        <v>2139</v>
      </c>
      <c r="H965" s="576"/>
      <c r="I965" s="576"/>
      <c r="J965" s="576"/>
      <c r="K965" s="576"/>
      <c r="L965" s="576"/>
      <c r="M965" s="576"/>
      <c r="N965" s="576"/>
      <c r="O965" s="576"/>
      <c r="P965" s="576"/>
      <c r="Q965" s="576"/>
      <c r="R965" s="576"/>
      <c r="S965" s="576"/>
      <c r="V965" s="333" t="str">
        <f t="shared" si="186"/>
        <v>Number of Units1990-1992</v>
      </c>
      <c r="W965" s="407">
        <v>14</v>
      </c>
      <c r="X965" s="407">
        <v>14</v>
      </c>
      <c r="Y965" s="407">
        <v>14</v>
      </c>
      <c r="Z965" s="407">
        <v>14</v>
      </c>
      <c r="AA965" s="407">
        <v>14</v>
      </c>
      <c r="AB965" s="407">
        <v>14</v>
      </c>
      <c r="AC965" s="407">
        <v>14</v>
      </c>
      <c r="AD965" s="407">
        <v>14</v>
      </c>
      <c r="AE965" s="407">
        <v>14</v>
      </c>
      <c r="AF965" s="253">
        <f t="shared" si="185"/>
        <v>0.22500000000000001</v>
      </c>
      <c r="AG965" s="408"/>
      <c r="AK965" s="339"/>
    </row>
    <row r="966" spans="1:114" ht="18" hidden="1" outlineLevel="1" x14ac:dyDescent="0.35">
      <c r="A966" s="2147"/>
      <c r="B966" s="1318"/>
      <c r="D966" s="333" t="s">
        <v>2146</v>
      </c>
      <c r="E966" s="333" t="s">
        <v>2147</v>
      </c>
      <c r="F966" s="1445">
        <v>0.05</v>
      </c>
      <c r="G966" s="1278" t="s">
        <v>2139</v>
      </c>
      <c r="H966" s="576"/>
      <c r="I966" s="576"/>
      <c r="J966" s="576"/>
      <c r="K966" s="576"/>
      <c r="L966" s="576"/>
      <c r="M966" s="576"/>
      <c r="N966" s="576"/>
      <c r="O966" s="576"/>
      <c r="P966" s="576"/>
      <c r="Q966" s="576"/>
      <c r="R966" s="576"/>
      <c r="S966" s="576"/>
      <c r="V966" s="333" t="str">
        <f t="shared" si="186"/>
        <v>Number of Units1980-1989</v>
      </c>
      <c r="W966" s="407">
        <v>16</v>
      </c>
      <c r="X966" s="407">
        <v>16</v>
      </c>
      <c r="Y966" s="407">
        <v>16</v>
      </c>
      <c r="Z966" s="407">
        <v>16</v>
      </c>
      <c r="AA966" s="407">
        <v>16</v>
      </c>
      <c r="AB966" s="407">
        <v>16</v>
      </c>
      <c r="AC966" s="407">
        <v>16</v>
      </c>
      <c r="AD966" s="407">
        <v>16</v>
      </c>
      <c r="AE966" s="407">
        <v>16</v>
      </c>
      <c r="AF966" s="253">
        <f t="shared" si="185"/>
        <v>0.05</v>
      </c>
      <c r="AG966" s="408"/>
      <c r="AK966" s="339"/>
    </row>
    <row r="967" spans="1:114" ht="18" hidden="1" outlineLevel="1" x14ac:dyDescent="0.35">
      <c r="A967" s="2147"/>
      <c r="B967" s="1318"/>
      <c r="D967" s="333" t="s">
        <v>2148</v>
      </c>
      <c r="E967" s="333" t="s">
        <v>2149</v>
      </c>
      <c r="F967" s="1445">
        <v>0.05</v>
      </c>
      <c r="G967" s="1278" t="s">
        <v>2139</v>
      </c>
      <c r="H967" s="576"/>
      <c r="I967" s="576"/>
      <c r="J967" s="576"/>
      <c r="K967" s="576"/>
      <c r="L967" s="576"/>
      <c r="M967" s="576"/>
      <c r="N967" s="576"/>
      <c r="O967" s="576"/>
      <c r="P967" s="576"/>
      <c r="Q967" s="576"/>
      <c r="R967" s="576"/>
      <c r="S967" s="576"/>
      <c r="V967" s="333" t="str">
        <f t="shared" si="186"/>
        <v>Number of Unitsbefore 1980</v>
      </c>
      <c r="W967" s="407">
        <v>0</v>
      </c>
      <c r="X967" s="407">
        <v>0</v>
      </c>
      <c r="Y967" s="407">
        <v>0</v>
      </c>
      <c r="Z967" s="407">
        <v>0</v>
      </c>
      <c r="AA967" s="407">
        <v>0</v>
      </c>
      <c r="AB967" s="407">
        <v>0</v>
      </c>
      <c r="AC967" s="407">
        <v>0</v>
      </c>
      <c r="AD967" s="407">
        <v>0</v>
      </c>
      <c r="AE967" s="407">
        <v>0</v>
      </c>
      <c r="AF967" s="253">
        <f t="shared" si="185"/>
        <v>0.05</v>
      </c>
      <c r="AG967" s="408"/>
      <c r="AK967" s="339"/>
    </row>
    <row r="968" spans="1:114" ht="50.25" hidden="1" customHeight="1" outlineLevel="1" x14ac:dyDescent="0.25">
      <c r="A968" s="2147"/>
      <c r="B968" s="1318"/>
      <c r="C968" s="1275"/>
      <c r="D968" s="2445" t="s">
        <v>50</v>
      </c>
      <c r="E968" s="1280" t="str">
        <f>E940</f>
        <v>Refrigerator - early replacement ER1</v>
      </c>
      <c r="F968" s="1442">
        <v>5</v>
      </c>
      <c r="G968" s="2447" t="s">
        <v>2150</v>
      </c>
      <c r="H968" s="576"/>
      <c r="I968" s="576"/>
      <c r="V968" s="2445" t="str">
        <f t="shared" si="186"/>
        <v>EUL</v>
      </c>
      <c r="W968" s="407">
        <v>6</v>
      </c>
      <c r="X968" s="407">
        <v>6</v>
      </c>
      <c r="Y968" s="407">
        <v>6</v>
      </c>
      <c r="Z968" s="407">
        <v>6</v>
      </c>
      <c r="AA968" s="407">
        <v>6</v>
      </c>
      <c r="AB968" s="407">
        <v>6</v>
      </c>
      <c r="AC968" s="407">
        <v>6</v>
      </c>
      <c r="AD968" s="407">
        <v>6</v>
      </c>
      <c r="AE968" s="407">
        <v>6</v>
      </c>
      <c r="AF968" s="253">
        <f t="shared" si="185"/>
        <v>5</v>
      </c>
      <c r="AG968" s="408"/>
      <c r="AK968" s="339"/>
    </row>
    <row r="969" spans="1:114" ht="62.25" hidden="1" customHeight="1" outlineLevel="1" x14ac:dyDescent="0.25">
      <c r="A969" s="2147"/>
      <c r="B969" s="1318"/>
      <c r="C969" s="1275"/>
      <c r="D969" s="2446"/>
      <c r="E969" s="1280" t="str">
        <f>E941</f>
        <v>Refrigerator - early replacement ER2</v>
      </c>
      <c r="F969" s="1442">
        <v>10</v>
      </c>
      <c r="G969" s="2448"/>
      <c r="H969" s="576"/>
      <c r="I969" s="576"/>
      <c r="V969" s="2446"/>
      <c r="W969" s="407">
        <v>11</v>
      </c>
      <c r="X969" s="407">
        <v>11</v>
      </c>
      <c r="Y969" s="407">
        <v>11</v>
      </c>
      <c r="Z969" s="407">
        <v>11</v>
      </c>
      <c r="AA969" s="407">
        <v>11</v>
      </c>
      <c r="AB969" s="407">
        <v>11</v>
      </c>
      <c r="AC969" s="407">
        <v>11</v>
      </c>
      <c r="AD969" s="407">
        <v>11</v>
      </c>
      <c r="AE969" s="407">
        <v>11</v>
      </c>
      <c r="AF969" s="253">
        <f t="shared" si="185"/>
        <v>10</v>
      </c>
      <c r="AG969" s="408"/>
      <c r="AK969" s="339"/>
    </row>
    <row r="970" spans="1:114" ht="30" hidden="1" outlineLevel="1" x14ac:dyDescent="0.25">
      <c r="A970" s="2147"/>
      <c r="B970" s="1318"/>
      <c r="C970" s="1275"/>
      <c r="D970" s="1280" t="str">
        <f>D906</f>
        <v>Inc. Cost</v>
      </c>
      <c r="E970" s="1280" t="s">
        <v>688</v>
      </c>
      <c r="F970" s="1827">
        <v>28</v>
      </c>
      <c r="G970" s="1278" t="s">
        <v>2151</v>
      </c>
      <c r="H970" s="576"/>
      <c r="I970" s="576"/>
      <c r="V970" s="1280" t="str">
        <f>D970</f>
        <v>Inc. Cost</v>
      </c>
      <c r="W970" s="144">
        <v>753</v>
      </c>
      <c r="X970" s="144">
        <v>753</v>
      </c>
      <c r="Y970" s="144">
        <v>753</v>
      </c>
      <c r="Z970" s="144">
        <v>753</v>
      </c>
      <c r="AA970" s="144">
        <v>753</v>
      </c>
      <c r="AB970" s="144">
        <v>753</v>
      </c>
      <c r="AC970" s="144">
        <v>753</v>
      </c>
      <c r="AD970" s="144">
        <v>753</v>
      </c>
      <c r="AE970" s="144">
        <v>753</v>
      </c>
      <c r="AF970" s="253">
        <f t="shared" si="185"/>
        <v>28</v>
      </c>
      <c r="AG970" s="409"/>
      <c r="AK970" s="339"/>
    </row>
    <row r="971" spans="1:114" hidden="1" outlineLevel="1" x14ac:dyDescent="0.25">
      <c r="A971" s="2147"/>
      <c r="X971" s="265"/>
      <c r="Y971" s="516" t="s">
        <v>2152</v>
      </c>
      <c r="Z971" s="303"/>
      <c r="AA971" s="303"/>
      <c r="AB971" s="303"/>
    </row>
    <row r="972" spans="1:114" collapsed="1" x14ac:dyDescent="0.25">
      <c r="A972" s="2147"/>
    </row>
    <row r="973" spans="1:114" s="6" customFormat="1" x14ac:dyDescent="0.25">
      <c r="A973" s="2147"/>
      <c r="B973" s="2388" t="s">
        <v>2153</v>
      </c>
      <c r="C973" s="2389"/>
      <c r="D973" s="2389"/>
      <c r="E973" s="2389"/>
      <c r="F973" s="2389"/>
      <c r="G973" s="2389"/>
      <c r="H973" s="2389"/>
      <c r="I973" s="2390"/>
      <c r="J973" s="2390"/>
      <c r="K973" s="2390"/>
      <c r="L973" s="2390"/>
      <c r="M973" s="2390"/>
      <c r="N973" s="2390"/>
      <c r="O973" s="2390"/>
      <c r="P973" s="2390"/>
      <c r="Q973" s="2390"/>
      <c r="R973" s="2391"/>
      <c r="S973" s="64"/>
      <c r="T973" s="64"/>
      <c r="U973" s="64"/>
      <c r="V973" s="1234" t="str">
        <f>B973</f>
        <v>Energy Star Room Air Conditioner</v>
      </c>
      <c r="W973" s="1235"/>
      <c r="X973" s="1235"/>
      <c r="Y973" s="1235"/>
      <c r="Z973" s="1235"/>
      <c r="AA973" s="1235"/>
      <c r="AB973" s="1235"/>
      <c r="AC973" s="1235"/>
      <c r="AD973" s="1235"/>
      <c r="AE973" s="1235"/>
      <c r="AF973" s="1235"/>
      <c r="AG973" s="1235"/>
      <c r="AH973" s="1235"/>
      <c r="AI973" s="1269"/>
      <c r="AU973" s="1350"/>
      <c r="DG973" s="990"/>
      <c r="DH973" s="64"/>
      <c r="DI973" s="64"/>
      <c r="DJ973" s="1030"/>
    </row>
    <row r="974" spans="1:114" s="6" customFormat="1" x14ac:dyDescent="0.25">
      <c r="A974" s="2147"/>
      <c r="B974" s="50"/>
      <c r="C974" s="49"/>
      <c r="D974" s="100"/>
      <c r="E974" s="100"/>
      <c r="F974" s="50"/>
      <c r="G974" s="50"/>
      <c r="H974" s="50"/>
      <c r="I974" s="50"/>
      <c r="J974" s="50"/>
      <c r="K974" s="50"/>
      <c r="L974" s="50"/>
      <c r="M974" s="50"/>
      <c r="N974" s="50"/>
      <c r="O974" s="50"/>
      <c r="P974" s="64"/>
      <c r="Q974" s="64"/>
      <c r="R974" s="64"/>
      <c r="S974" s="64"/>
      <c r="T974" s="64"/>
      <c r="U974" s="64"/>
      <c r="Y974" s="1363"/>
      <c r="AU974" s="1350"/>
      <c r="DG974" s="990"/>
      <c r="DH974" s="64"/>
      <c r="DI974" s="64"/>
      <c r="DJ974" s="1030"/>
    </row>
    <row r="975" spans="1:114" s="6" customFormat="1" ht="30" x14ac:dyDescent="0.25">
      <c r="A975" s="2147"/>
      <c r="B975" s="115"/>
      <c r="C975" s="1270" t="s">
        <v>43</v>
      </c>
      <c r="D975" s="1270" t="s">
        <v>597</v>
      </c>
      <c r="E975" s="1270" t="s">
        <v>45</v>
      </c>
      <c r="F975" s="1270" t="s">
        <v>46</v>
      </c>
      <c r="G975" s="1270" t="s">
        <v>47</v>
      </c>
      <c r="H975" s="1270" t="s">
        <v>48</v>
      </c>
      <c r="I975" s="1270" t="s">
        <v>49</v>
      </c>
      <c r="J975" s="1270" t="s">
        <v>50</v>
      </c>
      <c r="K975" s="1270" t="s">
        <v>51</v>
      </c>
      <c r="L975" s="1270" t="s">
        <v>52</v>
      </c>
      <c r="M975" s="50"/>
      <c r="N975" s="50"/>
      <c r="O975" s="115"/>
      <c r="P975" s="64"/>
      <c r="Q975" s="64"/>
      <c r="R975" s="64"/>
      <c r="S975" s="64"/>
      <c r="T975" s="64"/>
      <c r="U975" s="64"/>
      <c r="V975" s="636" t="s">
        <v>53</v>
      </c>
      <c r="W975" s="637">
        <v>43252</v>
      </c>
      <c r="X975" s="637">
        <f>$X$6</f>
        <v>43465</v>
      </c>
      <c r="Y975" s="110">
        <f>$Y$6</f>
        <v>43800</v>
      </c>
      <c r="Z975" s="637">
        <f>$Z$6</f>
        <v>43862</v>
      </c>
      <c r="AA975" s="637">
        <f>$AA$6</f>
        <v>44013</v>
      </c>
      <c r="AB975" s="637">
        <f>$AB$6</f>
        <v>44166</v>
      </c>
      <c r="AC975" s="637">
        <f>$AC$6</f>
        <v>44531</v>
      </c>
      <c r="AD975" s="637">
        <f>$AD$6</f>
        <v>44774</v>
      </c>
      <c r="AE975" s="637">
        <f>$AE$6</f>
        <v>45139</v>
      </c>
      <c r="AF975" s="637">
        <f>$AF$6</f>
        <v>45672</v>
      </c>
      <c r="AG975" s="637">
        <f>$AG$6</f>
        <v>45971</v>
      </c>
      <c r="AU975" s="1350"/>
      <c r="DG975" s="991" t="str">
        <f>$DG$6</f>
        <v>TRC (2025)</v>
      </c>
      <c r="DH975" s="761" t="str">
        <f>$DH$6</f>
        <v>Benefit Lookup</v>
      </c>
      <c r="DI975" s="1006" t="str">
        <f>$DI$6</f>
        <v>Benefits (2025 $)</v>
      </c>
      <c r="DJ975" s="1072" t="str">
        <f>$DJ$6</f>
        <v>Incremental Cost (2025 $)</v>
      </c>
    </row>
    <row r="976" spans="1:114" s="6" customFormat="1" ht="15.75" thickBot="1" x14ac:dyDescent="0.3">
      <c r="A976" s="2147" t="s">
        <v>840</v>
      </c>
      <c r="B976" s="1318">
        <f t="shared" ref="B976:B977" si="188">VALUE(LEFT(C976,6))</f>
        <v>406000</v>
      </c>
      <c r="C976" s="1828" t="s">
        <v>2154</v>
      </c>
      <c r="D976" s="2094" t="s">
        <v>810</v>
      </c>
      <c r="E976" s="411" t="s">
        <v>2155</v>
      </c>
      <c r="F976" s="1829">
        <f>ROUND(($F$990*$F$984*(1/$F$988-1/$F$987)/1000*$F$992),2)</f>
        <v>400.38</v>
      </c>
      <c r="G976" s="598" t="s">
        <v>694</v>
      </c>
      <c r="H976" s="599">
        <f>VLOOKUP(G976,'CP FACTORS'!$A$3:$B$38, 2, FALSE)</f>
        <v>9.4741810000000004E-4</v>
      </c>
      <c r="I976" s="1830">
        <f t="shared" ref="I976:I977" si="189">ROUND(F976*H976,6)</f>
        <v>0.37932700000000003</v>
      </c>
      <c r="J976" s="1831">
        <f>$F$993</f>
        <v>12</v>
      </c>
      <c r="K976" s="1832">
        <f>$F$994</f>
        <v>300</v>
      </c>
      <c r="L976" s="600" t="s">
        <v>63</v>
      </c>
      <c r="M976" s="64"/>
      <c r="N976" s="509"/>
      <c r="O976" s="398"/>
      <c r="P976" s="64"/>
      <c r="Q976" s="64"/>
      <c r="R976" s="510"/>
      <c r="S976" s="64"/>
      <c r="T976" s="64"/>
      <c r="U976" s="64"/>
      <c r="V976" s="1339" t="s">
        <v>46</v>
      </c>
      <c r="W976" s="1395">
        <v>40.971199412398086</v>
      </c>
      <c r="X976" s="99">
        <v>49.727499015442788</v>
      </c>
      <c r="Y976" s="38">
        <v>76.92</v>
      </c>
      <c r="Z976" s="99">
        <v>76.92</v>
      </c>
      <c r="AA976" s="99">
        <v>76.92</v>
      </c>
      <c r="AB976" s="99">
        <v>76.92</v>
      </c>
      <c r="AC976" s="1394">
        <v>75.040000000000006</v>
      </c>
      <c r="AD976" s="1362">
        <v>75.040000000000006</v>
      </c>
      <c r="AE976" s="1362">
        <v>75.040000000000006</v>
      </c>
      <c r="AF976" s="253">
        <v>400.38</v>
      </c>
      <c r="AG976" s="253">
        <f t="shared" ref="AG976:AG977" si="190">IF(F976&lt;&gt;"",F976,"")</f>
        <v>400.38</v>
      </c>
      <c r="AU976" s="1350"/>
      <c r="DG976" s="994">
        <f t="shared" ref="DG976:DG977" si="191">(DI976)/(DJ976)</f>
        <v>2.3173724487870828</v>
      </c>
      <c r="DH976" s="641" t="str">
        <f t="shared" ref="DH976:DH977" si="192">CONCATENATE(G976," ",J976," Year EUL")</f>
        <v>Cooling RES 12 Year EUL</v>
      </c>
      <c r="DI976" s="527">
        <f>(INDEX('Avoided Cost Benefits'!$B$4:$B$865,MATCH(DH976,'Avoided Cost Benefits'!$A$4:$A$865,0)))*F976</f>
        <v>695.2117346361249</v>
      </c>
      <c r="DJ976" s="1846">
        <f t="shared" ref="DJ976:DJ977" si="193">IFERROR(K976/((1+DiscountRate)^(CurrentYear-DiscountYear)),0)</f>
        <v>300</v>
      </c>
    </row>
    <row r="977" spans="1:114" s="6" customFormat="1" ht="15.75" thickBot="1" x14ac:dyDescent="0.3">
      <c r="A977" s="2147" t="s">
        <v>840</v>
      </c>
      <c r="B977" s="1318">
        <f t="shared" si="188"/>
        <v>406004</v>
      </c>
      <c r="C977" s="1828" t="s">
        <v>2156</v>
      </c>
      <c r="D977" s="2094" t="s">
        <v>810</v>
      </c>
      <c r="E977" s="411" t="s">
        <v>2157</v>
      </c>
      <c r="F977" s="1829">
        <f>ROUND(($F$990*$F$985*(1/$F$988-1/$F$987)/1000*$F$992),2)</f>
        <v>465.46</v>
      </c>
      <c r="G977" s="598" t="s">
        <v>694</v>
      </c>
      <c r="H977" s="599">
        <f>VLOOKUP(G977,'CP FACTORS'!$A$3:$B$38, 2, FALSE)</f>
        <v>9.4741810000000004E-4</v>
      </c>
      <c r="I977" s="1830">
        <f t="shared" si="189"/>
        <v>0.44098500000000002</v>
      </c>
      <c r="J977" s="1831">
        <f>$F$993</f>
        <v>12</v>
      </c>
      <c r="K977" s="1832">
        <f>$F$994</f>
        <v>300</v>
      </c>
      <c r="L977" s="600" t="s">
        <v>63</v>
      </c>
      <c r="M977" s="64"/>
      <c r="N977" s="509"/>
      <c r="O977" s="398"/>
      <c r="P977" s="64"/>
      <c r="Q977" s="64"/>
      <c r="R977" s="510"/>
      <c r="S977" s="64"/>
      <c r="T977" s="64"/>
      <c r="U977" s="64"/>
      <c r="V977" s="1339" t="s">
        <v>46</v>
      </c>
      <c r="W977" s="1395"/>
      <c r="X977" s="99"/>
      <c r="Y977" s="38">
        <v>89.42</v>
      </c>
      <c r="Z977" s="99">
        <v>89.42</v>
      </c>
      <c r="AA977" s="99">
        <v>89.42</v>
      </c>
      <c r="AB977" s="99">
        <v>89.42</v>
      </c>
      <c r="AC977" s="1394">
        <v>87.24</v>
      </c>
      <c r="AD977" s="1362">
        <v>87.24</v>
      </c>
      <c r="AE977" s="1362">
        <v>87.24</v>
      </c>
      <c r="AF977" s="253">
        <v>465.46</v>
      </c>
      <c r="AG977" s="253">
        <f t="shared" si="190"/>
        <v>465.46</v>
      </c>
      <c r="AU977" s="1350"/>
      <c r="DG977" s="994">
        <f t="shared" si="191"/>
        <v>2.6940511014846789</v>
      </c>
      <c r="DH977" s="641" t="str">
        <f t="shared" si="192"/>
        <v>Cooling RES 12 Year EUL</v>
      </c>
      <c r="DI977" s="527">
        <f>(INDEX('Avoided Cost Benefits'!$B$4:$B$865,MATCH(DH977,'Avoided Cost Benefits'!$A$4:$A$865,0)))*F977</f>
        <v>808.21533044540365</v>
      </c>
      <c r="DJ977" s="1846">
        <f t="shared" si="193"/>
        <v>300</v>
      </c>
    </row>
    <row r="978" spans="1:114" s="6" customFormat="1" ht="27" hidden="1" customHeight="1" outlineLevel="1" x14ac:dyDescent="0.25">
      <c r="A978" s="2147"/>
      <c r="B978" s="115"/>
      <c r="C978" s="62"/>
      <c r="D978" s="74" t="s">
        <v>95</v>
      </c>
      <c r="E978" s="74" t="s">
        <v>2158</v>
      </c>
      <c r="F978" s="149"/>
      <c r="G978" s="64"/>
      <c r="H978" s="64"/>
      <c r="I978" s="50"/>
      <c r="J978" s="50"/>
      <c r="K978" s="50"/>
      <c r="L978" s="64"/>
      <c r="M978" s="115"/>
      <c r="N978" s="115"/>
      <c r="O978" s="115"/>
      <c r="P978" s="64"/>
      <c r="Q978" s="64"/>
      <c r="R978" s="64"/>
      <c r="S978" s="64"/>
      <c r="T978" s="64"/>
      <c r="U978" s="64"/>
      <c r="X978" s="1353"/>
      <c r="Y978" s="412"/>
      <c r="Z978" s="1353"/>
      <c r="AA978" s="1353"/>
      <c r="AB978" s="1353"/>
      <c r="AC978" s="1353"/>
      <c r="AD978" s="1353"/>
      <c r="AE978" s="1353"/>
      <c r="AF978" s="1353"/>
      <c r="AG978" s="1353"/>
      <c r="AH978" s="1353"/>
      <c r="AI978" s="1353"/>
      <c r="AJ978" s="1353"/>
      <c r="AK978" s="1353"/>
      <c r="AU978" s="1350"/>
      <c r="DG978" s="990"/>
      <c r="DH978" s="64"/>
      <c r="DI978" s="64"/>
      <c r="DJ978" s="1030"/>
    </row>
    <row r="979" spans="1:114" s="6" customFormat="1" hidden="1" outlineLevel="1" x14ac:dyDescent="0.25">
      <c r="A979" s="2147"/>
      <c r="B979" s="115"/>
      <c r="C979" s="62"/>
      <c r="D979" s="74" t="s">
        <v>609</v>
      </c>
      <c r="E979" s="74" t="s">
        <v>2159</v>
      </c>
      <c r="F979" s="149"/>
      <c r="G979" s="64"/>
      <c r="H979" s="115"/>
      <c r="I979" s="50"/>
      <c r="J979" s="50"/>
      <c r="K979" s="50"/>
      <c r="L979" s="64"/>
      <c r="M979" s="115"/>
      <c r="N979" s="115"/>
      <c r="O979" s="115"/>
      <c r="P979" s="64"/>
      <c r="Q979" s="64"/>
      <c r="R979" s="64"/>
      <c r="S979" s="64"/>
      <c r="T979" s="64"/>
      <c r="U979" s="64"/>
      <c r="X979" s="1353"/>
      <c r="Y979" s="1396"/>
      <c r="Z979" s="1353"/>
      <c r="AA979" s="1353"/>
      <c r="AB979" s="1353"/>
      <c r="AC979" s="1353"/>
      <c r="AD979" s="1353"/>
      <c r="AE979" s="1353"/>
      <c r="AF979" s="1353"/>
      <c r="AG979" s="1353"/>
      <c r="AH979" s="1353"/>
      <c r="AI979" s="1353"/>
      <c r="AJ979" s="1353"/>
      <c r="AK979" s="1353"/>
      <c r="AU979" s="1350"/>
      <c r="DG979" s="990"/>
      <c r="DH979" s="64"/>
      <c r="DI979" s="64"/>
      <c r="DJ979" s="1030"/>
    </row>
    <row r="980" spans="1:114" s="6" customFormat="1" hidden="1" outlineLevel="1" x14ac:dyDescent="0.25">
      <c r="A980" s="2147"/>
      <c r="B980" s="115"/>
      <c r="C980" s="62"/>
      <c r="D980" s="100"/>
      <c r="E980" s="1317" t="s">
        <v>612</v>
      </c>
      <c r="F980" s="149"/>
      <c r="G980" s="64"/>
      <c r="H980" s="115"/>
      <c r="I980" s="50"/>
      <c r="J980" s="50"/>
      <c r="K980" s="50"/>
      <c r="L980" s="64"/>
      <c r="M980" s="115"/>
      <c r="N980" s="115"/>
      <c r="O980" s="115"/>
      <c r="P980" s="64"/>
      <c r="Q980" s="64"/>
      <c r="R980" s="64"/>
      <c r="S980" s="64"/>
      <c r="T980" s="64"/>
      <c r="U980" s="64"/>
      <c r="X980" s="1353"/>
      <c r="Y980" s="412"/>
      <c r="Z980" s="1353"/>
      <c r="AA980" s="1353"/>
      <c r="AB980" s="1353"/>
      <c r="AC980" s="1353"/>
      <c r="AD980" s="1353"/>
      <c r="AE980" s="1353"/>
      <c r="AF980" s="1353"/>
      <c r="AG980" s="1353"/>
      <c r="AH980" s="1353"/>
      <c r="AI980" s="1353"/>
      <c r="AJ980" s="1353"/>
      <c r="AK980" s="1353"/>
      <c r="AU980" s="1350"/>
      <c r="DG980" s="990"/>
      <c r="DH980" s="64"/>
      <c r="DI980" s="64"/>
      <c r="DJ980" s="1030"/>
    </row>
    <row r="981" spans="1:114" s="6" customFormat="1" hidden="1" outlineLevel="1" x14ac:dyDescent="0.25">
      <c r="A981" s="2147"/>
      <c r="B981" s="115"/>
      <c r="C981" s="62"/>
      <c r="D981" s="74"/>
      <c r="E981" s="74"/>
      <c r="F981" s="72"/>
      <c r="G981" s="64"/>
      <c r="H981" s="115"/>
      <c r="I981" s="64"/>
      <c r="J981" s="64"/>
      <c r="K981" s="64"/>
      <c r="L981" s="64"/>
      <c r="M981" s="115"/>
      <c r="N981" s="115"/>
      <c r="O981" s="115"/>
      <c r="P981" s="64"/>
      <c r="Q981" s="64"/>
      <c r="R981" s="64"/>
      <c r="S981" s="64"/>
      <c r="T981" s="64"/>
      <c r="U981" s="64"/>
      <c r="X981" s="1353"/>
      <c r="Y981" s="1396"/>
      <c r="Z981" s="1353"/>
      <c r="AA981" s="1353"/>
      <c r="AB981" s="1353"/>
      <c r="AC981" s="1353"/>
      <c r="AD981" s="1353"/>
      <c r="AE981" s="1353"/>
      <c r="AF981" s="1353"/>
      <c r="AG981" s="1353"/>
      <c r="AH981" s="1353"/>
      <c r="AI981" s="1353"/>
      <c r="AJ981" s="1353"/>
      <c r="AK981" s="1353"/>
      <c r="AU981" s="1350"/>
      <c r="DG981" s="990"/>
      <c r="DH981" s="64"/>
      <c r="DI981" s="64"/>
      <c r="DJ981" s="1030"/>
    </row>
    <row r="982" spans="1:114" s="6" customFormat="1" hidden="1" outlineLevel="1" x14ac:dyDescent="0.25">
      <c r="A982" s="2147"/>
      <c r="B982" s="115"/>
      <c r="C982" s="62"/>
      <c r="D982" s="74"/>
      <c r="E982" s="74"/>
      <c r="F982" s="72"/>
      <c r="G982" s="64"/>
      <c r="H982" s="64"/>
      <c r="I982" s="64"/>
      <c r="J982" s="64"/>
      <c r="K982" s="64"/>
      <c r="L982" s="64"/>
      <c r="M982" s="115"/>
      <c r="N982" s="115"/>
      <c r="O982" s="115"/>
      <c r="P982" s="64"/>
      <c r="Q982" s="64"/>
      <c r="R982" s="64"/>
      <c r="S982" s="64"/>
      <c r="T982" s="64"/>
      <c r="U982" s="64"/>
      <c r="V982" s="636" t="s">
        <v>53</v>
      </c>
      <c r="W982" s="637">
        <v>43252</v>
      </c>
      <c r="X982" s="637">
        <f>$X$6</f>
        <v>43465</v>
      </c>
      <c r="Y982" s="110">
        <f>$Y$6</f>
        <v>43800</v>
      </c>
      <c r="Z982" s="637">
        <f>$Z$6</f>
        <v>43862</v>
      </c>
      <c r="AA982" s="637">
        <f>$AA$6</f>
        <v>44013</v>
      </c>
      <c r="AB982" s="637">
        <f>$AB$6</f>
        <v>44166</v>
      </c>
      <c r="AC982" s="637">
        <f>$AC$6</f>
        <v>44531</v>
      </c>
      <c r="AD982" s="637">
        <f>$AD$6</f>
        <v>44774</v>
      </c>
      <c r="AE982" s="637">
        <f>$AE$6</f>
        <v>45139</v>
      </c>
      <c r="AF982" s="637">
        <f>$AF$6</f>
        <v>45672</v>
      </c>
      <c r="AG982" s="637">
        <f>$AG$6</f>
        <v>45971</v>
      </c>
      <c r="AI982" s="637">
        <v>43252</v>
      </c>
      <c r="AJ982" s="637">
        <f>$Y$6</f>
        <v>43800</v>
      </c>
      <c r="AK982" s="637">
        <f>$Y$6</f>
        <v>43800</v>
      </c>
      <c r="AL982" s="637">
        <f>$Z$6</f>
        <v>43862</v>
      </c>
      <c r="AM982" s="637">
        <f>$AA$6</f>
        <v>44013</v>
      </c>
      <c r="AN982" s="637">
        <f>$AB$6</f>
        <v>44166</v>
      </c>
      <c r="AO982" s="637">
        <f>$AC$6</f>
        <v>44531</v>
      </c>
      <c r="AP982" s="637">
        <f>$AD$6</f>
        <v>44774</v>
      </c>
      <c r="AQ982" s="637">
        <f>$AE$6</f>
        <v>45139</v>
      </c>
      <c r="AR982" s="637">
        <f>$AF$6</f>
        <v>45672</v>
      </c>
      <c r="AS982" s="637">
        <f>$AG$6</f>
        <v>45971</v>
      </c>
      <c r="AU982" s="1350"/>
      <c r="DG982" s="990"/>
      <c r="DH982" s="64"/>
      <c r="DI982" s="64"/>
      <c r="DJ982" s="1030"/>
    </row>
    <row r="983" spans="1:114" s="6" customFormat="1" hidden="1" outlineLevel="1" x14ac:dyDescent="0.25">
      <c r="A983" s="2147"/>
      <c r="B983" s="115"/>
      <c r="C983" s="62"/>
      <c r="D983" s="1309" t="s">
        <v>613</v>
      </c>
      <c r="E983" s="1242" t="s">
        <v>2160</v>
      </c>
      <c r="F983" s="1309" t="s">
        <v>2161</v>
      </c>
      <c r="G983" s="1242" t="s">
        <v>2162</v>
      </c>
      <c r="H983" s="1309" t="s">
        <v>2163</v>
      </c>
      <c r="I983" s="1270" t="s">
        <v>910</v>
      </c>
      <c r="J983" s="64"/>
      <c r="K983" s="64"/>
      <c r="L983" s="64"/>
      <c r="M983" s="50"/>
      <c r="N983" s="50"/>
      <c r="O983" s="115"/>
      <c r="P983" s="64"/>
      <c r="Q983" s="64"/>
      <c r="R983" s="64"/>
      <c r="S983" s="64"/>
      <c r="T983" s="64"/>
      <c r="U983" s="64"/>
      <c r="V983" s="1397"/>
      <c r="W983" s="1576" t="s">
        <v>2164</v>
      </c>
      <c r="X983" s="1576" t="s">
        <v>2164</v>
      </c>
      <c r="Y983" s="1576" t="s">
        <v>2164</v>
      </c>
      <c r="Z983" s="1576" t="s">
        <v>2164</v>
      </c>
      <c r="AA983" s="1576" t="s">
        <v>2164</v>
      </c>
      <c r="AB983" s="1576" t="s">
        <v>2164</v>
      </c>
      <c r="AC983" s="1576" t="s">
        <v>2164</v>
      </c>
      <c r="AD983" s="1576" t="s">
        <v>2164</v>
      </c>
      <c r="AE983" s="1576" t="s">
        <v>2164</v>
      </c>
      <c r="AF983" s="1576" t="s">
        <v>2164</v>
      </c>
      <c r="AG983" s="1576" t="s">
        <v>2164</v>
      </c>
      <c r="AI983" s="14" t="s">
        <v>2165</v>
      </c>
      <c r="AJ983" s="14" t="s">
        <v>2165</v>
      </c>
      <c r="AK983" s="14" t="s">
        <v>2165</v>
      </c>
      <c r="AL983" s="14" t="s">
        <v>2165</v>
      </c>
      <c r="AM983" s="14" t="s">
        <v>2165</v>
      </c>
      <c r="AN983" s="14" t="s">
        <v>2165</v>
      </c>
      <c r="AO983" s="14" t="s">
        <v>2165</v>
      </c>
      <c r="AP983" s="14" t="s">
        <v>2165</v>
      </c>
      <c r="AQ983" s="14" t="s">
        <v>2165</v>
      </c>
      <c r="AR983" s="14" t="s">
        <v>2165</v>
      </c>
      <c r="AS983" s="14" t="s">
        <v>2165</v>
      </c>
      <c r="AU983" s="1350"/>
      <c r="DG983" s="990"/>
      <c r="DH983" s="64"/>
      <c r="DI983" s="64"/>
      <c r="DJ983" s="1030"/>
    </row>
    <row r="984" spans="1:114" s="6" customFormat="1" ht="45" hidden="1" outlineLevel="1" x14ac:dyDescent="0.25">
      <c r="A984" s="2147"/>
      <c r="B984" s="115"/>
      <c r="C984" s="62"/>
      <c r="D984" s="2669" t="s">
        <v>2166</v>
      </c>
      <c r="E984" s="1245" t="s">
        <v>2167</v>
      </c>
      <c r="F984" s="1486">
        <v>10322.173207292981</v>
      </c>
      <c r="G984" s="1245" t="s">
        <v>2168</v>
      </c>
      <c r="H984" s="1486">
        <v>11745</v>
      </c>
      <c r="I984" s="413"/>
      <c r="J984" s="64"/>
      <c r="K984" s="64"/>
      <c r="L984" s="64"/>
      <c r="M984" s="64"/>
      <c r="N984" s="64"/>
      <c r="O984" s="115"/>
      <c r="P984" s="64"/>
      <c r="Q984" s="64"/>
      <c r="R984" s="64"/>
      <c r="S984" s="64"/>
      <c r="T984" s="64"/>
      <c r="U984" s="64"/>
      <c r="V984" s="2462" t="s">
        <v>2166</v>
      </c>
      <c r="W984" s="1398">
        <v>9558.22711471611</v>
      </c>
      <c r="X984" s="778">
        <v>10322.173207292981</v>
      </c>
      <c r="Y984" s="97">
        <v>10322.173207292981</v>
      </c>
      <c r="Z984" s="97">
        <v>10322.173207292981</v>
      </c>
      <c r="AA984" s="97">
        <v>10322.173207292981</v>
      </c>
      <c r="AB984" s="97">
        <v>10322.173207292981</v>
      </c>
      <c r="AC984" s="97">
        <v>10322.173207292981</v>
      </c>
      <c r="AD984" s="97">
        <v>10322.173207292981</v>
      </c>
      <c r="AE984" s="97">
        <v>10322.173207292981</v>
      </c>
      <c r="AF984" s="253">
        <v>10322.173207292981</v>
      </c>
      <c r="AG984" s="253">
        <f>IF(F984&lt;&gt;"",F984,"")</f>
        <v>10322.173207292981</v>
      </c>
      <c r="AI984" s="1398" t="s">
        <v>2169</v>
      </c>
      <c r="AJ984" s="414">
        <v>11733</v>
      </c>
      <c r="AK984" s="414">
        <v>11745</v>
      </c>
      <c r="AL984" s="407">
        <v>11745</v>
      </c>
      <c r="AM984" s="407">
        <v>11745</v>
      </c>
      <c r="AN984" s="407">
        <v>11745</v>
      </c>
      <c r="AO984" s="407">
        <v>11745</v>
      </c>
      <c r="AP984" s="407">
        <v>11745</v>
      </c>
      <c r="AQ984" s="407">
        <v>11745</v>
      </c>
      <c r="AR984" s="253">
        <v>11745</v>
      </c>
      <c r="AS984" s="253">
        <f>IF(H984&lt;&gt;"",H984,"")</f>
        <v>11745</v>
      </c>
      <c r="AU984" s="1350"/>
      <c r="DG984" s="990"/>
      <c r="DH984" s="64"/>
      <c r="DI984" s="64"/>
      <c r="DJ984" s="1030"/>
    </row>
    <row r="985" spans="1:114" s="6" customFormat="1" hidden="1" outlineLevel="1" x14ac:dyDescent="0.25">
      <c r="A985" s="2147"/>
      <c r="B985" s="115"/>
      <c r="C985" s="62"/>
      <c r="D985" s="2670"/>
      <c r="E985" s="1245" t="s">
        <v>2170</v>
      </c>
      <c r="F985" s="1486">
        <v>12000</v>
      </c>
      <c r="G985" s="1245" t="s">
        <v>2170</v>
      </c>
      <c r="H985" s="1486">
        <v>12000</v>
      </c>
      <c r="I985" s="413"/>
      <c r="J985" s="64"/>
      <c r="K985" s="64"/>
      <c r="L985" s="64"/>
      <c r="M985" s="64"/>
      <c r="N985" s="64"/>
      <c r="O985" s="115"/>
      <c r="P985" s="64"/>
      <c r="Q985" s="64"/>
      <c r="R985" s="64"/>
      <c r="S985" s="64"/>
      <c r="T985" s="64"/>
      <c r="U985" s="64"/>
      <c r="V985" s="2463"/>
      <c r="W985" s="1398"/>
      <c r="X985" s="778"/>
      <c r="Y985" s="116">
        <v>12000</v>
      </c>
      <c r="Z985" s="97">
        <v>12000</v>
      </c>
      <c r="AA985" s="97">
        <v>12000</v>
      </c>
      <c r="AB985" s="97">
        <v>12000</v>
      </c>
      <c r="AC985" s="97">
        <v>12000</v>
      </c>
      <c r="AD985" s="97">
        <v>12000</v>
      </c>
      <c r="AE985" s="97">
        <v>12000</v>
      </c>
      <c r="AF985" s="253">
        <v>12000</v>
      </c>
      <c r="AG985" s="253">
        <f t="shared" ref="AG985:AG994" si="194">IF(F985&lt;&gt;"",F985,"")</f>
        <v>12000</v>
      </c>
      <c r="AI985" s="1398"/>
      <c r="AJ985" s="414"/>
      <c r="AK985" s="414">
        <v>12000</v>
      </c>
      <c r="AL985" s="407">
        <v>12000</v>
      </c>
      <c r="AM985" s="407">
        <v>12000</v>
      </c>
      <c r="AN985" s="407">
        <v>12000</v>
      </c>
      <c r="AO985" s="407">
        <v>12000</v>
      </c>
      <c r="AP985" s="407">
        <v>12000</v>
      </c>
      <c r="AQ985" s="407">
        <v>12000</v>
      </c>
      <c r="AR985" s="253">
        <v>12000</v>
      </c>
      <c r="AS985" s="253">
        <f t="shared" ref="AS985:AS994" si="195">IF(H985&lt;&gt;"",H985,"")</f>
        <v>12000</v>
      </c>
      <c r="AU985" s="1350"/>
      <c r="DG985" s="990"/>
      <c r="DH985" s="64"/>
      <c r="DI985" s="64"/>
      <c r="DJ985" s="1030"/>
    </row>
    <row r="986" spans="1:114" s="6" customFormat="1" ht="45" hidden="1" outlineLevel="1" x14ac:dyDescent="0.25">
      <c r="A986" s="2147"/>
      <c r="B986" s="115"/>
      <c r="C986" s="62"/>
      <c r="D986" s="1245" t="s">
        <v>2171</v>
      </c>
      <c r="E986" s="1245" t="s">
        <v>2172</v>
      </c>
      <c r="F986" s="1486">
        <v>10.833666904931999</v>
      </c>
      <c r="G986" s="1245" t="s">
        <v>2168</v>
      </c>
      <c r="H986" s="1486">
        <v>10.8</v>
      </c>
      <c r="I986" s="104"/>
      <c r="J986" s="64"/>
      <c r="K986" s="64"/>
      <c r="L986" s="64"/>
      <c r="M986" s="64"/>
      <c r="N986" s="64"/>
      <c r="O986" s="115"/>
      <c r="P986" s="64"/>
      <c r="Q986" s="64"/>
      <c r="R986" s="64"/>
      <c r="S986" s="64"/>
      <c r="T986" s="64"/>
      <c r="U986" s="64"/>
      <c r="V986" s="1398" t="s">
        <v>2173</v>
      </c>
      <c r="W986" s="1398">
        <v>10.9</v>
      </c>
      <c r="X986" s="778">
        <v>10.833666904931999</v>
      </c>
      <c r="Y986" s="97">
        <v>10.833666904931999</v>
      </c>
      <c r="Z986" s="97">
        <v>10.833666904931999</v>
      </c>
      <c r="AA986" s="97">
        <v>10.833666904931999</v>
      </c>
      <c r="AB986" s="97">
        <v>10.833666904931999</v>
      </c>
      <c r="AC986" s="97">
        <v>10.833666904931999</v>
      </c>
      <c r="AD986" s="97">
        <v>10.833666904931999</v>
      </c>
      <c r="AE986" s="97">
        <v>10.833666904931999</v>
      </c>
      <c r="AF986" s="253">
        <v>10.833666904931999</v>
      </c>
      <c r="AG986" s="253">
        <f t="shared" si="194"/>
        <v>10.833666904931999</v>
      </c>
      <c r="AI986" s="1398" t="s">
        <v>2169</v>
      </c>
      <c r="AJ986" s="116" t="s">
        <v>2174</v>
      </c>
      <c r="AK986" s="1399"/>
      <c r="AL986" s="103"/>
      <c r="AM986" s="103"/>
      <c r="AN986" s="103"/>
      <c r="AO986" s="103"/>
      <c r="AP986" s="103"/>
      <c r="AQ986" s="103"/>
      <c r="AR986" s="253">
        <v>10.8</v>
      </c>
      <c r="AS986" s="253">
        <f t="shared" si="195"/>
        <v>10.8</v>
      </c>
      <c r="AU986" s="1350"/>
      <c r="DG986" s="990"/>
      <c r="DH986" s="64"/>
      <c r="DI986" s="64"/>
      <c r="DJ986" s="1030"/>
    </row>
    <row r="987" spans="1:114" s="6" customFormat="1" ht="46.5" hidden="1" customHeight="1" outlineLevel="1" x14ac:dyDescent="0.25">
      <c r="A987" s="2147"/>
      <c r="B987" s="115"/>
      <c r="C987" s="62"/>
      <c r="D987" s="1245" t="s">
        <v>2175</v>
      </c>
      <c r="E987" s="1245" t="s">
        <v>2176</v>
      </c>
      <c r="F987" s="1487">
        <v>11.955972333179201</v>
      </c>
      <c r="G987" s="1245" t="s">
        <v>2168</v>
      </c>
      <c r="H987" s="1487">
        <v>11.561669242658486</v>
      </c>
      <c r="I987" s="104"/>
      <c r="J987" s="64"/>
      <c r="K987" s="64"/>
      <c r="L987" s="64"/>
      <c r="M987" s="64"/>
      <c r="N987" s="64"/>
      <c r="O987" s="115"/>
      <c r="P987" s="64"/>
      <c r="Q987" s="64"/>
      <c r="R987" s="64"/>
      <c r="S987" s="64"/>
      <c r="T987" s="64"/>
      <c r="U987" s="64"/>
      <c r="V987" s="1398" t="s">
        <v>2177</v>
      </c>
      <c r="W987" s="1398">
        <v>11.9</v>
      </c>
      <c r="X987" s="778">
        <v>11.955972333179155</v>
      </c>
      <c r="Y987" s="97">
        <v>11.955972333179155</v>
      </c>
      <c r="Z987" s="97">
        <v>11.955972333179155</v>
      </c>
      <c r="AA987" s="97">
        <v>11.955972333179155</v>
      </c>
      <c r="AB987" s="97">
        <v>11.955972333179155</v>
      </c>
      <c r="AC987" s="97">
        <v>11.955972333179155</v>
      </c>
      <c r="AD987" s="97">
        <v>11.955972333179155</v>
      </c>
      <c r="AE987" s="97">
        <v>11.955972333179155</v>
      </c>
      <c r="AF987" s="253">
        <v>11.955972333179201</v>
      </c>
      <c r="AG987" s="253">
        <f t="shared" si="194"/>
        <v>11.955972333179201</v>
      </c>
      <c r="AI987" s="1398" t="s">
        <v>2169</v>
      </c>
      <c r="AJ987" s="116">
        <v>11.6</v>
      </c>
      <c r="AK987" s="97">
        <v>11.561669242658486</v>
      </c>
      <c r="AL987" s="97">
        <v>11.561669242658486</v>
      </c>
      <c r="AM987" s="97">
        <v>11.561669242658486</v>
      </c>
      <c r="AN987" s="97">
        <v>11.561669242658486</v>
      </c>
      <c r="AO987" s="97">
        <v>11.561669242658486</v>
      </c>
      <c r="AP987" s="97">
        <v>11.561669242658486</v>
      </c>
      <c r="AQ987" s="97">
        <v>11.561669242658486</v>
      </c>
      <c r="AR987" s="253">
        <v>11.561669242658486</v>
      </c>
      <c r="AS987" s="253">
        <f t="shared" si="195"/>
        <v>11.561669242658486</v>
      </c>
      <c r="AU987" s="1350"/>
      <c r="DG987" s="990"/>
      <c r="DH987" s="64"/>
      <c r="DI987" s="64"/>
      <c r="DJ987" s="1030"/>
    </row>
    <row r="988" spans="1:114" s="6" customFormat="1" ht="46.5" hidden="1" customHeight="1" outlineLevel="1" x14ac:dyDescent="0.25">
      <c r="A988" s="2147"/>
      <c r="B988" s="115"/>
      <c r="C988" s="62"/>
      <c r="D988" s="1245" t="s">
        <v>2178</v>
      </c>
      <c r="E988" s="1245"/>
      <c r="F988" s="1833">
        <v>7.7</v>
      </c>
      <c r="G988" s="1245" t="s">
        <v>2179</v>
      </c>
      <c r="H988" s="1833">
        <v>7.7</v>
      </c>
      <c r="I988" s="104"/>
      <c r="J988" s="64"/>
      <c r="K988" s="64"/>
      <c r="L988" s="64"/>
      <c r="M988" s="64"/>
      <c r="N988" s="64"/>
      <c r="O988" s="115"/>
      <c r="P988" s="64"/>
      <c r="Q988" s="64"/>
      <c r="R988" s="64"/>
      <c r="S988" s="64"/>
      <c r="T988" s="64"/>
      <c r="U988" s="64"/>
      <c r="V988" s="1398" t="s">
        <v>2180</v>
      </c>
      <c r="W988" s="1398"/>
      <c r="X988" s="415"/>
      <c r="Y988" s="97"/>
      <c r="Z988" s="97"/>
      <c r="AA988" s="97"/>
      <c r="AB988" s="97"/>
      <c r="AC988" s="97"/>
      <c r="AD988" s="97"/>
      <c r="AE988" s="97"/>
      <c r="AF988" s="253">
        <v>7.7</v>
      </c>
      <c r="AG988" s="253">
        <f t="shared" si="194"/>
        <v>7.7</v>
      </c>
      <c r="AI988" s="1398" t="s">
        <v>2169</v>
      </c>
      <c r="AJ988" s="116">
        <v>6.7</v>
      </c>
      <c r="AK988" s="116">
        <v>9.4499999999999993</v>
      </c>
      <c r="AL988" s="97">
        <v>9.4499999999999993</v>
      </c>
      <c r="AM988" s="97">
        <v>9.4499999999999993</v>
      </c>
      <c r="AN988" s="97">
        <v>9.4499999999999993</v>
      </c>
      <c r="AO988" s="97">
        <v>9.4499999999999993</v>
      </c>
      <c r="AP988" s="97">
        <v>9.4499999999999993</v>
      </c>
      <c r="AQ988" s="97">
        <v>9.4499999999999993</v>
      </c>
      <c r="AR988" s="253">
        <v>7.7</v>
      </c>
      <c r="AS988" s="253">
        <f t="shared" si="195"/>
        <v>7.7</v>
      </c>
      <c r="AU988" s="1350"/>
      <c r="DG988" s="990"/>
      <c r="DH988" s="64"/>
      <c r="DI988" s="64"/>
      <c r="DJ988" s="1030"/>
    </row>
    <row r="989" spans="1:114" s="6" customFormat="1" ht="45" hidden="1" customHeight="1" outlineLevel="1" x14ac:dyDescent="0.25">
      <c r="A989" s="2147"/>
      <c r="B989" s="513"/>
      <c r="C989" s="117"/>
      <c r="D989" s="1245" t="s">
        <v>2181</v>
      </c>
      <c r="E989" s="1245" t="s">
        <v>2182</v>
      </c>
      <c r="F989" s="1544">
        <v>556</v>
      </c>
      <c r="G989" s="1245" t="s">
        <v>2183</v>
      </c>
      <c r="H989" s="1544">
        <v>556</v>
      </c>
      <c r="I989" s="104"/>
      <c r="J989" s="64"/>
      <c r="K989" s="64"/>
      <c r="L989" s="64"/>
      <c r="M989" s="64"/>
      <c r="N989" s="64"/>
      <c r="O989" s="513"/>
      <c r="P989" s="64"/>
      <c r="Q989" s="64"/>
      <c r="R989" s="64"/>
      <c r="S989" s="64"/>
      <c r="T989" s="64"/>
      <c r="U989" s="64"/>
      <c r="V989" s="1398" t="s">
        <v>2184</v>
      </c>
      <c r="W989" s="1400">
        <v>556</v>
      </c>
      <c r="X989" s="1400">
        <v>556</v>
      </c>
      <c r="Y989" s="416">
        <v>556</v>
      </c>
      <c r="Z989" s="416">
        <v>556</v>
      </c>
      <c r="AA989" s="416">
        <v>556</v>
      </c>
      <c r="AB989" s="416">
        <v>556</v>
      </c>
      <c r="AC989" s="416">
        <v>556</v>
      </c>
      <c r="AD989" s="416">
        <v>556</v>
      </c>
      <c r="AE989" s="416">
        <v>556</v>
      </c>
      <c r="AF989" s="253">
        <v>556</v>
      </c>
      <c r="AG989" s="253">
        <f t="shared" si="194"/>
        <v>556</v>
      </c>
      <c r="AI989" s="1398" t="s">
        <v>2169</v>
      </c>
      <c r="AJ989" s="416">
        <v>556</v>
      </c>
      <c r="AK989" s="416">
        <v>556</v>
      </c>
      <c r="AL989" s="416">
        <v>556</v>
      </c>
      <c r="AM989" s="416">
        <v>556</v>
      </c>
      <c r="AN989" s="416">
        <v>556</v>
      </c>
      <c r="AO989" s="416">
        <v>556</v>
      </c>
      <c r="AP989" s="416">
        <v>556</v>
      </c>
      <c r="AQ989" s="416">
        <v>556</v>
      </c>
      <c r="AR989" s="253">
        <v>556</v>
      </c>
      <c r="AS989" s="253">
        <f t="shared" si="195"/>
        <v>556</v>
      </c>
      <c r="AU989" s="1350"/>
      <c r="DG989" s="990"/>
      <c r="DH989" s="64"/>
      <c r="DI989" s="64"/>
      <c r="DJ989" s="1030"/>
    </row>
    <row r="990" spans="1:114" s="6" customFormat="1" ht="45.4" hidden="1" customHeight="1" outlineLevel="1" x14ac:dyDescent="0.25">
      <c r="A990" s="2147"/>
      <c r="B990" s="513"/>
      <c r="C990" s="117"/>
      <c r="D990" s="1245" t="s">
        <v>2185</v>
      </c>
      <c r="E990" s="1245" t="s">
        <v>2186</v>
      </c>
      <c r="F990" s="1544">
        <v>860</v>
      </c>
      <c r="G990" s="1245" t="s">
        <v>2187</v>
      </c>
      <c r="H990" s="1544">
        <v>860</v>
      </c>
      <c r="I990" s="1247" t="s">
        <v>2188</v>
      </c>
      <c r="J990" s="64"/>
      <c r="K990" s="64"/>
      <c r="L990" s="64"/>
      <c r="M990" s="64"/>
      <c r="N990" s="64"/>
      <c r="O990" s="513"/>
      <c r="P990" s="64"/>
      <c r="Q990" s="64"/>
      <c r="R990" s="64"/>
      <c r="S990" s="64"/>
      <c r="T990" s="64"/>
      <c r="U990" s="64"/>
      <c r="V990" s="1398" t="s">
        <v>2189</v>
      </c>
      <c r="W990" s="1400">
        <v>860</v>
      </c>
      <c r="X990" s="1400">
        <v>860</v>
      </c>
      <c r="Y990" s="416">
        <v>860</v>
      </c>
      <c r="Z990" s="416">
        <v>860</v>
      </c>
      <c r="AA990" s="416">
        <v>860</v>
      </c>
      <c r="AB990" s="416">
        <v>860</v>
      </c>
      <c r="AC990" s="416">
        <v>860</v>
      </c>
      <c r="AD990" s="416">
        <v>860</v>
      </c>
      <c r="AE990" s="416">
        <v>860</v>
      </c>
      <c r="AF990" s="253">
        <v>860</v>
      </c>
      <c r="AG990" s="253">
        <f t="shared" si="194"/>
        <v>860</v>
      </c>
      <c r="AI990" s="1398" t="s">
        <v>2169</v>
      </c>
      <c r="AJ990" s="417">
        <v>1215</v>
      </c>
      <c r="AK990" s="417">
        <v>860</v>
      </c>
      <c r="AL990" s="416">
        <v>860</v>
      </c>
      <c r="AM990" s="416">
        <v>860</v>
      </c>
      <c r="AN990" s="416">
        <v>860</v>
      </c>
      <c r="AO990" s="416">
        <v>860</v>
      </c>
      <c r="AP990" s="416">
        <v>860</v>
      </c>
      <c r="AQ990" s="416">
        <v>860</v>
      </c>
      <c r="AR990" s="253">
        <v>860</v>
      </c>
      <c r="AS990" s="253">
        <f t="shared" si="195"/>
        <v>860</v>
      </c>
      <c r="AU990" s="1350"/>
      <c r="DG990" s="990"/>
      <c r="DH990" s="64"/>
      <c r="DI990" s="64"/>
      <c r="DJ990" s="1030"/>
    </row>
    <row r="991" spans="1:114" s="6" customFormat="1" ht="30" hidden="1" customHeight="1" outlineLevel="1" x14ac:dyDescent="0.25">
      <c r="A991" s="2147"/>
      <c r="B991" s="513"/>
      <c r="C991" s="117"/>
      <c r="D991" s="1245" t="s">
        <v>2190</v>
      </c>
      <c r="E991" s="1245" t="s">
        <v>594</v>
      </c>
      <c r="F991" s="1544">
        <v>1000</v>
      </c>
      <c r="G991" s="1245" t="s">
        <v>594</v>
      </c>
      <c r="H991" s="1544">
        <v>1000</v>
      </c>
      <c r="I991" s="104"/>
      <c r="J991" s="64"/>
      <c r="K991" s="64"/>
      <c r="L991" s="64"/>
      <c r="M991" s="64"/>
      <c r="N991" s="64"/>
      <c r="O991" s="513"/>
      <c r="P991" s="64"/>
      <c r="Q991" s="64"/>
      <c r="R991" s="64"/>
      <c r="S991" s="64"/>
      <c r="T991" s="64"/>
      <c r="U991" s="64"/>
      <c r="V991" s="1398" t="s">
        <v>2190</v>
      </c>
      <c r="W991" s="1398">
        <v>1000</v>
      </c>
      <c r="X991" s="1398">
        <v>1000</v>
      </c>
      <c r="Y991" s="97">
        <v>1000</v>
      </c>
      <c r="Z991" s="97">
        <v>1000</v>
      </c>
      <c r="AA991" s="97">
        <v>1000</v>
      </c>
      <c r="AB991" s="97">
        <v>1000</v>
      </c>
      <c r="AC991" s="97">
        <v>1000</v>
      </c>
      <c r="AD991" s="97">
        <v>1000</v>
      </c>
      <c r="AE991" s="97">
        <v>1000</v>
      </c>
      <c r="AF991" s="253">
        <v>1000</v>
      </c>
      <c r="AG991" s="253">
        <f t="shared" si="194"/>
        <v>1000</v>
      </c>
      <c r="AI991" s="1398" t="s">
        <v>2169</v>
      </c>
      <c r="AJ991" s="116">
        <v>1000</v>
      </c>
      <c r="AK991" s="1399">
        <v>1000</v>
      </c>
      <c r="AL991" s="103">
        <v>1000</v>
      </c>
      <c r="AM991" s="103">
        <v>1000</v>
      </c>
      <c r="AN991" s="103">
        <v>1000</v>
      </c>
      <c r="AO991" s="103">
        <v>1000</v>
      </c>
      <c r="AP991" s="103">
        <v>1000</v>
      </c>
      <c r="AQ991" s="103">
        <v>1000</v>
      </c>
      <c r="AR991" s="253">
        <v>1000</v>
      </c>
      <c r="AS991" s="253">
        <f t="shared" si="195"/>
        <v>1000</v>
      </c>
      <c r="AU991" s="1350"/>
      <c r="DG991" s="990"/>
      <c r="DH991" s="64"/>
      <c r="DI991" s="64"/>
      <c r="DJ991" s="1030"/>
    </row>
    <row r="992" spans="1:114" s="6" customFormat="1" ht="63.4" hidden="1" customHeight="1" outlineLevel="1" x14ac:dyDescent="0.25">
      <c r="A992" s="2147"/>
      <c r="B992" s="513"/>
      <c r="C992" s="117"/>
      <c r="D992" s="1245" t="s">
        <v>105</v>
      </c>
      <c r="E992" s="1245" t="s">
        <v>2191</v>
      </c>
      <c r="F992" s="460">
        <v>0.97560975609756095</v>
      </c>
      <c r="G992" s="1245" t="s">
        <v>2192</v>
      </c>
      <c r="H992" s="503">
        <v>1</v>
      </c>
      <c r="I992" s="104"/>
      <c r="J992" s="64"/>
      <c r="K992" s="64"/>
      <c r="L992" s="64"/>
      <c r="M992" s="64"/>
      <c r="N992" s="64"/>
      <c r="O992" s="513"/>
      <c r="P992" s="64"/>
      <c r="Q992" s="64"/>
      <c r="R992" s="64"/>
      <c r="S992" s="64"/>
      <c r="T992" s="64"/>
      <c r="U992" s="64"/>
      <c r="V992" s="1398" t="s">
        <v>685</v>
      </c>
      <c r="W992" s="1577">
        <v>0.97560975609756095</v>
      </c>
      <c r="X992" s="1577">
        <v>0.97560975609756095</v>
      </c>
      <c r="Y992" s="98">
        <v>0.97560975609756095</v>
      </c>
      <c r="Z992" s="98">
        <v>0.97560975609756095</v>
      </c>
      <c r="AA992" s="98">
        <v>0.97560975609756095</v>
      </c>
      <c r="AB992" s="98">
        <v>0.97560975609756095</v>
      </c>
      <c r="AC992" s="98">
        <v>0.97560975609756095</v>
      </c>
      <c r="AD992" s="98">
        <v>0.97560975609756095</v>
      </c>
      <c r="AE992" s="98">
        <v>0.97560975609756095</v>
      </c>
      <c r="AF992" s="2060">
        <v>0.97560975609756095</v>
      </c>
      <c r="AG992" s="2060">
        <f t="shared" si="194"/>
        <v>0.97560975609756095</v>
      </c>
      <c r="AH992" s="2061"/>
      <c r="AI992" s="2059" t="s">
        <v>2169</v>
      </c>
      <c r="AJ992" s="211">
        <v>1</v>
      </c>
      <c r="AK992" s="98">
        <v>1</v>
      </c>
      <c r="AL992" s="98">
        <v>1</v>
      </c>
      <c r="AM992" s="98">
        <v>1</v>
      </c>
      <c r="AN992" s="98">
        <v>1</v>
      </c>
      <c r="AO992" s="98">
        <v>1</v>
      </c>
      <c r="AP992" s="98">
        <v>1</v>
      </c>
      <c r="AQ992" s="98">
        <v>1</v>
      </c>
      <c r="AR992" s="2060">
        <v>1</v>
      </c>
      <c r="AS992" s="2060">
        <f t="shared" si="195"/>
        <v>1</v>
      </c>
      <c r="AU992" s="1350"/>
      <c r="DG992" s="990"/>
      <c r="DH992" s="64"/>
      <c r="DI992" s="64"/>
      <c r="DJ992" s="1030"/>
    </row>
    <row r="993" spans="1:114" s="6" customFormat="1" ht="82.5" hidden="1" customHeight="1" outlineLevel="1" x14ac:dyDescent="0.25">
      <c r="A993" s="2147"/>
      <c r="B993" s="64"/>
      <c r="C993" s="62"/>
      <c r="D993" s="1306" t="str">
        <f>D968</f>
        <v>EUL</v>
      </c>
      <c r="E993" s="1306"/>
      <c r="F993" s="1834">
        <v>12</v>
      </c>
      <c r="G993" s="1931" t="s">
        <v>2193</v>
      </c>
      <c r="H993" s="1835">
        <f>F993</f>
        <v>12</v>
      </c>
      <c r="I993" s="104" t="s">
        <v>63</v>
      </c>
      <c r="J993" s="64"/>
      <c r="K993" s="64"/>
      <c r="L993" s="64"/>
      <c r="M993" s="64"/>
      <c r="N993" s="64"/>
      <c r="O993" s="64"/>
      <c r="P993" s="64"/>
      <c r="Q993" s="64"/>
      <c r="R993" s="64"/>
      <c r="S993" s="64"/>
      <c r="T993" s="64"/>
      <c r="U993" s="64"/>
      <c r="V993" s="1398" t="str">
        <f>D993</f>
        <v>EUL</v>
      </c>
      <c r="W993" s="1364">
        <v>9</v>
      </c>
      <c r="X993" s="1364">
        <v>9</v>
      </c>
      <c r="Y993" s="111">
        <v>9</v>
      </c>
      <c r="Z993" s="111">
        <v>9</v>
      </c>
      <c r="AA993" s="111">
        <v>9</v>
      </c>
      <c r="AB993" s="111">
        <v>9</v>
      </c>
      <c r="AC993" s="111">
        <v>9</v>
      </c>
      <c r="AD993" s="111">
        <v>9</v>
      </c>
      <c r="AE993" s="111">
        <v>9</v>
      </c>
      <c r="AF993" s="2057">
        <v>12</v>
      </c>
      <c r="AG993" s="2057">
        <f t="shared" si="194"/>
        <v>12</v>
      </c>
      <c r="AH993" s="2058"/>
      <c r="AI993" s="1401">
        <v>9</v>
      </c>
      <c r="AJ993" s="1401">
        <v>9</v>
      </c>
      <c r="AK993" s="418">
        <v>9</v>
      </c>
      <c r="AL993" s="418">
        <v>9</v>
      </c>
      <c r="AM993" s="418">
        <v>9</v>
      </c>
      <c r="AN993" s="418">
        <v>9</v>
      </c>
      <c r="AO993" s="418">
        <v>9</v>
      </c>
      <c r="AP993" s="418">
        <v>9</v>
      </c>
      <c r="AQ993" s="418">
        <v>9</v>
      </c>
      <c r="AR993" s="2057">
        <v>12</v>
      </c>
      <c r="AS993" s="2057">
        <f t="shared" si="195"/>
        <v>12</v>
      </c>
      <c r="AU993" s="1350"/>
      <c r="DG993" s="990"/>
      <c r="DH993" s="64"/>
      <c r="DI993" s="64"/>
      <c r="DJ993" s="1030"/>
    </row>
    <row r="994" spans="1:114" s="6" customFormat="1" ht="28.9" hidden="1" customHeight="1" outlineLevel="1" x14ac:dyDescent="0.25">
      <c r="A994" s="2147"/>
      <c r="B994" s="64"/>
      <c r="C994" s="62"/>
      <c r="D994" s="1306" t="str">
        <f>D970</f>
        <v>Inc. Cost</v>
      </c>
      <c r="E994" s="1306"/>
      <c r="F994" s="1836">
        <v>300</v>
      </c>
      <c r="G994" s="1931" t="s">
        <v>2194</v>
      </c>
      <c r="H994" s="1837">
        <f>F994</f>
        <v>300</v>
      </c>
      <c r="I994" s="104" t="s">
        <v>63</v>
      </c>
      <c r="J994" s="64"/>
      <c r="K994" s="64"/>
      <c r="L994" s="64"/>
      <c r="M994" s="64"/>
      <c r="N994" s="64"/>
      <c r="O994" s="64"/>
      <c r="P994" s="64"/>
      <c r="Q994" s="64"/>
      <c r="R994" s="64"/>
      <c r="S994" s="64"/>
      <c r="T994" s="64"/>
      <c r="U994" s="64"/>
      <c r="V994" s="1398" t="str">
        <f>D994</f>
        <v>Inc. Cost</v>
      </c>
      <c r="W994" s="1365">
        <v>20</v>
      </c>
      <c r="X994" s="1365">
        <v>20</v>
      </c>
      <c r="Y994" s="410">
        <v>20</v>
      </c>
      <c r="Z994" s="410">
        <v>20</v>
      </c>
      <c r="AA994" s="410">
        <v>20</v>
      </c>
      <c r="AB994" s="410">
        <v>20</v>
      </c>
      <c r="AC994" s="410">
        <v>20</v>
      </c>
      <c r="AD994" s="410">
        <v>20</v>
      </c>
      <c r="AE994" s="410">
        <v>20</v>
      </c>
      <c r="AF994" s="2056">
        <v>300</v>
      </c>
      <c r="AG994" s="2056">
        <f t="shared" si="194"/>
        <v>300</v>
      </c>
      <c r="AI994" s="1365">
        <v>20</v>
      </c>
      <c r="AJ994" s="1365">
        <v>20</v>
      </c>
      <c r="AK994" s="410">
        <v>20</v>
      </c>
      <c r="AL994" s="410">
        <v>20</v>
      </c>
      <c r="AM994" s="410">
        <v>20</v>
      </c>
      <c r="AN994" s="410">
        <v>20</v>
      </c>
      <c r="AO994" s="410">
        <v>20</v>
      </c>
      <c r="AP994" s="410">
        <v>20</v>
      </c>
      <c r="AQ994" s="410">
        <v>20</v>
      </c>
      <c r="AR994" s="2056">
        <v>300</v>
      </c>
      <c r="AS994" s="2056">
        <f t="shared" si="195"/>
        <v>300</v>
      </c>
      <c r="AU994" s="1350"/>
      <c r="DG994" s="990"/>
      <c r="DH994" s="64"/>
      <c r="DI994" s="64"/>
      <c r="DJ994" s="1030"/>
    </row>
    <row r="995" spans="1:114" s="6" customFormat="1" hidden="1" outlineLevel="1" x14ac:dyDescent="0.25">
      <c r="A995" s="2147"/>
      <c r="B995" s="64"/>
      <c r="C995" s="62"/>
      <c r="D995" s="118"/>
      <c r="E995" s="118"/>
      <c r="F995" s="119"/>
      <c r="G995" s="120"/>
      <c r="H995" s="64"/>
      <c r="I995" s="64"/>
      <c r="J995" s="64"/>
      <c r="K995" s="64"/>
      <c r="L995" s="64"/>
      <c r="M995" s="64"/>
      <c r="N995" s="64"/>
      <c r="O995" s="64"/>
      <c r="P995" s="64"/>
      <c r="Q995" s="64"/>
      <c r="R995" s="64"/>
      <c r="S995" s="64"/>
      <c r="T995" s="64"/>
      <c r="U995" s="64"/>
      <c r="Y995" s="1363"/>
      <c r="AU995" s="1350"/>
      <c r="DG995" s="990"/>
      <c r="DH995" s="64"/>
      <c r="DI995" s="64"/>
      <c r="DJ995" s="1030"/>
    </row>
    <row r="996" spans="1:114" s="6" customFormat="1" collapsed="1" x14ac:dyDescent="0.25">
      <c r="A996" s="2147"/>
      <c r="B996" s="64"/>
      <c r="C996" s="62"/>
      <c r="D996" s="63"/>
      <c r="E996" s="63"/>
      <c r="F996" s="64"/>
      <c r="G996" s="64"/>
      <c r="H996" s="64"/>
      <c r="I996" s="64"/>
      <c r="J996" s="64"/>
      <c r="K996" s="64"/>
      <c r="L996" s="64"/>
      <c r="M996" s="64"/>
      <c r="N996" s="64"/>
      <c r="O996" s="64"/>
      <c r="P996" s="64"/>
      <c r="Q996" s="64"/>
      <c r="R996" s="64"/>
      <c r="S996" s="64"/>
      <c r="T996" s="64"/>
      <c r="U996" s="64"/>
      <c r="Y996" s="1363"/>
      <c r="AU996" s="1350"/>
      <c r="DG996" s="990"/>
      <c r="DH996" s="64"/>
      <c r="DI996" s="64"/>
      <c r="DJ996" s="1030"/>
    </row>
    <row r="997" spans="1:114" s="6" customFormat="1" x14ac:dyDescent="0.25">
      <c r="A997" s="2147"/>
      <c r="B997" s="64"/>
      <c r="C997" s="62"/>
      <c r="D997" s="63"/>
      <c r="E997" s="63"/>
      <c r="F997" s="64"/>
      <c r="G997" s="64"/>
      <c r="H997" s="64"/>
      <c r="I997" s="64"/>
      <c r="J997" s="64"/>
      <c r="K997" s="64"/>
      <c r="L997" s="64"/>
      <c r="M997" s="64"/>
      <c r="N997" s="64"/>
      <c r="O997" s="64"/>
      <c r="P997" s="64"/>
      <c r="Q997" s="64"/>
      <c r="R997" s="64"/>
      <c r="S997" s="64"/>
      <c r="T997" s="64"/>
      <c r="U997" s="64"/>
      <c r="Y997" s="1363"/>
      <c r="AU997" s="1350"/>
      <c r="DG997" s="990"/>
      <c r="DH997" s="64"/>
      <c r="DI997" s="64"/>
      <c r="DJ997" s="1030"/>
    </row>
    <row r="998" spans="1:114" s="1321" customFormat="1" x14ac:dyDescent="0.25">
      <c r="A998" s="2147"/>
      <c r="B998" s="2449" t="s">
        <v>2195</v>
      </c>
      <c r="C998" s="2449"/>
      <c r="D998" s="2449"/>
      <c r="E998" s="2449"/>
      <c r="F998" s="2449"/>
      <c r="G998" s="2449"/>
      <c r="H998" s="2449"/>
      <c r="I998" s="2449"/>
      <c r="J998" s="2449"/>
      <c r="K998" s="2449"/>
      <c r="L998" s="2449"/>
      <c r="M998" s="2449"/>
      <c r="N998" s="2450"/>
      <c r="O998" s="2450"/>
      <c r="P998" s="2450"/>
      <c r="Q998" s="2450"/>
      <c r="R998" s="2450"/>
      <c r="S998" s="265"/>
      <c r="T998" s="265"/>
      <c r="U998" s="265"/>
      <c r="V998" s="2339" t="str">
        <f>B998</f>
        <v>Cool Roofs</v>
      </c>
      <c r="W998" s="2340"/>
      <c r="X998" s="2340"/>
      <c r="Y998" s="2340"/>
      <c r="Z998" s="2340"/>
      <c r="AA998" s="2340"/>
      <c r="AB998" s="2340"/>
      <c r="AC998" s="2311"/>
      <c r="AD998" s="2311"/>
      <c r="AE998" s="2311"/>
      <c r="AF998" s="2311"/>
      <c r="AG998" s="2311"/>
      <c r="AH998" s="2311"/>
      <c r="AI998" s="2312"/>
      <c r="DG998" s="1496"/>
      <c r="DI998" s="37"/>
      <c r="DJ998" s="1030"/>
    </row>
    <row r="999" spans="1:114" s="1321" customFormat="1" x14ac:dyDescent="0.25">
      <c r="A999" s="2147"/>
      <c r="B999" s="1594"/>
      <c r="C999" s="263"/>
      <c r="D999" s="100"/>
      <c r="E999" s="553"/>
      <c r="F999" s="264"/>
      <c r="G999" s="264"/>
      <c r="H999" s="264"/>
      <c r="I999" s="264"/>
      <c r="J999" s="264"/>
      <c r="K999" s="264"/>
      <c r="L999" s="554"/>
      <c r="M999" s="265"/>
      <c r="N999" s="265"/>
      <c r="O999" s="265"/>
      <c r="P999" s="265"/>
      <c r="Q999" s="265"/>
      <c r="R999" s="265"/>
      <c r="S999" s="265"/>
      <c r="T999" s="265"/>
      <c r="U999" s="265"/>
      <c r="Y999" s="1402"/>
      <c r="DG999" s="1496"/>
      <c r="DI999" s="37"/>
      <c r="DJ999" s="1030"/>
    </row>
    <row r="1000" spans="1:114" s="1321" customFormat="1" ht="30" x14ac:dyDescent="0.25">
      <c r="A1000" s="2147"/>
      <c r="B1000" s="1594"/>
      <c r="C1000" s="1242" t="s">
        <v>43</v>
      </c>
      <c r="D1000" s="1242" t="s">
        <v>597</v>
      </c>
      <c r="E1000" s="1242" t="s">
        <v>45</v>
      </c>
      <c r="F1000" s="1242" t="s">
        <v>46</v>
      </c>
      <c r="G1000" s="1242" t="s">
        <v>47</v>
      </c>
      <c r="H1000" s="1242" t="s">
        <v>48</v>
      </c>
      <c r="I1000" s="1242" t="s">
        <v>49</v>
      </c>
      <c r="J1000" s="1254" t="s">
        <v>50</v>
      </c>
      <c r="K1000" s="1242" t="s">
        <v>51</v>
      </c>
      <c r="L1000" s="1242" t="s">
        <v>52</v>
      </c>
      <c r="M1000" s="265"/>
      <c r="N1000" s="265"/>
      <c r="O1000" s="265"/>
      <c r="P1000" s="265"/>
      <c r="Q1000" s="265"/>
      <c r="R1000" s="265"/>
      <c r="S1000" s="265"/>
      <c r="T1000" s="265"/>
      <c r="U1000" s="265"/>
      <c r="V1000" s="162" t="s">
        <v>53</v>
      </c>
      <c r="W1000" s="163">
        <v>43252</v>
      </c>
      <c r="X1000" s="163">
        <v>43465</v>
      </c>
      <c r="Y1000" s="728">
        <v>43800</v>
      </c>
      <c r="Z1000" s="163">
        <v>43862</v>
      </c>
      <c r="AA1000" s="163">
        <v>44013</v>
      </c>
      <c r="AB1000" s="163">
        <v>44166</v>
      </c>
      <c r="AC1000" s="163">
        <v>44531</v>
      </c>
      <c r="AD1000" s="163">
        <v>44774</v>
      </c>
      <c r="AE1000" s="163">
        <v>45139</v>
      </c>
      <c r="AF1000" s="163">
        <f t="shared" ref="AF1000" si="196">AF$6</f>
        <v>45672</v>
      </c>
      <c r="AG1000" s="637">
        <f>$AG$6</f>
        <v>45971</v>
      </c>
      <c r="DG1000" s="813" t="s">
        <v>54</v>
      </c>
      <c r="DH1000" s="1595" t="s">
        <v>55</v>
      </c>
      <c r="DI1000" s="814" t="s">
        <v>56</v>
      </c>
      <c r="DJ1000" s="1072" t="s">
        <v>57</v>
      </c>
    </row>
    <row r="1001" spans="1:114" s="1321" customFormat="1" x14ac:dyDescent="0.25">
      <c r="A1001" s="2147" t="s">
        <v>602</v>
      </c>
      <c r="B1001" s="1817">
        <f t="shared" ref="B1001:B1004" si="197">VALUE(LEFT(C1001,6))</f>
        <v>406804</v>
      </c>
      <c r="C1001" s="327" t="s">
        <v>2196</v>
      </c>
      <c r="D1001" s="2094" t="s">
        <v>810</v>
      </c>
      <c r="E1001" s="80" t="s">
        <v>2197</v>
      </c>
      <c r="F1001" s="546">
        <f>ROUND((G1014*G$1020*G$1019),2)</f>
        <v>114</v>
      </c>
      <c r="G1001" s="132" t="s">
        <v>1417</v>
      </c>
      <c r="H1001" s="66">
        <f>VLOOKUP(G1001,'CP FACTORS'!$A$3:$B$38, 2, FALSE)</f>
        <v>4.6608050000000002E-4</v>
      </c>
      <c r="I1001" s="525">
        <f t="shared" ref="I1001:I1004" si="198">ROUND(F1001*H1001,6)</f>
        <v>5.3133E-2</v>
      </c>
      <c r="J1001" s="249">
        <f t="shared" ref="J1001:J1008" si="199">$G$1021</f>
        <v>15</v>
      </c>
      <c r="K1001" s="250">
        <f t="shared" ref="K1001:K1008" si="200">G$1022</f>
        <v>7.84</v>
      </c>
      <c r="L1001" s="103" t="s">
        <v>2198</v>
      </c>
      <c r="M1001" s="265"/>
      <c r="N1001" s="265"/>
      <c r="O1001" s="265"/>
      <c r="P1001" s="265"/>
      <c r="Q1001" s="265"/>
      <c r="R1001" s="510"/>
      <c r="S1001" s="265"/>
      <c r="T1001" s="265"/>
      <c r="U1001" s="265"/>
      <c r="V1001" s="1249" t="s">
        <v>46</v>
      </c>
      <c r="W1001" s="957"/>
      <c r="X1001" s="251"/>
      <c r="Y1001" s="252"/>
      <c r="Z1001" s="252"/>
      <c r="AA1001" s="252"/>
      <c r="AB1001" s="252"/>
      <c r="AC1001" s="252"/>
      <c r="AD1001" s="546"/>
      <c r="AE1001" s="546"/>
      <c r="AF1001" s="253">
        <v>114</v>
      </c>
      <c r="AG1001" s="253">
        <f>IF(F1001&lt;&gt;"",F1001,"")</f>
        <v>114</v>
      </c>
      <c r="AK1001" s="1596"/>
      <c r="DG1001" s="1597">
        <f t="shared" ref="DG1001:DG1004" si="201">IFERROR((DI1001)/(DJ1001),"Varies")</f>
        <v>18.440136967110668</v>
      </c>
      <c r="DH1001" s="815" t="str">
        <f t="shared" ref="DH1001:DH1004" si="202">CONCATENATE(G1001," ",J1001," Year EUL")</f>
        <v>Building Shell RES 15 Year EUL</v>
      </c>
      <c r="DI1001" s="1859">
        <f>(INDEX('Avoided Cost Benefits'!$B$4:$B$865,MATCH(DH1001,'Avoided Cost Benefits'!$A$4:$A$865,0)))*F1001</f>
        <v>144.57067382214763</v>
      </c>
      <c r="DJ1001" s="1846">
        <f t="shared" ref="DJ1001:DJ1008" si="203">IFERROR(K1001/((1+DiscountRate)^(CurrentYear-DiscountYear)),0)</f>
        <v>7.84</v>
      </c>
    </row>
    <row r="1002" spans="1:114" s="1321" customFormat="1" x14ac:dyDescent="0.25">
      <c r="A1002" s="2147" t="s">
        <v>602</v>
      </c>
      <c r="B1002" s="1817">
        <f t="shared" si="197"/>
        <v>406805</v>
      </c>
      <c r="C1002" s="327" t="s">
        <v>2199</v>
      </c>
      <c r="D1002" s="2094" t="s">
        <v>810</v>
      </c>
      <c r="E1002" s="1239" t="s">
        <v>2200</v>
      </c>
      <c r="F1002" s="546">
        <f>ROUND((G1015*G$1020*G$1019),2)</f>
        <v>58.1</v>
      </c>
      <c r="G1002" s="132" t="s">
        <v>1417</v>
      </c>
      <c r="H1002" s="66">
        <f>VLOOKUP(G1002,'CP FACTORS'!$A$3:$B$38, 2, FALSE)</f>
        <v>4.6608050000000002E-4</v>
      </c>
      <c r="I1002" s="525">
        <f t="shared" si="198"/>
        <v>2.7078999999999999E-2</v>
      </c>
      <c r="J1002" s="249">
        <f t="shared" si="199"/>
        <v>15</v>
      </c>
      <c r="K1002" s="250">
        <f t="shared" si="200"/>
        <v>7.84</v>
      </c>
      <c r="L1002" s="103" t="s">
        <v>2198</v>
      </c>
      <c r="M1002" s="265"/>
      <c r="N1002" s="265"/>
      <c r="O1002" s="265"/>
      <c r="P1002" s="265"/>
      <c r="Q1002" s="265"/>
      <c r="R1002" s="510"/>
      <c r="S1002" s="265"/>
      <c r="T1002" s="265"/>
      <c r="U1002" s="265"/>
      <c r="V1002" s="1249" t="s">
        <v>46</v>
      </c>
      <c r="W1002" s="957"/>
      <c r="X1002" s="251"/>
      <c r="Y1002" s="252"/>
      <c r="Z1002" s="252"/>
      <c r="AA1002" s="252"/>
      <c r="AB1002" s="252"/>
      <c r="AC1002" s="252"/>
      <c r="AD1002" s="546"/>
      <c r="AE1002" s="546"/>
      <c r="AF1002" s="253">
        <v>58.1</v>
      </c>
      <c r="AG1002" s="253">
        <f t="shared" ref="AG1002:AG1024" si="204">IF(F1002&lt;&gt;"",F1002,"")</f>
        <v>58.1</v>
      </c>
      <c r="AK1002" s="1596"/>
      <c r="DG1002" s="1597">
        <f t="shared" si="201"/>
        <v>9.3979996297292079</v>
      </c>
      <c r="DH1002" s="815" t="str">
        <f t="shared" si="202"/>
        <v>Building Shell RES 15 Year EUL</v>
      </c>
      <c r="DI1002" s="1859">
        <f>(INDEX('Avoided Cost Benefits'!$B$4:$B$865,MATCH(DH1002,'Avoided Cost Benefits'!$A$4:$A$865,0)))*F1002</f>
        <v>73.680317097076994</v>
      </c>
      <c r="DJ1002" s="1846">
        <f t="shared" si="203"/>
        <v>7.84</v>
      </c>
    </row>
    <row r="1003" spans="1:114" s="1321" customFormat="1" x14ac:dyDescent="0.25">
      <c r="A1003" s="2147" t="s">
        <v>602</v>
      </c>
      <c r="B1003" s="1817">
        <f t="shared" si="197"/>
        <v>406806</v>
      </c>
      <c r="C1003" s="327" t="s">
        <v>2201</v>
      </c>
      <c r="D1003" s="2094" t="s">
        <v>810</v>
      </c>
      <c r="E1003" s="80" t="s">
        <v>2202</v>
      </c>
      <c r="F1003" s="546">
        <f>ROUND((G1016*G$1020*G$1019),2)</f>
        <v>24.9</v>
      </c>
      <c r="G1003" s="132" t="s">
        <v>1417</v>
      </c>
      <c r="H1003" s="66">
        <f>VLOOKUP(G1003,'CP FACTORS'!$A$3:$B$38, 2, FALSE)</f>
        <v>4.6608050000000002E-4</v>
      </c>
      <c r="I1003" s="525">
        <f t="shared" si="198"/>
        <v>1.1605000000000001E-2</v>
      </c>
      <c r="J1003" s="249">
        <f t="shared" si="199"/>
        <v>15</v>
      </c>
      <c r="K1003" s="250">
        <f t="shared" si="200"/>
        <v>7.84</v>
      </c>
      <c r="L1003" s="103" t="s">
        <v>2198</v>
      </c>
      <c r="M1003" s="265"/>
      <c r="N1003" s="265"/>
      <c r="O1003" s="265"/>
      <c r="P1003" s="265"/>
      <c r="Q1003" s="265"/>
      <c r="R1003" s="510"/>
      <c r="S1003" s="265"/>
      <c r="T1003" s="265"/>
      <c r="U1003" s="265"/>
      <c r="V1003" s="1249" t="s">
        <v>46</v>
      </c>
      <c r="W1003" s="957"/>
      <c r="X1003" s="251"/>
      <c r="Y1003" s="252"/>
      <c r="Z1003" s="252"/>
      <c r="AA1003" s="252"/>
      <c r="AB1003" s="252"/>
      <c r="AC1003" s="252"/>
      <c r="AD1003" s="546"/>
      <c r="AE1003" s="546"/>
      <c r="AF1003" s="253">
        <v>24.9</v>
      </c>
      <c r="AG1003" s="253">
        <f t="shared" si="204"/>
        <v>24.9</v>
      </c>
      <c r="AK1003" s="1596"/>
      <c r="DG1003" s="1597">
        <f t="shared" si="201"/>
        <v>4.0277141270268038</v>
      </c>
      <c r="DH1003" s="815" t="str">
        <f t="shared" si="202"/>
        <v>Building Shell RES 15 Year EUL</v>
      </c>
      <c r="DI1003" s="1859">
        <f>(INDEX('Avoided Cost Benefits'!$B$4:$B$865,MATCH(DH1003,'Avoided Cost Benefits'!$A$4:$A$865,0)))*F1003</f>
        <v>31.577278755890138</v>
      </c>
      <c r="DJ1003" s="1846">
        <f t="shared" si="203"/>
        <v>7.84</v>
      </c>
    </row>
    <row r="1004" spans="1:114" s="1321" customFormat="1" x14ac:dyDescent="0.25">
      <c r="A1004" s="2147" t="s">
        <v>602</v>
      </c>
      <c r="B1004" s="1817">
        <f t="shared" si="197"/>
        <v>406807</v>
      </c>
      <c r="C1004" s="327" t="s">
        <v>2203</v>
      </c>
      <c r="D1004" s="2094" t="s">
        <v>810</v>
      </c>
      <c r="E1004" s="80" t="s">
        <v>2204</v>
      </c>
      <c r="F1004" s="546">
        <f>ROUND((G1017*G$1020*G$1019),2)</f>
        <v>19.5</v>
      </c>
      <c r="G1004" s="132" t="s">
        <v>1417</v>
      </c>
      <c r="H1004" s="66">
        <f>VLOOKUP(G1004,'CP FACTORS'!$A$3:$B$38, 2, FALSE)</f>
        <v>4.6608050000000002E-4</v>
      </c>
      <c r="I1004" s="525">
        <f t="shared" si="198"/>
        <v>9.0889999999999999E-3</v>
      </c>
      <c r="J1004" s="249">
        <f t="shared" si="199"/>
        <v>15</v>
      </c>
      <c r="K1004" s="250">
        <f t="shared" si="200"/>
        <v>7.84</v>
      </c>
      <c r="L1004" s="103" t="s">
        <v>2198</v>
      </c>
      <c r="M1004" s="265"/>
      <c r="N1004" s="265"/>
      <c r="O1004" s="265"/>
      <c r="P1004" s="265"/>
      <c r="Q1004" s="265"/>
      <c r="R1004" s="510"/>
      <c r="S1004" s="265"/>
      <c r="T1004" s="265"/>
      <c r="U1004" s="265"/>
      <c r="V1004" s="1249" t="s">
        <v>46</v>
      </c>
      <c r="W1004" s="957"/>
      <c r="X1004" s="251"/>
      <c r="Y1004" s="252"/>
      <c r="Z1004" s="252"/>
      <c r="AA1004" s="252"/>
      <c r="AB1004" s="252"/>
      <c r="AC1004" s="252"/>
      <c r="AD1004" s="546"/>
      <c r="AE1004" s="546"/>
      <c r="AF1004" s="253">
        <v>19.5</v>
      </c>
      <c r="AG1004" s="253">
        <f t="shared" si="204"/>
        <v>19.5</v>
      </c>
      <c r="AK1004" s="1596"/>
      <c r="DG1004" s="1597">
        <f t="shared" si="201"/>
        <v>3.154233954900509</v>
      </c>
      <c r="DH1004" s="815" t="str">
        <f t="shared" si="202"/>
        <v>Building Shell RES 15 Year EUL</v>
      </c>
      <c r="DI1004" s="1859">
        <f>(INDEX('Avoided Cost Benefits'!$B$4:$B$865,MATCH(DH1004,'Avoided Cost Benefits'!$A$4:$A$865,0)))*F1004</f>
        <v>24.72919420641999</v>
      </c>
      <c r="DJ1004" s="1846">
        <f t="shared" si="203"/>
        <v>7.84</v>
      </c>
    </row>
    <row r="1005" spans="1:114" s="1321" customFormat="1" x14ac:dyDescent="0.25">
      <c r="A1005" s="2147" t="s">
        <v>602</v>
      </c>
      <c r="B1005" s="1817">
        <f t="shared" ref="B1005:B1008" si="205">VALUE(LEFT(C1005,6))</f>
        <v>406812</v>
      </c>
      <c r="C1005" s="327" t="s">
        <v>2205</v>
      </c>
      <c r="D1005" s="2094" t="s">
        <v>810</v>
      </c>
      <c r="E1005" s="80" t="s">
        <v>2206</v>
      </c>
      <c r="F1005" s="546">
        <f>ROUND((G1014*G$1020*G$1018),2)</f>
        <v>47.88</v>
      </c>
      <c r="G1005" s="132" t="s">
        <v>1417</v>
      </c>
      <c r="H1005" s="66">
        <f>VLOOKUP(G1005,'CP FACTORS'!$A$3:$B$38, 2, FALSE)</f>
        <v>4.6608050000000002E-4</v>
      </c>
      <c r="I1005" s="525">
        <f t="shared" ref="I1005:I1008" si="206">ROUND(F1005*H1005,6)</f>
        <v>2.2315999999999999E-2</v>
      </c>
      <c r="J1005" s="249">
        <f t="shared" si="199"/>
        <v>15</v>
      </c>
      <c r="K1005" s="250">
        <f t="shared" si="200"/>
        <v>7.84</v>
      </c>
      <c r="L1005" s="103" t="s">
        <v>2198</v>
      </c>
      <c r="M1005" s="265"/>
      <c r="N1005" s="265"/>
      <c r="O1005" s="265"/>
      <c r="P1005" s="265"/>
      <c r="Q1005" s="265"/>
      <c r="R1005" s="510"/>
      <c r="S1005" s="265"/>
      <c r="T1005" s="265"/>
      <c r="U1005" s="265"/>
      <c r="V1005" s="1249" t="s">
        <v>46</v>
      </c>
      <c r="W1005" s="957"/>
      <c r="X1005" s="251"/>
      <c r="Y1005" s="252"/>
      <c r="Z1005" s="252"/>
      <c r="AA1005" s="252"/>
      <c r="AB1005" s="252"/>
      <c r="AC1005" s="252"/>
      <c r="AD1005" s="546"/>
      <c r="AE1005" s="546"/>
      <c r="AF1005" s="253">
        <v>47.88</v>
      </c>
      <c r="AG1005" s="253">
        <f t="shared" si="204"/>
        <v>47.88</v>
      </c>
      <c r="AK1005" s="1596"/>
      <c r="DG1005" s="1597">
        <f t="shared" ref="DG1005:DG1008" si="207">IFERROR((DI1005)/(DJ1005),"Varies")</f>
        <v>7.7448575261864807</v>
      </c>
      <c r="DH1005" s="815" t="str">
        <f t="shared" ref="DH1005:DH1008" si="208">CONCATENATE(G1005," ",J1005," Year EUL")</f>
        <v>Building Shell RES 15 Year EUL</v>
      </c>
      <c r="DI1005" s="1859">
        <f>(INDEX('Avoided Cost Benefits'!$B$4:$B$865,MATCH(DH1005,'Avoided Cost Benefits'!$A$4:$A$865,0)))*F1005</f>
        <v>60.719683005302009</v>
      </c>
      <c r="DJ1005" s="1846">
        <f t="shared" si="203"/>
        <v>7.84</v>
      </c>
    </row>
    <row r="1006" spans="1:114" s="1321" customFormat="1" x14ac:dyDescent="0.25">
      <c r="A1006" s="2147" t="s">
        <v>602</v>
      </c>
      <c r="B1006" s="1817">
        <f t="shared" si="205"/>
        <v>406813</v>
      </c>
      <c r="C1006" s="327" t="s">
        <v>2207</v>
      </c>
      <c r="D1006" s="2094" t="s">
        <v>810</v>
      </c>
      <c r="E1006" s="1239" t="s">
        <v>2208</v>
      </c>
      <c r="F1006" s="546">
        <f>ROUND((G1015*G$1020*G$1018),2)</f>
        <v>24.4</v>
      </c>
      <c r="G1006" s="132" t="s">
        <v>1417</v>
      </c>
      <c r="H1006" s="66">
        <f>VLOOKUP(G1006,'CP FACTORS'!$A$3:$B$38, 2, FALSE)</f>
        <v>4.6608050000000002E-4</v>
      </c>
      <c r="I1006" s="525">
        <f t="shared" si="206"/>
        <v>1.1372E-2</v>
      </c>
      <c r="J1006" s="249">
        <f t="shared" si="199"/>
        <v>15</v>
      </c>
      <c r="K1006" s="250">
        <f t="shared" si="200"/>
        <v>7.84</v>
      </c>
      <c r="L1006" s="103" t="s">
        <v>2198</v>
      </c>
      <c r="M1006" s="265"/>
      <c r="N1006" s="265"/>
      <c r="O1006" s="265"/>
      <c r="P1006" s="265"/>
      <c r="Q1006" s="265"/>
      <c r="R1006" s="510"/>
      <c r="S1006" s="265"/>
      <c r="T1006" s="265"/>
      <c r="U1006" s="265"/>
      <c r="V1006" s="1249" t="s">
        <v>46</v>
      </c>
      <c r="W1006" s="957"/>
      <c r="X1006" s="251"/>
      <c r="Y1006" s="252"/>
      <c r="Z1006" s="252"/>
      <c r="AA1006" s="252"/>
      <c r="AB1006" s="252"/>
      <c r="AC1006" s="252"/>
      <c r="AD1006" s="546"/>
      <c r="AE1006" s="546"/>
      <c r="AF1006" s="253">
        <v>24.4</v>
      </c>
      <c r="AG1006" s="253">
        <f t="shared" si="204"/>
        <v>24.4</v>
      </c>
      <c r="AK1006" s="1596"/>
      <c r="DG1006" s="1597">
        <f t="shared" si="207"/>
        <v>3.9468363333114058</v>
      </c>
      <c r="DH1006" s="815" t="str">
        <f t="shared" si="208"/>
        <v>Building Shell RES 15 Year EUL</v>
      </c>
      <c r="DI1006" s="1859">
        <f>(INDEX('Avoided Cost Benefits'!$B$4:$B$865,MATCH(DH1006,'Avoided Cost Benefits'!$A$4:$A$865,0)))*F1006</f>
        <v>30.943196853161421</v>
      </c>
      <c r="DJ1006" s="1846">
        <f t="shared" si="203"/>
        <v>7.84</v>
      </c>
    </row>
    <row r="1007" spans="1:114" s="1321" customFormat="1" x14ac:dyDescent="0.25">
      <c r="A1007" s="2147" t="s">
        <v>602</v>
      </c>
      <c r="B1007" s="1817">
        <f t="shared" si="205"/>
        <v>406814</v>
      </c>
      <c r="C1007" s="327" t="s">
        <v>2209</v>
      </c>
      <c r="D1007" s="2094" t="s">
        <v>810</v>
      </c>
      <c r="E1007" s="80" t="s">
        <v>2210</v>
      </c>
      <c r="F1007" s="546">
        <f>ROUND((G1016*G$1020*G$1018),2)</f>
        <v>10.46</v>
      </c>
      <c r="G1007" s="132" t="s">
        <v>1417</v>
      </c>
      <c r="H1007" s="66">
        <f>VLOOKUP(G1007,'CP FACTORS'!$A$3:$B$38, 2, FALSE)</f>
        <v>4.6608050000000002E-4</v>
      </c>
      <c r="I1007" s="525">
        <f t="shared" si="206"/>
        <v>4.875E-3</v>
      </c>
      <c r="J1007" s="249">
        <f t="shared" si="199"/>
        <v>15</v>
      </c>
      <c r="K1007" s="250">
        <f t="shared" si="200"/>
        <v>7.84</v>
      </c>
      <c r="L1007" s="103" t="s">
        <v>2198</v>
      </c>
      <c r="M1007" s="265"/>
      <c r="N1007" s="265"/>
      <c r="O1007" s="265"/>
      <c r="P1007" s="265"/>
      <c r="Q1007" s="265"/>
      <c r="R1007" s="510"/>
      <c r="S1007" s="265"/>
      <c r="T1007" s="265"/>
      <c r="U1007" s="265"/>
      <c r="V1007" s="1249" t="s">
        <v>46</v>
      </c>
      <c r="W1007" s="957"/>
      <c r="X1007" s="251"/>
      <c r="Y1007" s="252"/>
      <c r="Z1007" s="252"/>
      <c r="AA1007" s="252"/>
      <c r="AB1007" s="252"/>
      <c r="AC1007" s="252"/>
      <c r="AD1007" s="546"/>
      <c r="AE1007" s="546"/>
      <c r="AF1007" s="253">
        <v>10.46</v>
      </c>
      <c r="AG1007" s="253">
        <f t="shared" si="204"/>
        <v>10.46</v>
      </c>
      <c r="AK1007" s="1596"/>
      <c r="DG1007" s="1597">
        <f t="shared" si="207"/>
        <v>1.6919634445261194</v>
      </c>
      <c r="DH1007" s="815" t="str">
        <f t="shared" si="208"/>
        <v>Building Shell RES 15 Year EUL</v>
      </c>
      <c r="DI1007" s="1859">
        <f>(INDEX('Avoided Cost Benefits'!$B$4:$B$865,MATCH(DH1007,'Avoided Cost Benefits'!$A$4:$A$865,0)))*F1007</f>
        <v>13.264993405084775</v>
      </c>
      <c r="DJ1007" s="1846">
        <f t="shared" si="203"/>
        <v>7.84</v>
      </c>
    </row>
    <row r="1008" spans="1:114" s="1321" customFormat="1" x14ac:dyDescent="0.25">
      <c r="A1008" s="2147" t="s">
        <v>602</v>
      </c>
      <c r="B1008" s="1817">
        <f t="shared" si="205"/>
        <v>406815</v>
      </c>
      <c r="C1008" s="327" t="s">
        <v>2211</v>
      </c>
      <c r="D1008" s="2094" t="s">
        <v>810</v>
      </c>
      <c r="E1008" s="80" t="s">
        <v>2212</v>
      </c>
      <c r="F1008" s="546">
        <f>ROUND((G1017*G$1020*G$1018),2)</f>
        <v>8.19</v>
      </c>
      <c r="G1008" s="132" t="s">
        <v>1417</v>
      </c>
      <c r="H1008" s="66">
        <f>VLOOKUP(G1008,'CP FACTORS'!$A$3:$B$38, 2, FALSE)</f>
        <v>4.6608050000000002E-4</v>
      </c>
      <c r="I1008" s="525">
        <f t="shared" si="206"/>
        <v>3.8170000000000001E-3</v>
      </c>
      <c r="J1008" s="249">
        <f t="shared" si="199"/>
        <v>15</v>
      </c>
      <c r="K1008" s="250">
        <f t="shared" si="200"/>
        <v>7.84</v>
      </c>
      <c r="L1008" s="103" t="s">
        <v>2198</v>
      </c>
      <c r="M1008" s="265"/>
      <c r="N1008" s="265"/>
      <c r="O1008" s="265"/>
      <c r="P1008" s="265"/>
      <c r="Q1008" s="265"/>
      <c r="R1008" s="510"/>
      <c r="S1008" s="265"/>
      <c r="T1008" s="265"/>
      <c r="U1008" s="265"/>
      <c r="V1008" s="1249" t="s">
        <v>46</v>
      </c>
      <c r="W1008" s="957"/>
      <c r="X1008" s="251"/>
      <c r="Y1008" s="252"/>
      <c r="Z1008" s="252"/>
      <c r="AA1008" s="252"/>
      <c r="AB1008" s="252"/>
      <c r="AC1008" s="252"/>
      <c r="AD1008" s="546"/>
      <c r="AE1008" s="546"/>
      <c r="AF1008" s="253">
        <v>8.19</v>
      </c>
      <c r="AG1008" s="253">
        <f t="shared" si="204"/>
        <v>8.19</v>
      </c>
      <c r="AK1008" s="1596"/>
      <c r="DG1008" s="317">
        <f t="shared" si="207"/>
        <v>1.3247782610582135</v>
      </c>
      <c r="DH1008" s="1598" t="str">
        <f t="shared" si="208"/>
        <v>Building Shell RES 15 Year EUL</v>
      </c>
      <c r="DI1008" s="1860">
        <f>(INDEX('Avoided Cost Benefits'!$B$4:$B$865,MATCH(DH1008,'Avoided Cost Benefits'!$A$4:$A$865,0)))*F1008</f>
        <v>10.386261566696394</v>
      </c>
      <c r="DJ1008" s="1847">
        <f t="shared" si="203"/>
        <v>7.84</v>
      </c>
    </row>
    <row r="1009" spans="1:114" s="1321" customFormat="1" hidden="1" outlineLevel="1" x14ac:dyDescent="0.25">
      <c r="C1009" s="62"/>
      <c r="D1009" s="74" t="s">
        <v>95</v>
      </c>
      <c r="E1009" s="74" t="s">
        <v>2213</v>
      </c>
      <c r="F1009" s="69"/>
      <c r="G1009" s="64"/>
      <c r="H1009" s="64"/>
      <c r="I1009" s="64"/>
      <c r="J1009" s="64"/>
      <c r="K1009" s="265"/>
      <c r="L1009" s="265"/>
      <c r="M1009" s="265"/>
      <c r="N1009" s="265"/>
      <c r="O1009" s="265"/>
      <c r="P1009" s="265"/>
      <c r="Q1009" s="265"/>
      <c r="R1009" s="265"/>
      <c r="S1009" s="265"/>
      <c r="T1009" s="265"/>
      <c r="U1009" s="265"/>
      <c r="V1009" s="39"/>
      <c r="W1009" s="39"/>
      <c r="X1009" s="39"/>
      <c r="Y1009" s="659"/>
      <c r="Z1009" s="39"/>
      <c r="AA1009" s="39"/>
      <c r="AB1009" s="39"/>
      <c r="AC1009" s="39"/>
      <c r="AD1009" s="39"/>
      <c r="AE1009" s="39"/>
      <c r="AF1009" s="39"/>
      <c r="AG1009" s="253" t="str">
        <f t="shared" si="204"/>
        <v/>
      </c>
      <c r="AK1009" s="1596"/>
      <c r="DG1009" s="1496"/>
      <c r="DJ1009" s="1030"/>
    </row>
    <row r="1010" spans="1:114" s="1321" customFormat="1" hidden="1" outlineLevel="1" x14ac:dyDescent="0.25">
      <c r="C1010" s="62"/>
      <c r="D1010" s="74" t="s">
        <v>609</v>
      </c>
      <c r="E1010" s="74" t="s">
        <v>2214</v>
      </c>
      <c r="F1010" s="547"/>
      <c r="G1010" s="64"/>
      <c r="H1010" s="64"/>
      <c r="I1010" s="64"/>
      <c r="J1010" s="64"/>
      <c r="K1010" s="265"/>
      <c r="L1010" s="265"/>
      <c r="M1010" s="265"/>
      <c r="N1010" s="265"/>
      <c r="O1010" s="265"/>
      <c r="P1010" s="265"/>
      <c r="Q1010" s="265"/>
      <c r="R1010" s="265"/>
      <c r="S1010" s="265"/>
      <c r="T1010" s="265"/>
      <c r="U1010" s="265"/>
      <c r="V1010" s="39"/>
      <c r="W1010" s="39"/>
      <c r="X1010" s="39"/>
      <c r="Y1010" s="659"/>
      <c r="Z1010" s="39"/>
      <c r="AA1010" s="39"/>
      <c r="AB1010" s="39"/>
      <c r="AC1010" s="39"/>
      <c r="AD1010" s="39"/>
      <c r="AE1010" s="39"/>
      <c r="AF1010" s="39"/>
      <c r="AG1010" s="253" t="str">
        <f t="shared" si="204"/>
        <v/>
      </c>
      <c r="AK1010" s="1596"/>
      <c r="DG1010" s="1496"/>
      <c r="DJ1010" s="1030"/>
    </row>
    <row r="1011" spans="1:114" s="1321" customFormat="1" hidden="1" outlineLevel="1" x14ac:dyDescent="0.25">
      <c r="C1011" s="62"/>
      <c r="D1011" s="100"/>
      <c r="E1011" s="1317" t="s">
        <v>612</v>
      </c>
      <c r="F1011" s="547"/>
      <c r="G1011" s="64"/>
      <c r="H1011" s="64"/>
      <c r="I1011" s="64"/>
      <c r="J1011" s="64"/>
      <c r="K1011" s="64"/>
      <c r="L1011" s="64"/>
      <c r="M1011" s="265"/>
      <c r="N1011" s="265"/>
      <c r="O1011" s="265"/>
      <c r="P1011" s="265"/>
      <c r="Q1011" s="265"/>
      <c r="R1011" s="265"/>
      <c r="S1011" s="265"/>
      <c r="T1011" s="265"/>
      <c r="U1011" s="265"/>
      <c r="V1011" s="39"/>
      <c r="W1011" s="39"/>
      <c r="X1011" s="39"/>
      <c r="Y1011" s="659"/>
      <c r="Z1011" s="39"/>
      <c r="AA1011" s="39"/>
      <c r="AB1011" s="39"/>
      <c r="AC1011" s="39"/>
      <c r="AD1011" s="39"/>
      <c r="AE1011" s="39"/>
      <c r="AF1011" s="39"/>
      <c r="AG1011" s="253" t="str">
        <f t="shared" si="204"/>
        <v/>
      </c>
      <c r="AK1011" s="1596"/>
      <c r="DG1011" s="1496"/>
      <c r="DJ1011" s="1030"/>
    </row>
    <row r="1012" spans="1:114" s="1321" customFormat="1" ht="15" hidden="1" customHeight="1" outlineLevel="1" x14ac:dyDescent="0.25">
      <c r="C1012" s="62"/>
      <c r="D1012" s="63"/>
      <c r="E1012" s="63"/>
      <c r="F1012" s="64"/>
      <c r="G1012" s="64"/>
      <c r="H1012" s="64"/>
      <c r="I1012" s="64"/>
      <c r="J1012" s="64"/>
      <c r="K1012" s="64"/>
      <c r="L1012" s="64"/>
      <c r="M1012" s="265"/>
      <c r="N1012" s="265"/>
      <c r="O1012" s="265"/>
      <c r="P1012" s="265"/>
      <c r="Q1012" s="265"/>
      <c r="R1012" s="265"/>
      <c r="S1012" s="265"/>
      <c r="T1012" s="265"/>
      <c r="U1012" s="265"/>
      <c r="Y1012" s="1402"/>
      <c r="AG1012" s="253" t="str">
        <f t="shared" si="204"/>
        <v/>
      </c>
      <c r="AK1012" s="1596"/>
      <c r="DG1012" s="1496"/>
      <c r="DJ1012" s="1030"/>
    </row>
    <row r="1013" spans="1:114" s="1321" customFormat="1" ht="15" hidden="1" customHeight="1" outlineLevel="1" x14ac:dyDescent="0.25">
      <c r="C1013" s="62"/>
      <c r="D1013" s="1309" t="s">
        <v>720</v>
      </c>
      <c r="E1013" s="1309" t="s">
        <v>613</v>
      </c>
      <c r="F1013" s="1309" t="s">
        <v>614</v>
      </c>
      <c r="G1013" s="1242" t="s">
        <v>615</v>
      </c>
      <c r="H1013" s="2378" t="s">
        <v>616</v>
      </c>
      <c r="I1013" s="2378"/>
      <c r="J1013" s="2378"/>
      <c r="K1013" s="2378" t="s">
        <v>617</v>
      </c>
      <c r="L1013" s="2378"/>
      <c r="M1013" s="2378"/>
      <c r="N1013" s="2378"/>
      <c r="O1013" s="265"/>
      <c r="P1013" s="265"/>
      <c r="Q1013" s="265"/>
      <c r="R1013" s="265"/>
      <c r="S1013" s="265"/>
      <c r="T1013" s="265"/>
      <c r="U1013" s="265"/>
      <c r="V1013" s="944" t="s">
        <v>53</v>
      </c>
      <c r="W1013" s="939">
        <f>W$6</f>
        <v>43252</v>
      </c>
      <c r="X1013" s="939">
        <f t="shared" ref="X1013:AF1013" si="209">X$6</f>
        <v>43465</v>
      </c>
      <c r="Y1013" s="1078">
        <f t="shared" si="209"/>
        <v>43800</v>
      </c>
      <c r="Z1013" s="939">
        <f t="shared" si="209"/>
        <v>43862</v>
      </c>
      <c r="AA1013" s="939">
        <f t="shared" si="209"/>
        <v>44013</v>
      </c>
      <c r="AB1013" s="939">
        <f t="shared" si="209"/>
        <v>44166</v>
      </c>
      <c r="AC1013" s="939">
        <f t="shared" si="209"/>
        <v>44531</v>
      </c>
      <c r="AD1013" s="939">
        <f t="shared" si="209"/>
        <v>44774</v>
      </c>
      <c r="AE1013" s="939">
        <f t="shared" si="209"/>
        <v>45139</v>
      </c>
      <c r="AF1013" s="939">
        <f t="shared" si="209"/>
        <v>45672</v>
      </c>
      <c r="AG1013" s="253" t="str">
        <f t="shared" si="204"/>
        <v>Parameter</v>
      </c>
      <c r="AK1013" s="1596"/>
      <c r="DG1013" s="1496"/>
      <c r="DJ1013" s="1030"/>
    </row>
    <row r="1014" spans="1:114" s="1321" customFormat="1" ht="15" hidden="1" customHeight="1" outlineLevel="1" x14ac:dyDescent="0.25">
      <c r="C1014" s="62"/>
      <c r="D1014" s="2464" t="s">
        <v>2215</v>
      </c>
      <c r="E1014" s="2464" t="s">
        <v>2216</v>
      </c>
      <c r="F1014" s="331" t="s">
        <v>2217</v>
      </c>
      <c r="G1014" s="1540">
        <v>114</v>
      </c>
      <c r="H1014" s="2467" t="s">
        <v>2218</v>
      </c>
      <c r="I1014" s="2468"/>
      <c r="J1014" s="2469"/>
      <c r="K1014" s="2366"/>
      <c r="L1014" s="2366"/>
      <c r="M1014" s="2366"/>
      <c r="N1014" s="2366"/>
      <c r="O1014" s="265"/>
      <c r="P1014" s="265"/>
      <c r="Q1014" s="265"/>
      <c r="R1014" s="265"/>
      <c r="S1014" s="265"/>
      <c r="T1014" s="265"/>
      <c r="U1014" s="265"/>
      <c r="V1014" s="2476"/>
      <c r="W1014" s="1322"/>
      <c r="X1014" s="1322"/>
      <c r="Y1014" s="1322"/>
      <c r="Z1014" s="1322"/>
      <c r="AA1014" s="1322"/>
      <c r="AB1014" s="1322"/>
      <c r="AC1014" s="925"/>
      <c r="AD1014" s="925"/>
      <c r="AE1014" s="925"/>
      <c r="AF1014" s="253">
        <f t="shared" ref="AF1014:AF1022" si="210">IF(G1014&lt;&gt;"",G1014,"")</f>
        <v>114</v>
      </c>
      <c r="AG1014" s="253" t="str">
        <f t="shared" si="204"/>
        <v>MFIE Vintage Up to 1979</v>
      </c>
      <c r="AK1014" s="1596"/>
      <c r="DG1014" s="1496"/>
      <c r="DJ1014" s="1030"/>
    </row>
    <row r="1015" spans="1:114" s="1321" customFormat="1" hidden="1" outlineLevel="1" x14ac:dyDescent="0.25">
      <c r="C1015" s="62"/>
      <c r="D1015" s="2465"/>
      <c r="E1015" s="2465"/>
      <c r="F1015" s="331" t="s">
        <v>2219</v>
      </c>
      <c r="G1015" s="1540">
        <v>58.1</v>
      </c>
      <c r="H1015" s="2470"/>
      <c r="I1015" s="2471"/>
      <c r="J1015" s="2472"/>
      <c r="K1015" s="2366"/>
      <c r="L1015" s="2366"/>
      <c r="M1015" s="2366"/>
      <c r="N1015" s="2366"/>
      <c r="O1015" s="265"/>
      <c r="P1015" s="265"/>
      <c r="Q1015" s="265"/>
      <c r="R1015" s="265"/>
      <c r="S1015" s="265"/>
      <c r="T1015" s="265"/>
      <c r="U1015" s="265"/>
      <c r="V1015" s="2476"/>
      <c r="W1015" s="1322"/>
      <c r="X1015" s="1322"/>
      <c r="Y1015" s="1322"/>
      <c r="Z1015" s="1322"/>
      <c r="AA1015" s="1322"/>
      <c r="AB1015" s="1322"/>
      <c r="AC1015" s="1322"/>
      <c r="AD1015" s="1322"/>
      <c r="AE1015" s="1322"/>
      <c r="AF1015" s="253">
        <f t="shared" si="210"/>
        <v>58.1</v>
      </c>
      <c r="AG1015" s="253" t="str">
        <f t="shared" si="204"/>
        <v>MFIE Vintage 1980-1999</v>
      </c>
      <c r="AK1015" s="1596"/>
      <c r="DG1015" s="1496"/>
      <c r="DJ1015" s="1030"/>
    </row>
    <row r="1016" spans="1:114" s="1321" customFormat="1" ht="15" hidden="1" customHeight="1" outlineLevel="1" x14ac:dyDescent="0.25">
      <c r="C1016" s="62"/>
      <c r="D1016" s="2465"/>
      <c r="E1016" s="2465"/>
      <c r="F1016" s="331" t="s">
        <v>2220</v>
      </c>
      <c r="G1016" s="1540">
        <v>24.9</v>
      </c>
      <c r="H1016" s="2470"/>
      <c r="I1016" s="2471"/>
      <c r="J1016" s="2472"/>
      <c r="K1016" s="2366"/>
      <c r="L1016" s="2366"/>
      <c r="M1016" s="2366"/>
      <c r="N1016" s="2366"/>
      <c r="O1016" s="265"/>
      <c r="P1016" s="265"/>
      <c r="Q1016" s="265"/>
      <c r="R1016" s="265"/>
      <c r="S1016" s="265"/>
      <c r="T1016" s="265"/>
      <c r="U1016" s="265"/>
      <c r="V1016" s="2476"/>
      <c r="W1016" s="1322"/>
      <c r="X1016" s="1322"/>
      <c r="Y1016" s="1322"/>
      <c r="Z1016" s="1322"/>
      <c r="AA1016" s="1322"/>
      <c r="AB1016" s="1322"/>
      <c r="AC1016" s="1322"/>
      <c r="AD1016" s="1322"/>
      <c r="AE1016" s="1322"/>
      <c r="AF1016" s="253">
        <f t="shared" si="210"/>
        <v>24.9</v>
      </c>
      <c r="AG1016" s="253" t="str">
        <f t="shared" si="204"/>
        <v>MFIE Vintage 2000-2009</v>
      </c>
      <c r="AK1016" s="1596"/>
      <c r="DG1016" s="1496"/>
      <c r="DJ1016" s="1030"/>
    </row>
    <row r="1017" spans="1:114" s="1321" customFormat="1" ht="15" hidden="1" customHeight="1" outlineLevel="1" x14ac:dyDescent="0.25">
      <c r="C1017" s="62"/>
      <c r="D1017" s="2466"/>
      <c r="E1017" s="2466"/>
      <c r="F1017" s="331" t="s">
        <v>2221</v>
      </c>
      <c r="G1017" s="1540">
        <v>19.5</v>
      </c>
      <c r="H1017" s="2473"/>
      <c r="I1017" s="2474"/>
      <c r="J1017" s="2475"/>
      <c r="K1017" s="2366"/>
      <c r="L1017" s="2366"/>
      <c r="M1017" s="2366"/>
      <c r="N1017" s="2366"/>
      <c r="O1017" s="265"/>
      <c r="P1017" s="265"/>
      <c r="Q1017" s="265"/>
      <c r="R1017" s="265"/>
      <c r="S1017" s="265"/>
      <c r="T1017" s="265"/>
      <c r="U1017" s="265"/>
      <c r="V1017" s="2477"/>
      <c r="W1017" s="1387"/>
      <c r="X1017" s="704"/>
      <c r="Y1017" s="254"/>
      <c r="Z1017" s="254"/>
      <c r="AA1017" s="254"/>
      <c r="AB1017" s="254"/>
      <c r="AC1017" s="1322"/>
      <c r="AD1017" s="1322"/>
      <c r="AE1017" s="1322"/>
      <c r="AF1017" s="253">
        <f t="shared" si="210"/>
        <v>19.5</v>
      </c>
      <c r="AG1017" s="253" t="str">
        <f t="shared" si="204"/>
        <v>MFIE Vintage 2010-2015</v>
      </c>
      <c r="AK1017" s="1596"/>
      <c r="DG1017" s="1496"/>
      <c r="DJ1017" s="1030"/>
    </row>
    <row r="1018" spans="1:114" s="1321" customFormat="1" ht="15" hidden="1" customHeight="1" outlineLevel="1" x14ac:dyDescent="0.25">
      <c r="C1018" s="62"/>
      <c r="D1018" s="2464" t="s">
        <v>2222</v>
      </c>
      <c r="E1018" s="2464" t="s">
        <v>2223</v>
      </c>
      <c r="F1018" s="331" t="s">
        <v>2224</v>
      </c>
      <c r="G1018" s="1540">
        <v>0.42</v>
      </c>
      <c r="H1018" s="2451" t="s">
        <v>2225</v>
      </c>
      <c r="I1018" s="2452"/>
      <c r="J1018" s="2453"/>
      <c r="K1018" s="1243"/>
      <c r="L1018" s="1243"/>
      <c r="M1018" s="1243"/>
      <c r="N1018" s="1243"/>
      <c r="O1018" s="265"/>
      <c r="P1018" s="265"/>
      <c r="Q1018" s="265"/>
      <c r="R1018" s="265"/>
      <c r="S1018" s="265"/>
      <c r="T1018" s="265"/>
      <c r="U1018" s="265"/>
      <c r="V1018" s="2664" t="str">
        <f>D1018</f>
        <v>HeatingFactor</v>
      </c>
      <c r="W1018" s="1599"/>
      <c r="X1018" s="1600"/>
      <c r="Y1018" s="1601"/>
      <c r="Z1018" s="1601"/>
      <c r="AA1018" s="1601"/>
      <c r="AB1018" s="1601"/>
      <c r="AC1018" s="1322"/>
      <c r="AD1018" s="1322"/>
      <c r="AE1018" s="1322"/>
      <c r="AF1018" s="253">
        <f t="shared" si="210"/>
        <v>0.42</v>
      </c>
      <c r="AG1018" s="253" t="str">
        <f t="shared" si="204"/>
        <v>Heat pump heating</v>
      </c>
      <c r="AK1018" s="1596"/>
      <c r="DG1018" s="1496"/>
      <c r="DJ1018" s="1030"/>
    </row>
    <row r="1019" spans="1:114" s="1321" customFormat="1" hidden="1" outlineLevel="1" x14ac:dyDescent="0.25">
      <c r="C1019" s="62"/>
      <c r="D1019" s="2466"/>
      <c r="E1019" s="2466"/>
      <c r="F1019" s="331" t="s">
        <v>2226</v>
      </c>
      <c r="G1019" s="1540">
        <v>1</v>
      </c>
      <c r="H1019" s="1248"/>
      <c r="I1019" s="1248"/>
      <c r="J1019" s="1248"/>
      <c r="K1019" s="1243"/>
      <c r="L1019" s="1243"/>
      <c r="M1019" s="1243"/>
      <c r="N1019" s="1243"/>
      <c r="O1019" s="265"/>
      <c r="P1019" s="265"/>
      <c r="Q1019" s="265"/>
      <c r="R1019" s="265"/>
      <c r="S1019" s="265"/>
      <c r="T1019" s="265"/>
      <c r="U1019" s="265"/>
      <c r="V1019" s="2477"/>
      <c r="W1019" s="1599"/>
      <c r="X1019" s="1600"/>
      <c r="Y1019" s="1601"/>
      <c r="Z1019" s="1601"/>
      <c r="AA1019" s="1601"/>
      <c r="AB1019" s="1601"/>
      <c r="AC1019" s="1322"/>
      <c r="AD1019" s="1322"/>
      <c r="AE1019" s="1322"/>
      <c r="AF1019" s="253">
        <f t="shared" si="210"/>
        <v>1</v>
      </c>
      <c r="AG1019" s="253" t="str">
        <f t="shared" si="204"/>
        <v>Non-electric heating</v>
      </c>
      <c r="AK1019" s="1596"/>
      <c r="DG1019" s="1496"/>
      <c r="DJ1019" s="1030"/>
    </row>
    <row r="1020" spans="1:114" s="1321" customFormat="1" ht="15" hidden="1" customHeight="1" outlineLevel="1" x14ac:dyDescent="0.25">
      <c r="C1020" s="62"/>
      <c r="D1020" s="332" t="s">
        <v>757</v>
      </c>
      <c r="E1020" s="333" t="s">
        <v>2227</v>
      </c>
      <c r="F1020" s="333" t="s">
        <v>742</v>
      </c>
      <c r="G1020" s="1436">
        <v>1</v>
      </c>
      <c r="H1020" s="2413"/>
      <c r="I1020" s="2413"/>
      <c r="J1020" s="2413"/>
      <c r="K1020" s="2443"/>
      <c r="L1020" s="2443"/>
      <c r="M1020" s="2443"/>
      <c r="N1020" s="2443"/>
      <c r="O1020" s="265"/>
      <c r="P1020" s="265"/>
      <c r="Q1020" s="265"/>
      <c r="R1020" s="265"/>
      <c r="S1020" s="265"/>
      <c r="T1020" s="265"/>
      <c r="U1020" s="265"/>
      <c r="V1020" s="1602" t="str">
        <f>D1020</f>
        <v>SF</v>
      </c>
      <c r="W1020" s="334"/>
      <c r="X1020" s="334"/>
      <c r="Y1020" s="334"/>
      <c r="Z1020" s="334"/>
      <c r="AA1020" s="334"/>
      <c r="AB1020" s="334"/>
      <c r="AC1020" s="334"/>
      <c r="AD1020" s="334"/>
      <c r="AE1020" s="334"/>
      <c r="AF1020" s="253">
        <f t="shared" si="210"/>
        <v>1</v>
      </c>
      <c r="AG1020" s="253" t="str">
        <f t="shared" si="204"/>
        <v>All</v>
      </c>
      <c r="AK1020" s="1596"/>
      <c r="DG1020" s="1496"/>
      <c r="DJ1020" s="1030"/>
    </row>
    <row r="1021" spans="1:114" s="39" customFormat="1" hidden="1" outlineLevel="1" x14ac:dyDescent="0.25">
      <c r="A1021" s="1321"/>
      <c r="C1021" s="49"/>
      <c r="D1021" s="1243" t="str">
        <f>J1000</f>
        <v>EUL</v>
      </c>
      <c r="E1021" s="1243" t="s">
        <v>801</v>
      </c>
      <c r="F1021" s="548" t="s">
        <v>742</v>
      </c>
      <c r="G1021" s="1541">
        <v>15</v>
      </c>
      <c r="H1021" s="2444" t="s">
        <v>2228</v>
      </c>
      <c r="I1021" s="2383"/>
      <c r="J1021" s="2383"/>
      <c r="K1021" s="2443"/>
      <c r="L1021" s="2443"/>
      <c r="M1021" s="2443"/>
      <c r="N1021" s="2443"/>
      <c r="O1021" s="50"/>
      <c r="P1021" s="50"/>
      <c r="Q1021" s="50"/>
      <c r="R1021" s="50"/>
      <c r="S1021" s="50"/>
      <c r="T1021" s="50"/>
      <c r="U1021" s="50"/>
      <c r="V1021" s="1061" t="str">
        <f>D1021</f>
        <v>EUL</v>
      </c>
      <c r="W1021" s="334"/>
      <c r="X1021" s="334"/>
      <c r="Y1021" s="334"/>
      <c r="Z1021" s="334"/>
      <c r="AA1021" s="334"/>
      <c r="AB1021" s="334"/>
      <c r="AC1021" s="334"/>
      <c r="AD1021" s="334"/>
      <c r="AE1021" s="334"/>
      <c r="AF1021" s="253">
        <f t="shared" si="210"/>
        <v>15</v>
      </c>
      <c r="AG1021" s="253" t="str">
        <f t="shared" si="204"/>
        <v>All</v>
      </c>
      <c r="AK1021" s="1596"/>
      <c r="DG1021" s="693"/>
      <c r="DJ1021" s="1030"/>
    </row>
    <row r="1022" spans="1:114" s="39" customFormat="1" hidden="1" outlineLevel="1" x14ac:dyDescent="0.25">
      <c r="A1022" s="1321"/>
      <c r="C1022" s="49"/>
      <c r="D1022" s="1243" t="str">
        <f>K1000</f>
        <v>Inc. Cost</v>
      </c>
      <c r="E1022" s="1243" t="s">
        <v>688</v>
      </c>
      <c r="F1022" s="548" t="s">
        <v>2229</v>
      </c>
      <c r="G1022" s="1838">
        <v>7.84</v>
      </c>
      <c r="H1022" s="2444" t="s">
        <v>2230</v>
      </c>
      <c r="I1022" s="2383"/>
      <c r="J1022" s="2383"/>
      <c r="K1022" s="2443"/>
      <c r="L1022" s="2443"/>
      <c r="M1022" s="2443"/>
      <c r="N1022" s="2443"/>
      <c r="O1022" s="50"/>
      <c r="P1022" s="50"/>
      <c r="Q1022" s="50"/>
      <c r="R1022" s="50"/>
      <c r="S1022" s="50"/>
      <c r="T1022" s="50"/>
      <c r="U1022" s="50"/>
      <c r="V1022" s="1603" t="s">
        <v>51</v>
      </c>
      <c r="W1022" s="1422"/>
      <c r="X1022" s="1422"/>
      <c r="Y1022" s="1422"/>
      <c r="Z1022" s="1422"/>
      <c r="AA1022" s="1422"/>
      <c r="AB1022" s="1422"/>
      <c r="AC1022" s="1422"/>
      <c r="AD1022" s="1422"/>
      <c r="AE1022" s="1422"/>
      <c r="AF1022" s="253">
        <f t="shared" si="210"/>
        <v>7.84</v>
      </c>
      <c r="AG1022" s="253" t="str">
        <f t="shared" si="204"/>
        <v>Actual cost of cool roof</v>
      </c>
      <c r="AK1022" s="1596"/>
      <c r="DG1022" s="693"/>
      <c r="DJ1022" s="1030"/>
    </row>
    <row r="1023" spans="1:114" hidden="1" outlineLevel="1" x14ac:dyDescent="0.25">
      <c r="D1023" s="100"/>
      <c r="E1023" s="100"/>
      <c r="F1023" s="50"/>
      <c r="G1023" s="50"/>
      <c r="H1023" s="49"/>
      <c r="I1023" s="49"/>
      <c r="J1023" s="49"/>
      <c r="K1023" s="49"/>
      <c r="L1023" s="49"/>
      <c r="M1023" s="49"/>
      <c r="N1023" s="50"/>
      <c r="V1023" s="73"/>
      <c r="W1023" s="73"/>
      <c r="X1023" s="73"/>
      <c r="Y1023" s="73"/>
      <c r="Z1023" s="73"/>
      <c r="AA1023" s="73"/>
      <c r="AB1023" s="73"/>
      <c r="AC1023" s="73"/>
      <c r="AD1023" s="73"/>
      <c r="AE1023" s="73"/>
      <c r="AF1023" s="73"/>
      <c r="AG1023" s="253" t="str">
        <f t="shared" si="204"/>
        <v/>
      </c>
    </row>
    <row r="1024" spans="1:114" hidden="1" outlineLevel="1" x14ac:dyDescent="0.25">
      <c r="D1024" s="100"/>
      <c r="E1024" s="100"/>
      <c r="F1024" s="50"/>
      <c r="G1024" s="50"/>
      <c r="H1024" s="49"/>
      <c r="I1024" s="49"/>
      <c r="J1024" s="49"/>
      <c r="K1024" s="49"/>
      <c r="L1024" s="49"/>
      <c r="M1024" s="49"/>
      <c r="N1024" s="50"/>
      <c r="V1024" s="73"/>
      <c r="W1024" s="73"/>
      <c r="X1024" s="73"/>
      <c r="Y1024" s="73"/>
      <c r="Z1024" s="73"/>
      <c r="AA1024" s="73"/>
      <c r="AB1024" s="73"/>
      <c r="AC1024" s="73"/>
      <c r="AD1024" s="73"/>
      <c r="AE1024" s="73"/>
      <c r="AF1024" s="73"/>
      <c r="AG1024" s="253" t="str">
        <f t="shared" si="204"/>
        <v/>
      </c>
    </row>
    <row r="1025" collapsed="1" x14ac:dyDescent="0.25"/>
  </sheetData>
  <autoFilter ref="A5:A4671" xr:uid="{00000000-0001-0000-0600-000000000000}"/>
  <mergeCells count="565">
    <mergeCell ref="D741:D742"/>
    <mergeCell ref="E741:E742"/>
    <mergeCell ref="H619:I619"/>
    <mergeCell ref="H627:I627"/>
    <mergeCell ref="D890:D891"/>
    <mergeCell ref="H891:I891"/>
    <mergeCell ref="H865:I865"/>
    <mergeCell ref="H866:I866"/>
    <mergeCell ref="H887:I887"/>
    <mergeCell ref="H889:I889"/>
    <mergeCell ref="H890:I890"/>
    <mergeCell ref="H873:I873"/>
    <mergeCell ref="H879:I879"/>
    <mergeCell ref="D624:D625"/>
    <mergeCell ref="E624:E625"/>
    <mergeCell ref="H650:I650"/>
    <mergeCell ref="H657:I657"/>
    <mergeCell ref="H662:I662"/>
    <mergeCell ref="H667:I667"/>
    <mergeCell ref="B707:R707"/>
    <mergeCell ref="H726:I726"/>
    <mergeCell ref="J726:L726"/>
    <mergeCell ref="H727:I727"/>
    <mergeCell ref="J727:L727"/>
    <mergeCell ref="D1018:D1019"/>
    <mergeCell ref="E1018:E1019"/>
    <mergeCell ref="V1018:V1019"/>
    <mergeCell ref="K953:M953"/>
    <mergeCell ref="N953:R953"/>
    <mergeCell ref="V890:V891"/>
    <mergeCell ref="V893:V894"/>
    <mergeCell ref="D887:D888"/>
    <mergeCell ref="H888:I888"/>
    <mergeCell ref="V887:V888"/>
    <mergeCell ref="B920:R920"/>
    <mergeCell ref="H907:I907"/>
    <mergeCell ref="H908:I908"/>
    <mergeCell ref="H909:I909"/>
    <mergeCell ref="H913:I913"/>
    <mergeCell ref="H915:I915"/>
    <mergeCell ref="H896:I896"/>
    <mergeCell ref="H897:I897"/>
    <mergeCell ref="D904:D905"/>
    <mergeCell ref="E904:E905"/>
    <mergeCell ref="F904:F905"/>
    <mergeCell ref="G904:G905"/>
    <mergeCell ref="H904:I905"/>
    <mergeCell ref="D984:D985"/>
    <mergeCell ref="A1:O1"/>
    <mergeCell ref="P1:R1"/>
    <mergeCell ref="D2:J2"/>
    <mergeCell ref="B4:R4"/>
    <mergeCell ref="K21:N21"/>
    <mergeCell ref="H23:J23"/>
    <mergeCell ref="K20:N20"/>
    <mergeCell ref="H500:I500"/>
    <mergeCell ref="J500:L500"/>
    <mergeCell ref="D58:D66"/>
    <mergeCell ref="G49:G57"/>
    <mergeCell ref="D88:D96"/>
    <mergeCell ref="D138:D167"/>
    <mergeCell ref="D386:D415"/>
    <mergeCell ref="G386:G415"/>
    <mergeCell ref="D447:D449"/>
    <mergeCell ref="G447:G449"/>
    <mergeCell ref="H447:H449"/>
    <mergeCell ref="J495:L495"/>
    <mergeCell ref="H496:I496"/>
    <mergeCell ref="J496:L496"/>
    <mergeCell ref="B456:R456"/>
    <mergeCell ref="E20:E21"/>
    <mergeCell ref="D20:D21"/>
    <mergeCell ref="H498:I498"/>
    <mergeCell ref="J498:L498"/>
    <mergeCell ref="H499:I499"/>
    <mergeCell ref="J499:L499"/>
    <mergeCell ref="D26:D28"/>
    <mergeCell ref="E26:E28"/>
    <mergeCell ref="H26:J26"/>
    <mergeCell ref="B31:R31"/>
    <mergeCell ref="V31:AI31"/>
    <mergeCell ref="D49:D57"/>
    <mergeCell ref="V49:V57"/>
    <mergeCell ref="G76:G84"/>
    <mergeCell ref="D198:D227"/>
    <mergeCell ref="V198:V227"/>
    <mergeCell ref="D355:D384"/>
    <mergeCell ref="V355:V384"/>
    <mergeCell ref="H356:H384"/>
    <mergeCell ref="V386:V415"/>
    <mergeCell ref="D228:D257"/>
    <mergeCell ref="V228:V257"/>
    <mergeCell ref="D262:D291"/>
    <mergeCell ref="H262:H291"/>
    <mergeCell ref="V262:V291"/>
    <mergeCell ref="D292:D321"/>
    <mergeCell ref="V4:AI4"/>
    <mergeCell ref="H16:J16"/>
    <mergeCell ref="K16:N16"/>
    <mergeCell ref="V22:V23"/>
    <mergeCell ref="V58:V66"/>
    <mergeCell ref="K22:N22"/>
    <mergeCell ref="H22:J22"/>
    <mergeCell ref="V20:V21"/>
    <mergeCell ref="H24:J24"/>
    <mergeCell ref="K24:N24"/>
    <mergeCell ref="H25:J25"/>
    <mergeCell ref="K25:N25"/>
    <mergeCell ref="K17:N17"/>
    <mergeCell ref="H17:J17"/>
    <mergeCell ref="H28:J28"/>
    <mergeCell ref="H18:J18"/>
    <mergeCell ref="K18:N18"/>
    <mergeCell ref="V18:V19"/>
    <mergeCell ref="K28:N28"/>
    <mergeCell ref="V26:V28"/>
    <mergeCell ref="H19:J19"/>
    <mergeCell ref="K19:N19"/>
    <mergeCell ref="H27:J27"/>
    <mergeCell ref="D22:D23"/>
    <mergeCell ref="E22:E23"/>
    <mergeCell ref="H20:J21"/>
    <mergeCell ref="V138:V167"/>
    <mergeCell ref="D168:D197"/>
    <mergeCell ref="V168:V197"/>
    <mergeCell ref="D67:D75"/>
    <mergeCell ref="D18:D19"/>
    <mergeCell ref="E18:E19"/>
    <mergeCell ref="H88:H96"/>
    <mergeCell ref="V88:V96"/>
    <mergeCell ref="B99:R99"/>
    <mergeCell ref="V99:AI99"/>
    <mergeCell ref="V67:V75"/>
    <mergeCell ref="D76:D84"/>
    <mergeCell ref="V76:V84"/>
    <mergeCell ref="K23:N23"/>
    <mergeCell ref="K26:N27"/>
    <mergeCell ref="V292:V321"/>
    <mergeCell ref="G262:G291"/>
    <mergeCell ref="G325:G354"/>
    <mergeCell ref="D325:D354"/>
    <mergeCell ref="V325:V354"/>
    <mergeCell ref="V447:V449"/>
    <mergeCell ref="B418:R418"/>
    <mergeCell ref="V418:AI418"/>
    <mergeCell ref="D439:D441"/>
    <mergeCell ref="G439:G440"/>
    <mergeCell ref="H439:H440"/>
    <mergeCell ref="V439:V441"/>
    <mergeCell ref="D434:D435"/>
    <mergeCell ref="V434:V435"/>
    <mergeCell ref="D444:D446"/>
    <mergeCell ref="H444:H446"/>
    <mergeCell ref="V444:V446"/>
    <mergeCell ref="V456:AI456"/>
    <mergeCell ref="B484:R484"/>
    <mergeCell ref="H506:I506"/>
    <mergeCell ref="J506:L506"/>
    <mergeCell ref="H507:I507"/>
    <mergeCell ref="J507:L507"/>
    <mergeCell ref="V484:AI484"/>
    <mergeCell ref="H495:I495"/>
    <mergeCell ref="H508:I508"/>
    <mergeCell ref="J508:L508"/>
    <mergeCell ref="H503:I503"/>
    <mergeCell ref="J503:L503"/>
    <mergeCell ref="H504:I504"/>
    <mergeCell ref="J504:L504"/>
    <mergeCell ref="H505:I505"/>
    <mergeCell ref="J505:L505"/>
    <mergeCell ref="H502:I502"/>
    <mergeCell ref="J502:L502"/>
    <mergeCell ref="H501:I501"/>
    <mergeCell ref="J501:L501"/>
    <mergeCell ref="H497:I497"/>
    <mergeCell ref="J497:L497"/>
    <mergeCell ref="D498:D499"/>
    <mergeCell ref="E498:E499"/>
    <mergeCell ref="H512:I512"/>
    <mergeCell ref="J512:L512"/>
    <mergeCell ref="H513:I513"/>
    <mergeCell ref="J513:L513"/>
    <mergeCell ref="H514:I514"/>
    <mergeCell ref="J514:L514"/>
    <mergeCell ref="H509:I509"/>
    <mergeCell ref="J509:L509"/>
    <mergeCell ref="H510:I510"/>
    <mergeCell ref="J510:L510"/>
    <mergeCell ref="H511:I511"/>
    <mergeCell ref="J511:L511"/>
    <mergeCell ref="V535:V537"/>
    <mergeCell ref="V539:V544"/>
    <mergeCell ref="H534:I534"/>
    <mergeCell ref="J534:L534"/>
    <mergeCell ref="J535:L537"/>
    <mergeCell ref="H515:I515"/>
    <mergeCell ref="J515:L515"/>
    <mergeCell ref="H516:I516"/>
    <mergeCell ref="J516:L516"/>
    <mergeCell ref="B519:R519"/>
    <mergeCell ref="V519:AI519"/>
    <mergeCell ref="H538:I538"/>
    <mergeCell ref="J538:L538"/>
    <mergeCell ref="E535:E537"/>
    <mergeCell ref="D535:D537"/>
    <mergeCell ref="H535:I537"/>
    <mergeCell ref="D539:D541"/>
    <mergeCell ref="E539:E541"/>
    <mergeCell ref="D542:D544"/>
    <mergeCell ref="E542:E544"/>
    <mergeCell ref="J539:L541"/>
    <mergeCell ref="J542:L544"/>
    <mergeCell ref="J545:L545"/>
    <mergeCell ref="H546:I546"/>
    <mergeCell ref="J546:L546"/>
    <mergeCell ref="H547:I547"/>
    <mergeCell ref="J547:L547"/>
    <mergeCell ref="H548:I548"/>
    <mergeCell ref="J548:L548"/>
    <mergeCell ref="H545:I545"/>
    <mergeCell ref="H539:I541"/>
    <mergeCell ref="H542:I544"/>
    <mergeCell ref="B554:R554"/>
    <mergeCell ref="V554:AI554"/>
    <mergeCell ref="V571:V574"/>
    <mergeCell ref="H549:I549"/>
    <mergeCell ref="J549:L549"/>
    <mergeCell ref="H550:I550"/>
    <mergeCell ref="J550:L550"/>
    <mergeCell ref="H551:I551"/>
    <mergeCell ref="J551:L551"/>
    <mergeCell ref="C561:L562"/>
    <mergeCell ref="D571:D574"/>
    <mergeCell ref="E571:E574"/>
    <mergeCell ref="H571:H574"/>
    <mergeCell ref="V578:V581"/>
    <mergeCell ref="D589:D592"/>
    <mergeCell ref="E589:E592"/>
    <mergeCell ref="H589:H592"/>
    <mergeCell ref="D578:D581"/>
    <mergeCell ref="E578:E581"/>
    <mergeCell ref="H578:H581"/>
    <mergeCell ref="D594:D597"/>
    <mergeCell ref="H594:H597"/>
    <mergeCell ref="E594:E597"/>
    <mergeCell ref="V594:V597"/>
    <mergeCell ref="V604:AI604"/>
    <mergeCell ref="B604:R604"/>
    <mergeCell ref="D598:D601"/>
    <mergeCell ref="E598:E601"/>
    <mergeCell ref="V598:V601"/>
    <mergeCell ref="H616:I616"/>
    <mergeCell ref="J616:K616"/>
    <mergeCell ref="L616:M616"/>
    <mergeCell ref="H617:I617"/>
    <mergeCell ref="J617:M617"/>
    <mergeCell ref="H618:I618"/>
    <mergeCell ref="J618:M618"/>
    <mergeCell ref="J619:M619"/>
    <mergeCell ref="J620:M620"/>
    <mergeCell ref="H623:I623"/>
    <mergeCell ref="H626:I626"/>
    <mergeCell ref="J626:M626"/>
    <mergeCell ref="J625:M625"/>
    <mergeCell ref="H624:I624"/>
    <mergeCell ref="J624:M624"/>
    <mergeCell ref="H620:I620"/>
    <mergeCell ref="H621:I621"/>
    <mergeCell ref="J621:M621"/>
    <mergeCell ref="H622:I622"/>
    <mergeCell ref="J622:M622"/>
    <mergeCell ref="J631:M631"/>
    <mergeCell ref="J628:M628"/>
    <mergeCell ref="J627:M627"/>
    <mergeCell ref="V624:V625"/>
    <mergeCell ref="H625:I625"/>
    <mergeCell ref="H631:I631"/>
    <mergeCell ref="J623:M623"/>
    <mergeCell ref="V636:AI636"/>
    <mergeCell ref="J629:M629"/>
    <mergeCell ref="H630:I630"/>
    <mergeCell ref="J630:M630"/>
    <mergeCell ref="H628:I629"/>
    <mergeCell ref="H632:I632"/>
    <mergeCell ref="J632:M633"/>
    <mergeCell ref="J650:L650"/>
    <mergeCell ref="H651:I651"/>
    <mergeCell ref="J651:L651"/>
    <mergeCell ref="H633:I633"/>
    <mergeCell ref="B636:R636"/>
    <mergeCell ref="H655:I655"/>
    <mergeCell ref="J655:L655"/>
    <mergeCell ref="H656:I656"/>
    <mergeCell ref="J656:L656"/>
    <mergeCell ref="D632:D633"/>
    <mergeCell ref="E632:E633"/>
    <mergeCell ref="J657:L657"/>
    <mergeCell ref="H652:I652"/>
    <mergeCell ref="J652:L652"/>
    <mergeCell ref="H653:I653"/>
    <mergeCell ref="J653:L653"/>
    <mergeCell ref="H654:I654"/>
    <mergeCell ref="J654:L654"/>
    <mergeCell ref="H661:I661"/>
    <mergeCell ref="J661:L661"/>
    <mergeCell ref="J662:L662"/>
    <mergeCell ref="H663:I663"/>
    <mergeCell ref="J663:L663"/>
    <mergeCell ref="H658:I658"/>
    <mergeCell ref="J658:L658"/>
    <mergeCell ref="H659:I659"/>
    <mergeCell ref="J659:L659"/>
    <mergeCell ref="H660:I660"/>
    <mergeCell ref="J660:L660"/>
    <mergeCell ref="J667:L667"/>
    <mergeCell ref="H664:I664"/>
    <mergeCell ref="J664:L664"/>
    <mergeCell ref="H665:I665"/>
    <mergeCell ref="J665:L665"/>
    <mergeCell ref="H666:I666"/>
    <mergeCell ref="J666:L666"/>
    <mergeCell ref="H669:I669"/>
    <mergeCell ref="J669:L669"/>
    <mergeCell ref="H668:I668"/>
    <mergeCell ref="J668:L668"/>
    <mergeCell ref="H688:I688"/>
    <mergeCell ref="J688:L688"/>
    <mergeCell ref="H689:I689"/>
    <mergeCell ref="H699:I699"/>
    <mergeCell ref="J699:L699"/>
    <mergeCell ref="H700:I700"/>
    <mergeCell ref="J700:L700"/>
    <mergeCell ref="H701:I701"/>
    <mergeCell ref="J701:L701"/>
    <mergeCell ref="H694:I694"/>
    <mergeCell ref="J694:L694"/>
    <mergeCell ref="J692:L692"/>
    <mergeCell ref="H693:I693"/>
    <mergeCell ref="J693:L693"/>
    <mergeCell ref="B672:R672"/>
    <mergeCell ref="V672:AI672"/>
    <mergeCell ref="H685:I685"/>
    <mergeCell ref="J685:L685"/>
    <mergeCell ref="H686:I686"/>
    <mergeCell ref="J686:L686"/>
    <mergeCell ref="H687:I687"/>
    <mergeCell ref="J687:L687"/>
    <mergeCell ref="H723:I723"/>
    <mergeCell ref="J723:L723"/>
    <mergeCell ref="H695:I695"/>
    <mergeCell ref="J695:L695"/>
    <mergeCell ref="H696:I696"/>
    <mergeCell ref="J696:L696"/>
    <mergeCell ref="H697:I697"/>
    <mergeCell ref="J697:L697"/>
    <mergeCell ref="H698:I698"/>
    <mergeCell ref="J698:L698"/>
    <mergeCell ref="J689:L689"/>
    <mergeCell ref="H690:I690"/>
    <mergeCell ref="J690:L690"/>
    <mergeCell ref="H691:I691"/>
    <mergeCell ref="J691:L691"/>
    <mergeCell ref="H692:I692"/>
    <mergeCell ref="H724:I724"/>
    <mergeCell ref="J724:L724"/>
    <mergeCell ref="H725:I725"/>
    <mergeCell ref="J725:L725"/>
    <mergeCell ref="V707:AI707"/>
    <mergeCell ref="H722:I722"/>
    <mergeCell ref="J722:L722"/>
    <mergeCell ref="D732:D733"/>
    <mergeCell ref="E732:E733"/>
    <mergeCell ref="H732:I732"/>
    <mergeCell ref="J732:L732"/>
    <mergeCell ref="V732:V733"/>
    <mergeCell ref="H733:I733"/>
    <mergeCell ref="J733:L733"/>
    <mergeCell ref="V728:V729"/>
    <mergeCell ref="H729:I729"/>
    <mergeCell ref="J729:L729"/>
    <mergeCell ref="H730:I730"/>
    <mergeCell ref="J730:L730"/>
    <mergeCell ref="H731:I731"/>
    <mergeCell ref="J731:L731"/>
    <mergeCell ref="D728:D729"/>
    <mergeCell ref="E728:E729"/>
    <mergeCell ref="H728:I728"/>
    <mergeCell ref="J728:L728"/>
    <mergeCell ref="H737:I737"/>
    <mergeCell ref="J737:L737"/>
    <mergeCell ref="H738:I738"/>
    <mergeCell ref="J738:L738"/>
    <mergeCell ref="H739:I739"/>
    <mergeCell ref="J739:L739"/>
    <mergeCell ref="H734:I734"/>
    <mergeCell ref="J734:L734"/>
    <mergeCell ref="H735:I735"/>
    <mergeCell ref="J735:L735"/>
    <mergeCell ref="H736:I736"/>
    <mergeCell ref="J736:L736"/>
    <mergeCell ref="E744:E746"/>
    <mergeCell ref="H740:I740"/>
    <mergeCell ref="J740:L740"/>
    <mergeCell ref="H744:I744"/>
    <mergeCell ref="J744:L744"/>
    <mergeCell ref="H745:I745"/>
    <mergeCell ref="J745:L745"/>
    <mergeCell ref="H746:I746"/>
    <mergeCell ref="J746:L746"/>
    <mergeCell ref="V749:AI749"/>
    <mergeCell ref="G758:H758"/>
    <mergeCell ref="I758:K758"/>
    <mergeCell ref="G759:H759"/>
    <mergeCell ref="I759:K759"/>
    <mergeCell ref="V744:V746"/>
    <mergeCell ref="G763:H763"/>
    <mergeCell ref="I763:K763"/>
    <mergeCell ref="H741:I741"/>
    <mergeCell ref="J741:L741"/>
    <mergeCell ref="H743:I743"/>
    <mergeCell ref="J743:L743"/>
    <mergeCell ref="H742:I742"/>
    <mergeCell ref="J742:L742"/>
    <mergeCell ref="V813:V818"/>
    <mergeCell ref="G774:H774"/>
    <mergeCell ref="I774:K774"/>
    <mergeCell ref="B777:R777"/>
    <mergeCell ref="V777:AI777"/>
    <mergeCell ref="C844:C845"/>
    <mergeCell ref="D844:D845"/>
    <mergeCell ref="E844:E845"/>
    <mergeCell ref="F844:F845"/>
    <mergeCell ref="G844:G845"/>
    <mergeCell ref="H844:H845"/>
    <mergeCell ref="I844:I845"/>
    <mergeCell ref="J844:J845"/>
    <mergeCell ref="R844:R845"/>
    <mergeCell ref="O844:O845"/>
    <mergeCell ref="P844:Q844"/>
    <mergeCell ref="B842:R842"/>
    <mergeCell ref="G828:G829"/>
    <mergeCell ref="G826:G827"/>
    <mergeCell ref="D803:D808"/>
    <mergeCell ref="D820:D825"/>
    <mergeCell ref="D826:D831"/>
    <mergeCell ref="V842:AI842"/>
    <mergeCell ref="H883:I883"/>
    <mergeCell ref="H911:I911"/>
    <mergeCell ref="H912:I912"/>
    <mergeCell ref="H876:I876"/>
    <mergeCell ref="H882:I882"/>
    <mergeCell ref="H906:I906"/>
    <mergeCell ref="D813:D818"/>
    <mergeCell ref="H885:I885"/>
    <mergeCell ref="D863:D874"/>
    <mergeCell ref="H886:I886"/>
    <mergeCell ref="D893:D894"/>
    <mergeCell ref="H894:I894"/>
    <mergeCell ref="D906:D917"/>
    <mergeCell ref="H914:I914"/>
    <mergeCell ref="H892:I892"/>
    <mergeCell ref="H893:I893"/>
    <mergeCell ref="H895:I895"/>
    <mergeCell ref="H899:I899"/>
    <mergeCell ref="H916:I916"/>
    <mergeCell ref="H910:I910"/>
    <mergeCell ref="H900:I900"/>
    <mergeCell ref="H884:I884"/>
    <mergeCell ref="H898:I898"/>
    <mergeCell ref="H702:I702"/>
    <mergeCell ref="J702:L702"/>
    <mergeCell ref="H703:I703"/>
    <mergeCell ref="J703:L703"/>
    <mergeCell ref="G769:H769"/>
    <mergeCell ref="I769:K769"/>
    <mergeCell ref="G770:H770"/>
    <mergeCell ref="H704:I704"/>
    <mergeCell ref="J704:L704"/>
    <mergeCell ref="I770:K770"/>
    <mergeCell ref="G768:H768"/>
    <mergeCell ref="I768:K768"/>
    <mergeCell ref="G764:H764"/>
    <mergeCell ref="I764:K764"/>
    <mergeCell ref="G765:H765"/>
    <mergeCell ref="I765:K765"/>
    <mergeCell ref="G760:H760"/>
    <mergeCell ref="I760:K760"/>
    <mergeCell ref="G761:H761"/>
    <mergeCell ref="I761:K761"/>
    <mergeCell ref="G762:H762"/>
    <mergeCell ref="I762:K762"/>
    <mergeCell ref="B749:R749"/>
    <mergeCell ref="D744:D746"/>
    <mergeCell ref="G766:H766"/>
    <mergeCell ref="I766:K766"/>
    <mergeCell ref="G767:H767"/>
    <mergeCell ref="I767:K767"/>
    <mergeCell ref="D901:D903"/>
    <mergeCell ref="H901:I901"/>
    <mergeCell ref="V901:V903"/>
    <mergeCell ref="H903:I903"/>
    <mergeCell ref="H902:I902"/>
    <mergeCell ref="D875:D886"/>
    <mergeCell ref="V875:V886"/>
    <mergeCell ref="L844:L845"/>
    <mergeCell ref="M844:M845"/>
    <mergeCell ref="N844:N845"/>
    <mergeCell ref="V820:V825"/>
    <mergeCell ref="V826:V831"/>
    <mergeCell ref="V863:V874"/>
    <mergeCell ref="G772:H772"/>
    <mergeCell ref="I772:K772"/>
    <mergeCell ref="G773:H773"/>
    <mergeCell ref="I773:K773"/>
    <mergeCell ref="F862:G862"/>
    <mergeCell ref="H862:I862"/>
    <mergeCell ref="H863:I863"/>
    <mergeCell ref="D1014:D1017"/>
    <mergeCell ref="E1014:E1017"/>
    <mergeCell ref="H1014:J1017"/>
    <mergeCell ref="V998:AI998"/>
    <mergeCell ref="V1014:V1017"/>
    <mergeCell ref="V931:V932"/>
    <mergeCell ref="G771:H771"/>
    <mergeCell ref="I771:K771"/>
    <mergeCell ref="H864:I864"/>
    <mergeCell ref="K844:K845"/>
    <mergeCell ref="V803:V808"/>
    <mergeCell ref="H867:I867"/>
    <mergeCell ref="H872:I872"/>
    <mergeCell ref="H869:I869"/>
    <mergeCell ref="H870:I870"/>
    <mergeCell ref="H871:I871"/>
    <mergeCell ref="H868:I868"/>
    <mergeCell ref="H874:I874"/>
    <mergeCell ref="H877:I877"/>
    <mergeCell ref="H878:I878"/>
    <mergeCell ref="H880:I880"/>
    <mergeCell ref="H881:I881"/>
    <mergeCell ref="H875:I875"/>
    <mergeCell ref="H917:I917"/>
    <mergeCell ref="V906:V917"/>
    <mergeCell ref="H1020:J1020"/>
    <mergeCell ref="K1020:N1020"/>
    <mergeCell ref="H1022:J1022"/>
    <mergeCell ref="K1022:N1022"/>
    <mergeCell ref="B973:R973"/>
    <mergeCell ref="D968:D969"/>
    <mergeCell ref="G968:G969"/>
    <mergeCell ref="K1014:N1014"/>
    <mergeCell ref="K1015:N1015"/>
    <mergeCell ref="K1016:N1016"/>
    <mergeCell ref="K1017:N1017"/>
    <mergeCell ref="H1021:J1021"/>
    <mergeCell ref="K1021:N1021"/>
    <mergeCell ref="B998:R998"/>
    <mergeCell ref="H1013:J1013"/>
    <mergeCell ref="K1013:N1013"/>
    <mergeCell ref="H1018:J1018"/>
    <mergeCell ref="V951:V952"/>
    <mergeCell ref="D951:D952"/>
    <mergeCell ref="I951:R952"/>
    <mergeCell ref="B937:R937"/>
    <mergeCell ref="V968:V969"/>
    <mergeCell ref="V984:V985"/>
  </mergeCells>
  <phoneticPr fontId="66" type="noConversion"/>
  <conditionalFormatting sqref="B1:B6 E8:E10 B11:B33 B97:B101 B460:B486 B528:B556 B561:B606 E607:E610 B611:B638 B641:B674 B677:B709 B714:B751 B754:B774 B776:B779 B792:B845 B858:B922 I928:I933 B928:B939 H929:H933 D930:D931 F930:F932 B971:B975 B1009:B1022">
    <cfRule type="cellIs" dxfId="109" priority="250" operator="equal">
      <formula>"x"</formula>
    </cfRule>
  </conditionalFormatting>
  <conditionalFormatting sqref="B132:B420 B427:B458 B490:B521">
    <cfRule type="cellIs" dxfId="108" priority="208" operator="equal">
      <formula>"x"</formula>
    </cfRule>
  </conditionalFormatting>
  <conditionalFormatting sqref="B978:B1000">
    <cfRule type="cellIs" dxfId="107" priority="174" operator="equal">
      <formula>"x"</formula>
    </cfRule>
  </conditionalFormatting>
  <conditionalFormatting sqref="D563">
    <cfRule type="cellIs" dxfId="106" priority="153" operator="equal">
      <formula>"x"</formula>
    </cfRule>
  </conditionalFormatting>
  <conditionalFormatting sqref="D925:D926 F925:I926">
    <cfRule type="cellIs" dxfId="105" priority="26" operator="equal">
      <formula>"x"</formula>
    </cfRule>
  </conditionalFormatting>
  <conditionalFormatting sqref="D944:D945 D946:E946">
    <cfRule type="cellIs" dxfId="104" priority="168" operator="equal">
      <formula>"x"</formula>
    </cfRule>
  </conditionalFormatting>
  <conditionalFormatting sqref="D978:D979 D980:E980">
    <cfRule type="cellIs" dxfId="103" priority="166" operator="equal">
      <formula>"x"</formula>
    </cfRule>
  </conditionalFormatting>
  <conditionalFormatting sqref="D1009:D1010 D1011:E1011">
    <cfRule type="cellIs" dxfId="102" priority="170" operator="equal">
      <formula>"x"</formula>
    </cfRule>
  </conditionalFormatting>
  <conditionalFormatting sqref="D528:E528">
    <cfRule type="cellIs" dxfId="101" priority="163" operator="equal">
      <formula>"x"</formula>
    </cfRule>
  </conditionalFormatting>
  <conditionalFormatting sqref="D929:F929 D932:E932 D933:F933">
    <cfRule type="cellIs" dxfId="100" priority="24" operator="equal">
      <formula>"x"</formula>
    </cfRule>
  </conditionalFormatting>
  <conditionalFormatting sqref="D927:I928">
    <cfRule type="cellIs" dxfId="99" priority="23" operator="equal">
      <formula>"x"</formula>
    </cfRule>
  </conditionalFormatting>
  <conditionalFormatting sqref="E925:E927">
    <cfRule type="cellIs" dxfId="98" priority="22" operator="equal">
      <formula>"x"</formula>
    </cfRule>
  </conditionalFormatting>
  <conditionalFormatting sqref="E944:E946">
    <cfRule type="cellIs" dxfId="97" priority="167" operator="equal">
      <formula>"x"</formula>
    </cfRule>
  </conditionalFormatting>
  <conditionalFormatting sqref="E978:E980">
    <cfRule type="cellIs" dxfId="96" priority="165" operator="equal">
      <formula>"x"</formula>
    </cfRule>
  </conditionalFormatting>
  <conditionalFormatting sqref="E1002">
    <cfRule type="cellIs" dxfId="95" priority="177" operator="equal">
      <formula>"x"</formula>
    </cfRule>
  </conditionalFormatting>
  <conditionalFormatting sqref="E1006">
    <cfRule type="cellIs" dxfId="94" priority="27" operator="equal">
      <formula>"x"</formula>
    </cfRule>
  </conditionalFormatting>
  <conditionalFormatting sqref="E1009:E1011">
    <cfRule type="cellIs" dxfId="93" priority="169" operator="equal">
      <formula>"x"</formula>
    </cfRule>
  </conditionalFormatting>
  <conditionalFormatting sqref="F27:F28">
    <cfRule type="cellIs" dxfId="92" priority="247" operator="equal">
      <formula>"x"</formula>
    </cfRule>
  </conditionalFormatting>
  <conditionalFormatting sqref="G930">
    <cfRule type="cellIs" dxfId="91" priority="25" operator="equal">
      <formula>"x"</formula>
    </cfRule>
  </conditionalFormatting>
  <conditionalFormatting sqref="G663:I663">
    <cfRule type="cellIs" dxfId="90" priority="134" operator="equal">
      <formula>"x"</formula>
    </cfRule>
  </conditionalFormatting>
  <conditionalFormatting sqref="G698:I698">
    <cfRule type="cellIs" dxfId="89" priority="133" operator="equal">
      <formula>"x"</formula>
    </cfRule>
  </conditionalFormatting>
  <conditionalFormatting sqref="G737:I737">
    <cfRule type="cellIs" dxfId="88" priority="148" operator="equal">
      <formula>"x"</formula>
    </cfRule>
  </conditionalFormatting>
  <conditionalFormatting sqref="AC7:AC9 AC17:AE20 AC617:AC620 AC623:AC631 AC1001:AC1008 AC1014:AE1014">
    <cfRule type="cellIs" dxfId="87" priority="246" operator="notEqual">
      <formula>AB7</formula>
    </cfRule>
  </conditionalFormatting>
  <conditionalFormatting sqref="AC607:AF610">
    <cfRule type="cellIs" dxfId="86" priority="19" operator="notEqual">
      <formula>AB607</formula>
    </cfRule>
  </conditionalFormatting>
  <conditionalFormatting sqref="AF34:AF42">
    <cfRule type="expression" dxfId="85" priority="130">
      <formula>AF34&lt;&gt;AE34</formula>
    </cfRule>
    <cfRule type="expression" dxfId="84" priority="129">
      <formula>AND(AF34=AE34,AE34&lt;&gt;"")</formula>
    </cfRule>
  </conditionalFormatting>
  <conditionalFormatting sqref="AF49:AF96">
    <cfRule type="expression" dxfId="83" priority="80">
      <formula>AF49&lt;&gt;AE49</formula>
    </cfRule>
    <cfRule type="expression" dxfId="82" priority="79">
      <formula>AND(AF49=AE49,AE49&lt;&gt;"")</formula>
    </cfRule>
  </conditionalFormatting>
  <conditionalFormatting sqref="AF102:AF131">
    <cfRule type="expression" dxfId="81" priority="127">
      <formula>AND(AF102=AE102,AE102&lt;&gt;"")</formula>
    </cfRule>
    <cfRule type="expression" dxfId="80" priority="128">
      <formula>AF102&lt;&gt;AE102</formula>
    </cfRule>
  </conditionalFormatting>
  <conditionalFormatting sqref="AF138:AF415">
    <cfRule type="expression" dxfId="79" priority="77">
      <formula>AND(AF138=AE138,AE138&lt;&gt;"")</formula>
    </cfRule>
    <cfRule type="expression" dxfId="78" priority="78">
      <formula>AF138&lt;&gt;AE138</formula>
    </cfRule>
  </conditionalFormatting>
  <conditionalFormatting sqref="AF421:AF426">
    <cfRule type="expression" dxfId="77" priority="126">
      <formula>AF421&lt;&gt;AE421</formula>
    </cfRule>
    <cfRule type="expression" dxfId="76" priority="125">
      <formula>AND(AF421=AE421,AE421&lt;&gt;"")</formula>
    </cfRule>
  </conditionalFormatting>
  <conditionalFormatting sqref="AF434:AF453">
    <cfRule type="expression" dxfId="75" priority="75">
      <formula>AND(AF434=AE434,AE434&lt;&gt;"")</formula>
    </cfRule>
    <cfRule type="expression" dxfId="74" priority="76">
      <formula>AF434&lt;&gt;AE434</formula>
    </cfRule>
  </conditionalFormatting>
  <conditionalFormatting sqref="AF487:AF489">
    <cfRule type="expression" dxfId="73" priority="121">
      <formula>AND(AF487=AE487,AE487&lt;&gt;"")</formula>
    </cfRule>
    <cfRule type="expression" dxfId="72" priority="122">
      <formula>AF487&lt;&gt;AE487</formula>
    </cfRule>
  </conditionalFormatting>
  <conditionalFormatting sqref="AF496:AF516">
    <cfRule type="expression" dxfId="71" priority="72">
      <formula>AF496&lt;&gt;AE496</formula>
    </cfRule>
    <cfRule type="expression" dxfId="70" priority="71">
      <formula>AND(AF496=AE496,AE496&lt;&gt;"")</formula>
    </cfRule>
  </conditionalFormatting>
  <conditionalFormatting sqref="AF522:AF527">
    <cfRule type="expression" dxfId="69" priority="119">
      <formula>AND(AF522=AE522,AE522&lt;&gt;"")</formula>
    </cfRule>
    <cfRule type="expression" dxfId="68" priority="120">
      <formula>AF522&lt;&gt;AE522</formula>
    </cfRule>
  </conditionalFormatting>
  <conditionalFormatting sqref="AF535:AF551">
    <cfRule type="expression" dxfId="67" priority="70">
      <formula>AF535&lt;&gt;AE535</formula>
    </cfRule>
    <cfRule type="expression" dxfId="66" priority="69">
      <formula>AND(AF535=AE535,AE535&lt;&gt;"")</formula>
    </cfRule>
  </conditionalFormatting>
  <conditionalFormatting sqref="AF940:AF943">
    <cfRule type="expression" dxfId="65" priority="92">
      <formula>AF940&lt;&gt;AE940</formula>
    </cfRule>
  </conditionalFormatting>
  <conditionalFormatting sqref="AF951:AF970">
    <cfRule type="expression" dxfId="64" priority="39">
      <formula>AND(AF951=AE951,AE951&lt;&gt;"")</formula>
    </cfRule>
    <cfRule type="expression" dxfId="63" priority="40">
      <formula>AF951&lt;&gt;AE951</formula>
    </cfRule>
  </conditionalFormatting>
  <conditionalFormatting sqref="AF7:AG9 AG10 AF459 AF470:AF473 AF475:AF481 AF557:AF560 AF571:AF601 AF617:AF620 AF623:AF631 AF639:AG640 AF651:AF669 AF675:AG676 AF686:AF704 AF710:AF713 AG710:AG747 AF723:AF746 AF752:AF753 AG752:AG775 AF759:AF774 AF802:AF837 AF931:AF933 AF984:AG994 AF1001:AF1008 AG1001:AG1024 AF1014:AF1022 AF17:AF28">
    <cfRule type="expression" dxfId="62" priority="132">
      <formula>AF7&lt;&gt;AG7</formula>
    </cfRule>
  </conditionalFormatting>
  <conditionalFormatting sqref="AF7:AG9 AG10 AF459 AF470:AF473 AF475:AF481 AF557:AF560 AF571:AF601 AF617:AF620 AF623:AF631 AF639:AG640 AF651:AF669 AF675:AG676 AF686:AF704 AF710:AF713 AG710:AG747 AF723:AF746 AF752:AF753 AG752:AG775 AF759:AF774 AF802:AF837 AF931:AF933 AF984:AG994 AF1001:AF1008 AG1001:AG1024 AF1014:AF1022">
    <cfRule type="expression" dxfId="61" priority="131">
      <formula>AND(AF7=AE7,AE7&lt;&gt;"")</formula>
    </cfRule>
  </conditionalFormatting>
  <conditionalFormatting sqref="AF17:AG19 AF20:AF28">
    <cfRule type="expression" dxfId="60" priority="20">
      <formula>AND(AF17=AE17,AE17&lt;&gt;"")</formula>
    </cfRule>
  </conditionalFormatting>
  <conditionalFormatting sqref="AF780:AG791">
    <cfRule type="expression" dxfId="59" priority="18">
      <formula>AF780&lt;&gt;AG780</formula>
    </cfRule>
    <cfRule type="expression" dxfId="58" priority="17">
      <formula>AND(AF780=AE780,AE780&lt;&gt;"")</formula>
    </cfRule>
  </conditionalFormatting>
  <conditionalFormatting sqref="AF846:AG857">
    <cfRule type="expression" dxfId="57" priority="16">
      <formula>AF846&lt;&gt;AG846</formula>
    </cfRule>
    <cfRule type="expression" dxfId="56" priority="15">
      <formula>AND(AF846=AE846,AE846&lt;&gt;"")</formula>
    </cfRule>
  </conditionalFormatting>
  <conditionalFormatting sqref="AF863:AG903">
    <cfRule type="expression" dxfId="55" priority="14">
      <formula>AF863&lt;&gt;AG863</formula>
    </cfRule>
    <cfRule type="expression" dxfId="54" priority="13">
      <formula>AND(AF863=AE863,AE863&lt;&gt;"")</formula>
    </cfRule>
  </conditionalFormatting>
  <conditionalFormatting sqref="AF906:AG917">
    <cfRule type="expression" dxfId="53" priority="12">
      <formula>AF906&lt;&gt;AG906</formula>
    </cfRule>
    <cfRule type="expression" dxfId="52" priority="11">
      <formula>AND(AF906=AE906,AE906&lt;&gt;"")</formula>
    </cfRule>
  </conditionalFormatting>
  <conditionalFormatting sqref="AF923:AG924">
    <cfRule type="expression" dxfId="51" priority="10">
      <formula>AF923&lt;&gt;AG923</formula>
    </cfRule>
    <cfRule type="expression" dxfId="50" priority="9">
      <formula>AND(AF923=AE923,AE923&lt;&gt;"")</formula>
    </cfRule>
  </conditionalFormatting>
  <conditionalFormatting sqref="AF940:AG943">
    <cfRule type="expression" dxfId="49" priority="7">
      <formula>AND(AF940=AE940,AE940&lt;&gt;"")</formula>
    </cfRule>
  </conditionalFormatting>
  <conditionalFormatting sqref="AF976:AG977">
    <cfRule type="expression" dxfId="48" priority="5">
      <formula>AND(AF976=AE976,AE976&lt;&gt;"")</formula>
    </cfRule>
    <cfRule type="expression" dxfId="47" priority="6">
      <formula>AF976&lt;&gt;AG976</formula>
    </cfRule>
  </conditionalFormatting>
  <conditionalFormatting sqref="AG17:AG19">
    <cfRule type="expression" dxfId="46" priority="21">
      <formula>AG17&lt;&gt;AF17</formula>
    </cfRule>
  </conditionalFormatting>
  <conditionalFormatting sqref="AG20:AG28">
    <cfRule type="expression" dxfId="45" priority="1">
      <formula>AG20&lt;&gt;#REF!</formula>
    </cfRule>
    <cfRule type="expression" dxfId="44" priority="2">
      <formula>AND(AG20=AE20,AE20&lt;&gt;"")</formula>
    </cfRule>
  </conditionalFormatting>
  <conditionalFormatting sqref="AG607:AG610 AG617:AG631">
    <cfRule type="expression" dxfId="43" priority="632">
      <formula>AG607&lt;&gt;#REF!</formula>
    </cfRule>
    <cfRule type="expression" dxfId="42" priority="634">
      <formula>AND(AG607=AE607,AE607&lt;&gt;"")</formula>
    </cfRule>
  </conditionalFormatting>
  <conditionalFormatting sqref="AG940:AG943">
    <cfRule type="expression" dxfId="41" priority="8">
      <formula>AG940&lt;&gt;AH940</formula>
    </cfRule>
  </conditionalFormatting>
  <conditionalFormatting sqref="AH459 AH607:AH612 AH639:AH641 AH675:AH677 AH710:AH713 AH780:AH791 AH846:AH857">
    <cfRule type="cellIs" dxfId="40" priority="284" operator="lessThan">
      <formula>-0.1</formula>
    </cfRule>
    <cfRule type="cellIs" dxfId="39" priority="285" operator="greaterThan">
      <formula>0.1</formula>
    </cfRule>
  </conditionalFormatting>
  <conditionalFormatting sqref="AR984:AS994">
    <cfRule type="expression" dxfId="38" priority="3">
      <formula>AND(AR984=AQ984,AQ984&lt;&gt;"")</formula>
    </cfRule>
    <cfRule type="expression" dxfId="37" priority="4">
      <formula>AR984&lt;&gt;AS984</formula>
    </cfRule>
  </conditionalFormatting>
  <pageMargins left="0.7" right="0.7" top="0.75" bottom="0.75" header="0.3" footer="0.3"/>
  <pageSetup scale="32" fitToHeight="0" orientation="landscape" r:id="rId1"/>
  <rowBreaks count="3" manualBreakCount="3">
    <brk id="454" max="18" man="1"/>
    <brk id="611" max="18" man="1"/>
    <brk id="971" max="18"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N5260"/>
  <sheetViews>
    <sheetView zoomScale="70" zoomScaleNormal="70" workbookViewId="0">
      <selection sqref="A1:P1"/>
    </sheetView>
  </sheetViews>
  <sheetFormatPr defaultColWidth="8.7109375" defaultRowHeight="15" outlineLevelRow="1" x14ac:dyDescent="0.25"/>
  <cols>
    <col min="1" max="1" width="8.7109375" style="1040"/>
    <col min="2" max="2" width="8.85546875" style="520" bestFit="1" customWidth="1"/>
    <col min="3" max="3" width="17.7109375" style="520" customWidth="1"/>
    <col min="4" max="4" width="20.28515625" style="520" customWidth="1"/>
    <col min="5" max="5" width="64.28515625" style="520" customWidth="1"/>
    <col min="6" max="6" width="14.5703125" style="520" customWidth="1"/>
    <col min="7" max="7" width="19.42578125" style="520" customWidth="1"/>
    <col min="8" max="8" width="19.140625" style="520" bestFit="1" customWidth="1"/>
    <col min="9" max="9" width="15.5703125" style="520" customWidth="1"/>
    <col min="10" max="10" width="13.7109375" style="520" customWidth="1"/>
    <col min="11" max="11" width="15.7109375" style="520" customWidth="1"/>
    <col min="12" max="12" width="12.5703125" style="520" customWidth="1"/>
    <col min="13" max="13" width="13.5703125" style="520" customWidth="1"/>
    <col min="14" max="15" width="9.5703125" style="520" customWidth="1"/>
    <col min="16" max="16" width="7.42578125" style="520" customWidth="1"/>
    <col min="17" max="17" width="7.7109375" style="520" customWidth="1"/>
    <col min="18" max="18" width="9.28515625" style="520" customWidth="1"/>
    <col min="19" max="19" width="9.7109375" style="520" customWidth="1"/>
    <col min="20" max="21" width="8.7109375" style="1040"/>
    <col min="22" max="22" width="18.42578125" style="520" customWidth="1"/>
    <col min="23" max="23" width="17.28515625" style="1040" bestFit="1" customWidth="1"/>
    <col min="24" max="25" width="16.85546875" style="1040" bestFit="1" customWidth="1"/>
    <col min="26" max="26" width="15.5703125" style="1040" bestFit="1" customWidth="1"/>
    <col min="27" max="27" width="14.85546875" style="1040" bestFit="1" customWidth="1"/>
    <col min="28" max="28" width="17.42578125" style="1040" bestFit="1" customWidth="1"/>
    <col min="29" max="29" width="16.85546875" style="1040" bestFit="1" customWidth="1"/>
    <col min="30" max="31" width="14.85546875" style="1040" bestFit="1" customWidth="1"/>
    <col min="32" max="32" width="20.5703125" style="1040" customWidth="1"/>
    <col min="33" max="33" width="15.140625" style="1040" bestFit="1" customWidth="1"/>
    <col min="34" max="35" width="8.7109375" style="1040"/>
    <col min="36" max="36" width="11" style="1040" bestFit="1" customWidth="1"/>
    <col min="37" max="46" width="14.85546875" style="1040" bestFit="1" customWidth="1"/>
    <col min="47" max="48" width="8.7109375" style="1040"/>
    <col min="49" max="49" width="11" style="1040" bestFit="1" customWidth="1"/>
    <col min="50" max="53" width="14.85546875" style="1040" bestFit="1" customWidth="1"/>
    <col min="54" max="54" width="17.42578125" style="1040" bestFit="1" customWidth="1"/>
    <col min="55" max="59" width="14.85546875" style="1040" bestFit="1" customWidth="1"/>
    <col min="60" max="110" width="8.7109375" style="1040"/>
    <col min="111" max="111" width="10.28515625" style="1040" bestFit="1" customWidth="1"/>
    <col min="112" max="112" width="31.28515625" style="1040" customWidth="1"/>
    <col min="113" max="113" width="9" style="1040" bestFit="1" customWidth="1"/>
    <col min="114" max="114" width="12.42578125" style="1076" customWidth="1"/>
    <col min="115" max="118" width="8.85546875" style="1040" bestFit="1" customWidth="1"/>
    <col min="119" max="16384" width="8.7109375" style="1040"/>
  </cols>
  <sheetData>
    <row r="1" spans="1:114" s="1053" customFormat="1" ht="17.649999999999999" customHeight="1" x14ac:dyDescent="0.25">
      <c r="A1" s="2371" t="s">
        <v>2231</v>
      </c>
      <c r="B1" s="2372"/>
      <c r="C1" s="2373"/>
      <c r="D1" s="2372"/>
      <c r="E1" s="2372"/>
      <c r="F1" s="2372"/>
      <c r="G1" s="2372"/>
      <c r="H1" s="2372"/>
      <c r="I1" s="2372"/>
      <c r="J1" s="2372"/>
      <c r="K1" s="2372"/>
      <c r="L1" s="2372"/>
      <c r="M1" s="2372"/>
      <c r="N1" s="2372"/>
      <c r="O1" s="2372"/>
      <c r="P1" s="2372"/>
      <c r="Q1" s="2702"/>
      <c r="R1" s="2427"/>
      <c r="S1" s="2427"/>
      <c r="T1" s="1054"/>
      <c r="U1" s="1054"/>
      <c r="V1" s="1059"/>
      <c r="W1" s="1056"/>
      <c r="X1" s="1056"/>
      <c r="Y1" s="1055"/>
      <c r="Z1" s="1055"/>
      <c r="AA1" s="1055"/>
      <c r="AB1" s="1055"/>
      <c r="AC1" s="1055"/>
      <c r="AD1" s="1055"/>
      <c r="AE1" s="1055"/>
      <c r="AF1" s="1055"/>
      <c r="AG1" s="1055"/>
      <c r="AH1" s="1055"/>
      <c r="DJ1" s="1075"/>
    </row>
    <row r="2" spans="1:114" s="1053" customFormat="1" hidden="1" outlineLevel="1" x14ac:dyDescent="0.25">
      <c r="A2" s="1054"/>
      <c r="B2" s="1147"/>
      <c r="C2" s="1148"/>
      <c r="D2" s="2697" t="s">
        <v>2232</v>
      </c>
      <c r="E2" s="2375"/>
      <c r="F2" s="2375"/>
      <c r="G2" s="2375"/>
      <c r="H2" s="2375"/>
      <c r="I2" s="2375"/>
      <c r="J2" s="2375"/>
      <c r="K2" s="246"/>
      <c r="L2" s="246"/>
      <c r="M2" s="1054"/>
      <c r="N2" s="1054"/>
      <c r="O2" s="1054"/>
      <c r="P2" s="1054"/>
      <c r="Q2" s="1054"/>
      <c r="R2" s="1054"/>
      <c r="S2" s="1054"/>
      <c r="T2" s="1054"/>
      <c r="U2" s="1054"/>
      <c r="V2" s="1054"/>
      <c r="DJ2" s="1075"/>
    </row>
    <row r="3" spans="1:114" s="1053" customFormat="1" collapsed="1" x14ac:dyDescent="0.25">
      <c r="A3" s="1054"/>
      <c r="B3" s="1054"/>
      <c r="C3" s="1149"/>
      <c r="D3" s="1149"/>
      <c r="E3" s="1149"/>
      <c r="F3" s="1149"/>
      <c r="G3" s="1149"/>
      <c r="H3" s="1149"/>
      <c r="I3" s="1149"/>
      <c r="J3" s="1149"/>
      <c r="K3" s="1054"/>
      <c r="L3" s="1054"/>
      <c r="M3" s="1054"/>
      <c r="N3" s="1054"/>
      <c r="O3" s="1054"/>
      <c r="P3" s="1054"/>
      <c r="Q3" s="1054"/>
      <c r="R3" s="1054"/>
      <c r="S3" s="1054"/>
      <c r="T3" s="1054"/>
      <c r="U3" s="1054"/>
      <c r="V3" s="1054"/>
      <c r="DJ3" s="1075"/>
    </row>
    <row r="4" spans="1:114" s="1893" customFormat="1" x14ac:dyDescent="0.25">
      <c r="A4" s="520"/>
      <c r="B4" s="2698" t="s">
        <v>2233</v>
      </c>
      <c r="C4" s="2699"/>
      <c r="D4" s="2699"/>
      <c r="E4" s="2699"/>
      <c r="F4" s="2699"/>
      <c r="G4" s="2699"/>
      <c r="H4" s="2699"/>
      <c r="I4" s="2700"/>
      <c r="J4" s="2700"/>
      <c r="K4" s="2700"/>
      <c r="L4" s="2700"/>
      <c r="M4" s="2700"/>
      <c r="N4" s="2700"/>
      <c r="O4" s="2700"/>
      <c r="P4" s="2700"/>
      <c r="Q4" s="2700"/>
      <c r="R4" s="2700"/>
      <c r="S4" s="2701"/>
      <c r="T4" s="520"/>
      <c r="U4" s="520"/>
      <c r="V4" s="2685" t="str">
        <f>B4</f>
        <v>LED Lamp bulbs</v>
      </c>
      <c r="W4" s="2686"/>
      <c r="X4" s="2686"/>
      <c r="Y4" s="2686"/>
      <c r="Z4" s="2686"/>
      <c r="AA4" s="2686"/>
      <c r="AB4" s="2686"/>
      <c r="AC4" s="2687"/>
      <c r="AD4" s="2687"/>
      <c r="AE4" s="2687"/>
      <c r="AF4" s="2687"/>
      <c r="AG4" s="2687"/>
      <c r="AH4" s="2687"/>
      <c r="AI4" s="2688"/>
      <c r="DI4" s="1894"/>
      <c r="DJ4" s="1075"/>
    </row>
    <row r="5" spans="1:114" s="1893" customFormat="1" x14ac:dyDescent="0.25">
      <c r="A5" s="520"/>
      <c r="B5" s="1895"/>
      <c r="C5" s="1896"/>
      <c r="D5" s="1895"/>
      <c r="E5" s="1897"/>
      <c r="F5" s="1895"/>
      <c r="G5" s="1895"/>
      <c r="H5" s="1895"/>
      <c r="I5" s="1895"/>
      <c r="J5" s="1895"/>
      <c r="K5" s="1895"/>
      <c r="L5" s="1895"/>
      <c r="M5" s="1895"/>
      <c r="N5" s="1895"/>
      <c r="O5" s="1895"/>
      <c r="P5" s="1895"/>
      <c r="Q5" s="1895"/>
      <c r="R5" s="1895"/>
      <c r="S5" s="1895"/>
      <c r="T5" s="520"/>
      <c r="U5" s="520"/>
      <c r="V5" s="1895"/>
      <c r="W5" s="1898"/>
      <c r="X5" s="1898"/>
      <c r="Y5" s="1898"/>
      <c r="Z5" s="1898"/>
      <c r="AA5" s="1898"/>
      <c r="AB5" s="1898"/>
      <c r="AC5" s="1898"/>
      <c r="AD5" s="1898"/>
      <c r="AE5" s="1898"/>
      <c r="AF5" s="1898"/>
      <c r="AG5" s="1898"/>
      <c r="AH5" s="1898"/>
      <c r="AI5" s="1898"/>
      <c r="DI5" s="1894"/>
      <c r="DJ5" s="1075"/>
    </row>
    <row r="6" spans="1:114" s="1893" customFormat="1" ht="30" x14ac:dyDescent="0.25">
      <c r="A6" s="520"/>
      <c r="B6" s="520"/>
      <c r="C6" s="1242" t="s">
        <v>43</v>
      </c>
      <c r="D6" s="1242" t="s">
        <v>44</v>
      </c>
      <c r="E6" s="1242" t="s">
        <v>2234</v>
      </c>
      <c r="F6" s="1242" t="s">
        <v>46</v>
      </c>
      <c r="G6" s="1242" t="s">
        <v>49</v>
      </c>
      <c r="H6" s="1242" t="s">
        <v>1985</v>
      </c>
      <c r="I6" s="1242" t="s">
        <v>1986</v>
      </c>
      <c r="J6" s="1242" t="s">
        <v>1987</v>
      </c>
      <c r="K6" s="1242" t="s">
        <v>1988</v>
      </c>
      <c r="L6" s="1242" t="s">
        <v>1989</v>
      </c>
      <c r="M6" s="1242" t="s">
        <v>1990</v>
      </c>
      <c r="N6" s="1242" t="s">
        <v>2235</v>
      </c>
      <c r="O6" s="1242" t="s">
        <v>2236</v>
      </c>
      <c r="P6" s="1242" t="s">
        <v>1991</v>
      </c>
      <c r="Q6" s="1242" t="s">
        <v>1992</v>
      </c>
      <c r="R6" s="1242" t="s">
        <v>51</v>
      </c>
      <c r="S6" s="1242" t="s">
        <v>52</v>
      </c>
      <c r="T6" s="520"/>
      <c r="U6" s="520"/>
      <c r="V6" s="1051" t="s">
        <v>53</v>
      </c>
      <c r="W6" s="1047">
        <v>43252</v>
      </c>
      <c r="X6" s="1047">
        <v>43435</v>
      </c>
      <c r="Y6" s="1047">
        <v>43800</v>
      </c>
      <c r="Z6" s="1047">
        <v>43862</v>
      </c>
      <c r="AA6" s="1047">
        <v>44013</v>
      </c>
      <c r="AB6" s="1047">
        <v>44166</v>
      </c>
      <c r="AC6" s="1047">
        <v>44531</v>
      </c>
      <c r="AD6" s="1047">
        <v>44774</v>
      </c>
      <c r="AE6" s="1047">
        <v>45139</v>
      </c>
      <c r="AF6" s="1047">
        <v>45672</v>
      </c>
      <c r="AG6" s="637">
        <f>'Deemed Savings Tbl Revision Log'!$C$18</f>
        <v>45971</v>
      </c>
      <c r="DG6" s="1007" t="str">
        <f>'Efficient Products Deemed Table'!$DG$6</f>
        <v>TRC (2025)</v>
      </c>
      <c r="DH6" s="1007" t="str">
        <f>'Efficient Products Deemed Table'!$DH$6</f>
        <v>Benefit Lookup</v>
      </c>
      <c r="DI6" s="1007" t="str">
        <f>'Efficient Products Deemed Table'!$DI$6</f>
        <v>Benefits (2025 $)</v>
      </c>
      <c r="DJ6" s="1007" t="str">
        <f>'Efficient Products Deemed Table'!$DJ$6</f>
        <v>Incremental Cost (2025 $)</v>
      </c>
    </row>
    <row r="7" spans="1:114" s="1893" customFormat="1" x14ac:dyDescent="0.25">
      <c r="A7" s="520"/>
      <c r="B7" s="1318">
        <f>VALUE(LEFT(C7,6))</f>
        <v>450100</v>
      </c>
      <c r="C7" s="1237" t="s">
        <v>2237</v>
      </c>
      <c r="D7" s="1311" t="s">
        <v>861</v>
      </c>
      <c r="E7" s="1248" t="s">
        <v>2238</v>
      </c>
      <c r="F7" s="151">
        <f>ROUND(L7+M7,2)</f>
        <v>29.57</v>
      </c>
      <c r="G7" s="43">
        <f>ROUND(((L7/F7)*I7+(M7/F7)*K7)*F7,6)</f>
        <v>4.4140000000000004E-3</v>
      </c>
      <c r="H7" s="1248" t="s">
        <v>775</v>
      </c>
      <c r="I7" s="102">
        <f>VLOOKUP(H7,'CP FACTORS'!$A$3:$B$38, 2, FALSE)</f>
        <v>1.4925290000000001E-4</v>
      </c>
      <c r="J7" s="1248" t="s">
        <v>62</v>
      </c>
      <c r="K7" s="102">
        <f>VLOOKUP(J7,'CP FACTORS'!$A$3:$B$38, 2, FALSE)</f>
        <v>1.899635E-4</v>
      </c>
      <c r="L7" s="1906">
        <f>((G19-G20)*$G$29*$G$21*(1-$G$22)*($G$23*$G$24)/1000)</f>
        <v>29.571618480029997</v>
      </c>
      <c r="M7" s="1900">
        <f>((G19-G20)*(1-$G$29)*$G$21*(1-$G$22)*($G$26*$G$27)/1000)</f>
        <v>0</v>
      </c>
      <c r="N7" s="1901">
        <f>L7*I7</f>
        <v>4.4136498158380694E-3</v>
      </c>
      <c r="O7" s="1901">
        <f>M7*K7</f>
        <v>0</v>
      </c>
      <c r="P7" s="44">
        <f>$G$30</f>
        <v>2</v>
      </c>
      <c r="Q7" s="44">
        <f>$G$31</f>
        <v>0</v>
      </c>
      <c r="R7" s="1902">
        <f>$G$32</f>
        <v>1.45</v>
      </c>
      <c r="S7" s="1237" t="s">
        <v>2239</v>
      </c>
      <c r="T7" s="520"/>
      <c r="U7" s="520"/>
      <c r="V7" s="731" t="s">
        <v>46</v>
      </c>
      <c r="W7" s="1057"/>
      <c r="X7" s="1057"/>
      <c r="Y7" s="1057"/>
      <c r="Z7" s="1057"/>
      <c r="AA7" s="1057"/>
      <c r="AB7" s="1057"/>
      <c r="AC7" s="1058"/>
      <c r="AD7" s="1058"/>
      <c r="AE7" s="1903">
        <v>8.9</v>
      </c>
      <c r="AF7" s="253">
        <v>29.57</v>
      </c>
      <c r="AG7" s="253">
        <f>IF($F7&lt;&gt;"",$F7,"")</f>
        <v>29.57</v>
      </c>
      <c r="AH7" s="1904"/>
      <c r="DG7" s="2211">
        <f>(DI7)/(DJ7)</f>
        <v>2.4846833571625995</v>
      </c>
      <c r="DH7" s="1271" t="str">
        <f>CONCATENATE(H7," ",P7," Year EUL")</f>
        <v>Lighting RES 2 Year EUL</v>
      </c>
      <c r="DI7" s="2212">
        <f>(INDEX('Avoided Cost Benefits'!$B$4:$B$865,MATCH(DH7,'Avoided Cost Benefits'!$A$4:$A$865,0)))*F7</f>
        <v>3.6027908678857692</v>
      </c>
      <c r="DJ7" s="2213">
        <f>R7</f>
        <v>1.45</v>
      </c>
    </row>
    <row r="8" spans="1:114" s="1893" customFormat="1" hidden="1" outlineLevel="1" x14ac:dyDescent="0.25">
      <c r="A8" s="520"/>
      <c r="B8" s="520"/>
      <c r="C8" s="541"/>
      <c r="D8" s="71" t="s">
        <v>95</v>
      </c>
      <c r="E8" s="265" t="s">
        <v>2240</v>
      </c>
      <c r="F8" s="520"/>
      <c r="G8" s="520"/>
      <c r="H8" s="388"/>
      <c r="I8" s="388"/>
      <c r="J8" s="388"/>
      <c r="K8" s="388"/>
      <c r="L8" s="388"/>
      <c r="M8" s="388"/>
      <c r="N8" s="388"/>
      <c r="O8" s="388"/>
      <c r="P8" s="388"/>
      <c r="Q8" s="520"/>
      <c r="R8" s="388"/>
      <c r="S8" s="141"/>
      <c r="T8" s="520"/>
      <c r="U8" s="1899"/>
      <c r="V8" s="1899"/>
      <c r="DJ8" s="1075"/>
    </row>
    <row r="9" spans="1:114" s="1893" customFormat="1" hidden="1" outlineLevel="1" x14ac:dyDescent="0.25">
      <c r="A9" s="520"/>
      <c r="B9" s="520"/>
      <c r="C9" s="541"/>
      <c r="D9" s="1905" t="s">
        <v>609</v>
      </c>
      <c r="E9" s="50" t="s">
        <v>777</v>
      </c>
      <c r="F9" s="1145"/>
      <c r="G9" s="520"/>
      <c r="H9" s="520"/>
      <c r="I9" s="520"/>
      <c r="J9" s="520"/>
      <c r="K9" s="520"/>
      <c r="L9" s="520"/>
      <c r="M9" s="520"/>
      <c r="N9" s="520"/>
      <c r="O9" s="520"/>
      <c r="P9" s="520"/>
      <c r="Q9" s="520"/>
      <c r="R9" s="520"/>
      <c r="S9" s="520"/>
      <c r="T9" s="520"/>
      <c r="U9" s="520"/>
      <c r="V9" s="520"/>
      <c r="DJ9" s="1075"/>
    </row>
    <row r="10" spans="1:114" s="1893" customFormat="1" hidden="1" outlineLevel="1" x14ac:dyDescent="0.25">
      <c r="A10" s="520"/>
      <c r="B10" s="520"/>
      <c r="C10" s="541"/>
      <c r="D10" s="1905"/>
      <c r="E10" s="50" t="s">
        <v>612</v>
      </c>
      <c r="F10" s="520"/>
      <c r="G10" s="520"/>
      <c r="H10" s="1233"/>
      <c r="I10" s="1233"/>
      <c r="J10" s="1233"/>
      <c r="K10" s="1233"/>
      <c r="L10" s="1233"/>
      <c r="M10" s="520"/>
      <c r="N10" s="520"/>
      <c r="O10" s="520"/>
      <c r="P10" s="520"/>
      <c r="Q10" s="520"/>
      <c r="R10" s="520"/>
      <c r="S10" s="520"/>
      <c r="T10" s="520"/>
      <c r="U10" s="520"/>
      <c r="V10" s="520"/>
      <c r="DJ10" s="1075"/>
    </row>
    <row r="11" spans="1:114" s="1893" customFormat="1" hidden="1" outlineLevel="1" x14ac:dyDescent="0.25">
      <c r="A11" s="520"/>
      <c r="B11" s="520"/>
      <c r="C11" s="541"/>
      <c r="D11" s="520"/>
      <c r="E11" s="520"/>
      <c r="F11" s="520"/>
      <c r="G11" s="520"/>
      <c r="H11" s="520"/>
      <c r="I11" s="520"/>
      <c r="J11" s="520"/>
      <c r="K11" s="520"/>
      <c r="L11" s="520"/>
      <c r="M11" s="520"/>
      <c r="N11" s="520"/>
      <c r="O11" s="520"/>
      <c r="P11" s="520"/>
      <c r="Q11" s="520"/>
      <c r="R11" s="520"/>
      <c r="S11" s="520"/>
      <c r="T11" s="520"/>
      <c r="U11" s="520"/>
      <c r="V11" s="520"/>
      <c r="DJ11" s="1075"/>
    </row>
    <row r="12" spans="1:114" s="1893" customFormat="1" hidden="1" outlineLevel="1" x14ac:dyDescent="0.25">
      <c r="A12" s="520"/>
      <c r="B12" s="520"/>
      <c r="C12" s="541"/>
      <c r="D12" s="520"/>
      <c r="E12" s="520"/>
      <c r="F12" s="520"/>
      <c r="G12" s="520"/>
      <c r="H12" s="520"/>
      <c r="I12" s="520"/>
      <c r="J12" s="520"/>
      <c r="K12" s="520"/>
      <c r="L12" s="520"/>
      <c r="M12" s="520"/>
      <c r="N12" s="520"/>
      <c r="O12" s="520"/>
      <c r="P12" s="520"/>
      <c r="Q12" s="520"/>
      <c r="R12" s="520"/>
      <c r="S12" s="520"/>
      <c r="T12" s="520"/>
      <c r="U12" s="520"/>
      <c r="V12" s="520"/>
      <c r="DJ12" s="1075"/>
    </row>
    <row r="13" spans="1:114" s="1893" customFormat="1" hidden="1" outlineLevel="1" x14ac:dyDescent="0.25">
      <c r="A13" s="520"/>
      <c r="B13" s="520"/>
      <c r="C13" s="541"/>
      <c r="D13" s="520"/>
      <c r="E13" s="520"/>
      <c r="F13" s="520"/>
      <c r="G13" s="520"/>
      <c r="H13" s="520"/>
      <c r="I13" s="520"/>
      <c r="J13" s="520"/>
      <c r="K13" s="520"/>
      <c r="L13" s="520"/>
      <c r="M13" s="520"/>
      <c r="N13" s="520"/>
      <c r="O13" s="520"/>
      <c r="P13" s="520"/>
      <c r="Q13" s="520"/>
      <c r="R13" s="520"/>
      <c r="S13" s="520"/>
      <c r="T13" s="520"/>
      <c r="U13" s="520"/>
      <c r="V13" s="520"/>
      <c r="DJ13" s="1075"/>
    </row>
    <row r="14" spans="1:114" s="1893" customFormat="1" hidden="1" outlineLevel="1" x14ac:dyDescent="0.25">
      <c r="A14" s="520"/>
      <c r="B14" s="520"/>
      <c r="C14" s="541"/>
      <c r="D14" s="520"/>
      <c r="E14" s="520"/>
      <c r="F14" s="520"/>
      <c r="G14" s="520"/>
      <c r="H14" s="520"/>
      <c r="I14" s="520"/>
      <c r="J14" s="520"/>
      <c r="K14" s="520"/>
      <c r="L14" s="520"/>
      <c r="M14" s="520"/>
      <c r="N14" s="520"/>
      <c r="O14" s="520"/>
      <c r="P14" s="520"/>
      <c r="Q14" s="520"/>
      <c r="R14" s="520"/>
      <c r="S14" s="520"/>
      <c r="T14" s="520"/>
      <c r="U14" s="520"/>
      <c r="V14" s="520"/>
      <c r="DJ14" s="1075"/>
    </row>
    <row r="15" spans="1:114" s="1893" customFormat="1" hidden="1" outlineLevel="1" x14ac:dyDescent="0.25">
      <c r="A15" s="520"/>
      <c r="B15" s="520"/>
      <c r="C15" s="541"/>
      <c r="D15" s="520"/>
      <c r="E15" s="520"/>
      <c r="F15" s="520"/>
      <c r="G15" s="520"/>
      <c r="H15" s="520"/>
      <c r="I15" s="520"/>
      <c r="J15" s="520"/>
      <c r="K15" s="520"/>
      <c r="L15" s="520"/>
      <c r="M15" s="520"/>
      <c r="N15" s="520"/>
      <c r="O15" s="520"/>
      <c r="P15" s="520"/>
      <c r="Q15" s="520"/>
      <c r="R15" s="520"/>
      <c r="S15" s="520"/>
      <c r="T15" s="520"/>
      <c r="U15" s="520"/>
      <c r="V15" s="520"/>
      <c r="DJ15" s="1075"/>
    </row>
    <row r="16" spans="1:114" s="1893" customFormat="1" hidden="1" outlineLevel="1" x14ac:dyDescent="0.25">
      <c r="A16" s="520"/>
      <c r="B16" s="520"/>
      <c r="C16" s="541"/>
      <c r="D16" s="520"/>
      <c r="E16" s="520"/>
      <c r="F16" s="520"/>
      <c r="G16" s="520"/>
      <c r="H16" s="520"/>
      <c r="I16" s="520"/>
      <c r="J16" s="520"/>
      <c r="K16" s="520"/>
      <c r="L16" s="520"/>
      <c r="M16" s="520"/>
      <c r="N16" s="520"/>
      <c r="O16" s="520"/>
      <c r="P16" s="520"/>
      <c r="Q16" s="520"/>
      <c r="R16" s="520"/>
      <c r="S16" s="520"/>
      <c r="T16" s="520"/>
      <c r="U16" s="520"/>
      <c r="V16" s="520"/>
      <c r="DJ16" s="1075"/>
    </row>
    <row r="17" spans="1:114" s="1893" customFormat="1" hidden="1" outlineLevel="1" x14ac:dyDescent="0.25">
      <c r="A17" s="520"/>
      <c r="B17" s="520"/>
      <c r="C17" s="541"/>
      <c r="D17" s="520"/>
      <c r="E17" s="520"/>
      <c r="F17" s="520"/>
      <c r="G17" s="520"/>
      <c r="H17" s="520"/>
      <c r="I17" s="520"/>
      <c r="J17" s="520"/>
      <c r="K17" s="520"/>
      <c r="L17" s="520"/>
      <c r="M17" s="520"/>
      <c r="N17" s="520"/>
      <c r="O17" s="520"/>
      <c r="P17" s="520"/>
      <c r="Q17" s="520"/>
      <c r="R17" s="520"/>
      <c r="S17" s="520"/>
      <c r="T17" s="520"/>
      <c r="U17" s="520"/>
      <c r="V17" s="520"/>
      <c r="DJ17" s="1075"/>
    </row>
    <row r="18" spans="1:114" s="1893" customFormat="1" ht="30" hidden="1" outlineLevel="1" x14ac:dyDescent="0.25">
      <c r="A18" s="520"/>
      <c r="B18" s="520"/>
      <c r="C18" s="541"/>
      <c r="D18" s="1301" t="s">
        <v>720</v>
      </c>
      <c r="E18" s="1301" t="s">
        <v>613</v>
      </c>
      <c r="F18" s="1301" t="s">
        <v>99</v>
      </c>
      <c r="G18" s="1301" t="s">
        <v>615</v>
      </c>
      <c r="H18" s="1301" t="str">
        <f>C6</f>
        <v>Measure Reference No.</v>
      </c>
      <c r="I18" s="2502" t="s">
        <v>617</v>
      </c>
      <c r="J18" s="2502"/>
      <c r="K18" s="2502"/>
      <c r="L18" s="2502"/>
      <c r="M18" s="520"/>
      <c r="N18" s="520"/>
      <c r="O18" s="520"/>
      <c r="P18" s="520"/>
      <c r="Q18" s="520"/>
      <c r="R18" s="520"/>
      <c r="S18" s="520"/>
      <c r="T18" s="520"/>
      <c r="U18" s="520"/>
      <c r="V18" s="1907" t="s">
        <v>53</v>
      </c>
      <c r="W18" s="1908">
        <f>$W$6</f>
        <v>43252</v>
      </c>
      <c r="X18" s="1908">
        <f>$Y$6</f>
        <v>43800</v>
      </c>
      <c r="Y18" s="1908">
        <f>$Y$6</f>
        <v>43800</v>
      </c>
      <c r="Z18" s="1908">
        <f>$Z$6</f>
        <v>43862</v>
      </c>
      <c r="AA18" s="1908">
        <f>$AA$6</f>
        <v>44013</v>
      </c>
      <c r="AB18" s="1908">
        <f>$AB$6</f>
        <v>44166</v>
      </c>
      <c r="AC18" s="1908">
        <f>$AC$6</f>
        <v>44531</v>
      </c>
      <c r="AD18" s="1908">
        <f>$AD$6</f>
        <v>44774</v>
      </c>
      <c r="AE18" s="1908">
        <f>$AE$6</f>
        <v>45139</v>
      </c>
      <c r="AF18" s="1908">
        <f>$AF$6</f>
        <v>45672</v>
      </c>
      <c r="AG18" s="1908">
        <f>$AG$6</f>
        <v>45971</v>
      </c>
      <c r="DJ18" s="1075"/>
    </row>
    <row r="19" spans="1:114" s="1893" customFormat="1" ht="15" hidden="1" customHeight="1" outlineLevel="1" x14ac:dyDescent="0.25">
      <c r="A19" s="520"/>
      <c r="B19" s="520"/>
      <c r="C19" s="541"/>
      <c r="D19" s="1248" t="s">
        <v>2241</v>
      </c>
      <c r="E19" s="1248" t="s">
        <v>2242</v>
      </c>
      <c r="F19" s="1256" t="str">
        <f>E7</f>
        <v>LED - 10W (750-899 lumens) DI</v>
      </c>
      <c r="G19" s="1567">
        <v>43</v>
      </c>
      <c r="H19" s="1909" t="str">
        <f>C7</f>
        <v>450100_2024_12_</v>
      </c>
      <c r="I19" s="2484" t="s">
        <v>780</v>
      </c>
      <c r="J19" s="2484"/>
      <c r="K19" s="2484"/>
      <c r="L19" s="2484"/>
      <c r="M19" s="520"/>
      <c r="N19" s="520"/>
      <c r="O19" s="520"/>
      <c r="P19" s="520"/>
      <c r="Q19" s="520"/>
      <c r="R19" s="520"/>
      <c r="S19" s="520"/>
      <c r="T19" s="520"/>
      <c r="U19" s="520"/>
      <c r="V19" s="1255" t="s">
        <v>2241</v>
      </c>
      <c r="W19" s="1057"/>
      <c r="X19" s="1057"/>
      <c r="Y19" s="1057"/>
      <c r="Z19" s="1057"/>
      <c r="AA19" s="1057"/>
      <c r="AB19" s="1057"/>
      <c r="AC19" s="1058"/>
      <c r="AD19" s="1058"/>
      <c r="AE19" s="133">
        <v>18.888888888888889</v>
      </c>
      <c r="AF19" s="253">
        <v>43</v>
      </c>
      <c r="AG19" s="253">
        <f>IF($G19&lt;&gt;"",$G19,"")</f>
        <v>43</v>
      </c>
      <c r="DJ19" s="1075"/>
    </row>
    <row r="20" spans="1:114" s="1893" customFormat="1" ht="15" hidden="1" customHeight="1" outlineLevel="1" x14ac:dyDescent="0.25">
      <c r="A20" s="520"/>
      <c r="B20" s="520"/>
      <c r="C20" s="541"/>
      <c r="D20" s="1248" t="s">
        <v>2243</v>
      </c>
      <c r="E20" s="1248" t="s">
        <v>2244</v>
      </c>
      <c r="F20" s="1256" t="str">
        <f>E7</f>
        <v>LED - 10W (750-899 lumens) DI</v>
      </c>
      <c r="G20" s="1910">
        <v>8.5</v>
      </c>
      <c r="H20" s="1909" t="str">
        <f>C7</f>
        <v>450100_2024_12_</v>
      </c>
      <c r="I20" s="2690" t="s">
        <v>2245</v>
      </c>
      <c r="J20" s="2690"/>
      <c r="K20" s="2690"/>
      <c r="L20" s="2690"/>
      <c r="M20" s="520"/>
      <c r="N20" s="520"/>
      <c r="O20" s="520"/>
      <c r="P20" s="520"/>
      <c r="Q20" s="520"/>
      <c r="R20" s="520"/>
      <c r="S20" s="520"/>
      <c r="T20" s="520"/>
      <c r="U20" s="520"/>
      <c r="V20" s="1255" t="s">
        <v>2243</v>
      </c>
      <c r="W20" s="1057"/>
      <c r="X20" s="1057"/>
      <c r="Y20" s="1057"/>
      <c r="Z20" s="1057"/>
      <c r="AA20" s="1057"/>
      <c r="AB20" s="1057"/>
      <c r="AC20" s="1058"/>
      <c r="AD20" s="1058"/>
      <c r="AE20" s="133">
        <v>8.5</v>
      </c>
      <c r="AF20" s="253">
        <v>8.5</v>
      </c>
      <c r="AG20" s="253">
        <f t="shared" ref="AG20:AG32" si="0">IF($G20&lt;&gt;"",$G20,"")</f>
        <v>8.5</v>
      </c>
      <c r="DJ20" s="1075"/>
    </row>
    <row r="21" spans="1:114" s="1893" customFormat="1" ht="14.65" hidden="1" customHeight="1" outlineLevel="1" x14ac:dyDescent="0.25">
      <c r="A21" s="520"/>
      <c r="B21" s="520"/>
      <c r="C21" s="541"/>
      <c r="D21" s="472" t="s">
        <v>105</v>
      </c>
      <c r="E21" s="731" t="s">
        <v>2246</v>
      </c>
      <c r="F21" s="1911" t="s">
        <v>742</v>
      </c>
      <c r="G21" s="1566">
        <v>0.87</v>
      </c>
      <c r="H21" s="1556"/>
      <c r="I21" s="2484" t="s">
        <v>2247</v>
      </c>
      <c r="J21" s="2484"/>
      <c r="K21" s="2484"/>
      <c r="L21" s="2484"/>
      <c r="M21" s="520"/>
      <c r="N21" s="520"/>
      <c r="O21" s="520"/>
      <c r="P21" s="520"/>
      <c r="Q21" s="520"/>
      <c r="R21" s="520"/>
      <c r="S21" s="520"/>
      <c r="T21" s="520"/>
      <c r="U21" s="520"/>
      <c r="V21" s="1912" t="s">
        <v>105</v>
      </c>
      <c r="W21" s="1057"/>
      <c r="X21" s="1057"/>
      <c r="Y21" s="1057"/>
      <c r="Z21" s="1057"/>
      <c r="AA21" s="1057"/>
      <c r="AB21" s="1057"/>
      <c r="AC21" s="1058"/>
      <c r="AD21" s="1058"/>
      <c r="AE21" s="1568">
        <v>0.87</v>
      </c>
      <c r="AF21" s="253">
        <v>0.87</v>
      </c>
      <c r="AG21" s="253">
        <f t="shared" si="0"/>
        <v>0.87</v>
      </c>
      <c r="DJ21" s="1075"/>
    </row>
    <row r="22" spans="1:114" s="1893" customFormat="1" hidden="1" outlineLevel="1" x14ac:dyDescent="0.25">
      <c r="A22" s="520"/>
      <c r="B22" s="520"/>
      <c r="C22" s="541"/>
      <c r="D22" s="472" t="s">
        <v>794</v>
      </c>
      <c r="E22" s="731" t="s">
        <v>2248</v>
      </c>
      <c r="F22" s="1911" t="s">
        <v>742</v>
      </c>
      <c r="G22" s="1566">
        <v>0</v>
      </c>
      <c r="H22" s="1556"/>
      <c r="I22" s="2690" t="s">
        <v>2249</v>
      </c>
      <c r="J22" s="2690"/>
      <c r="K22" s="2690"/>
      <c r="L22" s="2690"/>
      <c r="M22" s="520"/>
      <c r="N22" s="520"/>
      <c r="O22" s="520"/>
      <c r="P22" s="520"/>
      <c r="Q22" s="520"/>
      <c r="R22" s="520"/>
      <c r="S22" s="520"/>
      <c r="T22" s="520"/>
      <c r="U22" s="520"/>
      <c r="V22" s="1912" t="s">
        <v>794</v>
      </c>
      <c r="W22" s="1057"/>
      <c r="X22" s="1057"/>
      <c r="Y22" s="1057"/>
      <c r="Z22" s="1057"/>
      <c r="AA22" s="1057"/>
      <c r="AB22" s="1057"/>
      <c r="AC22" s="1058"/>
      <c r="AD22" s="1058"/>
      <c r="AE22" s="1568">
        <v>0</v>
      </c>
      <c r="AF22" s="253">
        <v>0</v>
      </c>
      <c r="AG22" s="253">
        <f t="shared" si="0"/>
        <v>0</v>
      </c>
      <c r="DJ22" s="1075"/>
    </row>
    <row r="23" spans="1:114" s="1893" customFormat="1" ht="15" hidden="1" customHeight="1" outlineLevel="1" x14ac:dyDescent="0.25">
      <c r="A23" s="520"/>
      <c r="B23" s="520"/>
      <c r="C23" s="541"/>
      <c r="D23" s="472" t="s">
        <v>2035</v>
      </c>
      <c r="E23" s="731" t="s">
        <v>2250</v>
      </c>
      <c r="F23" s="1911" t="s">
        <v>742</v>
      </c>
      <c r="G23" s="1913">
        <f>2.72652*365</f>
        <v>995.17979999999989</v>
      </c>
      <c r="H23" s="1914"/>
      <c r="I23" s="2484" t="s">
        <v>2251</v>
      </c>
      <c r="J23" s="2484"/>
      <c r="K23" s="2484"/>
      <c r="L23" s="2484"/>
      <c r="M23" s="520"/>
      <c r="N23" s="520"/>
      <c r="O23" s="520"/>
      <c r="P23" s="520"/>
      <c r="Q23" s="520"/>
      <c r="R23" s="520"/>
      <c r="S23" s="520"/>
      <c r="T23" s="520"/>
      <c r="U23" s="520"/>
      <c r="V23" s="1912" t="s">
        <v>2035</v>
      </c>
      <c r="W23" s="1057"/>
      <c r="X23" s="1057"/>
      <c r="Y23" s="1057"/>
      <c r="Z23" s="1057"/>
      <c r="AA23" s="1057"/>
      <c r="AB23" s="1057"/>
      <c r="AC23" s="1058"/>
      <c r="AD23" s="1058"/>
      <c r="AE23" s="1915">
        <v>995.17979999999989</v>
      </c>
      <c r="AF23" s="253">
        <v>995.17979999999989</v>
      </c>
      <c r="AG23" s="253">
        <f t="shared" si="0"/>
        <v>995.17979999999989</v>
      </c>
      <c r="DJ23" s="1075"/>
    </row>
    <row r="24" spans="1:114" s="1893" customFormat="1" ht="43.15" hidden="1" customHeight="1" outlineLevel="1" x14ac:dyDescent="0.25">
      <c r="A24" s="520"/>
      <c r="B24" s="520"/>
      <c r="C24" s="541"/>
      <c r="D24" s="2691" t="s">
        <v>2039</v>
      </c>
      <c r="E24" s="2383" t="s">
        <v>2252</v>
      </c>
      <c r="F24" s="1911" t="s">
        <v>2253</v>
      </c>
      <c r="G24" s="1913">
        <v>0.99</v>
      </c>
      <c r="H24" s="1914"/>
      <c r="I24" s="2690" t="s">
        <v>2254</v>
      </c>
      <c r="J24" s="2690"/>
      <c r="K24" s="2690"/>
      <c r="L24" s="2690"/>
      <c r="M24" s="520"/>
      <c r="N24" s="520"/>
      <c r="O24" s="520"/>
      <c r="P24" s="520"/>
      <c r="Q24" s="520"/>
      <c r="R24" s="520"/>
      <c r="S24" s="520"/>
      <c r="T24" s="520"/>
      <c r="U24" s="520"/>
      <c r="V24" s="2689" t="s">
        <v>2039</v>
      </c>
      <c r="W24" s="1057"/>
      <c r="X24" s="1057"/>
      <c r="Y24" s="1057"/>
      <c r="Z24" s="1057"/>
      <c r="AA24" s="1057"/>
      <c r="AB24" s="1057"/>
      <c r="AC24" s="1058"/>
      <c r="AD24" s="1058"/>
      <c r="AE24" s="1915">
        <v>0.99</v>
      </c>
      <c r="AF24" s="253">
        <v>0.99</v>
      </c>
      <c r="AG24" s="253">
        <f t="shared" si="0"/>
        <v>0.99</v>
      </c>
      <c r="DJ24" s="1075"/>
    </row>
    <row r="25" spans="1:114" s="1893" customFormat="1" ht="60.75" hidden="1" customHeight="1" outlineLevel="1" x14ac:dyDescent="0.25">
      <c r="A25" s="520"/>
      <c r="B25" s="520"/>
      <c r="C25" s="541"/>
      <c r="D25" s="2691"/>
      <c r="E25" s="2383"/>
      <c r="F25" s="1911" t="s">
        <v>2255</v>
      </c>
      <c r="G25" s="1913">
        <v>1</v>
      </c>
      <c r="H25" s="1914"/>
      <c r="I25" s="2690" t="s">
        <v>2256</v>
      </c>
      <c r="J25" s="2690"/>
      <c r="K25" s="2690"/>
      <c r="L25" s="2690"/>
      <c r="M25" s="520"/>
      <c r="N25" s="520"/>
      <c r="O25" s="520"/>
      <c r="P25" s="520"/>
      <c r="Q25" s="520"/>
      <c r="R25" s="520"/>
      <c r="S25" s="520"/>
      <c r="T25" s="520"/>
      <c r="U25" s="520"/>
      <c r="V25" s="2689"/>
      <c r="W25" s="1057"/>
      <c r="X25" s="1057"/>
      <c r="Y25" s="1057"/>
      <c r="Z25" s="1057"/>
      <c r="AA25" s="1057"/>
      <c r="AB25" s="1057"/>
      <c r="AC25" s="1058"/>
      <c r="AD25" s="1058"/>
      <c r="AE25" s="1915">
        <v>1</v>
      </c>
      <c r="AF25" s="253">
        <v>1</v>
      </c>
      <c r="AG25" s="253">
        <f t="shared" si="0"/>
        <v>1</v>
      </c>
      <c r="DJ25" s="1075"/>
    </row>
    <row r="26" spans="1:114" s="1893" customFormat="1" ht="48" hidden="1" customHeight="1" outlineLevel="1" x14ac:dyDescent="0.25">
      <c r="A26" s="520"/>
      <c r="B26" s="520"/>
      <c r="C26" s="541"/>
      <c r="D26" s="472" t="s">
        <v>2042</v>
      </c>
      <c r="E26" s="731" t="s">
        <v>2257</v>
      </c>
      <c r="F26" s="1911" t="s">
        <v>742</v>
      </c>
      <c r="G26" s="1560">
        <v>3612</v>
      </c>
      <c r="H26" s="1914"/>
      <c r="I26" s="2690" t="s">
        <v>2258</v>
      </c>
      <c r="J26" s="2690"/>
      <c r="K26" s="2690"/>
      <c r="L26" s="2690"/>
      <c r="M26" s="520"/>
      <c r="N26" s="520"/>
      <c r="O26" s="520"/>
      <c r="P26" s="520"/>
      <c r="Q26" s="520"/>
      <c r="R26" s="520"/>
      <c r="S26" s="520"/>
      <c r="T26" s="520"/>
      <c r="U26" s="520"/>
      <c r="V26" s="1912" t="s">
        <v>2042</v>
      </c>
      <c r="W26" s="1057"/>
      <c r="X26" s="1057"/>
      <c r="Y26" s="1057"/>
      <c r="Z26" s="1057"/>
      <c r="AA26" s="1057"/>
      <c r="AB26" s="1057"/>
      <c r="AC26" s="1058"/>
      <c r="AD26" s="1058"/>
      <c r="AE26" s="1915">
        <v>3612</v>
      </c>
      <c r="AF26" s="253">
        <v>3612</v>
      </c>
      <c r="AG26" s="253">
        <f t="shared" si="0"/>
        <v>3612</v>
      </c>
      <c r="DJ26" s="1075"/>
    </row>
    <row r="27" spans="1:114" s="1893" customFormat="1" ht="43.15" hidden="1" customHeight="1" outlineLevel="1" x14ac:dyDescent="0.25">
      <c r="A27" s="520"/>
      <c r="B27" s="520"/>
      <c r="C27" s="541"/>
      <c r="D27" s="2691" t="s">
        <v>2043</v>
      </c>
      <c r="E27" s="2383" t="s">
        <v>2252</v>
      </c>
      <c r="F27" s="1911" t="s">
        <v>2259</v>
      </c>
      <c r="G27" s="1560">
        <v>1.1000000000000001</v>
      </c>
      <c r="H27" s="1914"/>
      <c r="I27" s="2690" t="s">
        <v>2260</v>
      </c>
      <c r="J27" s="2690"/>
      <c r="K27" s="2690"/>
      <c r="L27" s="2690"/>
      <c r="M27" s="520"/>
      <c r="N27" s="520"/>
      <c r="O27" s="520"/>
      <c r="P27" s="520"/>
      <c r="Q27" s="520"/>
      <c r="R27" s="520"/>
      <c r="S27" s="520"/>
      <c r="T27" s="520"/>
      <c r="U27" s="520"/>
      <c r="V27" s="2689" t="s">
        <v>2043</v>
      </c>
      <c r="W27" s="1057"/>
      <c r="X27" s="1057"/>
      <c r="Y27" s="1057"/>
      <c r="Z27" s="1057"/>
      <c r="AA27" s="1057"/>
      <c r="AB27" s="1057"/>
      <c r="AC27" s="1058"/>
      <c r="AD27" s="1058"/>
      <c r="AE27" s="1915">
        <v>1.1000000000000001</v>
      </c>
      <c r="AF27" s="253">
        <v>1.1000000000000001</v>
      </c>
      <c r="AG27" s="253">
        <f t="shared" si="0"/>
        <v>1.1000000000000001</v>
      </c>
      <c r="DJ27" s="1075"/>
    </row>
    <row r="28" spans="1:114" s="1893" customFormat="1" ht="45" hidden="1" outlineLevel="1" x14ac:dyDescent="0.25">
      <c r="A28" s="520"/>
      <c r="B28" s="520"/>
      <c r="C28" s="541"/>
      <c r="D28" s="2691"/>
      <c r="E28" s="2383"/>
      <c r="F28" s="1911" t="s">
        <v>2261</v>
      </c>
      <c r="G28" s="1560">
        <v>1</v>
      </c>
      <c r="H28" s="1914"/>
      <c r="I28" s="2690"/>
      <c r="J28" s="2690"/>
      <c r="K28" s="2690"/>
      <c r="L28" s="2690"/>
      <c r="M28" s="520"/>
      <c r="N28" s="520"/>
      <c r="O28" s="520"/>
      <c r="P28" s="520"/>
      <c r="Q28" s="520"/>
      <c r="R28" s="520"/>
      <c r="S28" s="520"/>
      <c r="T28" s="520"/>
      <c r="U28" s="520"/>
      <c r="V28" s="2689"/>
      <c r="W28" s="1057"/>
      <c r="X28" s="1057"/>
      <c r="Y28" s="1057"/>
      <c r="Z28" s="1057"/>
      <c r="AA28" s="1057"/>
      <c r="AB28" s="1057"/>
      <c r="AC28" s="1058"/>
      <c r="AD28" s="1058"/>
      <c r="AE28" s="1915">
        <v>1</v>
      </c>
      <c r="AF28" s="253">
        <v>1</v>
      </c>
      <c r="AG28" s="253">
        <f t="shared" si="0"/>
        <v>1</v>
      </c>
      <c r="DJ28" s="1075"/>
    </row>
    <row r="29" spans="1:114" s="1893" customFormat="1" hidden="1" outlineLevel="1" x14ac:dyDescent="0.25">
      <c r="A29" s="520"/>
      <c r="B29" s="520"/>
      <c r="C29" s="541"/>
      <c r="D29" s="472" t="s">
        <v>2045</v>
      </c>
      <c r="E29" s="731" t="s">
        <v>2262</v>
      </c>
      <c r="F29" s="1911" t="s">
        <v>742</v>
      </c>
      <c r="G29" s="1566">
        <v>1</v>
      </c>
      <c r="H29" s="400"/>
      <c r="I29" s="2690" t="s">
        <v>2249</v>
      </c>
      <c r="J29" s="2690"/>
      <c r="K29" s="2690"/>
      <c r="L29" s="2690"/>
      <c r="M29" s="520"/>
      <c r="N29" s="520"/>
      <c r="O29" s="520"/>
      <c r="P29" s="520"/>
      <c r="Q29" s="520"/>
      <c r="R29" s="520"/>
      <c r="S29" s="520"/>
      <c r="T29" s="520"/>
      <c r="U29" s="520"/>
      <c r="V29" s="1912" t="s">
        <v>2045</v>
      </c>
      <c r="W29" s="1057"/>
      <c r="X29" s="1057"/>
      <c r="Y29" s="1057"/>
      <c r="Z29" s="1057"/>
      <c r="AA29" s="1057"/>
      <c r="AB29" s="1057"/>
      <c r="AC29" s="1058"/>
      <c r="AD29" s="1058"/>
      <c r="AE29" s="1568">
        <v>1</v>
      </c>
      <c r="AF29" s="253">
        <v>1</v>
      </c>
      <c r="AG29" s="253">
        <f t="shared" si="0"/>
        <v>1</v>
      </c>
      <c r="DJ29" s="1075"/>
    </row>
    <row r="30" spans="1:114" s="1893" customFormat="1" ht="70.5" hidden="1" customHeight="1" outlineLevel="1" x14ac:dyDescent="0.25">
      <c r="A30" s="520"/>
      <c r="B30" s="520"/>
      <c r="C30" s="541"/>
      <c r="D30" s="567" t="s">
        <v>2263</v>
      </c>
      <c r="E30" s="1304" t="s">
        <v>801</v>
      </c>
      <c r="F30" s="1911" t="s">
        <v>742</v>
      </c>
      <c r="G30" s="1437">
        <v>2</v>
      </c>
      <c r="H30" s="400"/>
      <c r="I30" s="2692" t="s">
        <v>2264</v>
      </c>
      <c r="J30" s="2693"/>
      <c r="K30" s="2693"/>
      <c r="L30" s="2693"/>
      <c r="M30" s="520"/>
      <c r="N30" s="520"/>
      <c r="O30" s="520"/>
      <c r="P30" s="520"/>
      <c r="Q30" s="520"/>
      <c r="R30" s="520"/>
      <c r="S30" s="520"/>
      <c r="T30" s="520"/>
      <c r="U30" s="520"/>
      <c r="V30" s="1304" t="s">
        <v>2263</v>
      </c>
      <c r="W30" s="1057"/>
      <c r="X30" s="1057"/>
      <c r="Y30" s="1057"/>
      <c r="Z30" s="1057"/>
      <c r="AA30" s="1057"/>
      <c r="AB30" s="1057"/>
      <c r="AC30" s="1058"/>
      <c r="AD30" s="1058"/>
      <c r="AE30" s="48">
        <v>19</v>
      </c>
      <c r="AF30" s="253">
        <v>2</v>
      </c>
      <c r="AG30" s="253">
        <f t="shared" si="0"/>
        <v>2</v>
      </c>
      <c r="DJ30" s="1075"/>
    </row>
    <row r="31" spans="1:114" s="1893" customFormat="1" ht="73.5" hidden="1" customHeight="1" outlineLevel="1" x14ac:dyDescent="0.25">
      <c r="A31" s="520"/>
      <c r="B31" s="520"/>
      <c r="C31" s="541"/>
      <c r="D31" s="1916" t="s">
        <v>2265</v>
      </c>
      <c r="E31" s="1305" t="s">
        <v>801</v>
      </c>
      <c r="F31" s="1911" t="s">
        <v>742</v>
      </c>
      <c r="G31" s="1557"/>
      <c r="H31" s="400"/>
      <c r="I31" s="2693"/>
      <c r="J31" s="2693"/>
      <c r="K31" s="2693"/>
      <c r="L31" s="2693"/>
      <c r="M31" s="520"/>
      <c r="N31" s="520"/>
      <c r="O31" s="520"/>
      <c r="P31" s="520"/>
      <c r="Q31" s="520"/>
      <c r="R31" s="520"/>
      <c r="S31" s="520"/>
      <c r="T31" s="520"/>
      <c r="U31" s="520"/>
      <c r="V31" s="1305" t="s">
        <v>2265</v>
      </c>
      <c r="W31" s="1057"/>
      <c r="X31" s="1057"/>
      <c r="Y31" s="1057"/>
      <c r="Z31" s="1057"/>
      <c r="AA31" s="1057"/>
      <c r="AB31" s="1057"/>
      <c r="AC31" s="1058"/>
      <c r="AD31" s="1058"/>
      <c r="AE31" s="48">
        <v>6</v>
      </c>
      <c r="AF31" s="253" t="s">
        <v>935</v>
      </c>
      <c r="AG31" s="253" t="str">
        <f t="shared" si="0"/>
        <v/>
      </c>
      <c r="DJ31" s="1075"/>
    </row>
    <row r="32" spans="1:114" s="1893" customFormat="1" ht="15" hidden="1" customHeight="1" outlineLevel="1" x14ac:dyDescent="0.25">
      <c r="A32" s="520"/>
      <c r="B32" s="520"/>
      <c r="C32" s="541"/>
      <c r="D32" s="1919" t="s">
        <v>51</v>
      </c>
      <c r="E32" s="1271" t="s">
        <v>688</v>
      </c>
      <c r="F32" s="1911" t="s">
        <v>112</v>
      </c>
      <c r="G32" s="1917">
        <v>1.45</v>
      </c>
      <c r="H32" s="400"/>
      <c r="I32" s="2694" t="s">
        <v>2266</v>
      </c>
      <c r="J32" s="2695"/>
      <c r="K32" s="2695"/>
      <c r="L32" s="2696"/>
      <c r="M32" s="520"/>
      <c r="N32" s="520"/>
      <c r="O32" s="520"/>
      <c r="P32" s="520"/>
      <c r="Q32" s="520"/>
      <c r="R32" s="520"/>
      <c r="S32" s="520"/>
      <c r="T32" s="520"/>
      <c r="U32" s="520"/>
      <c r="V32" s="1920" t="s">
        <v>51</v>
      </c>
      <c r="W32" s="1057"/>
      <c r="X32" s="1057"/>
      <c r="Y32" s="1057"/>
      <c r="Z32" s="1057"/>
      <c r="AA32" s="1057"/>
      <c r="AB32" s="1057"/>
      <c r="AC32" s="1058"/>
      <c r="AD32" s="1058"/>
      <c r="AE32" s="1918">
        <v>1.45</v>
      </c>
      <c r="AF32" s="253">
        <v>1.45</v>
      </c>
      <c r="AG32" s="253">
        <f t="shared" si="0"/>
        <v>1.45</v>
      </c>
      <c r="DJ32" s="1075"/>
    </row>
    <row r="33" spans="1:114" s="1053" customFormat="1" collapsed="1" x14ac:dyDescent="0.25">
      <c r="A33" s="1054"/>
      <c r="B33" s="1054"/>
      <c r="C33" s="1149"/>
      <c r="D33" s="1149"/>
      <c r="E33" s="1149"/>
      <c r="F33" s="1149"/>
      <c r="G33" s="1149"/>
      <c r="H33" s="1149"/>
      <c r="I33" s="1149"/>
      <c r="J33" s="1149"/>
      <c r="K33" s="1054"/>
      <c r="L33" s="1054"/>
      <c r="M33" s="1054"/>
      <c r="N33" s="1054"/>
      <c r="O33" s="1054"/>
      <c r="P33" s="1054"/>
      <c r="Q33" s="1054"/>
      <c r="R33" s="1054"/>
      <c r="S33" s="1054"/>
      <c r="T33" s="1054"/>
      <c r="U33" s="1054"/>
      <c r="V33" s="1054"/>
      <c r="DJ33" s="1075"/>
    </row>
    <row r="34" spans="1:114" s="1053" customFormat="1" x14ac:dyDescent="0.25">
      <c r="A34" s="1054"/>
      <c r="B34" s="1054"/>
      <c r="C34" s="1149"/>
      <c r="D34" s="1149"/>
      <c r="E34" s="1149"/>
      <c r="F34" s="1149"/>
      <c r="G34" s="1149"/>
      <c r="H34" s="1149"/>
      <c r="I34" s="1149"/>
      <c r="J34" s="1149"/>
      <c r="K34" s="1054"/>
      <c r="L34" s="1054"/>
      <c r="M34" s="1054"/>
      <c r="N34" s="1054"/>
      <c r="O34" s="1054"/>
      <c r="P34" s="1054"/>
      <c r="Q34" s="1054"/>
      <c r="R34" s="1054"/>
      <c r="S34" s="1054"/>
      <c r="T34" s="1054"/>
      <c r="U34" s="1054"/>
      <c r="V34" s="1054"/>
      <c r="DJ34" s="1075"/>
    </row>
    <row r="35" spans="1:114" s="1041" customFormat="1" x14ac:dyDescent="0.25">
      <c r="A35" s="520"/>
      <c r="B35" s="2214" t="s">
        <v>3291</v>
      </c>
      <c r="C35" s="2215"/>
      <c r="D35" s="2215"/>
      <c r="E35" s="2215"/>
      <c r="F35" s="2215"/>
      <c r="G35" s="2215"/>
      <c r="H35" s="2215"/>
      <c r="I35" s="2215"/>
      <c r="J35" s="2215"/>
      <c r="K35" s="2215"/>
      <c r="L35" s="2215"/>
      <c r="M35" s="2215"/>
      <c r="N35" s="2215"/>
      <c r="O35" s="2215"/>
      <c r="P35" s="2215"/>
      <c r="Q35" s="2215"/>
      <c r="R35" s="2216"/>
      <c r="S35" s="2217"/>
      <c r="T35" s="2217"/>
      <c r="U35" s="2217"/>
      <c r="V35" s="2214" t="str">
        <f>B35</f>
        <v>Advanced Tier 1 Power Strips Tier 1  / Load Sensing</v>
      </c>
      <c r="W35" s="2215"/>
      <c r="X35" s="2215"/>
      <c r="Y35" s="2215"/>
      <c r="Z35" s="2215"/>
      <c r="AA35" s="2215"/>
      <c r="AB35" s="2215"/>
      <c r="AC35" s="2215"/>
      <c r="AD35" s="2215"/>
      <c r="AE35" s="2215"/>
      <c r="AF35" s="2215"/>
      <c r="AG35" s="2215"/>
      <c r="AH35" s="2215"/>
      <c r="AI35" s="2216"/>
      <c r="AK35" s="1044"/>
      <c r="DG35" s="1043"/>
      <c r="DH35" s="1042"/>
      <c r="DI35" s="1042"/>
      <c r="DJ35" s="1075"/>
    </row>
    <row r="36" spans="1:114" s="1041" customFormat="1" x14ac:dyDescent="0.25">
      <c r="A36" s="520"/>
      <c r="B36" s="2218"/>
      <c r="C36" s="2219"/>
      <c r="D36" s="2220"/>
      <c r="E36" s="2220"/>
      <c r="F36" s="2218"/>
      <c r="G36" s="2218"/>
      <c r="H36" s="2218"/>
      <c r="I36" s="2218"/>
      <c r="J36" s="2218"/>
      <c r="K36" s="2218"/>
      <c r="L36" s="2218"/>
      <c r="M36" s="2218"/>
      <c r="N36" s="2218"/>
      <c r="O36" s="2217"/>
      <c r="P36" s="2217"/>
      <c r="Q36" s="2217"/>
      <c r="R36" s="2217"/>
      <c r="S36" s="2217"/>
      <c r="T36" s="2217"/>
      <c r="U36" s="2217"/>
      <c r="V36" s="2217"/>
      <c r="W36" s="2217"/>
      <c r="X36" s="2217"/>
      <c r="Y36" s="2221"/>
      <c r="Z36" s="2217"/>
      <c r="AA36" s="2217"/>
      <c r="AB36" s="2217"/>
      <c r="AC36" s="2217"/>
      <c r="AD36" s="2217"/>
      <c r="AE36" s="2217"/>
      <c r="AF36" s="2217"/>
      <c r="AG36" s="2217"/>
      <c r="AH36" s="2217"/>
      <c r="AI36" s="2217"/>
      <c r="AK36" s="1044"/>
      <c r="DG36" s="1043"/>
      <c r="DH36" s="1042"/>
      <c r="DI36" s="1042"/>
      <c r="DJ36" s="1075"/>
    </row>
    <row r="37" spans="1:114" s="1041" customFormat="1" ht="30" x14ac:dyDescent="0.25">
      <c r="A37" s="520"/>
      <c r="B37" s="2218"/>
      <c r="C37" s="2222" t="s">
        <v>43</v>
      </c>
      <c r="D37" s="2222" t="s">
        <v>597</v>
      </c>
      <c r="E37" s="2222" t="s">
        <v>45</v>
      </c>
      <c r="F37" s="2222" t="s">
        <v>46</v>
      </c>
      <c r="G37" s="2222" t="s">
        <v>47</v>
      </c>
      <c r="H37" s="2222" t="s">
        <v>48</v>
      </c>
      <c r="I37" s="2222" t="s">
        <v>49</v>
      </c>
      <c r="J37" s="2222" t="s">
        <v>50</v>
      </c>
      <c r="K37" s="2222" t="s">
        <v>51</v>
      </c>
      <c r="L37" s="2222" t="s">
        <v>52</v>
      </c>
      <c r="M37" s="2218"/>
      <c r="N37" s="2218"/>
      <c r="O37" s="2217"/>
      <c r="P37" s="2217"/>
      <c r="Q37" s="2217"/>
      <c r="R37" s="2217"/>
      <c r="S37" s="2217"/>
      <c r="T37" s="2217"/>
      <c r="U37" s="2217"/>
      <c r="V37" s="2223" t="s">
        <v>53</v>
      </c>
      <c r="W37" s="2224">
        <f>$W$6</f>
        <v>43252</v>
      </c>
      <c r="X37" s="2224">
        <f>$Y$6</f>
        <v>43800</v>
      </c>
      <c r="Y37" s="2224">
        <f>$Y$6</f>
        <v>43800</v>
      </c>
      <c r="Z37" s="2224">
        <f>$Z$6</f>
        <v>43862</v>
      </c>
      <c r="AA37" s="2224">
        <f>$AA$6</f>
        <v>44013</v>
      </c>
      <c r="AB37" s="2224">
        <f>$AB$6</f>
        <v>44166</v>
      </c>
      <c r="AC37" s="2224">
        <f>$AC$6</f>
        <v>44531</v>
      </c>
      <c r="AD37" s="2224">
        <f>$AD$6</f>
        <v>44774</v>
      </c>
      <c r="AE37" s="2224">
        <f>$AE$6</f>
        <v>45139</v>
      </c>
      <c r="AF37" s="2224">
        <f>$AF$6</f>
        <v>45672</v>
      </c>
      <c r="AG37" s="2224">
        <f>$AG$6</f>
        <v>45971</v>
      </c>
      <c r="AH37" s="2217"/>
      <c r="AI37" s="2217"/>
      <c r="AK37" s="1044"/>
      <c r="DG37" s="1007" t="str">
        <f>'Efficient Products Deemed Table'!$DG$6</f>
        <v>TRC (2025)</v>
      </c>
      <c r="DH37" s="1007" t="str">
        <f>'Efficient Products Deemed Table'!$DH$6</f>
        <v>Benefit Lookup</v>
      </c>
      <c r="DI37" s="1007" t="str">
        <f>'Efficient Products Deemed Table'!$DI$6</f>
        <v>Benefits (2025 $)</v>
      </c>
      <c r="DJ37" s="1007" t="str">
        <f>'Efficient Products Deemed Table'!$DJ$6</f>
        <v>Incremental Cost (2025 $)</v>
      </c>
    </row>
    <row r="38" spans="1:114" s="1041" customFormat="1" x14ac:dyDescent="0.25">
      <c r="A38" s="520"/>
      <c r="B38" s="2006">
        <f t="shared" ref="B38" si="1">VALUE(LEFT(C38,6))</f>
        <v>450700</v>
      </c>
      <c r="C38" s="2225" t="s">
        <v>2267</v>
      </c>
      <c r="D38" s="2226" t="s">
        <v>861</v>
      </c>
      <c r="E38" s="2209" t="s">
        <v>2268</v>
      </c>
      <c r="F38" s="2227">
        <f>ROUND((G46*G47)*G48,2)</f>
        <v>23.03</v>
      </c>
      <c r="G38" s="2228" t="s">
        <v>2067</v>
      </c>
      <c r="H38" s="2229">
        <f>VLOOKUP(G38,'CP FACTORS'!$A$3:$B$38, 2, FALSE)</f>
        <v>1.148238E-4</v>
      </c>
      <c r="I38" s="2230">
        <f>ROUND(F38*H38,6)</f>
        <v>2.6440000000000001E-3</v>
      </c>
      <c r="J38" s="2231">
        <f>G49</f>
        <v>10</v>
      </c>
      <c r="K38" s="2232">
        <f>G50</f>
        <v>30</v>
      </c>
      <c r="L38" s="2225" t="s">
        <v>63</v>
      </c>
      <c r="M38" s="2218"/>
      <c r="N38" s="2218"/>
      <c r="O38" s="2217"/>
      <c r="P38" s="2217"/>
      <c r="Q38" s="2217"/>
      <c r="R38" s="2217"/>
      <c r="S38" s="2217"/>
      <c r="T38" s="2217"/>
      <c r="U38" s="2217"/>
      <c r="V38" s="2233" t="str">
        <f>$F$37</f>
        <v>kWh Annual Savings</v>
      </c>
      <c r="W38" s="2234"/>
      <c r="X38" s="2234"/>
      <c r="Y38" s="2234"/>
      <c r="Z38" s="2234"/>
      <c r="AA38" s="2234"/>
      <c r="AB38" s="2234"/>
      <c r="AC38" s="2235"/>
      <c r="AD38" s="2235"/>
      <c r="AE38" s="2236">
        <v>23.03</v>
      </c>
      <c r="AF38" s="2185">
        <v>23.03</v>
      </c>
      <c r="AG38" s="2185">
        <f>IF($F38&lt;&gt;"",$F38,"")</f>
        <v>23.03</v>
      </c>
      <c r="AH38" s="2217"/>
      <c r="AI38" s="2217"/>
      <c r="AK38" s="1044"/>
      <c r="DG38" s="1049">
        <f>(DI38)/(DJ38)</f>
        <v>0.38464720958253451</v>
      </c>
      <c r="DH38" s="1271" t="str">
        <f>CONCATENATE(G38," ",J38," Year EUL")</f>
        <v>Miscellaneous RES 10 Year EUL</v>
      </c>
      <c r="DI38" s="1048">
        <f>(INDEX('Avoided Cost Benefits'!$B$4:$B$865,MATCH(DH38,'Avoided Cost Benefits'!$A$4:$A$865,0)))*F38</f>
        <v>11.539416287476035</v>
      </c>
      <c r="DJ38" s="1844">
        <f>IFERROR(K38/((1+DiscountRate)^(CurrentYear-DiscountYear)),0)</f>
        <v>30</v>
      </c>
    </row>
    <row r="39" spans="1:114" s="1041" customFormat="1" hidden="1" outlineLevel="1" x14ac:dyDescent="0.25">
      <c r="A39" s="520"/>
      <c r="B39" s="2218"/>
      <c r="C39" s="2219"/>
      <c r="D39" s="2237" t="s">
        <v>95</v>
      </c>
      <c r="E39" s="2147" t="s">
        <v>2269</v>
      </c>
      <c r="F39" s="2238"/>
      <c r="G39" s="2239"/>
      <c r="H39" s="2240"/>
      <c r="I39" s="2241"/>
      <c r="J39" s="2242"/>
      <c r="K39" s="2241"/>
      <c r="L39" s="2218"/>
      <c r="M39" s="2218"/>
      <c r="N39" s="2218"/>
      <c r="O39" s="2217"/>
      <c r="P39" s="2217"/>
      <c r="Q39" s="2217"/>
      <c r="R39" s="2217"/>
      <c r="S39" s="2217"/>
      <c r="T39" s="2217"/>
      <c r="U39" s="2217"/>
      <c r="V39" s="2243"/>
      <c r="W39" s="2243"/>
      <c r="X39" s="2243"/>
      <c r="Y39" s="2243"/>
      <c r="Z39" s="2243"/>
      <c r="AA39" s="2243"/>
      <c r="AB39" s="2243"/>
      <c r="AC39" s="2243"/>
      <c r="AD39" s="2243"/>
      <c r="AE39" s="2243"/>
      <c r="AF39" s="2217"/>
      <c r="AG39" s="2217"/>
      <c r="AH39" s="2217"/>
      <c r="AI39" s="2217"/>
      <c r="AK39" s="1044"/>
      <c r="DG39" s="1043"/>
      <c r="DH39" s="1042"/>
      <c r="DI39" s="1042"/>
      <c r="DJ39" s="1075"/>
    </row>
    <row r="40" spans="1:114" s="1041" customFormat="1" hidden="1" outlineLevel="1" x14ac:dyDescent="0.25">
      <c r="A40" s="520"/>
      <c r="B40" s="2218"/>
      <c r="C40" s="2219"/>
      <c r="D40" s="2244" t="s">
        <v>609</v>
      </c>
      <c r="E40" s="2143" t="s">
        <v>2270</v>
      </c>
      <c r="F40" s="2218"/>
      <c r="G40" s="2218"/>
      <c r="H40" s="2218"/>
      <c r="I40" s="2218"/>
      <c r="J40" s="2218"/>
      <c r="K40" s="2218"/>
      <c r="L40" s="2218"/>
      <c r="M40" s="2218"/>
      <c r="N40" s="2218"/>
      <c r="O40" s="2217"/>
      <c r="P40" s="2217"/>
      <c r="Q40" s="2217"/>
      <c r="R40" s="2217"/>
      <c r="S40" s="2217"/>
      <c r="T40" s="2217"/>
      <c r="U40" s="2217"/>
      <c r="V40" s="2217"/>
      <c r="W40" s="2217"/>
      <c r="X40" s="2217"/>
      <c r="Y40" s="2217"/>
      <c r="Z40" s="2217"/>
      <c r="AA40" s="2217"/>
      <c r="AB40" s="2217"/>
      <c r="AC40" s="2217"/>
      <c r="AD40" s="2217"/>
      <c r="AE40" s="2217"/>
      <c r="AF40" s="2217"/>
      <c r="AG40" s="2217"/>
      <c r="AH40" s="2217"/>
      <c r="AI40" s="2217"/>
      <c r="AK40" s="1044"/>
      <c r="DG40" s="1043"/>
      <c r="DH40" s="1042"/>
      <c r="DI40" s="1042"/>
      <c r="DJ40" s="1075"/>
    </row>
    <row r="41" spans="1:114" s="1041" customFormat="1" hidden="1" outlineLevel="1" x14ac:dyDescent="0.25">
      <c r="A41" s="520"/>
      <c r="B41" s="2218"/>
      <c r="C41" s="2219"/>
      <c r="D41" s="2220"/>
      <c r="E41" s="2143" t="s">
        <v>612</v>
      </c>
      <c r="F41" s="2218"/>
      <c r="G41" s="2218"/>
      <c r="H41" s="2218"/>
      <c r="I41" s="2218"/>
      <c r="J41" s="2218"/>
      <c r="K41" s="2218"/>
      <c r="L41" s="2218"/>
      <c r="M41" s="2218"/>
      <c r="N41" s="2218"/>
      <c r="O41" s="2217"/>
      <c r="P41" s="2217"/>
      <c r="Q41" s="2217"/>
      <c r="R41" s="2217"/>
      <c r="S41" s="2217"/>
      <c r="T41" s="2217"/>
      <c r="U41" s="2217"/>
      <c r="V41" s="2217"/>
      <c r="W41" s="2217"/>
      <c r="X41" s="2217"/>
      <c r="Y41" s="2221"/>
      <c r="Z41" s="2217"/>
      <c r="AA41" s="2217"/>
      <c r="AB41" s="2217"/>
      <c r="AC41" s="2217"/>
      <c r="AD41" s="2217"/>
      <c r="AE41" s="2217"/>
      <c r="AF41" s="2217"/>
      <c r="AG41" s="2217"/>
      <c r="AH41" s="2217"/>
      <c r="AI41" s="2217"/>
      <c r="AK41" s="1044"/>
      <c r="DG41" s="1043"/>
      <c r="DH41" s="1042"/>
      <c r="DI41" s="1042"/>
      <c r="DJ41" s="1075"/>
    </row>
    <row r="42" spans="1:114" s="1041" customFormat="1" hidden="1" outlineLevel="1" x14ac:dyDescent="0.25">
      <c r="A42" s="520"/>
      <c r="B42" s="2218"/>
      <c r="C42" s="2219"/>
      <c r="D42" s="2220"/>
      <c r="E42" s="2220"/>
      <c r="F42" s="2218"/>
      <c r="G42" s="2218"/>
      <c r="H42" s="2218"/>
      <c r="I42" s="2218"/>
      <c r="J42" s="2218"/>
      <c r="K42" s="2218"/>
      <c r="L42" s="2218"/>
      <c r="M42" s="2218"/>
      <c r="N42" s="2218"/>
      <c r="O42" s="2217"/>
      <c r="P42" s="2217"/>
      <c r="Q42" s="2217"/>
      <c r="R42" s="2217"/>
      <c r="S42" s="2217"/>
      <c r="T42" s="2217"/>
      <c r="U42" s="2217"/>
      <c r="V42" s="2217"/>
      <c r="W42" s="2217"/>
      <c r="X42" s="2217"/>
      <c r="Y42" s="2221"/>
      <c r="Z42" s="2217"/>
      <c r="AA42" s="2217"/>
      <c r="AB42" s="2217"/>
      <c r="AC42" s="2217"/>
      <c r="AD42" s="2217"/>
      <c r="AE42" s="2217"/>
      <c r="AF42" s="2217"/>
      <c r="AG42" s="2217"/>
      <c r="AH42" s="2217"/>
      <c r="AI42" s="2217"/>
      <c r="AK42" s="1044"/>
      <c r="DG42" s="1043"/>
      <c r="DH42" s="1042"/>
      <c r="DI42" s="1042"/>
      <c r="DJ42" s="1075"/>
    </row>
    <row r="43" spans="1:114" s="1041" customFormat="1" hidden="1" outlineLevel="1" x14ac:dyDescent="0.25">
      <c r="A43" s="520"/>
      <c r="B43" s="2218"/>
      <c r="C43" s="2219"/>
      <c r="D43" s="2220"/>
      <c r="E43" s="2220"/>
      <c r="F43" s="2218"/>
      <c r="G43" s="2218"/>
      <c r="H43" s="2218"/>
      <c r="I43" s="2218"/>
      <c r="J43" s="2218"/>
      <c r="K43" s="2218"/>
      <c r="L43" s="2218"/>
      <c r="M43" s="2218"/>
      <c r="N43" s="2218"/>
      <c r="O43" s="2217"/>
      <c r="P43" s="2217"/>
      <c r="Q43" s="2217"/>
      <c r="R43" s="2217"/>
      <c r="S43" s="2217"/>
      <c r="T43" s="2217"/>
      <c r="U43" s="2217"/>
      <c r="V43" s="2217"/>
      <c r="W43" s="2217"/>
      <c r="X43" s="2217"/>
      <c r="Y43" s="2221"/>
      <c r="Z43" s="2217"/>
      <c r="AA43" s="2217"/>
      <c r="AB43" s="2217"/>
      <c r="AC43" s="2217"/>
      <c r="AD43" s="2217"/>
      <c r="AE43" s="2217"/>
      <c r="AF43" s="2217"/>
      <c r="AG43" s="2217"/>
      <c r="AH43" s="2217"/>
      <c r="AI43" s="2217"/>
      <c r="AK43" s="1044"/>
      <c r="DG43" s="1043"/>
      <c r="DH43" s="1042"/>
      <c r="DI43" s="1042"/>
      <c r="DJ43" s="1075"/>
    </row>
    <row r="44" spans="1:114" s="1041" customFormat="1" hidden="1" outlineLevel="1" x14ac:dyDescent="0.25">
      <c r="A44" s="520"/>
      <c r="B44" s="2218"/>
      <c r="C44" s="2219"/>
      <c r="D44" s="2245" t="s">
        <v>720</v>
      </c>
      <c r="E44" s="2245" t="s">
        <v>613</v>
      </c>
      <c r="F44" s="2246" t="s">
        <v>614</v>
      </c>
      <c r="G44" s="2246" t="s">
        <v>615</v>
      </c>
      <c r="H44" s="2247" t="s">
        <v>2271</v>
      </c>
      <c r="I44" s="2248"/>
      <c r="J44" s="2249"/>
      <c r="K44" s="2250"/>
      <c r="L44" s="2218"/>
      <c r="M44" s="2218"/>
      <c r="N44" s="2218"/>
      <c r="O44" s="2217"/>
      <c r="P44" s="2217"/>
      <c r="Q44" s="2217"/>
      <c r="R44" s="2217"/>
      <c r="S44" s="2217"/>
      <c r="T44" s="2217"/>
      <c r="U44" s="2217"/>
      <c r="V44" s="2223" t="s">
        <v>53</v>
      </c>
      <c r="W44" s="2224">
        <f>$W$6</f>
        <v>43252</v>
      </c>
      <c r="X44" s="2224">
        <f>$Y$6</f>
        <v>43800</v>
      </c>
      <c r="Y44" s="2224">
        <f>$Y$6</f>
        <v>43800</v>
      </c>
      <c r="Z44" s="2224">
        <f>$Z$6</f>
        <v>43862</v>
      </c>
      <c r="AA44" s="2224">
        <f>$AA$6</f>
        <v>44013</v>
      </c>
      <c r="AB44" s="2224">
        <f>$AB$6</f>
        <v>44166</v>
      </c>
      <c r="AC44" s="2224">
        <f>$AC$6</f>
        <v>44531</v>
      </c>
      <c r="AD44" s="2224">
        <f>$AD$6</f>
        <v>44774</v>
      </c>
      <c r="AE44" s="2224">
        <f>$AE$6</f>
        <v>45139</v>
      </c>
      <c r="AF44" s="2224">
        <f>$AF$6</f>
        <v>45672</v>
      </c>
      <c r="AG44" s="2224">
        <f>$AG$6</f>
        <v>45971</v>
      </c>
      <c r="AH44" s="2217"/>
      <c r="AI44" s="2217"/>
      <c r="AK44" s="1044"/>
      <c r="DG44" s="1043"/>
      <c r="DH44" s="1042"/>
      <c r="DI44" s="1042"/>
      <c r="DJ44" s="1075"/>
    </row>
    <row r="45" spans="1:114" s="1041" customFormat="1" hidden="1" outlineLevel="1" x14ac:dyDescent="0.25">
      <c r="A45" s="520"/>
      <c r="B45" s="2218"/>
      <c r="C45" s="2219"/>
      <c r="D45" s="2251"/>
      <c r="E45" s="2251"/>
      <c r="F45" s="2252"/>
      <c r="G45" s="2252"/>
      <c r="H45" s="2253"/>
      <c r="I45" s="2254"/>
      <c r="J45" s="2255"/>
      <c r="K45" s="2250"/>
      <c r="L45" s="2218"/>
      <c r="M45" s="2218"/>
      <c r="N45" s="2218"/>
      <c r="O45" s="2217"/>
      <c r="P45" s="2217"/>
      <c r="Q45" s="2217"/>
      <c r="R45" s="2217"/>
      <c r="S45" s="2217"/>
      <c r="T45" s="2217"/>
      <c r="U45" s="2217"/>
      <c r="V45" s="2223"/>
      <c r="W45" s="1046"/>
      <c r="X45" s="1046"/>
      <c r="Y45" s="1046"/>
      <c r="Z45" s="1046"/>
      <c r="AA45" s="1046"/>
      <c r="AB45" s="1046"/>
      <c r="AC45" s="1046"/>
      <c r="AD45" s="1046"/>
      <c r="AE45" s="1046"/>
      <c r="AF45" s="1046"/>
      <c r="AG45" s="1046"/>
      <c r="AH45" s="2217"/>
      <c r="AI45" s="2217"/>
      <c r="AK45" s="1044"/>
      <c r="DG45" s="1043"/>
      <c r="DH45" s="1042"/>
      <c r="DI45" s="1042"/>
      <c r="DJ45" s="1075"/>
    </row>
    <row r="46" spans="1:114" s="1041" customFormat="1" ht="15" hidden="1" customHeight="1" outlineLevel="1" x14ac:dyDescent="0.25">
      <c r="A46" s="520"/>
      <c r="B46" s="2218"/>
      <c r="C46" s="2219"/>
      <c r="D46" s="2256" t="s">
        <v>2082</v>
      </c>
      <c r="E46" s="2256" t="s">
        <v>2272</v>
      </c>
      <c r="F46" s="2156" t="s">
        <v>2273</v>
      </c>
      <c r="G46" s="2257">
        <v>31</v>
      </c>
      <c r="H46" s="2677" t="s">
        <v>2274</v>
      </c>
      <c r="I46" s="2678"/>
      <c r="J46" s="2679"/>
      <c r="K46" s="2250"/>
      <c r="L46" s="2218"/>
      <c r="M46" s="2218"/>
      <c r="N46" s="2218"/>
      <c r="O46" s="2217"/>
      <c r="P46" s="2217"/>
      <c r="Q46" s="2217"/>
      <c r="R46" s="2217"/>
      <c r="S46" s="2217"/>
      <c r="T46" s="2217"/>
      <c r="U46" s="2217"/>
      <c r="V46" s="2256" t="s">
        <v>2082</v>
      </c>
      <c r="W46" s="2234"/>
      <c r="X46" s="2234"/>
      <c r="Y46" s="2234"/>
      <c r="Z46" s="2234"/>
      <c r="AA46" s="2234"/>
      <c r="AB46" s="2234"/>
      <c r="AC46" s="2235"/>
      <c r="AD46" s="2235"/>
      <c r="AE46" s="2226">
        <v>31</v>
      </c>
      <c r="AF46" s="2185">
        <f t="shared" ref="AF46:AF50" si="2">IF(G46&lt;&gt;"",G46,"")</f>
        <v>31</v>
      </c>
      <c r="AG46" s="2258"/>
      <c r="AH46" s="2217"/>
      <c r="AI46" s="2217"/>
      <c r="AK46" s="1044"/>
      <c r="DG46" s="1043"/>
      <c r="DH46" s="1042"/>
      <c r="DI46" s="1042"/>
      <c r="DJ46" s="1075"/>
    </row>
    <row r="47" spans="1:114" s="1041" customFormat="1" ht="15" hidden="1" customHeight="1" outlineLevel="1" x14ac:dyDescent="0.25">
      <c r="A47" s="520"/>
      <c r="B47" s="2218"/>
      <c r="C47" s="2219"/>
      <c r="D47" s="2256" t="s">
        <v>2275</v>
      </c>
      <c r="E47" s="2256" t="s">
        <v>2276</v>
      </c>
      <c r="F47" s="2156" t="s">
        <v>2273</v>
      </c>
      <c r="G47" s="2259">
        <v>1</v>
      </c>
      <c r="H47" s="2674" t="s">
        <v>2277</v>
      </c>
      <c r="I47" s="2675"/>
      <c r="J47" s="2676"/>
      <c r="K47" s="2250"/>
      <c r="L47" s="2218"/>
      <c r="M47" s="2218"/>
      <c r="N47" s="2218"/>
      <c r="O47" s="2217"/>
      <c r="P47" s="2217"/>
      <c r="Q47" s="2217"/>
      <c r="R47" s="2217"/>
      <c r="S47" s="2217"/>
      <c r="T47" s="2217"/>
      <c r="U47" s="2217"/>
      <c r="V47" s="2256" t="s">
        <v>2275</v>
      </c>
      <c r="W47" s="2234"/>
      <c r="X47" s="2234"/>
      <c r="Y47" s="2234"/>
      <c r="Z47" s="2234"/>
      <c r="AA47" s="2234"/>
      <c r="AB47" s="2234"/>
      <c r="AC47" s="2235"/>
      <c r="AD47" s="2235"/>
      <c r="AE47" s="2260">
        <v>1</v>
      </c>
      <c r="AF47" s="2185">
        <f t="shared" si="2"/>
        <v>1</v>
      </c>
      <c r="AG47" s="2258"/>
      <c r="AH47" s="2217"/>
      <c r="AI47" s="2217"/>
      <c r="AK47" s="1044"/>
      <c r="DG47" s="1043"/>
      <c r="DH47" s="1042"/>
      <c r="DI47" s="1042"/>
      <c r="DJ47" s="1075"/>
    </row>
    <row r="48" spans="1:114" s="1041" customFormat="1" ht="33" hidden="1" customHeight="1" outlineLevel="1" x14ac:dyDescent="0.25">
      <c r="A48" s="520"/>
      <c r="B48" s="2218"/>
      <c r="C48" s="2219"/>
      <c r="D48" s="2256" t="s">
        <v>105</v>
      </c>
      <c r="E48" s="2256" t="s">
        <v>2278</v>
      </c>
      <c r="F48" s="2156" t="s">
        <v>2279</v>
      </c>
      <c r="G48" s="2261">
        <v>0.74299999999999999</v>
      </c>
      <c r="H48" s="2671" t="s">
        <v>2247</v>
      </c>
      <c r="I48" s="2672"/>
      <c r="J48" s="2673"/>
      <c r="K48" s="2250"/>
      <c r="L48" s="2218"/>
      <c r="M48" s="2218"/>
      <c r="N48" s="2218"/>
      <c r="O48" s="2217"/>
      <c r="P48" s="2217"/>
      <c r="Q48" s="2217"/>
      <c r="R48" s="2217"/>
      <c r="S48" s="2217"/>
      <c r="T48" s="2217"/>
      <c r="U48" s="2217"/>
      <c r="V48" s="2256" t="s">
        <v>105</v>
      </c>
      <c r="W48" s="2234"/>
      <c r="X48" s="2234"/>
      <c r="Y48" s="2234"/>
      <c r="Z48" s="2234"/>
      <c r="AA48" s="2234"/>
      <c r="AB48" s="2234"/>
      <c r="AC48" s="2235"/>
      <c r="AD48" s="2235"/>
      <c r="AE48" s="2262">
        <v>0.74299999999999999</v>
      </c>
      <c r="AF48" s="2185">
        <f t="shared" si="2"/>
        <v>0.74299999999999999</v>
      </c>
      <c r="AG48" s="2258"/>
      <c r="AH48" s="2217"/>
      <c r="AI48" s="2217"/>
      <c r="AK48" s="1044"/>
      <c r="DG48" s="1043"/>
      <c r="DH48" s="1042"/>
      <c r="DI48" s="1042"/>
      <c r="DJ48" s="1075"/>
    </row>
    <row r="49" spans="1:118" s="1041" customFormat="1" ht="31.5" hidden="1" customHeight="1" outlineLevel="1" x14ac:dyDescent="0.25">
      <c r="A49" s="520"/>
      <c r="B49" s="2263"/>
      <c r="C49" s="2264"/>
      <c r="D49" s="2265" t="s">
        <v>50</v>
      </c>
      <c r="E49" s="2265" t="s">
        <v>801</v>
      </c>
      <c r="F49" s="2266" t="s">
        <v>742</v>
      </c>
      <c r="G49" s="2267">
        <v>10</v>
      </c>
      <c r="H49" s="2677" t="s">
        <v>2280</v>
      </c>
      <c r="I49" s="2678"/>
      <c r="J49" s="2679"/>
      <c r="K49" s="2250"/>
      <c r="L49" s="2218"/>
      <c r="M49" s="2217"/>
      <c r="N49" s="2217"/>
      <c r="O49" s="2217"/>
      <c r="P49" s="2217"/>
      <c r="Q49" s="2217"/>
      <c r="R49" s="2217"/>
      <c r="S49" s="2217"/>
      <c r="T49" s="2217"/>
      <c r="U49" s="2217"/>
      <c r="V49" s="2265" t="e">
        <f>#REF!</f>
        <v>#REF!</v>
      </c>
      <c r="W49" s="2234"/>
      <c r="X49" s="2234"/>
      <c r="Y49" s="2234"/>
      <c r="Z49" s="2234"/>
      <c r="AA49" s="2234"/>
      <c r="AB49" s="2234"/>
      <c r="AC49" s="2235"/>
      <c r="AD49" s="2235"/>
      <c r="AE49" s="2268">
        <v>10</v>
      </c>
      <c r="AF49" s="2185">
        <f t="shared" si="2"/>
        <v>10</v>
      </c>
      <c r="AG49" s="2269"/>
      <c r="AH49" s="2217"/>
      <c r="AI49" s="2217"/>
      <c r="AK49" s="1044"/>
      <c r="DG49" s="1043"/>
      <c r="DH49" s="1042"/>
      <c r="DI49" s="1042"/>
      <c r="DJ49" s="1075"/>
    </row>
    <row r="50" spans="1:118" s="1041" customFormat="1" ht="31.5" hidden="1" customHeight="1" outlineLevel="1" x14ac:dyDescent="0.25">
      <c r="A50" s="520"/>
      <c r="B50" s="2263"/>
      <c r="C50" s="2264"/>
      <c r="D50" s="2270" t="s">
        <v>51</v>
      </c>
      <c r="E50" s="2270" t="s">
        <v>688</v>
      </c>
      <c r="F50" s="2271" t="s">
        <v>2281</v>
      </c>
      <c r="G50" s="2157">
        <v>30</v>
      </c>
      <c r="H50" s="2677" t="s">
        <v>2280</v>
      </c>
      <c r="I50" s="2678"/>
      <c r="J50" s="2679"/>
      <c r="K50" s="2250"/>
      <c r="L50" s="2218"/>
      <c r="M50" s="2217"/>
      <c r="N50" s="2217"/>
      <c r="O50" s="2217"/>
      <c r="P50" s="2217"/>
      <c r="Q50" s="2217"/>
      <c r="R50" s="2217"/>
      <c r="S50" s="2217"/>
      <c r="T50" s="2217"/>
      <c r="U50" s="2217"/>
      <c r="V50" s="2270" t="s">
        <v>51</v>
      </c>
      <c r="W50" s="2234"/>
      <c r="X50" s="2234"/>
      <c r="Y50" s="2234"/>
      <c r="Z50" s="2234"/>
      <c r="AA50" s="2234"/>
      <c r="AB50" s="2234"/>
      <c r="AC50" s="2235"/>
      <c r="AD50" s="2235"/>
      <c r="AE50" s="2272">
        <v>30</v>
      </c>
      <c r="AF50" s="2185">
        <f t="shared" si="2"/>
        <v>30</v>
      </c>
      <c r="AG50" s="2273"/>
      <c r="AH50" s="2217"/>
      <c r="AI50" s="2217"/>
      <c r="AK50" s="1044"/>
      <c r="DG50" s="1043"/>
      <c r="DH50" s="1042"/>
      <c r="DI50" s="1042"/>
      <c r="DJ50" s="1075"/>
    </row>
    <row r="51" spans="1:118" s="1041" customFormat="1" hidden="1" outlineLevel="1" x14ac:dyDescent="0.25">
      <c r="A51" s="520"/>
      <c r="B51" s="1042"/>
      <c r="C51" s="1275"/>
      <c r="D51" s="596"/>
      <c r="E51" s="878"/>
      <c r="F51" s="1152"/>
      <c r="G51" s="1152"/>
      <c r="H51" s="1286"/>
      <c r="I51" s="1286"/>
      <c r="J51" s="1286"/>
      <c r="K51" s="1150"/>
      <c r="L51" s="520"/>
      <c r="M51" s="1042"/>
      <c r="N51" s="1042"/>
      <c r="O51" s="1042"/>
      <c r="P51" s="1042"/>
      <c r="Q51" s="1042"/>
      <c r="R51" s="1042"/>
      <c r="S51" s="1042"/>
      <c r="T51" s="1042"/>
      <c r="U51" s="1042"/>
      <c r="V51" s="1060"/>
      <c r="W51" s="1060"/>
      <c r="X51" s="1060"/>
      <c r="Y51" s="1060"/>
      <c r="Z51" s="1060"/>
      <c r="AA51" s="1060"/>
      <c r="AB51" s="1060"/>
      <c r="AC51" s="1060"/>
      <c r="AD51" s="1060"/>
      <c r="AE51" s="1060"/>
      <c r="AF51" s="1045"/>
      <c r="AG51" s="1045"/>
      <c r="AK51" s="1044"/>
      <c r="DG51" s="1043"/>
      <c r="DH51" s="1042"/>
      <c r="DI51" s="1042"/>
      <c r="DJ51" s="1075"/>
    </row>
    <row r="52" spans="1:118" s="1041" customFormat="1" collapsed="1" x14ac:dyDescent="0.25">
      <c r="A52" s="520"/>
      <c r="B52" s="520"/>
      <c r="C52" s="541"/>
      <c r="D52" s="141"/>
      <c r="E52" s="1233"/>
      <c r="F52" s="1233"/>
      <c r="G52" s="1233"/>
      <c r="H52" s="1233"/>
      <c r="I52" s="1233"/>
      <c r="J52" s="1042"/>
      <c r="K52" s="1042"/>
      <c r="L52" s="1042"/>
      <c r="M52" s="520"/>
      <c r="N52" s="520"/>
      <c r="O52" s="1042"/>
      <c r="P52" s="1042"/>
      <c r="Q52" s="1042"/>
      <c r="R52" s="1042"/>
      <c r="S52" s="1042"/>
      <c r="T52" s="1042"/>
      <c r="U52" s="1042"/>
      <c r="V52" s="1042"/>
      <c r="W52" s="1042"/>
      <c r="X52" s="1042"/>
      <c r="Y52" s="1042"/>
      <c r="Z52" s="1042"/>
      <c r="AA52" s="1042"/>
      <c r="AB52" s="1042"/>
      <c r="AC52" s="1042"/>
      <c r="AD52" s="1042"/>
      <c r="AE52" s="1042"/>
      <c r="AK52" s="1044"/>
      <c r="DG52" s="1043"/>
      <c r="DH52" s="1042"/>
      <c r="DI52" s="1042"/>
      <c r="DJ52" s="1075"/>
    </row>
    <row r="53" spans="1:118" s="2062" customFormat="1" x14ac:dyDescent="0.25">
      <c r="A53" s="37"/>
      <c r="B53" s="2680" t="s">
        <v>574</v>
      </c>
      <c r="C53" s="2681"/>
      <c r="D53" s="2681"/>
      <c r="E53" s="2681"/>
      <c r="F53" s="2681"/>
      <c r="G53" s="2681"/>
      <c r="H53" s="2681"/>
      <c r="I53" s="2682"/>
      <c r="J53" s="2682"/>
      <c r="K53" s="2682"/>
      <c r="L53" s="2682"/>
      <c r="M53" s="2683"/>
      <c r="N53" s="2683"/>
      <c r="O53" s="2684"/>
      <c r="V53" s="2055" t="str">
        <f>B53</f>
        <v>Custom Measure</v>
      </c>
      <c r="W53" s="2063"/>
      <c r="X53" s="2063"/>
      <c r="Y53" s="2063"/>
      <c r="Z53" s="2063"/>
      <c r="AA53" s="2063"/>
      <c r="AB53" s="2063"/>
      <c r="AC53" s="2063"/>
      <c r="AD53" s="2063"/>
      <c r="AE53" s="2063"/>
      <c r="AF53" s="2063"/>
      <c r="AG53" s="2063"/>
      <c r="AH53" s="2063"/>
      <c r="AI53" s="2064"/>
      <c r="AJ53" s="37"/>
      <c r="AK53" s="37"/>
      <c r="AL53" s="37"/>
      <c r="AM53" s="37"/>
      <c r="AN53" s="37"/>
      <c r="AO53" s="37"/>
      <c r="AP53" s="37"/>
      <c r="AQ53" s="37"/>
      <c r="AR53" s="37"/>
      <c r="AS53" s="37"/>
      <c r="AT53" s="37"/>
      <c r="AU53" s="37"/>
      <c r="AV53" s="37"/>
      <c r="BG53" s="37"/>
      <c r="DK53" s="2065"/>
      <c r="DN53" s="1030"/>
    </row>
    <row r="54" spans="1:118" s="37" customFormat="1" x14ac:dyDescent="0.25">
      <c r="C54" s="2062"/>
      <c r="D54" s="2066"/>
      <c r="E54" s="2062"/>
      <c r="F54" s="2062"/>
      <c r="G54" s="2062"/>
      <c r="H54" s="2067"/>
      <c r="I54" s="2062"/>
      <c r="J54" s="2062"/>
      <c r="K54" s="2062"/>
      <c r="L54" s="2062"/>
      <c r="P54" s="2062"/>
      <c r="Q54" s="2062"/>
      <c r="R54" s="2062"/>
      <c r="S54" s="2062"/>
      <c r="T54" s="2062"/>
      <c r="U54" s="2062"/>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CJ54" s="39"/>
      <c r="CK54" s="39"/>
      <c r="CL54" s="39"/>
      <c r="CM54" s="39"/>
      <c r="DA54" s="39"/>
      <c r="DB54" s="39"/>
      <c r="DC54" s="39"/>
      <c r="DD54" s="39"/>
      <c r="DK54" s="2069"/>
      <c r="DN54" s="1071"/>
    </row>
    <row r="55" spans="1:118" s="2073" customFormat="1" ht="45" x14ac:dyDescent="0.25">
      <c r="A55" s="37"/>
      <c r="B55" s="2068"/>
      <c r="C55" s="2070" t="s">
        <v>43</v>
      </c>
      <c r="D55" s="2070" t="s">
        <v>44</v>
      </c>
      <c r="E55" s="2071" t="s">
        <v>45</v>
      </c>
      <c r="F55" s="2071" t="s">
        <v>575</v>
      </c>
      <c r="G55" s="2071" t="s">
        <v>47</v>
      </c>
      <c r="H55" s="2072" t="s">
        <v>48</v>
      </c>
      <c r="I55" s="2071" t="s">
        <v>49</v>
      </c>
      <c r="J55" s="2071" t="s">
        <v>50</v>
      </c>
      <c r="K55" s="2070" t="s">
        <v>51</v>
      </c>
      <c r="L55" s="2070" t="s">
        <v>52</v>
      </c>
      <c r="M55" s="37"/>
      <c r="N55" s="37"/>
      <c r="O55" s="37"/>
      <c r="V55" s="944" t="s">
        <v>53</v>
      </c>
      <c r="W55" s="939">
        <f>$W$8</f>
        <v>0</v>
      </c>
      <c r="X55" s="939">
        <f>$X$8</f>
        <v>0</v>
      </c>
      <c r="Y55" s="939">
        <f>$Y$8</f>
        <v>0</v>
      </c>
      <c r="Z55" s="939">
        <f>$Z$8</f>
        <v>0</v>
      </c>
      <c r="AA55" s="939">
        <f>$AA$8</f>
        <v>0</v>
      </c>
      <c r="AB55" s="939">
        <v>44166</v>
      </c>
      <c r="AC55" s="939">
        <f>$AC$8</f>
        <v>0</v>
      </c>
      <c r="AD55" s="939">
        <f>$AD$8</f>
        <v>0</v>
      </c>
      <c r="AE55" s="939">
        <f>$AE$8</f>
        <v>0</v>
      </c>
      <c r="AF55" s="939">
        <f>$AF$8</f>
        <v>0</v>
      </c>
      <c r="AG55" s="939">
        <f>$AG$8</f>
        <v>0</v>
      </c>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DK55" s="813">
        <f>$DK$8</f>
        <v>0</v>
      </c>
      <c r="DL55" s="1079">
        <f>$DL$8</f>
        <v>0</v>
      </c>
      <c r="DM55" s="1079">
        <f>$DM$8</f>
        <v>0</v>
      </c>
      <c r="DN55" s="2074">
        <f>$DN$8</f>
        <v>0</v>
      </c>
    </row>
    <row r="56" spans="1:118" s="2080" customFormat="1" ht="30" x14ac:dyDescent="0.25">
      <c r="A56" s="2079"/>
      <c r="B56" s="2080">
        <v>450700</v>
      </c>
      <c r="C56" s="113" t="s">
        <v>2282</v>
      </c>
      <c r="D56" s="2081" t="s">
        <v>861</v>
      </c>
      <c r="E56" s="2082" t="s">
        <v>576</v>
      </c>
      <c r="F56" s="2083" t="s">
        <v>576</v>
      </c>
      <c r="G56" s="2081" t="s">
        <v>586</v>
      </c>
      <c r="H56" s="2084" t="s">
        <v>586</v>
      </c>
      <c r="I56" s="2085" t="s">
        <v>576</v>
      </c>
      <c r="J56" s="2086" t="s">
        <v>576</v>
      </c>
      <c r="K56" s="2086" t="s">
        <v>576</v>
      </c>
      <c r="L56" s="2076" t="s">
        <v>576</v>
      </c>
      <c r="V56" s="2077" t="s">
        <v>46</v>
      </c>
      <c r="W56" s="1057"/>
      <c r="X56" s="1057"/>
      <c r="Y56" s="1903" t="s">
        <v>576</v>
      </c>
      <c r="Z56" s="1903" t="s">
        <v>576</v>
      </c>
      <c r="AA56" s="1903" t="s">
        <v>576</v>
      </c>
      <c r="AB56" s="2087" t="s">
        <v>576</v>
      </c>
      <c r="AC56" s="135" t="s">
        <v>576</v>
      </c>
      <c r="AD56" s="135" t="s">
        <v>576</v>
      </c>
      <c r="AE56" s="2088" t="s">
        <v>576</v>
      </c>
      <c r="AF56" s="2088" t="s">
        <v>576</v>
      </c>
      <c r="AG56" s="2088" t="s">
        <v>576</v>
      </c>
      <c r="AH56" s="1076"/>
      <c r="AI56" s="1076"/>
      <c r="AJ56" s="1076"/>
      <c r="AK56" s="1076"/>
      <c r="AL56" s="1076"/>
      <c r="AM56" s="1076"/>
      <c r="AN56" s="1076"/>
      <c r="AO56" s="1076"/>
      <c r="AP56" s="1076"/>
      <c r="AQ56" s="1076"/>
      <c r="AR56" s="1076"/>
      <c r="AS56" s="1076"/>
      <c r="AT56" s="1076"/>
      <c r="AU56" s="1076"/>
      <c r="AV56" s="1076"/>
      <c r="AW56" s="1076"/>
      <c r="AX56" s="1076"/>
      <c r="AY56" s="1076"/>
      <c r="AZ56" s="1076"/>
      <c r="BA56" s="1076"/>
      <c r="BB56" s="1076"/>
      <c r="BC56" s="1076"/>
      <c r="BD56" s="1076"/>
      <c r="BE56" s="1076"/>
      <c r="BF56" s="1076"/>
      <c r="BG56" s="1076"/>
      <c r="BH56" s="1076"/>
      <c r="BI56" s="1076"/>
      <c r="BJ56" s="1076"/>
      <c r="BK56" s="1076"/>
      <c r="BL56" s="1076"/>
      <c r="BM56" s="1076"/>
      <c r="BN56" s="1076"/>
      <c r="CJ56" s="1076"/>
      <c r="CK56" s="1076"/>
      <c r="CL56" s="1076"/>
      <c r="CM56" s="1076"/>
      <c r="DA56" s="1076"/>
      <c r="DB56" s="1076"/>
      <c r="DC56" s="1076"/>
      <c r="DD56" s="1076"/>
      <c r="DK56" s="2089" t="s">
        <v>576</v>
      </c>
      <c r="DL56" s="2090" t="str">
        <f>CONCATENATE(G56," ",J56," Year EUL")</f>
        <v>Variable Custom Year EUL</v>
      </c>
      <c r="DM56" s="2091" t="s">
        <v>576</v>
      </c>
      <c r="DN56" s="2092" t="s">
        <v>576</v>
      </c>
    </row>
    <row r="57" spans="1:118" x14ac:dyDescent="0.25">
      <c r="A57" s="520"/>
    </row>
    <row r="58" spans="1:118" x14ac:dyDescent="0.25">
      <c r="A58" s="520"/>
    </row>
    <row r="59" spans="1:118" x14ac:dyDescent="0.25">
      <c r="A59" s="520"/>
    </row>
    <row r="60" spans="1:118" x14ac:dyDescent="0.25">
      <c r="A60" s="520"/>
    </row>
    <row r="61" spans="1:118" x14ac:dyDescent="0.25">
      <c r="A61" s="520"/>
    </row>
    <row r="62" spans="1:118" x14ac:dyDescent="0.25">
      <c r="A62" s="520"/>
    </row>
    <row r="63" spans="1:118" x14ac:dyDescent="0.25">
      <c r="A63" s="520"/>
    </row>
    <row r="64" spans="1:118" x14ac:dyDescent="0.25">
      <c r="A64" s="520"/>
    </row>
    <row r="65" spans="1:1" x14ac:dyDescent="0.25">
      <c r="A65" s="520"/>
    </row>
    <row r="66" spans="1:1" x14ac:dyDescent="0.25">
      <c r="A66" s="520"/>
    </row>
    <row r="67" spans="1:1" x14ac:dyDescent="0.25">
      <c r="A67" s="520"/>
    </row>
    <row r="68" spans="1:1" x14ac:dyDescent="0.25">
      <c r="A68" s="520"/>
    </row>
    <row r="69" spans="1:1" x14ac:dyDescent="0.25">
      <c r="A69" s="520"/>
    </row>
    <row r="70" spans="1:1" x14ac:dyDescent="0.25">
      <c r="A70" s="520"/>
    </row>
    <row r="71" spans="1:1" x14ac:dyDescent="0.25">
      <c r="A71" s="520"/>
    </row>
    <row r="72" spans="1:1" x14ac:dyDescent="0.25">
      <c r="A72" s="520"/>
    </row>
    <row r="73" spans="1:1" x14ac:dyDescent="0.25">
      <c r="A73" s="520"/>
    </row>
    <row r="74" spans="1:1" x14ac:dyDescent="0.25">
      <c r="A74" s="520"/>
    </row>
    <row r="75" spans="1:1" x14ac:dyDescent="0.25">
      <c r="A75" s="520"/>
    </row>
    <row r="76" spans="1:1" x14ac:dyDescent="0.25">
      <c r="A76" s="520"/>
    </row>
    <row r="77" spans="1:1" x14ac:dyDescent="0.25">
      <c r="A77" s="520"/>
    </row>
    <row r="78" spans="1:1" x14ac:dyDescent="0.25">
      <c r="A78" s="520"/>
    </row>
    <row r="79" spans="1:1" x14ac:dyDescent="0.25">
      <c r="A79" s="520"/>
    </row>
    <row r="80" spans="1:1" x14ac:dyDescent="0.25">
      <c r="A80" s="520"/>
    </row>
    <row r="81" spans="1:1" x14ac:dyDescent="0.25">
      <c r="A81" s="520"/>
    </row>
    <row r="82" spans="1:1" x14ac:dyDescent="0.25">
      <c r="A82" s="520"/>
    </row>
    <row r="83" spans="1:1" x14ac:dyDescent="0.25">
      <c r="A83" s="520"/>
    </row>
    <row r="84" spans="1:1" x14ac:dyDescent="0.25">
      <c r="A84" s="520"/>
    </row>
    <row r="85" spans="1:1" x14ac:dyDescent="0.25">
      <c r="A85" s="520"/>
    </row>
    <row r="86" spans="1:1" x14ac:dyDescent="0.25">
      <c r="A86" s="520"/>
    </row>
    <row r="87" spans="1:1" x14ac:dyDescent="0.25">
      <c r="A87" s="520"/>
    </row>
    <row r="88" spans="1:1" x14ac:dyDescent="0.25">
      <c r="A88" s="520"/>
    </row>
    <row r="89" spans="1:1" x14ac:dyDescent="0.25">
      <c r="A89" s="520"/>
    </row>
    <row r="90" spans="1:1" x14ac:dyDescent="0.25">
      <c r="A90" s="520"/>
    </row>
    <row r="91" spans="1:1" x14ac:dyDescent="0.25">
      <c r="A91" s="520"/>
    </row>
    <row r="92" spans="1:1" x14ac:dyDescent="0.25">
      <c r="A92" s="520"/>
    </row>
    <row r="93" spans="1:1" x14ac:dyDescent="0.25">
      <c r="A93" s="520"/>
    </row>
    <row r="94" spans="1:1" x14ac:dyDescent="0.25">
      <c r="A94" s="520"/>
    </row>
    <row r="95" spans="1:1" x14ac:dyDescent="0.25">
      <c r="A95" s="520"/>
    </row>
    <row r="96" spans="1:1" x14ac:dyDescent="0.25">
      <c r="A96" s="520"/>
    </row>
    <row r="97" spans="1:1" x14ac:dyDescent="0.25">
      <c r="A97" s="520"/>
    </row>
    <row r="98" spans="1:1" x14ac:dyDescent="0.25">
      <c r="A98" s="520"/>
    </row>
    <row r="99" spans="1:1" x14ac:dyDescent="0.25">
      <c r="A99" s="520"/>
    </row>
    <row r="100" spans="1:1" x14ac:dyDescent="0.25">
      <c r="A100" s="520"/>
    </row>
    <row r="101" spans="1:1" x14ac:dyDescent="0.25">
      <c r="A101" s="520"/>
    </row>
    <row r="102" spans="1:1" x14ac:dyDescent="0.25">
      <c r="A102" s="520"/>
    </row>
    <row r="103" spans="1:1" x14ac:dyDescent="0.25">
      <c r="A103" s="520"/>
    </row>
    <row r="104" spans="1:1" x14ac:dyDescent="0.25">
      <c r="A104" s="520"/>
    </row>
    <row r="105" spans="1:1" x14ac:dyDescent="0.25">
      <c r="A105" s="520"/>
    </row>
    <row r="106" spans="1:1" x14ac:dyDescent="0.25">
      <c r="A106" s="520"/>
    </row>
    <row r="107" spans="1:1" x14ac:dyDescent="0.25">
      <c r="A107" s="520"/>
    </row>
    <row r="108" spans="1:1" x14ac:dyDescent="0.25">
      <c r="A108" s="520"/>
    </row>
    <row r="109" spans="1:1" x14ac:dyDescent="0.25">
      <c r="A109" s="520"/>
    </row>
    <row r="110" spans="1:1" x14ac:dyDescent="0.25">
      <c r="A110" s="520"/>
    </row>
    <row r="111" spans="1:1" x14ac:dyDescent="0.25">
      <c r="A111" s="520"/>
    </row>
    <row r="112" spans="1:1" x14ac:dyDescent="0.25">
      <c r="A112" s="520"/>
    </row>
    <row r="113" spans="1:1" x14ac:dyDescent="0.25">
      <c r="A113" s="520"/>
    </row>
    <row r="114" spans="1:1" x14ac:dyDescent="0.25">
      <c r="A114" s="520"/>
    </row>
    <row r="115" spans="1:1" x14ac:dyDescent="0.25">
      <c r="A115" s="520"/>
    </row>
    <row r="116" spans="1:1" x14ac:dyDescent="0.25">
      <c r="A116" s="520"/>
    </row>
    <row r="117" spans="1:1" x14ac:dyDescent="0.25">
      <c r="A117" s="520"/>
    </row>
    <row r="118" spans="1:1" x14ac:dyDescent="0.25">
      <c r="A118" s="520"/>
    </row>
    <row r="119" spans="1:1" x14ac:dyDescent="0.25">
      <c r="A119" s="520"/>
    </row>
    <row r="120" spans="1:1" x14ac:dyDescent="0.25">
      <c r="A120" s="520"/>
    </row>
    <row r="121" spans="1:1" x14ac:dyDescent="0.25">
      <c r="A121" s="520"/>
    </row>
    <row r="122" spans="1:1" x14ac:dyDescent="0.25">
      <c r="A122" s="520"/>
    </row>
    <row r="123" spans="1:1" x14ac:dyDescent="0.25">
      <c r="A123" s="520"/>
    </row>
    <row r="124" spans="1:1" x14ac:dyDescent="0.25">
      <c r="A124" s="520"/>
    </row>
    <row r="125" spans="1:1" x14ac:dyDescent="0.25">
      <c r="A125" s="520"/>
    </row>
    <row r="126" spans="1:1" x14ac:dyDescent="0.25">
      <c r="A126" s="520"/>
    </row>
    <row r="127" spans="1:1" x14ac:dyDescent="0.25">
      <c r="A127" s="520"/>
    </row>
    <row r="128" spans="1:1" x14ac:dyDescent="0.25">
      <c r="A128" s="520"/>
    </row>
    <row r="129" spans="1:1" x14ac:dyDescent="0.25">
      <c r="A129" s="520"/>
    </row>
    <row r="130" spans="1:1" x14ac:dyDescent="0.25">
      <c r="A130" s="520"/>
    </row>
    <row r="131" spans="1:1" x14ac:dyDescent="0.25">
      <c r="A131" s="520"/>
    </row>
    <row r="132" spans="1:1" x14ac:dyDescent="0.25">
      <c r="A132" s="520"/>
    </row>
    <row r="133" spans="1:1" x14ac:dyDescent="0.25">
      <c r="A133" s="520"/>
    </row>
    <row r="134" spans="1:1" x14ac:dyDescent="0.25">
      <c r="A134" s="520"/>
    </row>
    <row r="135" spans="1:1" x14ac:dyDescent="0.25">
      <c r="A135" s="520"/>
    </row>
    <row r="136" spans="1:1" x14ac:dyDescent="0.25">
      <c r="A136" s="520"/>
    </row>
    <row r="137" spans="1:1" x14ac:dyDescent="0.25">
      <c r="A137" s="520"/>
    </row>
    <row r="138" spans="1:1" x14ac:dyDescent="0.25">
      <c r="A138" s="520"/>
    </row>
    <row r="139" spans="1:1" x14ac:dyDescent="0.25">
      <c r="A139" s="520"/>
    </row>
    <row r="140" spans="1:1" x14ac:dyDescent="0.25">
      <c r="A140" s="520"/>
    </row>
    <row r="141" spans="1:1" x14ac:dyDescent="0.25">
      <c r="A141" s="520"/>
    </row>
    <row r="142" spans="1:1" x14ac:dyDescent="0.25">
      <c r="A142" s="520"/>
    </row>
    <row r="143" spans="1:1" x14ac:dyDescent="0.25">
      <c r="A143" s="520"/>
    </row>
    <row r="144" spans="1:1" x14ac:dyDescent="0.25">
      <c r="A144" s="520"/>
    </row>
    <row r="145" spans="1:1" x14ac:dyDescent="0.25">
      <c r="A145" s="520"/>
    </row>
    <row r="146" spans="1:1" x14ac:dyDescent="0.25">
      <c r="A146" s="520"/>
    </row>
    <row r="147" spans="1:1" x14ac:dyDescent="0.25">
      <c r="A147" s="520"/>
    </row>
    <row r="148" spans="1:1" x14ac:dyDescent="0.25">
      <c r="A148" s="520"/>
    </row>
    <row r="149" spans="1:1" x14ac:dyDescent="0.25">
      <c r="A149" s="520"/>
    </row>
    <row r="150" spans="1:1" x14ac:dyDescent="0.25">
      <c r="A150" s="520"/>
    </row>
    <row r="151" spans="1:1" x14ac:dyDescent="0.25">
      <c r="A151" s="520"/>
    </row>
    <row r="152" spans="1:1" x14ac:dyDescent="0.25">
      <c r="A152" s="520"/>
    </row>
    <row r="153" spans="1:1" x14ac:dyDescent="0.25">
      <c r="A153" s="520"/>
    </row>
    <row r="154" spans="1:1" x14ac:dyDescent="0.25">
      <c r="A154" s="520"/>
    </row>
    <row r="155" spans="1:1" x14ac:dyDescent="0.25">
      <c r="A155" s="520"/>
    </row>
    <row r="156" spans="1:1" x14ac:dyDescent="0.25">
      <c r="A156" s="520"/>
    </row>
    <row r="157" spans="1:1" x14ac:dyDescent="0.25">
      <c r="A157" s="520"/>
    </row>
    <row r="158" spans="1:1" x14ac:dyDescent="0.25">
      <c r="A158" s="520"/>
    </row>
    <row r="159" spans="1:1" x14ac:dyDescent="0.25">
      <c r="A159" s="520"/>
    </row>
    <row r="160" spans="1:1" x14ac:dyDescent="0.25">
      <c r="A160" s="520"/>
    </row>
    <row r="161" spans="1:1" x14ac:dyDescent="0.25">
      <c r="A161" s="520"/>
    </row>
    <row r="162" spans="1:1" x14ac:dyDescent="0.25">
      <c r="A162" s="520"/>
    </row>
    <row r="163" spans="1:1" x14ac:dyDescent="0.25">
      <c r="A163" s="520"/>
    </row>
    <row r="164" spans="1:1" x14ac:dyDescent="0.25">
      <c r="A164" s="520"/>
    </row>
    <row r="165" spans="1:1" x14ac:dyDescent="0.25">
      <c r="A165" s="520"/>
    </row>
    <row r="166" spans="1:1" x14ac:dyDescent="0.25">
      <c r="A166" s="520"/>
    </row>
    <row r="167" spans="1:1" x14ac:dyDescent="0.25">
      <c r="A167" s="520"/>
    </row>
    <row r="168" spans="1:1" x14ac:dyDescent="0.25">
      <c r="A168" s="520"/>
    </row>
    <row r="169" spans="1:1" x14ac:dyDescent="0.25">
      <c r="A169" s="520"/>
    </row>
    <row r="170" spans="1:1" x14ac:dyDescent="0.25">
      <c r="A170" s="520"/>
    </row>
    <row r="171" spans="1:1" x14ac:dyDescent="0.25">
      <c r="A171" s="520"/>
    </row>
    <row r="172" spans="1:1" x14ac:dyDescent="0.25">
      <c r="A172" s="520"/>
    </row>
    <row r="173" spans="1:1" x14ac:dyDescent="0.25">
      <c r="A173" s="520"/>
    </row>
    <row r="174" spans="1:1" x14ac:dyDescent="0.25">
      <c r="A174" s="520"/>
    </row>
    <row r="175" spans="1:1" x14ac:dyDescent="0.25">
      <c r="A175" s="520"/>
    </row>
    <row r="176" spans="1:1" x14ac:dyDescent="0.25">
      <c r="A176" s="520"/>
    </row>
    <row r="177" spans="1:1" x14ac:dyDescent="0.25">
      <c r="A177" s="520"/>
    </row>
    <row r="178" spans="1:1" x14ac:dyDescent="0.25">
      <c r="A178" s="520"/>
    </row>
    <row r="179" spans="1:1" x14ac:dyDescent="0.25">
      <c r="A179" s="520"/>
    </row>
    <row r="180" spans="1:1" x14ac:dyDescent="0.25">
      <c r="A180" s="520"/>
    </row>
    <row r="181" spans="1:1" x14ac:dyDescent="0.25">
      <c r="A181" s="520"/>
    </row>
    <row r="182" spans="1:1" x14ac:dyDescent="0.25">
      <c r="A182" s="520"/>
    </row>
    <row r="183" spans="1:1" x14ac:dyDescent="0.25">
      <c r="A183" s="520"/>
    </row>
    <row r="184" spans="1:1" x14ac:dyDescent="0.25">
      <c r="A184" s="520"/>
    </row>
    <row r="185" spans="1:1" x14ac:dyDescent="0.25">
      <c r="A185" s="520"/>
    </row>
    <row r="186" spans="1:1" x14ac:dyDescent="0.25">
      <c r="A186" s="520"/>
    </row>
    <row r="187" spans="1:1" x14ac:dyDescent="0.25">
      <c r="A187" s="520"/>
    </row>
    <row r="188" spans="1:1" x14ac:dyDescent="0.25">
      <c r="A188" s="520"/>
    </row>
    <row r="189" spans="1:1" x14ac:dyDescent="0.25">
      <c r="A189" s="520"/>
    </row>
    <row r="190" spans="1:1" x14ac:dyDescent="0.25">
      <c r="A190" s="520"/>
    </row>
    <row r="191" spans="1:1" x14ac:dyDescent="0.25">
      <c r="A191" s="520"/>
    </row>
    <row r="192" spans="1:1" x14ac:dyDescent="0.25">
      <c r="A192" s="520"/>
    </row>
    <row r="193" spans="1:1" x14ac:dyDescent="0.25">
      <c r="A193" s="520"/>
    </row>
    <row r="194" spans="1:1" x14ac:dyDescent="0.25">
      <c r="A194" s="520"/>
    </row>
    <row r="195" spans="1:1" x14ac:dyDescent="0.25">
      <c r="A195" s="520"/>
    </row>
    <row r="196" spans="1:1" x14ac:dyDescent="0.25">
      <c r="A196" s="520"/>
    </row>
    <row r="197" spans="1:1" x14ac:dyDescent="0.25">
      <c r="A197" s="520"/>
    </row>
    <row r="198" spans="1:1" x14ac:dyDescent="0.25">
      <c r="A198" s="520"/>
    </row>
    <row r="199" spans="1:1" x14ac:dyDescent="0.25">
      <c r="A199" s="520"/>
    </row>
    <row r="200" spans="1:1" x14ac:dyDescent="0.25">
      <c r="A200" s="520"/>
    </row>
    <row r="201" spans="1:1" x14ac:dyDescent="0.25">
      <c r="A201" s="520"/>
    </row>
    <row r="202" spans="1:1" x14ac:dyDescent="0.25">
      <c r="A202" s="520"/>
    </row>
    <row r="203" spans="1:1" x14ac:dyDescent="0.25">
      <c r="A203" s="520"/>
    </row>
    <row r="204" spans="1:1" x14ac:dyDescent="0.25">
      <c r="A204" s="520"/>
    </row>
    <row r="205" spans="1:1" x14ac:dyDescent="0.25">
      <c r="A205" s="520"/>
    </row>
    <row r="206" spans="1:1" x14ac:dyDescent="0.25">
      <c r="A206" s="520"/>
    </row>
    <row r="207" spans="1:1" x14ac:dyDescent="0.25">
      <c r="A207" s="520"/>
    </row>
    <row r="208" spans="1:1" x14ac:dyDescent="0.25">
      <c r="A208" s="520"/>
    </row>
    <row r="209" spans="1:1" x14ac:dyDescent="0.25">
      <c r="A209" s="520"/>
    </row>
    <row r="210" spans="1:1" x14ac:dyDescent="0.25">
      <c r="A210" s="520"/>
    </row>
    <row r="211" spans="1:1" x14ac:dyDescent="0.25">
      <c r="A211" s="520"/>
    </row>
    <row r="212" spans="1:1" x14ac:dyDescent="0.25">
      <c r="A212" s="520"/>
    </row>
    <row r="213" spans="1:1" x14ac:dyDescent="0.25">
      <c r="A213" s="520"/>
    </row>
    <row r="214" spans="1:1" x14ac:dyDescent="0.25">
      <c r="A214" s="520"/>
    </row>
    <row r="215" spans="1:1" x14ac:dyDescent="0.25">
      <c r="A215" s="520"/>
    </row>
    <row r="216" spans="1:1" x14ac:dyDescent="0.25">
      <c r="A216" s="520"/>
    </row>
    <row r="217" spans="1:1" x14ac:dyDescent="0.25">
      <c r="A217" s="520"/>
    </row>
    <row r="218" spans="1:1" x14ac:dyDescent="0.25">
      <c r="A218" s="520"/>
    </row>
    <row r="219" spans="1:1" x14ac:dyDescent="0.25">
      <c r="A219" s="520"/>
    </row>
    <row r="220" spans="1:1" x14ac:dyDescent="0.25">
      <c r="A220" s="520"/>
    </row>
    <row r="221" spans="1:1" x14ac:dyDescent="0.25">
      <c r="A221" s="520"/>
    </row>
    <row r="222" spans="1:1" x14ac:dyDescent="0.25">
      <c r="A222" s="520"/>
    </row>
    <row r="223" spans="1:1" x14ac:dyDescent="0.25">
      <c r="A223" s="520"/>
    </row>
    <row r="224" spans="1:1" x14ac:dyDescent="0.25">
      <c r="A224" s="520"/>
    </row>
    <row r="225" spans="1:1" x14ac:dyDescent="0.25">
      <c r="A225" s="520"/>
    </row>
    <row r="226" spans="1:1" x14ac:dyDescent="0.25">
      <c r="A226" s="520"/>
    </row>
    <row r="227" spans="1:1" x14ac:dyDescent="0.25">
      <c r="A227" s="520"/>
    </row>
    <row r="228" spans="1:1" x14ac:dyDescent="0.25">
      <c r="A228" s="520"/>
    </row>
    <row r="229" spans="1:1" x14ac:dyDescent="0.25">
      <c r="A229" s="520"/>
    </row>
    <row r="230" spans="1:1" x14ac:dyDescent="0.25">
      <c r="A230" s="520"/>
    </row>
    <row r="231" spans="1:1" x14ac:dyDescent="0.25">
      <c r="A231" s="520"/>
    </row>
    <row r="232" spans="1:1" x14ac:dyDescent="0.25">
      <c r="A232" s="520"/>
    </row>
    <row r="233" spans="1:1" x14ac:dyDescent="0.25">
      <c r="A233" s="520"/>
    </row>
    <row r="234" spans="1:1" x14ac:dyDescent="0.25">
      <c r="A234" s="520"/>
    </row>
    <row r="235" spans="1:1" x14ac:dyDescent="0.25">
      <c r="A235" s="520"/>
    </row>
    <row r="236" spans="1:1" x14ac:dyDescent="0.25">
      <c r="A236" s="520"/>
    </row>
    <row r="237" spans="1:1" x14ac:dyDescent="0.25">
      <c r="A237" s="520"/>
    </row>
    <row r="238" spans="1:1" x14ac:dyDescent="0.25">
      <c r="A238" s="520"/>
    </row>
    <row r="239" spans="1:1" x14ac:dyDescent="0.25">
      <c r="A239" s="520"/>
    </row>
    <row r="240" spans="1:1" x14ac:dyDescent="0.25">
      <c r="A240" s="520"/>
    </row>
    <row r="241" spans="1:1" x14ac:dyDescent="0.25">
      <c r="A241" s="520"/>
    </row>
    <row r="242" spans="1:1" x14ac:dyDescent="0.25">
      <c r="A242" s="520"/>
    </row>
    <row r="243" spans="1:1" x14ac:dyDescent="0.25">
      <c r="A243" s="520"/>
    </row>
    <row r="244" spans="1:1" x14ac:dyDescent="0.25">
      <c r="A244" s="520"/>
    </row>
    <row r="245" spans="1:1" x14ac:dyDescent="0.25">
      <c r="A245" s="520"/>
    </row>
    <row r="246" spans="1:1" x14ac:dyDescent="0.25">
      <c r="A246" s="520"/>
    </row>
    <row r="247" spans="1:1" x14ac:dyDescent="0.25">
      <c r="A247" s="520"/>
    </row>
    <row r="248" spans="1:1" x14ac:dyDescent="0.25">
      <c r="A248" s="520"/>
    </row>
    <row r="249" spans="1:1" x14ac:dyDescent="0.25">
      <c r="A249" s="520"/>
    </row>
    <row r="250" spans="1:1" x14ac:dyDescent="0.25">
      <c r="A250" s="520"/>
    </row>
    <row r="251" spans="1:1" x14ac:dyDescent="0.25">
      <c r="A251" s="520"/>
    </row>
    <row r="252" spans="1:1" x14ac:dyDescent="0.25">
      <c r="A252" s="520"/>
    </row>
    <row r="253" spans="1:1" x14ac:dyDescent="0.25">
      <c r="A253" s="520"/>
    </row>
    <row r="254" spans="1:1" x14ac:dyDescent="0.25">
      <c r="A254" s="520"/>
    </row>
    <row r="255" spans="1:1" x14ac:dyDescent="0.25">
      <c r="A255" s="520"/>
    </row>
    <row r="256" spans="1:1" x14ac:dyDescent="0.25">
      <c r="A256" s="520"/>
    </row>
    <row r="257" spans="1:1" x14ac:dyDescent="0.25">
      <c r="A257" s="520"/>
    </row>
    <row r="258" spans="1:1" x14ac:dyDescent="0.25">
      <c r="A258" s="520"/>
    </row>
    <row r="259" spans="1:1" x14ac:dyDescent="0.25">
      <c r="A259" s="520"/>
    </row>
    <row r="260" spans="1:1" x14ac:dyDescent="0.25">
      <c r="A260" s="520"/>
    </row>
    <row r="261" spans="1:1" x14ac:dyDescent="0.25">
      <c r="A261" s="520"/>
    </row>
    <row r="262" spans="1:1" x14ac:dyDescent="0.25">
      <c r="A262" s="520"/>
    </row>
    <row r="263" spans="1:1" x14ac:dyDescent="0.25">
      <c r="A263" s="520"/>
    </row>
    <row r="264" spans="1:1" x14ac:dyDescent="0.25">
      <c r="A264" s="520"/>
    </row>
    <row r="265" spans="1:1" x14ac:dyDescent="0.25">
      <c r="A265" s="520"/>
    </row>
    <row r="266" spans="1:1" x14ac:dyDescent="0.25">
      <c r="A266" s="520"/>
    </row>
    <row r="267" spans="1:1" x14ac:dyDescent="0.25">
      <c r="A267" s="520"/>
    </row>
    <row r="268" spans="1:1" x14ac:dyDescent="0.25">
      <c r="A268" s="520"/>
    </row>
    <row r="269" spans="1:1" x14ac:dyDescent="0.25">
      <c r="A269" s="520"/>
    </row>
    <row r="270" spans="1:1" x14ac:dyDescent="0.25">
      <c r="A270" s="520"/>
    </row>
    <row r="271" spans="1:1" x14ac:dyDescent="0.25">
      <c r="A271" s="520"/>
    </row>
    <row r="272" spans="1:1" x14ac:dyDescent="0.25">
      <c r="A272" s="520"/>
    </row>
    <row r="273" spans="1:1" x14ac:dyDescent="0.25">
      <c r="A273" s="520"/>
    </row>
    <row r="274" spans="1:1" x14ac:dyDescent="0.25">
      <c r="A274" s="520"/>
    </row>
    <row r="275" spans="1:1" x14ac:dyDescent="0.25">
      <c r="A275" s="520"/>
    </row>
    <row r="276" spans="1:1" x14ac:dyDescent="0.25">
      <c r="A276" s="520"/>
    </row>
    <row r="277" spans="1:1" x14ac:dyDescent="0.25">
      <c r="A277" s="520"/>
    </row>
    <row r="278" spans="1:1" x14ac:dyDescent="0.25">
      <c r="A278" s="520"/>
    </row>
    <row r="279" spans="1:1" x14ac:dyDescent="0.25">
      <c r="A279" s="520"/>
    </row>
    <row r="280" spans="1:1" x14ac:dyDescent="0.25">
      <c r="A280" s="520"/>
    </row>
    <row r="281" spans="1:1" x14ac:dyDescent="0.25">
      <c r="A281" s="520"/>
    </row>
    <row r="282" spans="1:1" x14ac:dyDescent="0.25">
      <c r="A282" s="520"/>
    </row>
    <row r="283" spans="1:1" x14ac:dyDescent="0.25">
      <c r="A283" s="520"/>
    </row>
    <row r="284" spans="1:1" x14ac:dyDescent="0.25">
      <c r="A284" s="520"/>
    </row>
    <row r="285" spans="1:1" x14ac:dyDescent="0.25">
      <c r="A285" s="520"/>
    </row>
    <row r="286" spans="1:1" x14ac:dyDescent="0.25">
      <c r="A286" s="520"/>
    </row>
    <row r="287" spans="1:1" x14ac:dyDescent="0.25">
      <c r="A287" s="520"/>
    </row>
    <row r="288" spans="1:1" x14ac:dyDescent="0.25">
      <c r="A288" s="520"/>
    </row>
    <row r="289" spans="1:1" x14ac:dyDescent="0.25">
      <c r="A289" s="520"/>
    </row>
    <row r="290" spans="1:1" x14ac:dyDescent="0.25">
      <c r="A290" s="520"/>
    </row>
    <row r="291" spans="1:1" x14ac:dyDescent="0.25">
      <c r="A291" s="520"/>
    </row>
    <row r="292" spans="1:1" x14ac:dyDescent="0.25">
      <c r="A292" s="520"/>
    </row>
    <row r="293" spans="1:1" x14ac:dyDescent="0.25">
      <c r="A293" s="520"/>
    </row>
    <row r="294" spans="1:1" x14ac:dyDescent="0.25">
      <c r="A294" s="520"/>
    </row>
    <row r="295" spans="1:1" x14ac:dyDescent="0.25">
      <c r="A295" s="520"/>
    </row>
    <row r="296" spans="1:1" x14ac:dyDescent="0.25">
      <c r="A296" s="520"/>
    </row>
    <row r="297" spans="1:1" x14ac:dyDescent="0.25">
      <c r="A297" s="520"/>
    </row>
    <row r="298" spans="1:1" x14ac:dyDescent="0.25">
      <c r="A298" s="520"/>
    </row>
    <row r="299" spans="1:1" x14ac:dyDescent="0.25">
      <c r="A299" s="520"/>
    </row>
    <row r="300" spans="1:1" x14ac:dyDescent="0.25">
      <c r="A300" s="520"/>
    </row>
    <row r="301" spans="1:1" x14ac:dyDescent="0.25">
      <c r="A301" s="520"/>
    </row>
    <row r="302" spans="1:1" x14ac:dyDescent="0.25">
      <c r="A302" s="520"/>
    </row>
    <row r="303" spans="1:1" x14ac:dyDescent="0.25">
      <c r="A303" s="520"/>
    </row>
    <row r="304" spans="1:1" x14ac:dyDescent="0.25">
      <c r="A304" s="520"/>
    </row>
    <row r="305" spans="1:1" x14ac:dyDescent="0.25">
      <c r="A305" s="520"/>
    </row>
    <row r="306" spans="1:1" x14ac:dyDescent="0.25">
      <c r="A306" s="520"/>
    </row>
    <row r="307" spans="1:1" x14ac:dyDescent="0.25">
      <c r="A307" s="520"/>
    </row>
    <row r="308" spans="1:1" x14ac:dyDescent="0.25">
      <c r="A308" s="520"/>
    </row>
    <row r="309" spans="1:1" x14ac:dyDescent="0.25">
      <c r="A309" s="520"/>
    </row>
    <row r="310" spans="1:1" x14ac:dyDescent="0.25">
      <c r="A310" s="520"/>
    </row>
    <row r="311" spans="1:1" x14ac:dyDescent="0.25">
      <c r="A311" s="520"/>
    </row>
    <row r="312" spans="1:1" x14ac:dyDescent="0.25">
      <c r="A312" s="520"/>
    </row>
    <row r="313" spans="1:1" x14ac:dyDescent="0.25">
      <c r="A313" s="520"/>
    </row>
    <row r="314" spans="1:1" x14ac:dyDescent="0.25">
      <c r="A314" s="520"/>
    </row>
    <row r="315" spans="1:1" x14ac:dyDescent="0.25">
      <c r="A315" s="520"/>
    </row>
    <row r="316" spans="1:1" x14ac:dyDescent="0.25">
      <c r="A316" s="520"/>
    </row>
    <row r="317" spans="1:1" x14ac:dyDescent="0.25">
      <c r="A317" s="520"/>
    </row>
    <row r="318" spans="1:1" x14ac:dyDescent="0.25">
      <c r="A318" s="520"/>
    </row>
    <row r="319" spans="1:1" x14ac:dyDescent="0.25">
      <c r="A319" s="520"/>
    </row>
    <row r="320" spans="1:1" x14ac:dyDescent="0.25">
      <c r="A320" s="520"/>
    </row>
    <row r="321" spans="1:1" x14ac:dyDescent="0.25">
      <c r="A321" s="520"/>
    </row>
    <row r="322" spans="1:1" x14ac:dyDescent="0.25">
      <c r="A322" s="520"/>
    </row>
    <row r="323" spans="1:1" x14ac:dyDescent="0.25">
      <c r="A323" s="520"/>
    </row>
    <row r="324" spans="1:1" x14ac:dyDescent="0.25">
      <c r="A324" s="520"/>
    </row>
    <row r="325" spans="1:1" x14ac:dyDescent="0.25">
      <c r="A325" s="520"/>
    </row>
    <row r="326" spans="1:1" x14ac:dyDescent="0.25">
      <c r="A326" s="520"/>
    </row>
    <row r="327" spans="1:1" x14ac:dyDescent="0.25">
      <c r="A327" s="520"/>
    </row>
    <row r="328" spans="1:1" x14ac:dyDescent="0.25">
      <c r="A328" s="520"/>
    </row>
    <row r="329" spans="1:1" x14ac:dyDescent="0.25">
      <c r="A329" s="520"/>
    </row>
    <row r="330" spans="1:1" x14ac:dyDescent="0.25">
      <c r="A330" s="520"/>
    </row>
    <row r="331" spans="1:1" x14ac:dyDescent="0.25">
      <c r="A331" s="520"/>
    </row>
    <row r="332" spans="1:1" x14ac:dyDescent="0.25">
      <c r="A332" s="520"/>
    </row>
    <row r="333" spans="1:1" x14ac:dyDescent="0.25">
      <c r="A333" s="520"/>
    </row>
    <row r="334" spans="1:1" x14ac:dyDescent="0.25">
      <c r="A334" s="520"/>
    </row>
    <row r="335" spans="1:1" x14ac:dyDescent="0.25">
      <c r="A335" s="520"/>
    </row>
    <row r="336" spans="1:1" x14ac:dyDescent="0.25">
      <c r="A336" s="520"/>
    </row>
    <row r="337" spans="1:1" x14ac:dyDescent="0.25">
      <c r="A337" s="520"/>
    </row>
    <row r="338" spans="1:1" x14ac:dyDescent="0.25">
      <c r="A338" s="520"/>
    </row>
    <row r="339" spans="1:1" x14ac:dyDescent="0.25">
      <c r="A339" s="520"/>
    </row>
    <row r="340" spans="1:1" x14ac:dyDescent="0.25">
      <c r="A340" s="520"/>
    </row>
    <row r="341" spans="1:1" x14ac:dyDescent="0.25">
      <c r="A341" s="520"/>
    </row>
    <row r="342" spans="1:1" x14ac:dyDescent="0.25">
      <c r="A342" s="520"/>
    </row>
    <row r="343" spans="1:1" x14ac:dyDescent="0.25">
      <c r="A343" s="520"/>
    </row>
    <row r="344" spans="1:1" x14ac:dyDescent="0.25">
      <c r="A344" s="520"/>
    </row>
    <row r="345" spans="1:1" x14ac:dyDescent="0.25">
      <c r="A345" s="520"/>
    </row>
    <row r="346" spans="1:1" x14ac:dyDescent="0.25">
      <c r="A346" s="520"/>
    </row>
    <row r="347" spans="1:1" x14ac:dyDescent="0.25">
      <c r="A347" s="520"/>
    </row>
    <row r="348" spans="1:1" x14ac:dyDescent="0.25">
      <c r="A348" s="520"/>
    </row>
    <row r="349" spans="1:1" x14ac:dyDescent="0.25">
      <c r="A349" s="520"/>
    </row>
    <row r="350" spans="1:1" x14ac:dyDescent="0.25">
      <c r="A350" s="520"/>
    </row>
    <row r="351" spans="1:1" x14ac:dyDescent="0.25">
      <c r="A351" s="520"/>
    </row>
    <row r="352" spans="1:1" x14ac:dyDescent="0.25">
      <c r="A352" s="520"/>
    </row>
    <row r="353" spans="1:1" x14ac:dyDescent="0.25">
      <c r="A353" s="520"/>
    </row>
    <row r="354" spans="1:1" x14ac:dyDescent="0.25">
      <c r="A354" s="520"/>
    </row>
    <row r="355" spans="1:1" x14ac:dyDescent="0.25">
      <c r="A355" s="520"/>
    </row>
    <row r="356" spans="1:1" x14ac:dyDescent="0.25">
      <c r="A356" s="520"/>
    </row>
    <row r="357" spans="1:1" x14ac:dyDescent="0.25">
      <c r="A357" s="520"/>
    </row>
    <row r="358" spans="1:1" x14ac:dyDescent="0.25">
      <c r="A358" s="520"/>
    </row>
    <row r="359" spans="1:1" x14ac:dyDescent="0.25">
      <c r="A359" s="520"/>
    </row>
    <row r="360" spans="1:1" x14ac:dyDescent="0.25">
      <c r="A360" s="520"/>
    </row>
    <row r="361" spans="1:1" x14ac:dyDescent="0.25">
      <c r="A361" s="520"/>
    </row>
    <row r="362" spans="1:1" x14ac:dyDescent="0.25">
      <c r="A362" s="520"/>
    </row>
    <row r="363" spans="1:1" x14ac:dyDescent="0.25">
      <c r="A363" s="520"/>
    </row>
    <row r="364" spans="1:1" x14ac:dyDescent="0.25">
      <c r="A364" s="520"/>
    </row>
    <row r="365" spans="1:1" x14ac:dyDescent="0.25">
      <c r="A365" s="520"/>
    </row>
    <row r="366" spans="1:1" x14ac:dyDescent="0.25">
      <c r="A366" s="520"/>
    </row>
    <row r="367" spans="1:1" x14ac:dyDescent="0.25">
      <c r="A367" s="520"/>
    </row>
    <row r="368" spans="1:1" x14ac:dyDescent="0.25">
      <c r="A368" s="520"/>
    </row>
    <row r="369" spans="1:1" x14ac:dyDescent="0.25">
      <c r="A369" s="520"/>
    </row>
    <row r="370" spans="1:1" x14ac:dyDescent="0.25">
      <c r="A370" s="520"/>
    </row>
    <row r="371" spans="1:1" x14ac:dyDescent="0.25">
      <c r="A371" s="520"/>
    </row>
    <row r="372" spans="1:1" x14ac:dyDescent="0.25">
      <c r="A372" s="520"/>
    </row>
    <row r="373" spans="1:1" x14ac:dyDescent="0.25">
      <c r="A373" s="520"/>
    </row>
    <row r="374" spans="1:1" x14ac:dyDescent="0.25">
      <c r="A374" s="520"/>
    </row>
    <row r="375" spans="1:1" x14ac:dyDescent="0.25">
      <c r="A375" s="520"/>
    </row>
    <row r="376" spans="1:1" x14ac:dyDescent="0.25">
      <c r="A376" s="520"/>
    </row>
    <row r="377" spans="1:1" x14ac:dyDescent="0.25">
      <c r="A377" s="520"/>
    </row>
    <row r="378" spans="1:1" x14ac:dyDescent="0.25">
      <c r="A378" s="520"/>
    </row>
    <row r="379" spans="1:1" x14ac:dyDescent="0.25">
      <c r="A379" s="520"/>
    </row>
    <row r="380" spans="1:1" x14ac:dyDescent="0.25">
      <c r="A380" s="520"/>
    </row>
    <row r="381" spans="1:1" x14ac:dyDescent="0.25">
      <c r="A381" s="520"/>
    </row>
    <row r="382" spans="1:1" x14ac:dyDescent="0.25">
      <c r="A382" s="520"/>
    </row>
    <row r="383" spans="1:1" x14ac:dyDescent="0.25">
      <c r="A383" s="520"/>
    </row>
    <row r="384" spans="1:1" x14ac:dyDescent="0.25">
      <c r="A384" s="520"/>
    </row>
    <row r="385" spans="1:1" x14ac:dyDescent="0.25">
      <c r="A385" s="520"/>
    </row>
    <row r="386" spans="1:1" x14ac:dyDescent="0.25">
      <c r="A386" s="520"/>
    </row>
    <row r="387" spans="1:1" x14ac:dyDescent="0.25">
      <c r="A387" s="520"/>
    </row>
    <row r="388" spans="1:1" x14ac:dyDescent="0.25">
      <c r="A388" s="520"/>
    </row>
    <row r="389" spans="1:1" x14ac:dyDescent="0.25">
      <c r="A389" s="520"/>
    </row>
    <row r="390" spans="1:1" x14ac:dyDescent="0.25">
      <c r="A390" s="520"/>
    </row>
    <row r="391" spans="1:1" x14ac:dyDescent="0.25">
      <c r="A391" s="520"/>
    </row>
    <row r="392" spans="1:1" x14ac:dyDescent="0.25">
      <c r="A392" s="520"/>
    </row>
    <row r="393" spans="1:1" x14ac:dyDescent="0.25">
      <c r="A393" s="520"/>
    </row>
    <row r="394" spans="1:1" x14ac:dyDescent="0.25">
      <c r="A394" s="520"/>
    </row>
    <row r="395" spans="1:1" x14ac:dyDescent="0.25">
      <c r="A395" s="520"/>
    </row>
    <row r="396" spans="1:1" x14ac:dyDescent="0.25">
      <c r="A396" s="520"/>
    </row>
    <row r="397" spans="1:1" x14ac:dyDescent="0.25">
      <c r="A397" s="520"/>
    </row>
    <row r="398" spans="1:1" x14ac:dyDescent="0.25">
      <c r="A398" s="520"/>
    </row>
    <row r="399" spans="1:1" x14ac:dyDescent="0.25">
      <c r="A399" s="520"/>
    </row>
    <row r="400" spans="1:1" x14ac:dyDescent="0.25">
      <c r="A400" s="520"/>
    </row>
    <row r="401" spans="1:1" x14ac:dyDescent="0.25">
      <c r="A401" s="520"/>
    </row>
    <row r="402" spans="1:1" x14ac:dyDescent="0.25">
      <c r="A402" s="520"/>
    </row>
    <row r="403" spans="1:1" x14ac:dyDescent="0.25">
      <c r="A403" s="520"/>
    </row>
    <row r="404" spans="1:1" x14ac:dyDescent="0.25">
      <c r="A404" s="520"/>
    </row>
    <row r="405" spans="1:1" x14ac:dyDescent="0.25">
      <c r="A405" s="520"/>
    </row>
    <row r="406" spans="1:1" x14ac:dyDescent="0.25">
      <c r="A406" s="520"/>
    </row>
    <row r="407" spans="1:1" x14ac:dyDescent="0.25">
      <c r="A407" s="520"/>
    </row>
    <row r="408" spans="1:1" x14ac:dyDescent="0.25">
      <c r="A408" s="520"/>
    </row>
    <row r="409" spans="1:1" x14ac:dyDescent="0.25">
      <c r="A409" s="520"/>
    </row>
    <row r="410" spans="1:1" x14ac:dyDescent="0.25">
      <c r="A410" s="520"/>
    </row>
    <row r="411" spans="1:1" x14ac:dyDescent="0.25">
      <c r="A411" s="520"/>
    </row>
    <row r="412" spans="1:1" x14ac:dyDescent="0.25">
      <c r="A412" s="520"/>
    </row>
    <row r="413" spans="1:1" x14ac:dyDescent="0.25">
      <c r="A413" s="520"/>
    </row>
    <row r="414" spans="1:1" x14ac:dyDescent="0.25">
      <c r="A414" s="520"/>
    </row>
    <row r="415" spans="1:1" x14ac:dyDescent="0.25">
      <c r="A415" s="520"/>
    </row>
    <row r="416" spans="1:1" x14ac:dyDescent="0.25">
      <c r="A416" s="520"/>
    </row>
    <row r="417" spans="1:1" x14ac:dyDescent="0.25">
      <c r="A417" s="520"/>
    </row>
    <row r="418" spans="1:1" x14ac:dyDescent="0.25">
      <c r="A418" s="520"/>
    </row>
    <row r="419" spans="1:1" x14ac:dyDescent="0.25">
      <c r="A419" s="520"/>
    </row>
    <row r="420" spans="1:1" x14ac:dyDescent="0.25">
      <c r="A420" s="520"/>
    </row>
    <row r="421" spans="1:1" x14ac:dyDescent="0.25">
      <c r="A421" s="520"/>
    </row>
    <row r="422" spans="1:1" x14ac:dyDescent="0.25">
      <c r="A422" s="520"/>
    </row>
    <row r="423" spans="1:1" x14ac:dyDescent="0.25">
      <c r="A423" s="520"/>
    </row>
    <row r="424" spans="1:1" x14ac:dyDescent="0.25">
      <c r="A424" s="520"/>
    </row>
    <row r="425" spans="1:1" x14ac:dyDescent="0.25">
      <c r="A425" s="520"/>
    </row>
    <row r="426" spans="1:1" x14ac:dyDescent="0.25">
      <c r="A426" s="520"/>
    </row>
    <row r="427" spans="1:1" x14ac:dyDescent="0.25">
      <c r="A427" s="520"/>
    </row>
    <row r="428" spans="1:1" x14ac:dyDescent="0.25">
      <c r="A428" s="520"/>
    </row>
    <row r="429" spans="1:1" x14ac:dyDescent="0.25">
      <c r="A429" s="520"/>
    </row>
    <row r="430" spans="1:1" x14ac:dyDescent="0.25">
      <c r="A430" s="520"/>
    </row>
    <row r="431" spans="1:1" x14ac:dyDescent="0.25">
      <c r="A431" s="520"/>
    </row>
    <row r="432" spans="1:1" x14ac:dyDescent="0.25">
      <c r="A432" s="520"/>
    </row>
    <row r="433" spans="1:1" x14ac:dyDescent="0.25">
      <c r="A433" s="520"/>
    </row>
    <row r="434" spans="1:1" x14ac:dyDescent="0.25">
      <c r="A434" s="520"/>
    </row>
    <row r="435" spans="1:1" x14ac:dyDescent="0.25">
      <c r="A435" s="520"/>
    </row>
    <row r="436" spans="1:1" x14ac:dyDescent="0.25">
      <c r="A436" s="520"/>
    </row>
    <row r="437" spans="1:1" x14ac:dyDescent="0.25">
      <c r="A437" s="520"/>
    </row>
    <row r="438" spans="1:1" x14ac:dyDescent="0.25">
      <c r="A438" s="520"/>
    </row>
    <row r="439" spans="1:1" x14ac:dyDescent="0.25">
      <c r="A439" s="520"/>
    </row>
    <row r="440" spans="1:1" x14ac:dyDescent="0.25">
      <c r="A440" s="520"/>
    </row>
    <row r="441" spans="1:1" x14ac:dyDescent="0.25">
      <c r="A441" s="520"/>
    </row>
    <row r="442" spans="1:1" x14ac:dyDescent="0.25">
      <c r="A442" s="520"/>
    </row>
    <row r="443" spans="1:1" x14ac:dyDescent="0.25">
      <c r="A443" s="520"/>
    </row>
    <row r="444" spans="1:1" x14ac:dyDescent="0.25">
      <c r="A444" s="520"/>
    </row>
    <row r="445" spans="1:1" x14ac:dyDescent="0.25">
      <c r="A445" s="520"/>
    </row>
    <row r="446" spans="1:1" x14ac:dyDescent="0.25">
      <c r="A446" s="520"/>
    </row>
    <row r="447" spans="1:1" x14ac:dyDescent="0.25">
      <c r="A447" s="520"/>
    </row>
    <row r="448" spans="1:1" x14ac:dyDescent="0.25">
      <c r="A448" s="520"/>
    </row>
    <row r="449" spans="1:1" x14ac:dyDescent="0.25">
      <c r="A449" s="520"/>
    </row>
    <row r="450" spans="1:1" x14ac:dyDescent="0.25">
      <c r="A450" s="520"/>
    </row>
    <row r="451" spans="1:1" x14ac:dyDescent="0.25">
      <c r="A451" s="520"/>
    </row>
    <row r="452" spans="1:1" x14ac:dyDescent="0.25">
      <c r="A452" s="520"/>
    </row>
    <row r="453" spans="1:1" x14ac:dyDescent="0.25">
      <c r="A453" s="520"/>
    </row>
    <row r="454" spans="1:1" x14ac:dyDescent="0.25">
      <c r="A454" s="520"/>
    </row>
    <row r="455" spans="1:1" x14ac:dyDescent="0.25">
      <c r="A455" s="520"/>
    </row>
    <row r="456" spans="1:1" x14ac:dyDescent="0.25">
      <c r="A456" s="520"/>
    </row>
    <row r="457" spans="1:1" x14ac:dyDescent="0.25">
      <c r="A457" s="520"/>
    </row>
    <row r="458" spans="1:1" x14ac:dyDescent="0.25">
      <c r="A458" s="520"/>
    </row>
    <row r="459" spans="1:1" x14ac:dyDescent="0.25">
      <c r="A459" s="520"/>
    </row>
    <row r="460" spans="1:1" x14ac:dyDescent="0.25">
      <c r="A460" s="520"/>
    </row>
    <row r="461" spans="1:1" x14ac:dyDescent="0.25">
      <c r="A461" s="520"/>
    </row>
    <row r="462" spans="1:1" x14ac:dyDescent="0.25">
      <c r="A462" s="520"/>
    </row>
    <row r="463" spans="1:1" x14ac:dyDescent="0.25">
      <c r="A463" s="520"/>
    </row>
    <row r="464" spans="1:1" x14ac:dyDescent="0.25">
      <c r="A464" s="520"/>
    </row>
    <row r="465" spans="1:1" x14ac:dyDescent="0.25">
      <c r="A465" s="520"/>
    </row>
    <row r="466" spans="1:1" x14ac:dyDescent="0.25">
      <c r="A466" s="520"/>
    </row>
    <row r="467" spans="1:1" x14ac:dyDescent="0.25">
      <c r="A467" s="520"/>
    </row>
    <row r="468" spans="1:1" x14ac:dyDescent="0.25">
      <c r="A468" s="520"/>
    </row>
    <row r="469" spans="1:1" x14ac:dyDescent="0.25">
      <c r="A469" s="520"/>
    </row>
    <row r="470" spans="1:1" x14ac:dyDescent="0.25">
      <c r="A470" s="520"/>
    </row>
    <row r="471" spans="1:1" x14ac:dyDescent="0.25">
      <c r="A471" s="520"/>
    </row>
    <row r="472" spans="1:1" x14ac:dyDescent="0.25">
      <c r="A472" s="520"/>
    </row>
    <row r="473" spans="1:1" x14ac:dyDescent="0.25">
      <c r="A473" s="520"/>
    </row>
    <row r="474" spans="1:1" x14ac:dyDescent="0.25">
      <c r="A474" s="520"/>
    </row>
    <row r="475" spans="1:1" x14ac:dyDescent="0.25">
      <c r="A475" s="520"/>
    </row>
    <row r="476" spans="1:1" x14ac:dyDescent="0.25">
      <c r="A476" s="520"/>
    </row>
    <row r="477" spans="1:1" x14ac:dyDescent="0.25">
      <c r="A477" s="520"/>
    </row>
    <row r="478" spans="1:1" x14ac:dyDescent="0.25">
      <c r="A478" s="520"/>
    </row>
    <row r="479" spans="1:1" x14ac:dyDescent="0.25">
      <c r="A479" s="520"/>
    </row>
    <row r="480" spans="1:1" x14ac:dyDescent="0.25">
      <c r="A480" s="520"/>
    </row>
    <row r="481" spans="1:1" x14ac:dyDescent="0.25">
      <c r="A481" s="520"/>
    </row>
    <row r="482" spans="1:1" x14ac:dyDescent="0.25">
      <c r="A482" s="520"/>
    </row>
    <row r="483" spans="1:1" x14ac:dyDescent="0.25">
      <c r="A483" s="520"/>
    </row>
    <row r="484" spans="1:1" x14ac:dyDescent="0.25">
      <c r="A484" s="520"/>
    </row>
    <row r="485" spans="1:1" x14ac:dyDescent="0.25">
      <c r="A485" s="520"/>
    </row>
    <row r="486" spans="1:1" x14ac:dyDescent="0.25">
      <c r="A486" s="520"/>
    </row>
    <row r="487" spans="1:1" x14ac:dyDescent="0.25">
      <c r="A487" s="520"/>
    </row>
    <row r="488" spans="1:1" x14ac:dyDescent="0.25">
      <c r="A488" s="520"/>
    </row>
    <row r="489" spans="1:1" x14ac:dyDescent="0.25">
      <c r="A489" s="520"/>
    </row>
    <row r="490" spans="1:1" x14ac:dyDescent="0.25">
      <c r="A490" s="520"/>
    </row>
    <row r="491" spans="1:1" x14ac:dyDescent="0.25">
      <c r="A491" s="520"/>
    </row>
    <row r="492" spans="1:1" x14ac:dyDescent="0.25">
      <c r="A492" s="520"/>
    </row>
    <row r="493" spans="1:1" x14ac:dyDescent="0.25">
      <c r="A493" s="520"/>
    </row>
    <row r="494" spans="1:1" x14ac:dyDescent="0.25">
      <c r="A494" s="520"/>
    </row>
    <row r="495" spans="1:1" x14ac:dyDescent="0.25">
      <c r="A495" s="520"/>
    </row>
    <row r="496" spans="1:1" x14ac:dyDescent="0.25">
      <c r="A496" s="520"/>
    </row>
    <row r="497" spans="1:1" x14ac:dyDescent="0.25">
      <c r="A497" s="520"/>
    </row>
    <row r="498" spans="1:1" x14ac:dyDescent="0.25">
      <c r="A498" s="520"/>
    </row>
    <row r="499" spans="1:1" x14ac:dyDescent="0.25">
      <c r="A499" s="520"/>
    </row>
    <row r="500" spans="1:1" x14ac:dyDescent="0.25">
      <c r="A500" s="520"/>
    </row>
    <row r="501" spans="1:1" x14ac:dyDescent="0.25">
      <c r="A501" s="520"/>
    </row>
    <row r="502" spans="1:1" x14ac:dyDescent="0.25">
      <c r="A502" s="520"/>
    </row>
    <row r="503" spans="1:1" x14ac:dyDescent="0.25">
      <c r="A503" s="520"/>
    </row>
    <row r="504" spans="1:1" x14ac:dyDescent="0.25">
      <c r="A504" s="520"/>
    </row>
    <row r="505" spans="1:1" x14ac:dyDescent="0.25">
      <c r="A505" s="520"/>
    </row>
    <row r="506" spans="1:1" x14ac:dyDescent="0.25">
      <c r="A506" s="520"/>
    </row>
    <row r="507" spans="1:1" x14ac:dyDescent="0.25">
      <c r="A507" s="520"/>
    </row>
    <row r="508" spans="1:1" x14ac:dyDescent="0.25">
      <c r="A508" s="520"/>
    </row>
    <row r="509" spans="1:1" x14ac:dyDescent="0.25">
      <c r="A509" s="520"/>
    </row>
    <row r="510" spans="1:1" x14ac:dyDescent="0.25">
      <c r="A510" s="520"/>
    </row>
    <row r="511" spans="1:1" x14ac:dyDescent="0.25">
      <c r="A511" s="520"/>
    </row>
    <row r="512" spans="1:1" x14ac:dyDescent="0.25">
      <c r="A512" s="520"/>
    </row>
    <row r="513" spans="1:1" x14ac:dyDescent="0.25">
      <c r="A513" s="520"/>
    </row>
    <row r="514" spans="1:1" x14ac:dyDescent="0.25">
      <c r="A514" s="520"/>
    </row>
    <row r="515" spans="1:1" x14ac:dyDescent="0.25">
      <c r="A515" s="520"/>
    </row>
    <row r="516" spans="1:1" x14ac:dyDescent="0.25">
      <c r="A516" s="520"/>
    </row>
    <row r="517" spans="1:1" x14ac:dyDescent="0.25">
      <c r="A517" s="520"/>
    </row>
    <row r="518" spans="1:1" x14ac:dyDescent="0.25">
      <c r="A518" s="520"/>
    </row>
    <row r="519" spans="1:1" x14ac:dyDescent="0.25">
      <c r="A519" s="520"/>
    </row>
    <row r="520" spans="1:1" x14ac:dyDescent="0.25">
      <c r="A520" s="520"/>
    </row>
    <row r="521" spans="1:1" x14ac:dyDescent="0.25">
      <c r="A521" s="520"/>
    </row>
    <row r="522" spans="1:1" x14ac:dyDescent="0.25">
      <c r="A522" s="520"/>
    </row>
    <row r="523" spans="1:1" x14ac:dyDescent="0.25">
      <c r="A523" s="520"/>
    </row>
    <row r="524" spans="1:1" x14ac:dyDescent="0.25">
      <c r="A524" s="520"/>
    </row>
    <row r="525" spans="1:1" x14ac:dyDescent="0.25">
      <c r="A525" s="520"/>
    </row>
    <row r="526" spans="1:1" x14ac:dyDescent="0.25">
      <c r="A526" s="520"/>
    </row>
    <row r="527" spans="1:1" x14ac:dyDescent="0.25">
      <c r="A527" s="520"/>
    </row>
    <row r="528" spans="1:1" x14ac:dyDescent="0.25">
      <c r="A528" s="520"/>
    </row>
    <row r="529" spans="1:1" x14ac:dyDescent="0.25">
      <c r="A529" s="520"/>
    </row>
    <row r="530" spans="1:1" x14ac:dyDescent="0.25">
      <c r="A530" s="520"/>
    </row>
    <row r="531" spans="1:1" x14ac:dyDescent="0.25">
      <c r="A531" s="520"/>
    </row>
    <row r="532" spans="1:1" x14ac:dyDescent="0.25">
      <c r="A532" s="520"/>
    </row>
    <row r="533" spans="1:1" x14ac:dyDescent="0.25">
      <c r="A533" s="520"/>
    </row>
    <row r="534" spans="1:1" x14ac:dyDescent="0.25">
      <c r="A534" s="520"/>
    </row>
    <row r="535" spans="1:1" x14ac:dyDescent="0.25">
      <c r="A535" s="520"/>
    </row>
    <row r="536" spans="1:1" x14ac:dyDescent="0.25">
      <c r="A536" s="520"/>
    </row>
    <row r="537" spans="1:1" x14ac:dyDescent="0.25">
      <c r="A537" s="520"/>
    </row>
    <row r="538" spans="1:1" x14ac:dyDescent="0.25">
      <c r="A538" s="520"/>
    </row>
    <row r="539" spans="1:1" x14ac:dyDescent="0.25">
      <c r="A539" s="520"/>
    </row>
    <row r="540" spans="1:1" x14ac:dyDescent="0.25">
      <c r="A540" s="520"/>
    </row>
    <row r="541" spans="1:1" x14ac:dyDescent="0.25">
      <c r="A541" s="520"/>
    </row>
    <row r="542" spans="1:1" x14ac:dyDescent="0.25">
      <c r="A542" s="520"/>
    </row>
    <row r="543" spans="1:1" x14ac:dyDescent="0.25">
      <c r="A543" s="520"/>
    </row>
    <row r="544" spans="1:1" x14ac:dyDescent="0.25">
      <c r="A544" s="520"/>
    </row>
    <row r="545" spans="1:1" x14ac:dyDescent="0.25">
      <c r="A545" s="520"/>
    </row>
    <row r="546" spans="1:1" x14ac:dyDescent="0.25">
      <c r="A546" s="520"/>
    </row>
    <row r="547" spans="1:1" x14ac:dyDescent="0.25">
      <c r="A547" s="520"/>
    </row>
    <row r="548" spans="1:1" x14ac:dyDescent="0.25">
      <c r="A548" s="520"/>
    </row>
    <row r="549" spans="1:1" x14ac:dyDescent="0.25">
      <c r="A549" s="520"/>
    </row>
    <row r="550" spans="1:1" x14ac:dyDescent="0.25">
      <c r="A550" s="520"/>
    </row>
    <row r="551" spans="1:1" x14ac:dyDescent="0.25">
      <c r="A551" s="520"/>
    </row>
    <row r="552" spans="1:1" x14ac:dyDescent="0.25">
      <c r="A552" s="520"/>
    </row>
    <row r="553" spans="1:1" x14ac:dyDescent="0.25">
      <c r="A553" s="520"/>
    </row>
    <row r="554" spans="1:1" x14ac:dyDescent="0.25">
      <c r="A554" s="520"/>
    </row>
    <row r="555" spans="1:1" x14ac:dyDescent="0.25">
      <c r="A555" s="520"/>
    </row>
    <row r="556" spans="1:1" x14ac:dyDescent="0.25">
      <c r="A556" s="520"/>
    </row>
    <row r="557" spans="1:1" x14ac:dyDescent="0.25">
      <c r="A557" s="520"/>
    </row>
    <row r="558" spans="1:1" x14ac:dyDescent="0.25">
      <c r="A558" s="520"/>
    </row>
    <row r="559" spans="1:1" x14ac:dyDescent="0.25">
      <c r="A559" s="520"/>
    </row>
    <row r="560" spans="1:1" x14ac:dyDescent="0.25">
      <c r="A560" s="520"/>
    </row>
    <row r="561" spans="1:1" x14ac:dyDescent="0.25">
      <c r="A561" s="520"/>
    </row>
    <row r="562" spans="1:1" x14ac:dyDescent="0.25">
      <c r="A562" s="520"/>
    </row>
    <row r="563" spans="1:1" x14ac:dyDescent="0.25">
      <c r="A563" s="520"/>
    </row>
    <row r="564" spans="1:1" x14ac:dyDescent="0.25">
      <c r="A564" s="520"/>
    </row>
    <row r="565" spans="1:1" x14ac:dyDescent="0.25">
      <c r="A565" s="520"/>
    </row>
    <row r="566" spans="1:1" x14ac:dyDescent="0.25">
      <c r="A566" s="520"/>
    </row>
    <row r="567" spans="1:1" x14ac:dyDescent="0.25">
      <c r="A567" s="520"/>
    </row>
    <row r="568" spans="1:1" x14ac:dyDescent="0.25">
      <c r="A568" s="520"/>
    </row>
    <row r="569" spans="1:1" x14ac:dyDescent="0.25">
      <c r="A569" s="520"/>
    </row>
    <row r="570" spans="1:1" x14ac:dyDescent="0.25">
      <c r="A570" s="520"/>
    </row>
    <row r="571" spans="1:1" x14ac:dyDescent="0.25">
      <c r="A571" s="520"/>
    </row>
    <row r="572" spans="1:1" x14ac:dyDescent="0.25">
      <c r="A572" s="520"/>
    </row>
    <row r="573" spans="1:1" x14ac:dyDescent="0.25">
      <c r="A573" s="520"/>
    </row>
    <row r="574" spans="1:1" x14ac:dyDescent="0.25">
      <c r="A574" s="520"/>
    </row>
    <row r="575" spans="1:1" x14ac:dyDescent="0.25">
      <c r="A575" s="520"/>
    </row>
    <row r="576" spans="1:1" x14ac:dyDescent="0.25">
      <c r="A576" s="520"/>
    </row>
    <row r="577" spans="1:1" x14ac:dyDescent="0.25">
      <c r="A577" s="520"/>
    </row>
    <row r="578" spans="1:1" x14ac:dyDescent="0.25">
      <c r="A578" s="520"/>
    </row>
    <row r="579" spans="1:1" x14ac:dyDescent="0.25">
      <c r="A579" s="520"/>
    </row>
    <row r="580" spans="1:1" x14ac:dyDescent="0.25">
      <c r="A580" s="520"/>
    </row>
    <row r="581" spans="1:1" x14ac:dyDescent="0.25">
      <c r="A581" s="520"/>
    </row>
    <row r="582" spans="1:1" x14ac:dyDescent="0.25">
      <c r="A582" s="520"/>
    </row>
    <row r="583" spans="1:1" x14ac:dyDescent="0.25">
      <c r="A583" s="520"/>
    </row>
    <row r="584" spans="1:1" x14ac:dyDescent="0.25">
      <c r="A584" s="520"/>
    </row>
    <row r="585" spans="1:1" x14ac:dyDescent="0.25">
      <c r="A585" s="520"/>
    </row>
    <row r="586" spans="1:1" x14ac:dyDescent="0.25">
      <c r="A586" s="520"/>
    </row>
    <row r="587" spans="1:1" x14ac:dyDescent="0.25">
      <c r="A587" s="520"/>
    </row>
    <row r="588" spans="1:1" x14ac:dyDescent="0.25">
      <c r="A588" s="520"/>
    </row>
    <row r="589" spans="1:1" x14ac:dyDescent="0.25">
      <c r="A589" s="520"/>
    </row>
    <row r="590" spans="1:1" x14ac:dyDescent="0.25">
      <c r="A590" s="520"/>
    </row>
    <row r="591" spans="1:1" x14ac:dyDescent="0.25">
      <c r="A591" s="520"/>
    </row>
    <row r="592" spans="1:1" x14ac:dyDescent="0.25">
      <c r="A592" s="520"/>
    </row>
    <row r="593" spans="1:1" x14ac:dyDescent="0.25">
      <c r="A593" s="520"/>
    </row>
    <row r="594" spans="1:1" x14ac:dyDescent="0.25">
      <c r="A594" s="520"/>
    </row>
    <row r="595" spans="1:1" x14ac:dyDescent="0.25">
      <c r="A595" s="520"/>
    </row>
    <row r="596" spans="1:1" x14ac:dyDescent="0.25">
      <c r="A596" s="520"/>
    </row>
    <row r="597" spans="1:1" x14ac:dyDescent="0.25">
      <c r="A597" s="520"/>
    </row>
    <row r="598" spans="1:1" x14ac:dyDescent="0.25">
      <c r="A598" s="520"/>
    </row>
    <row r="599" spans="1:1" x14ac:dyDescent="0.25">
      <c r="A599" s="520"/>
    </row>
    <row r="600" spans="1:1" x14ac:dyDescent="0.25">
      <c r="A600" s="520"/>
    </row>
    <row r="601" spans="1:1" x14ac:dyDescent="0.25">
      <c r="A601" s="520"/>
    </row>
    <row r="602" spans="1:1" x14ac:dyDescent="0.25">
      <c r="A602" s="520"/>
    </row>
    <row r="603" spans="1:1" x14ac:dyDescent="0.25">
      <c r="A603" s="520"/>
    </row>
    <row r="604" spans="1:1" x14ac:dyDescent="0.25">
      <c r="A604" s="520"/>
    </row>
    <row r="605" spans="1:1" x14ac:dyDescent="0.25">
      <c r="A605" s="520"/>
    </row>
    <row r="606" spans="1:1" x14ac:dyDescent="0.25">
      <c r="A606" s="520"/>
    </row>
    <row r="607" spans="1:1" x14ac:dyDescent="0.25">
      <c r="A607" s="520"/>
    </row>
    <row r="608" spans="1:1" x14ac:dyDescent="0.25">
      <c r="A608" s="520"/>
    </row>
    <row r="609" spans="1:1" x14ac:dyDescent="0.25">
      <c r="A609" s="520"/>
    </row>
    <row r="610" spans="1:1" x14ac:dyDescent="0.25">
      <c r="A610" s="520"/>
    </row>
    <row r="611" spans="1:1" x14ac:dyDescent="0.25">
      <c r="A611" s="520"/>
    </row>
    <row r="612" spans="1:1" x14ac:dyDescent="0.25">
      <c r="A612" s="520"/>
    </row>
    <row r="613" spans="1:1" x14ac:dyDescent="0.25">
      <c r="A613" s="520"/>
    </row>
    <row r="614" spans="1:1" x14ac:dyDescent="0.25">
      <c r="A614" s="520"/>
    </row>
    <row r="615" spans="1:1" x14ac:dyDescent="0.25">
      <c r="A615" s="520"/>
    </row>
    <row r="616" spans="1:1" x14ac:dyDescent="0.25">
      <c r="A616" s="520"/>
    </row>
    <row r="617" spans="1:1" x14ac:dyDescent="0.25">
      <c r="A617" s="520"/>
    </row>
    <row r="618" spans="1:1" x14ac:dyDescent="0.25">
      <c r="A618" s="520"/>
    </row>
    <row r="619" spans="1:1" x14ac:dyDescent="0.25">
      <c r="A619" s="520"/>
    </row>
    <row r="620" spans="1:1" x14ac:dyDescent="0.25">
      <c r="A620" s="520"/>
    </row>
    <row r="621" spans="1:1" x14ac:dyDescent="0.25">
      <c r="A621" s="520"/>
    </row>
    <row r="622" spans="1:1" x14ac:dyDescent="0.25">
      <c r="A622" s="520"/>
    </row>
    <row r="623" spans="1:1" x14ac:dyDescent="0.25">
      <c r="A623" s="520"/>
    </row>
    <row r="624" spans="1:1" x14ac:dyDescent="0.25">
      <c r="A624" s="520"/>
    </row>
    <row r="625" spans="1:1" x14ac:dyDescent="0.25">
      <c r="A625" s="520"/>
    </row>
    <row r="626" spans="1:1" x14ac:dyDescent="0.25">
      <c r="A626" s="520"/>
    </row>
    <row r="627" spans="1:1" x14ac:dyDescent="0.25">
      <c r="A627" s="520"/>
    </row>
    <row r="628" spans="1:1" x14ac:dyDescent="0.25">
      <c r="A628" s="520"/>
    </row>
    <row r="629" spans="1:1" x14ac:dyDescent="0.25">
      <c r="A629" s="520"/>
    </row>
    <row r="630" spans="1:1" x14ac:dyDescent="0.25">
      <c r="A630" s="520"/>
    </row>
    <row r="631" spans="1:1" x14ac:dyDescent="0.25">
      <c r="A631" s="520"/>
    </row>
    <row r="632" spans="1:1" x14ac:dyDescent="0.25">
      <c r="A632" s="520"/>
    </row>
    <row r="633" spans="1:1" x14ac:dyDescent="0.25">
      <c r="A633" s="520"/>
    </row>
    <row r="634" spans="1:1" x14ac:dyDescent="0.25">
      <c r="A634" s="520"/>
    </row>
    <row r="635" spans="1:1" x14ac:dyDescent="0.25">
      <c r="A635" s="520"/>
    </row>
    <row r="636" spans="1:1" x14ac:dyDescent="0.25">
      <c r="A636" s="520"/>
    </row>
    <row r="637" spans="1:1" x14ac:dyDescent="0.25">
      <c r="A637" s="520"/>
    </row>
    <row r="638" spans="1:1" x14ac:dyDescent="0.25">
      <c r="A638" s="520"/>
    </row>
    <row r="639" spans="1:1" x14ac:dyDescent="0.25">
      <c r="A639" s="520"/>
    </row>
    <row r="640" spans="1:1" x14ac:dyDescent="0.25">
      <c r="A640" s="520"/>
    </row>
    <row r="641" spans="1:1" x14ac:dyDescent="0.25">
      <c r="A641" s="520"/>
    </row>
    <row r="642" spans="1:1" x14ac:dyDescent="0.25">
      <c r="A642" s="520"/>
    </row>
    <row r="643" spans="1:1" x14ac:dyDescent="0.25">
      <c r="A643" s="520"/>
    </row>
    <row r="644" spans="1:1" x14ac:dyDescent="0.25">
      <c r="A644" s="520"/>
    </row>
    <row r="645" spans="1:1" x14ac:dyDescent="0.25">
      <c r="A645" s="520"/>
    </row>
    <row r="646" spans="1:1" x14ac:dyDescent="0.25">
      <c r="A646" s="520"/>
    </row>
    <row r="647" spans="1:1" x14ac:dyDescent="0.25">
      <c r="A647" s="520"/>
    </row>
    <row r="648" spans="1:1" x14ac:dyDescent="0.25">
      <c r="A648" s="520"/>
    </row>
    <row r="649" spans="1:1" x14ac:dyDescent="0.25">
      <c r="A649" s="520"/>
    </row>
    <row r="650" spans="1:1" x14ac:dyDescent="0.25">
      <c r="A650" s="520"/>
    </row>
    <row r="651" spans="1:1" x14ac:dyDescent="0.25">
      <c r="A651" s="520"/>
    </row>
    <row r="652" spans="1:1" x14ac:dyDescent="0.25">
      <c r="A652" s="520"/>
    </row>
    <row r="653" spans="1:1" x14ac:dyDescent="0.25">
      <c r="A653" s="520"/>
    </row>
    <row r="654" spans="1:1" x14ac:dyDescent="0.25">
      <c r="A654" s="520"/>
    </row>
    <row r="655" spans="1:1" x14ac:dyDescent="0.25">
      <c r="A655" s="520"/>
    </row>
    <row r="656" spans="1:1" x14ac:dyDescent="0.25">
      <c r="A656" s="520"/>
    </row>
    <row r="657" spans="1:1" x14ac:dyDescent="0.25">
      <c r="A657" s="520"/>
    </row>
    <row r="658" spans="1:1" x14ac:dyDescent="0.25">
      <c r="A658" s="520"/>
    </row>
    <row r="659" spans="1:1" x14ac:dyDescent="0.25">
      <c r="A659" s="520"/>
    </row>
    <row r="660" spans="1:1" x14ac:dyDescent="0.25">
      <c r="A660" s="520"/>
    </row>
    <row r="661" spans="1:1" x14ac:dyDescent="0.25">
      <c r="A661" s="520"/>
    </row>
    <row r="662" spans="1:1" x14ac:dyDescent="0.25">
      <c r="A662" s="520"/>
    </row>
    <row r="663" spans="1:1" x14ac:dyDescent="0.25">
      <c r="A663" s="520"/>
    </row>
    <row r="664" spans="1:1" x14ac:dyDescent="0.25">
      <c r="A664" s="520"/>
    </row>
    <row r="665" spans="1:1" x14ac:dyDescent="0.25">
      <c r="A665" s="520"/>
    </row>
    <row r="666" spans="1:1" x14ac:dyDescent="0.25">
      <c r="A666" s="520"/>
    </row>
    <row r="667" spans="1:1" x14ac:dyDescent="0.25">
      <c r="A667" s="520"/>
    </row>
    <row r="668" spans="1:1" x14ac:dyDescent="0.25">
      <c r="A668" s="520"/>
    </row>
    <row r="669" spans="1:1" x14ac:dyDescent="0.25">
      <c r="A669" s="520"/>
    </row>
    <row r="670" spans="1:1" x14ac:dyDescent="0.25">
      <c r="A670" s="520"/>
    </row>
    <row r="671" spans="1:1" x14ac:dyDescent="0.25">
      <c r="A671" s="520"/>
    </row>
    <row r="672" spans="1:1" x14ac:dyDescent="0.25">
      <c r="A672" s="520"/>
    </row>
    <row r="673" spans="1:1" x14ac:dyDescent="0.25">
      <c r="A673" s="520"/>
    </row>
    <row r="674" spans="1:1" x14ac:dyDescent="0.25">
      <c r="A674" s="520"/>
    </row>
    <row r="675" spans="1:1" x14ac:dyDescent="0.25">
      <c r="A675" s="520"/>
    </row>
    <row r="676" spans="1:1" x14ac:dyDescent="0.25">
      <c r="A676" s="520"/>
    </row>
    <row r="677" spans="1:1" x14ac:dyDescent="0.25">
      <c r="A677" s="520"/>
    </row>
    <row r="678" spans="1:1" x14ac:dyDescent="0.25">
      <c r="A678" s="520"/>
    </row>
    <row r="679" spans="1:1" x14ac:dyDescent="0.25">
      <c r="A679" s="520"/>
    </row>
    <row r="680" spans="1:1" x14ac:dyDescent="0.25">
      <c r="A680" s="520"/>
    </row>
    <row r="681" spans="1:1" x14ac:dyDescent="0.25">
      <c r="A681" s="520"/>
    </row>
    <row r="682" spans="1:1" x14ac:dyDescent="0.25">
      <c r="A682" s="520"/>
    </row>
    <row r="683" spans="1:1" x14ac:dyDescent="0.25">
      <c r="A683" s="520"/>
    </row>
    <row r="684" spans="1:1" x14ac:dyDescent="0.25">
      <c r="A684" s="520"/>
    </row>
    <row r="685" spans="1:1" x14ac:dyDescent="0.25">
      <c r="A685" s="520"/>
    </row>
    <row r="686" spans="1:1" x14ac:dyDescent="0.25">
      <c r="A686" s="520"/>
    </row>
    <row r="687" spans="1:1" x14ac:dyDescent="0.25">
      <c r="A687" s="520"/>
    </row>
    <row r="688" spans="1:1" x14ac:dyDescent="0.25">
      <c r="A688" s="520"/>
    </row>
    <row r="689" spans="1:1" x14ac:dyDescent="0.25">
      <c r="A689" s="520"/>
    </row>
    <row r="690" spans="1:1" x14ac:dyDescent="0.25">
      <c r="A690" s="520"/>
    </row>
    <row r="691" spans="1:1" x14ac:dyDescent="0.25">
      <c r="A691" s="520"/>
    </row>
    <row r="692" spans="1:1" x14ac:dyDescent="0.25">
      <c r="A692" s="520"/>
    </row>
    <row r="693" spans="1:1" x14ac:dyDescent="0.25">
      <c r="A693" s="520"/>
    </row>
    <row r="694" spans="1:1" x14ac:dyDescent="0.25">
      <c r="A694" s="520"/>
    </row>
    <row r="695" spans="1:1" x14ac:dyDescent="0.25">
      <c r="A695" s="520"/>
    </row>
    <row r="696" spans="1:1" x14ac:dyDescent="0.25">
      <c r="A696" s="520"/>
    </row>
    <row r="697" spans="1:1" x14ac:dyDescent="0.25">
      <c r="A697" s="520"/>
    </row>
    <row r="698" spans="1:1" x14ac:dyDescent="0.25">
      <c r="A698" s="520"/>
    </row>
    <row r="699" spans="1:1" x14ac:dyDescent="0.25">
      <c r="A699" s="520"/>
    </row>
    <row r="700" spans="1:1" x14ac:dyDescent="0.25">
      <c r="A700" s="520"/>
    </row>
    <row r="701" spans="1:1" x14ac:dyDescent="0.25">
      <c r="A701" s="520"/>
    </row>
    <row r="702" spans="1:1" x14ac:dyDescent="0.25">
      <c r="A702" s="520"/>
    </row>
    <row r="703" spans="1:1" x14ac:dyDescent="0.25">
      <c r="A703" s="520"/>
    </row>
    <row r="704" spans="1:1" x14ac:dyDescent="0.25">
      <c r="A704" s="520"/>
    </row>
    <row r="705" spans="1:1" x14ac:dyDescent="0.25">
      <c r="A705" s="520"/>
    </row>
    <row r="706" spans="1:1" x14ac:dyDescent="0.25">
      <c r="A706" s="520"/>
    </row>
    <row r="707" spans="1:1" x14ac:dyDescent="0.25">
      <c r="A707" s="520"/>
    </row>
    <row r="708" spans="1:1" x14ac:dyDescent="0.25">
      <c r="A708" s="520"/>
    </row>
    <row r="709" spans="1:1" x14ac:dyDescent="0.25">
      <c r="A709" s="520"/>
    </row>
    <row r="710" spans="1:1" x14ac:dyDescent="0.25">
      <c r="A710" s="520"/>
    </row>
    <row r="711" spans="1:1" x14ac:dyDescent="0.25">
      <c r="A711" s="520"/>
    </row>
    <row r="712" spans="1:1" x14ac:dyDescent="0.25">
      <c r="A712" s="520"/>
    </row>
    <row r="713" spans="1:1" x14ac:dyDescent="0.25">
      <c r="A713" s="520"/>
    </row>
    <row r="714" spans="1:1" x14ac:dyDescent="0.25">
      <c r="A714" s="520"/>
    </row>
    <row r="715" spans="1:1" x14ac:dyDescent="0.25">
      <c r="A715" s="520"/>
    </row>
    <row r="716" spans="1:1" x14ac:dyDescent="0.25">
      <c r="A716" s="520"/>
    </row>
    <row r="717" spans="1:1" x14ac:dyDescent="0.25">
      <c r="A717" s="520"/>
    </row>
    <row r="718" spans="1:1" x14ac:dyDescent="0.25">
      <c r="A718" s="520"/>
    </row>
    <row r="719" spans="1:1" x14ac:dyDescent="0.25">
      <c r="A719" s="520"/>
    </row>
    <row r="720" spans="1:1" x14ac:dyDescent="0.25">
      <c r="A720" s="520"/>
    </row>
    <row r="721" spans="1:1" x14ac:dyDescent="0.25">
      <c r="A721" s="520"/>
    </row>
    <row r="722" spans="1:1" x14ac:dyDescent="0.25">
      <c r="A722" s="520"/>
    </row>
    <row r="723" spans="1:1" x14ac:dyDescent="0.25">
      <c r="A723" s="520"/>
    </row>
    <row r="724" spans="1:1" x14ac:dyDescent="0.25">
      <c r="A724" s="520"/>
    </row>
    <row r="725" spans="1:1" x14ac:dyDescent="0.25">
      <c r="A725" s="520"/>
    </row>
    <row r="726" spans="1:1" x14ac:dyDescent="0.25">
      <c r="A726" s="520"/>
    </row>
    <row r="727" spans="1:1" x14ac:dyDescent="0.25">
      <c r="A727" s="520"/>
    </row>
    <row r="728" spans="1:1" x14ac:dyDescent="0.25">
      <c r="A728" s="520"/>
    </row>
    <row r="729" spans="1:1" x14ac:dyDescent="0.25">
      <c r="A729" s="520"/>
    </row>
    <row r="730" spans="1:1" x14ac:dyDescent="0.25">
      <c r="A730" s="520"/>
    </row>
    <row r="731" spans="1:1" x14ac:dyDescent="0.25">
      <c r="A731" s="520"/>
    </row>
    <row r="732" spans="1:1" x14ac:dyDescent="0.25">
      <c r="A732" s="520"/>
    </row>
    <row r="733" spans="1:1" x14ac:dyDescent="0.25">
      <c r="A733" s="520"/>
    </row>
    <row r="734" spans="1:1" x14ac:dyDescent="0.25">
      <c r="A734" s="520"/>
    </row>
    <row r="735" spans="1:1" x14ac:dyDescent="0.25">
      <c r="A735" s="520"/>
    </row>
    <row r="736" spans="1:1" x14ac:dyDescent="0.25">
      <c r="A736" s="520"/>
    </row>
    <row r="737" spans="1:1" x14ac:dyDescent="0.25">
      <c r="A737" s="520"/>
    </row>
    <row r="738" spans="1:1" x14ac:dyDescent="0.25">
      <c r="A738" s="520"/>
    </row>
    <row r="739" spans="1:1" x14ac:dyDescent="0.25">
      <c r="A739" s="520"/>
    </row>
    <row r="740" spans="1:1" x14ac:dyDescent="0.25">
      <c r="A740" s="520"/>
    </row>
    <row r="741" spans="1:1" x14ac:dyDescent="0.25">
      <c r="A741" s="520"/>
    </row>
    <row r="742" spans="1:1" x14ac:dyDescent="0.25">
      <c r="A742" s="520"/>
    </row>
    <row r="743" spans="1:1" x14ac:dyDescent="0.25">
      <c r="A743" s="520"/>
    </row>
    <row r="744" spans="1:1" x14ac:dyDescent="0.25">
      <c r="A744" s="520"/>
    </row>
    <row r="745" spans="1:1" x14ac:dyDescent="0.25">
      <c r="A745" s="520"/>
    </row>
    <row r="746" spans="1:1" x14ac:dyDescent="0.25">
      <c r="A746" s="520"/>
    </row>
    <row r="747" spans="1:1" x14ac:dyDescent="0.25">
      <c r="A747" s="520"/>
    </row>
    <row r="748" spans="1:1" x14ac:dyDescent="0.25">
      <c r="A748" s="520"/>
    </row>
    <row r="749" spans="1:1" x14ac:dyDescent="0.25">
      <c r="A749" s="520"/>
    </row>
    <row r="750" spans="1:1" x14ac:dyDescent="0.25">
      <c r="A750" s="520"/>
    </row>
    <row r="751" spans="1:1" x14ac:dyDescent="0.25">
      <c r="A751" s="520"/>
    </row>
    <row r="752" spans="1:1" x14ac:dyDescent="0.25">
      <c r="A752" s="520"/>
    </row>
    <row r="753" spans="1:1" x14ac:dyDescent="0.25">
      <c r="A753" s="520"/>
    </row>
    <row r="754" spans="1:1" x14ac:dyDescent="0.25">
      <c r="A754" s="520"/>
    </row>
    <row r="755" spans="1:1" x14ac:dyDescent="0.25">
      <c r="A755" s="520"/>
    </row>
    <row r="756" spans="1:1" x14ac:dyDescent="0.25">
      <c r="A756" s="520"/>
    </row>
    <row r="757" spans="1:1" x14ac:dyDescent="0.25">
      <c r="A757" s="520"/>
    </row>
    <row r="758" spans="1:1" x14ac:dyDescent="0.25">
      <c r="A758" s="520"/>
    </row>
    <row r="759" spans="1:1" x14ac:dyDescent="0.25">
      <c r="A759" s="520"/>
    </row>
    <row r="760" spans="1:1" x14ac:dyDescent="0.25">
      <c r="A760" s="520"/>
    </row>
    <row r="761" spans="1:1" x14ac:dyDescent="0.25">
      <c r="A761" s="520"/>
    </row>
    <row r="762" spans="1:1" x14ac:dyDescent="0.25">
      <c r="A762" s="520"/>
    </row>
    <row r="763" spans="1:1" x14ac:dyDescent="0.25">
      <c r="A763" s="520"/>
    </row>
    <row r="764" spans="1:1" x14ac:dyDescent="0.25">
      <c r="A764" s="520"/>
    </row>
    <row r="765" spans="1:1" x14ac:dyDescent="0.25">
      <c r="A765" s="520"/>
    </row>
    <row r="766" spans="1:1" x14ac:dyDescent="0.25">
      <c r="A766" s="520"/>
    </row>
    <row r="767" spans="1:1" x14ac:dyDescent="0.25">
      <c r="A767" s="520"/>
    </row>
    <row r="768" spans="1:1" x14ac:dyDescent="0.25">
      <c r="A768" s="520"/>
    </row>
    <row r="769" spans="1:1" x14ac:dyDescent="0.25">
      <c r="A769" s="520"/>
    </row>
    <row r="770" spans="1:1" x14ac:dyDescent="0.25">
      <c r="A770" s="520"/>
    </row>
    <row r="771" spans="1:1" x14ac:dyDescent="0.25">
      <c r="A771" s="520"/>
    </row>
    <row r="772" spans="1:1" x14ac:dyDescent="0.25">
      <c r="A772" s="520"/>
    </row>
    <row r="773" spans="1:1" x14ac:dyDescent="0.25">
      <c r="A773" s="520"/>
    </row>
    <row r="774" spans="1:1" x14ac:dyDescent="0.25">
      <c r="A774" s="520"/>
    </row>
    <row r="775" spans="1:1" x14ac:dyDescent="0.25">
      <c r="A775" s="520"/>
    </row>
    <row r="776" spans="1:1" x14ac:dyDescent="0.25">
      <c r="A776" s="520"/>
    </row>
    <row r="777" spans="1:1" x14ac:dyDescent="0.25">
      <c r="A777" s="520"/>
    </row>
    <row r="778" spans="1:1" x14ac:dyDescent="0.25">
      <c r="A778" s="520"/>
    </row>
    <row r="779" spans="1:1" x14ac:dyDescent="0.25">
      <c r="A779" s="520"/>
    </row>
    <row r="780" spans="1:1" x14ac:dyDescent="0.25">
      <c r="A780" s="520"/>
    </row>
    <row r="781" spans="1:1" x14ac:dyDescent="0.25">
      <c r="A781" s="520"/>
    </row>
    <row r="782" spans="1:1" x14ac:dyDescent="0.25">
      <c r="A782" s="520"/>
    </row>
    <row r="783" spans="1:1" x14ac:dyDescent="0.25">
      <c r="A783" s="520"/>
    </row>
    <row r="784" spans="1:1" x14ac:dyDescent="0.25">
      <c r="A784" s="520"/>
    </row>
    <row r="785" spans="1:1" x14ac:dyDescent="0.25">
      <c r="A785" s="520"/>
    </row>
    <row r="786" spans="1:1" x14ac:dyDescent="0.25">
      <c r="A786" s="520"/>
    </row>
    <row r="787" spans="1:1" x14ac:dyDescent="0.25">
      <c r="A787" s="520"/>
    </row>
    <row r="788" spans="1:1" x14ac:dyDescent="0.25">
      <c r="A788" s="520"/>
    </row>
    <row r="789" spans="1:1" x14ac:dyDescent="0.25">
      <c r="A789" s="520"/>
    </row>
    <row r="790" spans="1:1" x14ac:dyDescent="0.25">
      <c r="A790" s="520"/>
    </row>
    <row r="791" spans="1:1" x14ac:dyDescent="0.25">
      <c r="A791" s="520"/>
    </row>
    <row r="792" spans="1:1" x14ac:dyDescent="0.25">
      <c r="A792" s="520"/>
    </row>
    <row r="793" spans="1:1" x14ac:dyDescent="0.25">
      <c r="A793" s="520"/>
    </row>
    <row r="794" spans="1:1" x14ac:dyDescent="0.25">
      <c r="A794" s="520"/>
    </row>
    <row r="795" spans="1:1" x14ac:dyDescent="0.25">
      <c r="A795" s="520"/>
    </row>
    <row r="796" spans="1:1" x14ac:dyDescent="0.25">
      <c r="A796" s="520"/>
    </row>
    <row r="797" spans="1:1" x14ac:dyDescent="0.25">
      <c r="A797" s="520"/>
    </row>
    <row r="798" spans="1:1" x14ac:dyDescent="0.25">
      <c r="A798" s="520"/>
    </row>
    <row r="799" spans="1:1" x14ac:dyDescent="0.25">
      <c r="A799" s="520"/>
    </row>
    <row r="800" spans="1:1" x14ac:dyDescent="0.25">
      <c r="A800" s="520"/>
    </row>
    <row r="801" spans="1:1" x14ac:dyDescent="0.25">
      <c r="A801" s="520"/>
    </row>
    <row r="802" spans="1:1" x14ac:dyDescent="0.25">
      <c r="A802" s="520"/>
    </row>
    <row r="803" spans="1:1" x14ac:dyDescent="0.25">
      <c r="A803" s="520"/>
    </row>
    <row r="804" spans="1:1" x14ac:dyDescent="0.25">
      <c r="A804" s="520"/>
    </row>
    <row r="805" spans="1:1" x14ac:dyDescent="0.25">
      <c r="A805" s="520"/>
    </row>
    <row r="806" spans="1:1" x14ac:dyDescent="0.25">
      <c r="A806" s="520"/>
    </row>
    <row r="807" spans="1:1" x14ac:dyDescent="0.25">
      <c r="A807" s="520"/>
    </row>
    <row r="808" spans="1:1" x14ac:dyDescent="0.25">
      <c r="A808" s="520"/>
    </row>
    <row r="809" spans="1:1" x14ac:dyDescent="0.25">
      <c r="A809" s="520"/>
    </row>
    <row r="810" spans="1:1" x14ac:dyDescent="0.25">
      <c r="A810" s="520"/>
    </row>
    <row r="811" spans="1:1" x14ac:dyDescent="0.25">
      <c r="A811" s="520"/>
    </row>
    <row r="812" spans="1:1" x14ac:dyDescent="0.25">
      <c r="A812" s="520"/>
    </row>
    <row r="813" spans="1:1" x14ac:dyDescent="0.25">
      <c r="A813" s="520"/>
    </row>
    <row r="814" spans="1:1" x14ac:dyDescent="0.25">
      <c r="A814" s="520"/>
    </row>
    <row r="815" spans="1:1" x14ac:dyDescent="0.25">
      <c r="A815" s="520"/>
    </row>
    <row r="816" spans="1:1" x14ac:dyDescent="0.25">
      <c r="A816" s="520"/>
    </row>
    <row r="817" spans="1:1" x14ac:dyDescent="0.25">
      <c r="A817" s="520"/>
    </row>
    <row r="818" spans="1:1" x14ac:dyDescent="0.25">
      <c r="A818" s="520"/>
    </row>
    <row r="819" spans="1:1" x14ac:dyDescent="0.25">
      <c r="A819" s="520"/>
    </row>
    <row r="820" spans="1:1" x14ac:dyDescent="0.25">
      <c r="A820" s="520"/>
    </row>
    <row r="821" spans="1:1" x14ac:dyDescent="0.25">
      <c r="A821" s="520"/>
    </row>
    <row r="822" spans="1:1" x14ac:dyDescent="0.25">
      <c r="A822" s="520"/>
    </row>
    <row r="823" spans="1:1" x14ac:dyDescent="0.25">
      <c r="A823" s="520"/>
    </row>
    <row r="824" spans="1:1" x14ac:dyDescent="0.25">
      <c r="A824" s="520"/>
    </row>
    <row r="825" spans="1:1" x14ac:dyDescent="0.25">
      <c r="A825" s="520"/>
    </row>
    <row r="826" spans="1:1" x14ac:dyDescent="0.25">
      <c r="A826" s="520"/>
    </row>
    <row r="827" spans="1:1" x14ac:dyDescent="0.25">
      <c r="A827" s="520"/>
    </row>
    <row r="828" spans="1:1" x14ac:dyDescent="0.25">
      <c r="A828" s="520"/>
    </row>
    <row r="829" spans="1:1" x14ac:dyDescent="0.25">
      <c r="A829" s="520"/>
    </row>
    <row r="830" spans="1:1" x14ac:dyDescent="0.25">
      <c r="A830" s="520"/>
    </row>
    <row r="831" spans="1:1" x14ac:dyDescent="0.25">
      <c r="A831" s="520"/>
    </row>
    <row r="832" spans="1:1" x14ac:dyDescent="0.25">
      <c r="A832" s="520"/>
    </row>
    <row r="833" spans="1:1" x14ac:dyDescent="0.25">
      <c r="A833" s="520"/>
    </row>
    <row r="834" spans="1:1" x14ac:dyDescent="0.25">
      <c r="A834" s="520"/>
    </row>
    <row r="835" spans="1:1" x14ac:dyDescent="0.25">
      <c r="A835" s="520"/>
    </row>
    <row r="836" spans="1:1" x14ac:dyDescent="0.25">
      <c r="A836" s="520"/>
    </row>
    <row r="837" spans="1:1" x14ac:dyDescent="0.25">
      <c r="A837" s="520"/>
    </row>
    <row r="838" spans="1:1" x14ac:dyDescent="0.25">
      <c r="A838" s="520"/>
    </row>
    <row r="839" spans="1:1" x14ac:dyDescent="0.25">
      <c r="A839" s="520"/>
    </row>
    <row r="840" spans="1:1" x14ac:dyDescent="0.25">
      <c r="A840" s="520"/>
    </row>
    <row r="841" spans="1:1" x14ac:dyDescent="0.25">
      <c r="A841" s="520"/>
    </row>
    <row r="842" spans="1:1" x14ac:dyDescent="0.25">
      <c r="A842" s="520"/>
    </row>
    <row r="843" spans="1:1" x14ac:dyDescent="0.25">
      <c r="A843" s="520"/>
    </row>
    <row r="844" spans="1:1" x14ac:dyDescent="0.25">
      <c r="A844" s="520"/>
    </row>
    <row r="845" spans="1:1" x14ac:dyDescent="0.25">
      <c r="A845" s="520"/>
    </row>
    <row r="846" spans="1:1" x14ac:dyDescent="0.25">
      <c r="A846" s="520"/>
    </row>
    <row r="847" spans="1:1" x14ac:dyDescent="0.25">
      <c r="A847" s="520"/>
    </row>
    <row r="848" spans="1:1" x14ac:dyDescent="0.25">
      <c r="A848" s="520"/>
    </row>
    <row r="849" spans="1:1" x14ac:dyDescent="0.25">
      <c r="A849" s="520"/>
    </row>
    <row r="850" spans="1:1" x14ac:dyDescent="0.25">
      <c r="A850" s="520"/>
    </row>
    <row r="851" spans="1:1" x14ac:dyDescent="0.25">
      <c r="A851" s="520"/>
    </row>
    <row r="852" spans="1:1" x14ac:dyDescent="0.25">
      <c r="A852" s="520"/>
    </row>
    <row r="853" spans="1:1" x14ac:dyDescent="0.25">
      <c r="A853" s="520"/>
    </row>
    <row r="854" spans="1:1" x14ac:dyDescent="0.25">
      <c r="A854" s="520"/>
    </row>
    <row r="855" spans="1:1" x14ac:dyDescent="0.25">
      <c r="A855" s="520"/>
    </row>
    <row r="856" spans="1:1" x14ac:dyDescent="0.25">
      <c r="A856" s="520"/>
    </row>
    <row r="857" spans="1:1" x14ac:dyDescent="0.25">
      <c r="A857" s="520"/>
    </row>
    <row r="858" spans="1:1" x14ac:dyDescent="0.25">
      <c r="A858" s="520"/>
    </row>
    <row r="859" spans="1:1" x14ac:dyDescent="0.25">
      <c r="A859" s="520"/>
    </row>
    <row r="860" spans="1:1" x14ac:dyDescent="0.25">
      <c r="A860" s="520"/>
    </row>
    <row r="861" spans="1:1" x14ac:dyDescent="0.25">
      <c r="A861" s="520"/>
    </row>
    <row r="862" spans="1:1" x14ac:dyDescent="0.25">
      <c r="A862" s="520"/>
    </row>
    <row r="863" spans="1:1" x14ac:dyDescent="0.25">
      <c r="A863" s="520"/>
    </row>
    <row r="864" spans="1:1" x14ac:dyDescent="0.25">
      <c r="A864" s="520"/>
    </row>
    <row r="865" spans="1:1" x14ac:dyDescent="0.25">
      <c r="A865" s="520"/>
    </row>
    <row r="866" spans="1:1" x14ac:dyDescent="0.25">
      <c r="A866" s="520"/>
    </row>
    <row r="867" spans="1:1" x14ac:dyDescent="0.25">
      <c r="A867" s="520"/>
    </row>
    <row r="868" spans="1:1" x14ac:dyDescent="0.25">
      <c r="A868" s="520"/>
    </row>
    <row r="869" spans="1:1" x14ac:dyDescent="0.25">
      <c r="A869" s="520"/>
    </row>
    <row r="870" spans="1:1" x14ac:dyDescent="0.25">
      <c r="A870" s="520"/>
    </row>
    <row r="871" spans="1:1" x14ac:dyDescent="0.25">
      <c r="A871" s="520"/>
    </row>
    <row r="872" spans="1:1" x14ac:dyDescent="0.25">
      <c r="A872" s="520"/>
    </row>
    <row r="873" spans="1:1" x14ac:dyDescent="0.25">
      <c r="A873" s="520"/>
    </row>
    <row r="874" spans="1:1" x14ac:dyDescent="0.25">
      <c r="A874" s="520"/>
    </row>
    <row r="875" spans="1:1" x14ac:dyDescent="0.25">
      <c r="A875" s="520"/>
    </row>
    <row r="876" spans="1:1" x14ac:dyDescent="0.25">
      <c r="A876" s="520"/>
    </row>
    <row r="877" spans="1:1" x14ac:dyDescent="0.25">
      <c r="A877" s="520"/>
    </row>
    <row r="878" spans="1:1" x14ac:dyDescent="0.25">
      <c r="A878" s="520"/>
    </row>
    <row r="879" spans="1:1" x14ac:dyDescent="0.25">
      <c r="A879" s="520"/>
    </row>
    <row r="880" spans="1:1" x14ac:dyDescent="0.25">
      <c r="A880" s="520"/>
    </row>
    <row r="881" spans="1:1" x14ac:dyDescent="0.25">
      <c r="A881" s="520"/>
    </row>
    <row r="882" spans="1:1" x14ac:dyDescent="0.25">
      <c r="A882" s="520"/>
    </row>
    <row r="883" spans="1:1" x14ac:dyDescent="0.25">
      <c r="A883" s="520"/>
    </row>
    <row r="884" spans="1:1" x14ac:dyDescent="0.25">
      <c r="A884" s="520"/>
    </row>
    <row r="885" spans="1:1" x14ac:dyDescent="0.25">
      <c r="A885" s="520"/>
    </row>
    <row r="886" spans="1:1" x14ac:dyDescent="0.25">
      <c r="A886" s="520"/>
    </row>
    <row r="887" spans="1:1" x14ac:dyDescent="0.25">
      <c r="A887" s="520"/>
    </row>
    <row r="888" spans="1:1" x14ac:dyDescent="0.25">
      <c r="A888" s="520"/>
    </row>
    <row r="889" spans="1:1" x14ac:dyDescent="0.25">
      <c r="A889" s="520"/>
    </row>
    <row r="890" spans="1:1" x14ac:dyDescent="0.25">
      <c r="A890" s="520"/>
    </row>
    <row r="891" spans="1:1" x14ac:dyDescent="0.25">
      <c r="A891" s="520"/>
    </row>
    <row r="892" spans="1:1" x14ac:dyDescent="0.25">
      <c r="A892" s="520"/>
    </row>
    <row r="893" spans="1:1" x14ac:dyDescent="0.25">
      <c r="A893" s="520"/>
    </row>
    <row r="894" spans="1:1" x14ac:dyDescent="0.25">
      <c r="A894" s="520"/>
    </row>
    <row r="895" spans="1:1" x14ac:dyDescent="0.25">
      <c r="A895" s="520"/>
    </row>
    <row r="896" spans="1:1" x14ac:dyDescent="0.25">
      <c r="A896" s="520"/>
    </row>
    <row r="897" spans="1:1" x14ac:dyDescent="0.25">
      <c r="A897" s="520"/>
    </row>
    <row r="898" spans="1:1" x14ac:dyDescent="0.25">
      <c r="A898" s="520"/>
    </row>
    <row r="899" spans="1:1" x14ac:dyDescent="0.25">
      <c r="A899" s="520"/>
    </row>
    <row r="900" spans="1:1" x14ac:dyDescent="0.25">
      <c r="A900" s="520"/>
    </row>
    <row r="901" spans="1:1" x14ac:dyDescent="0.25">
      <c r="A901" s="520"/>
    </row>
    <row r="902" spans="1:1" x14ac:dyDescent="0.25">
      <c r="A902" s="520"/>
    </row>
    <row r="903" spans="1:1" x14ac:dyDescent="0.25">
      <c r="A903" s="520"/>
    </row>
    <row r="904" spans="1:1" x14ac:dyDescent="0.25">
      <c r="A904" s="520"/>
    </row>
    <row r="905" spans="1:1" x14ac:dyDescent="0.25">
      <c r="A905" s="520"/>
    </row>
    <row r="906" spans="1:1" x14ac:dyDescent="0.25">
      <c r="A906" s="520"/>
    </row>
    <row r="907" spans="1:1" x14ac:dyDescent="0.25">
      <c r="A907" s="520"/>
    </row>
    <row r="908" spans="1:1" x14ac:dyDescent="0.25">
      <c r="A908" s="520"/>
    </row>
    <row r="909" spans="1:1" x14ac:dyDescent="0.25">
      <c r="A909" s="520"/>
    </row>
    <row r="910" spans="1:1" x14ac:dyDescent="0.25">
      <c r="A910" s="520"/>
    </row>
    <row r="911" spans="1:1" x14ac:dyDescent="0.25">
      <c r="A911" s="520"/>
    </row>
    <row r="912" spans="1:1" x14ac:dyDescent="0.25">
      <c r="A912" s="520"/>
    </row>
    <row r="913" spans="1:1" x14ac:dyDescent="0.25">
      <c r="A913" s="520"/>
    </row>
    <row r="914" spans="1:1" x14ac:dyDescent="0.25">
      <c r="A914" s="520"/>
    </row>
    <row r="915" spans="1:1" x14ac:dyDescent="0.25">
      <c r="A915" s="520"/>
    </row>
    <row r="916" spans="1:1" x14ac:dyDescent="0.25">
      <c r="A916" s="520"/>
    </row>
    <row r="917" spans="1:1" x14ac:dyDescent="0.25">
      <c r="A917" s="520"/>
    </row>
    <row r="918" spans="1:1" x14ac:dyDescent="0.25">
      <c r="A918" s="520"/>
    </row>
    <row r="919" spans="1:1" x14ac:dyDescent="0.25">
      <c r="A919" s="520"/>
    </row>
    <row r="920" spans="1:1" x14ac:dyDescent="0.25">
      <c r="A920" s="520"/>
    </row>
    <row r="921" spans="1:1" x14ac:dyDescent="0.25">
      <c r="A921" s="520"/>
    </row>
    <row r="922" spans="1:1" x14ac:dyDescent="0.25">
      <c r="A922" s="520"/>
    </row>
    <row r="923" spans="1:1" x14ac:dyDescent="0.25">
      <c r="A923" s="520"/>
    </row>
    <row r="924" spans="1:1" x14ac:dyDescent="0.25">
      <c r="A924" s="520"/>
    </row>
    <row r="925" spans="1:1" x14ac:dyDescent="0.25">
      <c r="A925" s="520"/>
    </row>
    <row r="926" spans="1:1" x14ac:dyDescent="0.25">
      <c r="A926" s="520"/>
    </row>
    <row r="927" spans="1:1" x14ac:dyDescent="0.25">
      <c r="A927" s="520"/>
    </row>
    <row r="928" spans="1:1" x14ac:dyDescent="0.25">
      <c r="A928" s="520"/>
    </row>
    <row r="929" spans="1:1" x14ac:dyDescent="0.25">
      <c r="A929" s="520"/>
    </row>
    <row r="930" spans="1:1" x14ac:dyDescent="0.25">
      <c r="A930" s="520"/>
    </row>
    <row r="931" spans="1:1" x14ac:dyDescent="0.25">
      <c r="A931" s="520"/>
    </row>
    <row r="932" spans="1:1" x14ac:dyDescent="0.25">
      <c r="A932" s="520"/>
    </row>
    <row r="933" spans="1:1" x14ac:dyDescent="0.25">
      <c r="A933" s="520"/>
    </row>
    <row r="934" spans="1:1" x14ac:dyDescent="0.25">
      <c r="A934" s="520"/>
    </row>
    <row r="935" spans="1:1" x14ac:dyDescent="0.25">
      <c r="A935" s="520"/>
    </row>
    <row r="936" spans="1:1" x14ac:dyDescent="0.25">
      <c r="A936" s="520"/>
    </row>
    <row r="937" spans="1:1" x14ac:dyDescent="0.25">
      <c r="A937" s="520"/>
    </row>
    <row r="938" spans="1:1" x14ac:dyDescent="0.25">
      <c r="A938" s="520"/>
    </row>
    <row r="939" spans="1:1" x14ac:dyDescent="0.25">
      <c r="A939" s="520"/>
    </row>
    <row r="940" spans="1:1" x14ac:dyDescent="0.25">
      <c r="A940" s="520"/>
    </row>
    <row r="941" spans="1:1" x14ac:dyDescent="0.25">
      <c r="A941" s="520"/>
    </row>
    <row r="942" spans="1:1" x14ac:dyDescent="0.25">
      <c r="A942" s="520"/>
    </row>
    <row r="943" spans="1:1" x14ac:dyDescent="0.25">
      <c r="A943" s="520"/>
    </row>
    <row r="944" spans="1:1" x14ac:dyDescent="0.25">
      <c r="A944" s="520"/>
    </row>
    <row r="945" spans="1:1" x14ac:dyDescent="0.25">
      <c r="A945" s="520"/>
    </row>
    <row r="946" spans="1:1" x14ac:dyDescent="0.25">
      <c r="A946" s="520"/>
    </row>
    <row r="947" spans="1:1" x14ac:dyDescent="0.25">
      <c r="A947" s="520"/>
    </row>
    <row r="948" spans="1:1" x14ac:dyDescent="0.25">
      <c r="A948" s="520"/>
    </row>
    <row r="949" spans="1:1" x14ac:dyDescent="0.25">
      <c r="A949" s="520"/>
    </row>
    <row r="950" spans="1:1" x14ac:dyDescent="0.25">
      <c r="A950" s="520"/>
    </row>
    <row r="951" spans="1:1" x14ac:dyDescent="0.25">
      <c r="A951" s="520"/>
    </row>
    <row r="952" spans="1:1" x14ac:dyDescent="0.25">
      <c r="A952" s="520"/>
    </row>
    <row r="953" spans="1:1" x14ac:dyDescent="0.25">
      <c r="A953" s="520"/>
    </row>
    <row r="954" spans="1:1" x14ac:dyDescent="0.25">
      <c r="A954" s="520"/>
    </row>
    <row r="955" spans="1:1" x14ac:dyDescent="0.25">
      <c r="A955" s="520"/>
    </row>
    <row r="956" spans="1:1" x14ac:dyDescent="0.25">
      <c r="A956" s="520"/>
    </row>
    <row r="957" spans="1:1" x14ac:dyDescent="0.25">
      <c r="A957" s="520"/>
    </row>
    <row r="958" spans="1:1" x14ac:dyDescent="0.25">
      <c r="A958" s="520"/>
    </row>
    <row r="959" spans="1:1" x14ac:dyDescent="0.25">
      <c r="A959" s="520"/>
    </row>
    <row r="960" spans="1:1" x14ac:dyDescent="0.25">
      <c r="A960" s="520"/>
    </row>
    <row r="961" spans="1:1" x14ac:dyDescent="0.25">
      <c r="A961" s="520"/>
    </row>
    <row r="962" spans="1:1" x14ac:dyDescent="0.25">
      <c r="A962" s="520"/>
    </row>
    <row r="963" spans="1:1" x14ac:dyDescent="0.25">
      <c r="A963" s="520"/>
    </row>
    <row r="964" spans="1:1" x14ac:dyDescent="0.25">
      <c r="A964" s="520"/>
    </row>
    <row r="965" spans="1:1" x14ac:dyDescent="0.25">
      <c r="A965" s="520"/>
    </row>
    <row r="966" spans="1:1" x14ac:dyDescent="0.25">
      <c r="A966" s="520"/>
    </row>
    <row r="967" spans="1:1" x14ac:dyDescent="0.25">
      <c r="A967" s="520"/>
    </row>
    <row r="968" spans="1:1" x14ac:dyDescent="0.25">
      <c r="A968" s="520"/>
    </row>
    <row r="969" spans="1:1" x14ac:dyDescent="0.25">
      <c r="A969" s="520"/>
    </row>
    <row r="970" spans="1:1" x14ac:dyDescent="0.25">
      <c r="A970" s="520"/>
    </row>
    <row r="971" spans="1:1" x14ac:dyDescent="0.25">
      <c r="A971" s="520"/>
    </row>
    <row r="972" spans="1:1" x14ac:dyDescent="0.25">
      <c r="A972" s="520"/>
    </row>
    <row r="973" spans="1:1" x14ac:dyDescent="0.25">
      <c r="A973" s="520"/>
    </row>
    <row r="974" spans="1:1" x14ac:dyDescent="0.25">
      <c r="A974" s="520"/>
    </row>
    <row r="975" spans="1:1" x14ac:dyDescent="0.25">
      <c r="A975" s="520"/>
    </row>
    <row r="976" spans="1:1" x14ac:dyDescent="0.25">
      <c r="A976" s="520"/>
    </row>
    <row r="977" spans="1:1" x14ac:dyDescent="0.25">
      <c r="A977" s="520"/>
    </row>
    <row r="978" spans="1:1" x14ac:dyDescent="0.25">
      <c r="A978" s="520"/>
    </row>
    <row r="979" spans="1:1" x14ac:dyDescent="0.25">
      <c r="A979" s="520"/>
    </row>
    <row r="980" spans="1:1" x14ac:dyDescent="0.25">
      <c r="A980" s="520"/>
    </row>
    <row r="981" spans="1:1" x14ac:dyDescent="0.25">
      <c r="A981" s="520"/>
    </row>
    <row r="982" spans="1:1" x14ac:dyDescent="0.25">
      <c r="A982" s="520"/>
    </row>
    <row r="983" spans="1:1" x14ac:dyDescent="0.25">
      <c r="A983" s="520"/>
    </row>
    <row r="984" spans="1:1" x14ac:dyDescent="0.25">
      <c r="A984" s="520"/>
    </row>
    <row r="985" spans="1:1" x14ac:dyDescent="0.25">
      <c r="A985" s="520"/>
    </row>
    <row r="986" spans="1:1" x14ac:dyDescent="0.25">
      <c r="A986" s="520"/>
    </row>
    <row r="987" spans="1:1" x14ac:dyDescent="0.25">
      <c r="A987" s="520"/>
    </row>
    <row r="988" spans="1:1" x14ac:dyDescent="0.25">
      <c r="A988" s="520"/>
    </row>
    <row r="989" spans="1:1" x14ac:dyDescent="0.25">
      <c r="A989" s="520"/>
    </row>
    <row r="990" spans="1:1" x14ac:dyDescent="0.25">
      <c r="A990" s="520"/>
    </row>
    <row r="991" spans="1:1" x14ac:dyDescent="0.25">
      <c r="A991" s="520"/>
    </row>
    <row r="992" spans="1:1" x14ac:dyDescent="0.25">
      <c r="A992" s="520"/>
    </row>
    <row r="993" spans="1:1" x14ac:dyDescent="0.25">
      <c r="A993" s="520"/>
    </row>
    <row r="994" spans="1:1" x14ac:dyDescent="0.25">
      <c r="A994" s="520"/>
    </row>
    <row r="995" spans="1:1" x14ac:dyDescent="0.25">
      <c r="A995" s="520"/>
    </row>
    <row r="996" spans="1:1" x14ac:dyDescent="0.25">
      <c r="A996" s="520"/>
    </row>
    <row r="997" spans="1:1" x14ac:dyDescent="0.25">
      <c r="A997" s="520"/>
    </row>
    <row r="998" spans="1:1" x14ac:dyDescent="0.25">
      <c r="A998" s="520"/>
    </row>
    <row r="999" spans="1:1" x14ac:dyDescent="0.25">
      <c r="A999" s="520"/>
    </row>
    <row r="1000" spans="1:1" x14ac:dyDescent="0.25">
      <c r="A1000" s="520"/>
    </row>
    <row r="1001" spans="1:1" x14ac:dyDescent="0.25">
      <c r="A1001" s="520"/>
    </row>
    <row r="1002" spans="1:1" x14ac:dyDescent="0.25">
      <c r="A1002" s="520"/>
    </row>
    <row r="1003" spans="1:1" x14ac:dyDescent="0.25">
      <c r="A1003" s="520"/>
    </row>
    <row r="1004" spans="1:1" x14ac:dyDescent="0.25">
      <c r="A1004" s="520"/>
    </row>
    <row r="1005" spans="1:1" x14ac:dyDescent="0.25">
      <c r="A1005" s="520"/>
    </row>
    <row r="1006" spans="1:1" x14ac:dyDescent="0.25">
      <c r="A1006" s="520"/>
    </row>
    <row r="1007" spans="1:1" x14ac:dyDescent="0.25">
      <c r="A1007" s="520"/>
    </row>
    <row r="1008" spans="1:1" x14ac:dyDescent="0.25">
      <c r="A1008" s="520"/>
    </row>
    <row r="1009" spans="1:1" x14ac:dyDescent="0.25">
      <c r="A1009" s="520"/>
    </row>
    <row r="1010" spans="1:1" x14ac:dyDescent="0.25">
      <c r="A1010" s="520"/>
    </row>
    <row r="1011" spans="1:1" x14ac:dyDescent="0.25">
      <c r="A1011" s="520"/>
    </row>
    <row r="1012" spans="1:1" x14ac:dyDescent="0.25">
      <c r="A1012" s="520"/>
    </row>
    <row r="1013" spans="1:1" x14ac:dyDescent="0.25">
      <c r="A1013" s="520"/>
    </row>
    <row r="1014" spans="1:1" x14ac:dyDescent="0.25">
      <c r="A1014" s="520"/>
    </row>
    <row r="1015" spans="1:1" x14ac:dyDescent="0.25">
      <c r="A1015" s="520"/>
    </row>
    <row r="1016" spans="1:1" x14ac:dyDescent="0.25">
      <c r="A1016" s="520"/>
    </row>
    <row r="1017" spans="1:1" x14ac:dyDescent="0.25">
      <c r="A1017" s="520"/>
    </row>
    <row r="1018" spans="1:1" x14ac:dyDescent="0.25">
      <c r="A1018" s="520"/>
    </row>
    <row r="1019" spans="1:1" x14ac:dyDescent="0.25">
      <c r="A1019" s="520"/>
    </row>
    <row r="1020" spans="1:1" x14ac:dyDescent="0.25">
      <c r="A1020" s="520"/>
    </row>
    <row r="1021" spans="1:1" x14ac:dyDescent="0.25">
      <c r="A1021" s="520"/>
    </row>
    <row r="1022" spans="1:1" x14ac:dyDescent="0.25">
      <c r="A1022" s="520"/>
    </row>
    <row r="1023" spans="1:1" x14ac:dyDescent="0.25">
      <c r="A1023" s="520"/>
    </row>
    <row r="1024" spans="1:1" x14ac:dyDescent="0.25">
      <c r="A1024" s="520"/>
    </row>
    <row r="1025" spans="1:1" x14ac:dyDescent="0.25">
      <c r="A1025" s="520"/>
    </row>
    <row r="1026" spans="1:1" x14ac:dyDescent="0.25">
      <c r="A1026" s="520"/>
    </row>
    <row r="1027" spans="1:1" x14ac:dyDescent="0.25">
      <c r="A1027" s="520"/>
    </row>
    <row r="1028" spans="1:1" x14ac:dyDescent="0.25">
      <c r="A1028" s="520"/>
    </row>
    <row r="1029" spans="1:1" x14ac:dyDescent="0.25">
      <c r="A1029" s="520"/>
    </row>
    <row r="1030" spans="1:1" x14ac:dyDescent="0.25">
      <c r="A1030" s="520"/>
    </row>
    <row r="1031" spans="1:1" x14ac:dyDescent="0.25">
      <c r="A1031" s="520"/>
    </row>
    <row r="1032" spans="1:1" x14ac:dyDescent="0.25">
      <c r="A1032" s="520"/>
    </row>
    <row r="1033" spans="1:1" x14ac:dyDescent="0.25">
      <c r="A1033" s="520"/>
    </row>
    <row r="1034" spans="1:1" x14ac:dyDescent="0.25">
      <c r="A1034" s="520"/>
    </row>
    <row r="1035" spans="1:1" x14ac:dyDescent="0.25">
      <c r="A1035" s="520"/>
    </row>
    <row r="1036" spans="1:1" x14ac:dyDescent="0.25">
      <c r="A1036" s="520"/>
    </row>
    <row r="1037" spans="1:1" x14ac:dyDescent="0.25">
      <c r="A1037" s="520"/>
    </row>
    <row r="1038" spans="1:1" x14ac:dyDescent="0.25">
      <c r="A1038" s="520"/>
    </row>
    <row r="1039" spans="1:1" x14ac:dyDescent="0.25">
      <c r="A1039" s="520"/>
    </row>
    <row r="1040" spans="1:1" x14ac:dyDescent="0.25">
      <c r="A1040" s="520"/>
    </row>
    <row r="1041" spans="1:1" x14ac:dyDescent="0.25">
      <c r="A1041" s="520"/>
    </row>
    <row r="1042" spans="1:1" x14ac:dyDescent="0.25">
      <c r="A1042" s="520"/>
    </row>
    <row r="1043" spans="1:1" x14ac:dyDescent="0.25">
      <c r="A1043" s="520"/>
    </row>
    <row r="1044" spans="1:1" x14ac:dyDescent="0.25">
      <c r="A1044" s="520"/>
    </row>
    <row r="1045" spans="1:1" x14ac:dyDescent="0.25">
      <c r="A1045" s="520"/>
    </row>
    <row r="1046" spans="1:1" x14ac:dyDescent="0.25">
      <c r="A1046" s="520"/>
    </row>
    <row r="1047" spans="1:1" x14ac:dyDescent="0.25">
      <c r="A1047" s="520"/>
    </row>
    <row r="1048" spans="1:1" x14ac:dyDescent="0.25">
      <c r="A1048" s="520"/>
    </row>
    <row r="1049" spans="1:1" x14ac:dyDescent="0.25">
      <c r="A1049" s="520"/>
    </row>
    <row r="1050" spans="1:1" x14ac:dyDescent="0.25">
      <c r="A1050" s="520"/>
    </row>
    <row r="1051" spans="1:1" x14ac:dyDescent="0.25">
      <c r="A1051" s="520"/>
    </row>
    <row r="1052" spans="1:1" x14ac:dyDescent="0.25">
      <c r="A1052" s="520"/>
    </row>
    <row r="1053" spans="1:1" x14ac:dyDescent="0.25">
      <c r="A1053" s="520"/>
    </row>
    <row r="1054" spans="1:1" x14ac:dyDescent="0.25">
      <c r="A1054" s="520"/>
    </row>
    <row r="1055" spans="1:1" x14ac:dyDescent="0.25">
      <c r="A1055" s="520"/>
    </row>
    <row r="1056" spans="1:1" x14ac:dyDescent="0.25">
      <c r="A1056" s="520"/>
    </row>
    <row r="1057" spans="1:1" x14ac:dyDescent="0.25">
      <c r="A1057" s="520"/>
    </row>
    <row r="1058" spans="1:1" x14ac:dyDescent="0.25">
      <c r="A1058" s="520"/>
    </row>
    <row r="1059" spans="1:1" x14ac:dyDescent="0.25">
      <c r="A1059" s="520"/>
    </row>
    <row r="1060" spans="1:1" x14ac:dyDescent="0.25">
      <c r="A1060" s="520"/>
    </row>
    <row r="1061" spans="1:1" x14ac:dyDescent="0.25">
      <c r="A1061" s="520"/>
    </row>
    <row r="1062" spans="1:1" x14ac:dyDescent="0.25">
      <c r="A1062" s="520"/>
    </row>
    <row r="1063" spans="1:1" x14ac:dyDescent="0.25">
      <c r="A1063" s="520"/>
    </row>
    <row r="1064" spans="1:1" x14ac:dyDescent="0.25">
      <c r="A1064" s="520"/>
    </row>
    <row r="1065" spans="1:1" x14ac:dyDescent="0.25">
      <c r="A1065" s="520"/>
    </row>
    <row r="1066" spans="1:1" x14ac:dyDescent="0.25">
      <c r="A1066" s="520"/>
    </row>
    <row r="1067" spans="1:1" x14ac:dyDescent="0.25">
      <c r="A1067" s="520"/>
    </row>
    <row r="1068" spans="1:1" x14ac:dyDescent="0.25">
      <c r="A1068" s="520"/>
    </row>
    <row r="1069" spans="1:1" x14ac:dyDescent="0.25">
      <c r="A1069" s="520"/>
    </row>
    <row r="1070" spans="1:1" x14ac:dyDescent="0.25">
      <c r="A1070" s="520"/>
    </row>
    <row r="1071" spans="1:1" x14ac:dyDescent="0.25">
      <c r="A1071" s="520"/>
    </row>
    <row r="1072" spans="1:1" x14ac:dyDescent="0.25">
      <c r="A1072" s="520"/>
    </row>
    <row r="1073" spans="1:1" x14ac:dyDescent="0.25">
      <c r="A1073" s="520"/>
    </row>
    <row r="1074" spans="1:1" x14ac:dyDescent="0.25">
      <c r="A1074" s="520"/>
    </row>
    <row r="1075" spans="1:1" x14ac:dyDescent="0.25">
      <c r="A1075" s="520"/>
    </row>
    <row r="1076" spans="1:1" x14ac:dyDescent="0.25">
      <c r="A1076" s="520"/>
    </row>
    <row r="1077" spans="1:1" x14ac:dyDescent="0.25">
      <c r="A1077" s="520"/>
    </row>
    <row r="1078" spans="1:1" x14ac:dyDescent="0.25">
      <c r="A1078" s="520"/>
    </row>
    <row r="1079" spans="1:1" x14ac:dyDescent="0.25">
      <c r="A1079" s="520"/>
    </row>
    <row r="1080" spans="1:1" x14ac:dyDescent="0.25">
      <c r="A1080" s="520"/>
    </row>
    <row r="1081" spans="1:1" x14ac:dyDescent="0.25">
      <c r="A1081" s="520"/>
    </row>
    <row r="1082" spans="1:1" x14ac:dyDescent="0.25">
      <c r="A1082" s="520"/>
    </row>
    <row r="1083" spans="1:1" x14ac:dyDescent="0.25">
      <c r="A1083" s="520"/>
    </row>
    <row r="1084" spans="1:1" x14ac:dyDescent="0.25">
      <c r="A1084" s="520"/>
    </row>
    <row r="1085" spans="1:1" x14ac:dyDescent="0.25">
      <c r="A1085" s="520"/>
    </row>
    <row r="1086" spans="1:1" x14ac:dyDescent="0.25">
      <c r="A1086" s="520"/>
    </row>
    <row r="1087" spans="1:1" x14ac:dyDescent="0.25">
      <c r="A1087" s="520"/>
    </row>
    <row r="1088" spans="1:1" x14ac:dyDescent="0.25">
      <c r="A1088" s="520"/>
    </row>
    <row r="1089" spans="1:1" x14ac:dyDescent="0.25">
      <c r="A1089" s="520"/>
    </row>
    <row r="1090" spans="1:1" x14ac:dyDescent="0.25">
      <c r="A1090" s="520"/>
    </row>
    <row r="1091" spans="1:1" x14ac:dyDescent="0.25">
      <c r="A1091" s="520"/>
    </row>
    <row r="1092" spans="1:1" x14ac:dyDescent="0.25">
      <c r="A1092" s="520"/>
    </row>
    <row r="1093" spans="1:1" x14ac:dyDescent="0.25">
      <c r="A1093" s="520"/>
    </row>
    <row r="1094" spans="1:1" x14ac:dyDescent="0.25">
      <c r="A1094" s="520"/>
    </row>
    <row r="1095" spans="1:1" x14ac:dyDescent="0.25">
      <c r="A1095" s="520"/>
    </row>
    <row r="1096" spans="1:1" x14ac:dyDescent="0.25">
      <c r="A1096" s="520"/>
    </row>
    <row r="1097" spans="1:1" x14ac:dyDescent="0.25">
      <c r="A1097" s="520"/>
    </row>
    <row r="1098" spans="1:1" x14ac:dyDescent="0.25">
      <c r="A1098" s="520"/>
    </row>
    <row r="1099" spans="1:1" x14ac:dyDescent="0.25">
      <c r="A1099" s="520"/>
    </row>
    <row r="1100" spans="1:1" x14ac:dyDescent="0.25">
      <c r="A1100" s="520"/>
    </row>
    <row r="1101" spans="1:1" x14ac:dyDescent="0.25">
      <c r="A1101" s="520"/>
    </row>
    <row r="1102" spans="1:1" x14ac:dyDescent="0.25">
      <c r="A1102" s="520"/>
    </row>
    <row r="1103" spans="1:1" x14ac:dyDescent="0.25">
      <c r="A1103" s="520"/>
    </row>
    <row r="1104" spans="1:1" x14ac:dyDescent="0.25">
      <c r="A1104" s="520"/>
    </row>
    <row r="1105" spans="1:1" x14ac:dyDescent="0.25">
      <c r="A1105" s="520"/>
    </row>
    <row r="1106" spans="1:1" x14ac:dyDescent="0.25">
      <c r="A1106" s="520"/>
    </row>
    <row r="1107" spans="1:1" x14ac:dyDescent="0.25">
      <c r="A1107" s="520"/>
    </row>
    <row r="1108" spans="1:1" x14ac:dyDescent="0.25">
      <c r="A1108" s="520"/>
    </row>
    <row r="1109" spans="1:1" x14ac:dyDescent="0.25">
      <c r="A1109" s="520"/>
    </row>
    <row r="1110" spans="1:1" x14ac:dyDescent="0.25">
      <c r="A1110" s="520"/>
    </row>
    <row r="1111" spans="1:1" x14ac:dyDescent="0.25">
      <c r="A1111" s="520"/>
    </row>
    <row r="1112" spans="1:1" x14ac:dyDescent="0.25">
      <c r="A1112" s="520"/>
    </row>
    <row r="1113" spans="1:1" x14ac:dyDescent="0.25">
      <c r="A1113" s="520"/>
    </row>
    <row r="1114" spans="1:1" x14ac:dyDescent="0.25">
      <c r="A1114" s="520"/>
    </row>
    <row r="1115" spans="1:1" x14ac:dyDescent="0.25">
      <c r="A1115" s="520"/>
    </row>
    <row r="1116" spans="1:1" x14ac:dyDescent="0.25">
      <c r="A1116" s="520"/>
    </row>
    <row r="1117" spans="1:1" x14ac:dyDescent="0.25">
      <c r="A1117" s="520"/>
    </row>
    <row r="1118" spans="1:1" x14ac:dyDescent="0.25">
      <c r="A1118" s="520"/>
    </row>
    <row r="1119" spans="1:1" x14ac:dyDescent="0.25">
      <c r="A1119" s="520"/>
    </row>
    <row r="1120" spans="1:1" x14ac:dyDescent="0.25">
      <c r="A1120" s="520"/>
    </row>
    <row r="1121" spans="1:1" x14ac:dyDescent="0.25">
      <c r="A1121" s="520"/>
    </row>
    <row r="1122" spans="1:1" x14ac:dyDescent="0.25">
      <c r="A1122" s="520"/>
    </row>
    <row r="1123" spans="1:1" x14ac:dyDescent="0.25">
      <c r="A1123" s="520"/>
    </row>
    <row r="1124" spans="1:1" x14ac:dyDescent="0.25">
      <c r="A1124" s="520"/>
    </row>
    <row r="1125" spans="1:1" x14ac:dyDescent="0.25">
      <c r="A1125" s="520"/>
    </row>
    <row r="1126" spans="1:1" x14ac:dyDescent="0.25">
      <c r="A1126" s="520"/>
    </row>
    <row r="1127" spans="1:1" x14ac:dyDescent="0.25">
      <c r="A1127" s="520"/>
    </row>
    <row r="1128" spans="1:1" x14ac:dyDescent="0.25">
      <c r="A1128" s="520"/>
    </row>
    <row r="1129" spans="1:1" x14ac:dyDescent="0.25">
      <c r="A1129" s="520"/>
    </row>
    <row r="1130" spans="1:1" x14ac:dyDescent="0.25">
      <c r="A1130" s="520"/>
    </row>
    <row r="1131" spans="1:1" x14ac:dyDescent="0.25">
      <c r="A1131" s="520"/>
    </row>
    <row r="1132" spans="1:1" x14ac:dyDescent="0.25">
      <c r="A1132" s="520"/>
    </row>
    <row r="1133" spans="1:1" x14ac:dyDescent="0.25">
      <c r="A1133" s="520"/>
    </row>
    <row r="1134" spans="1:1" x14ac:dyDescent="0.25">
      <c r="A1134" s="520"/>
    </row>
    <row r="1135" spans="1:1" x14ac:dyDescent="0.25">
      <c r="A1135" s="520"/>
    </row>
    <row r="1136" spans="1:1" x14ac:dyDescent="0.25">
      <c r="A1136" s="520"/>
    </row>
    <row r="1137" spans="1:1" x14ac:dyDescent="0.25">
      <c r="A1137" s="520"/>
    </row>
    <row r="1138" spans="1:1" x14ac:dyDescent="0.25">
      <c r="A1138" s="520"/>
    </row>
    <row r="1139" spans="1:1" x14ac:dyDescent="0.25">
      <c r="A1139" s="520"/>
    </row>
    <row r="1140" spans="1:1" x14ac:dyDescent="0.25">
      <c r="A1140" s="520"/>
    </row>
    <row r="1141" spans="1:1" x14ac:dyDescent="0.25">
      <c r="A1141" s="520"/>
    </row>
    <row r="1142" spans="1:1" x14ac:dyDescent="0.25">
      <c r="A1142" s="520"/>
    </row>
    <row r="1143" spans="1:1" x14ac:dyDescent="0.25">
      <c r="A1143" s="520"/>
    </row>
    <row r="1144" spans="1:1" x14ac:dyDescent="0.25">
      <c r="A1144" s="520"/>
    </row>
    <row r="1145" spans="1:1" x14ac:dyDescent="0.25">
      <c r="A1145" s="520"/>
    </row>
    <row r="1146" spans="1:1" x14ac:dyDescent="0.25">
      <c r="A1146" s="520"/>
    </row>
    <row r="1147" spans="1:1" x14ac:dyDescent="0.25">
      <c r="A1147" s="520"/>
    </row>
    <row r="1148" spans="1:1" x14ac:dyDescent="0.25">
      <c r="A1148" s="520"/>
    </row>
    <row r="1149" spans="1:1" x14ac:dyDescent="0.25">
      <c r="A1149" s="520"/>
    </row>
    <row r="1150" spans="1:1" x14ac:dyDescent="0.25">
      <c r="A1150" s="520"/>
    </row>
    <row r="1151" spans="1:1" x14ac:dyDescent="0.25">
      <c r="A1151" s="520"/>
    </row>
    <row r="1152" spans="1:1" x14ac:dyDescent="0.25">
      <c r="A1152" s="520"/>
    </row>
    <row r="1153" spans="1:1" x14ac:dyDescent="0.25">
      <c r="A1153" s="520"/>
    </row>
    <row r="1154" spans="1:1" x14ac:dyDescent="0.25">
      <c r="A1154" s="520"/>
    </row>
    <row r="1155" spans="1:1" x14ac:dyDescent="0.25">
      <c r="A1155" s="520"/>
    </row>
    <row r="1156" spans="1:1" x14ac:dyDescent="0.25">
      <c r="A1156" s="520"/>
    </row>
    <row r="1157" spans="1:1" x14ac:dyDescent="0.25">
      <c r="A1157" s="520"/>
    </row>
    <row r="1158" spans="1:1" x14ac:dyDescent="0.25">
      <c r="A1158" s="520"/>
    </row>
    <row r="1159" spans="1:1" x14ac:dyDescent="0.25">
      <c r="A1159" s="520"/>
    </row>
    <row r="1160" spans="1:1" x14ac:dyDescent="0.25">
      <c r="A1160" s="520"/>
    </row>
    <row r="1161" spans="1:1" x14ac:dyDescent="0.25">
      <c r="A1161" s="520"/>
    </row>
    <row r="1162" spans="1:1" x14ac:dyDescent="0.25">
      <c r="A1162" s="520"/>
    </row>
    <row r="1163" spans="1:1" x14ac:dyDescent="0.25">
      <c r="A1163" s="520"/>
    </row>
    <row r="1164" spans="1:1" x14ac:dyDescent="0.25">
      <c r="A1164" s="520"/>
    </row>
    <row r="1165" spans="1:1" x14ac:dyDescent="0.25">
      <c r="A1165" s="520"/>
    </row>
    <row r="1166" spans="1:1" x14ac:dyDescent="0.25">
      <c r="A1166" s="520"/>
    </row>
    <row r="1167" spans="1:1" x14ac:dyDescent="0.25">
      <c r="A1167" s="520"/>
    </row>
    <row r="1168" spans="1:1" x14ac:dyDescent="0.25">
      <c r="A1168" s="520"/>
    </row>
    <row r="1169" spans="1:1" x14ac:dyDescent="0.25">
      <c r="A1169" s="520"/>
    </row>
    <row r="1170" spans="1:1" x14ac:dyDescent="0.25">
      <c r="A1170" s="520"/>
    </row>
    <row r="1171" spans="1:1" x14ac:dyDescent="0.25">
      <c r="A1171" s="520"/>
    </row>
    <row r="1172" spans="1:1" x14ac:dyDescent="0.25">
      <c r="A1172" s="520"/>
    </row>
    <row r="1173" spans="1:1" x14ac:dyDescent="0.25">
      <c r="A1173" s="520"/>
    </row>
    <row r="1174" spans="1:1" x14ac:dyDescent="0.25">
      <c r="A1174" s="520"/>
    </row>
    <row r="1175" spans="1:1" x14ac:dyDescent="0.25">
      <c r="A1175" s="520"/>
    </row>
    <row r="1176" spans="1:1" x14ac:dyDescent="0.25">
      <c r="A1176" s="520"/>
    </row>
    <row r="1177" spans="1:1" x14ac:dyDescent="0.25">
      <c r="A1177" s="520"/>
    </row>
    <row r="1178" spans="1:1" x14ac:dyDescent="0.25">
      <c r="A1178" s="520"/>
    </row>
    <row r="1179" spans="1:1" x14ac:dyDescent="0.25">
      <c r="A1179" s="520"/>
    </row>
    <row r="1180" spans="1:1" x14ac:dyDescent="0.25">
      <c r="A1180" s="520"/>
    </row>
    <row r="1181" spans="1:1" x14ac:dyDescent="0.25">
      <c r="A1181" s="520"/>
    </row>
    <row r="1182" spans="1:1" x14ac:dyDescent="0.25">
      <c r="A1182" s="520"/>
    </row>
    <row r="1183" spans="1:1" x14ac:dyDescent="0.25">
      <c r="A1183" s="520"/>
    </row>
    <row r="1184" spans="1:1" x14ac:dyDescent="0.25">
      <c r="A1184" s="520"/>
    </row>
    <row r="1185" spans="1:1" x14ac:dyDescent="0.25">
      <c r="A1185" s="520"/>
    </row>
    <row r="1186" spans="1:1" x14ac:dyDescent="0.25">
      <c r="A1186" s="520"/>
    </row>
    <row r="1187" spans="1:1" x14ac:dyDescent="0.25">
      <c r="A1187" s="520"/>
    </row>
    <row r="1188" spans="1:1" x14ac:dyDescent="0.25">
      <c r="A1188" s="520"/>
    </row>
    <row r="1189" spans="1:1" x14ac:dyDescent="0.25">
      <c r="A1189" s="520"/>
    </row>
    <row r="1190" spans="1:1" x14ac:dyDescent="0.25">
      <c r="A1190" s="520"/>
    </row>
    <row r="1191" spans="1:1" x14ac:dyDescent="0.25">
      <c r="A1191" s="520"/>
    </row>
    <row r="1192" spans="1:1" x14ac:dyDescent="0.25">
      <c r="A1192" s="520"/>
    </row>
    <row r="1193" spans="1:1" x14ac:dyDescent="0.25">
      <c r="A1193" s="520"/>
    </row>
    <row r="1194" spans="1:1" x14ac:dyDescent="0.25">
      <c r="A1194" s="520"/>
    </row>
    <row r="1195" spans="1:1" x14ac:dyDescent="0.25">
      <c r="A1195" s="520"/>
    </row>
    <row r="1196" spans="1:1" x14ac:dyDescent="0.25">
      <c r="A1196" s="520"/>
    </row>
    <row r="1197" spans="1:1" x14ac:dyDescent="0.25">
      <c r="A1197" s="520"/>
    </row>
    <row r="1198" spans="1:1" x14ac:dyDescent="0.25">
      <c r="A1198" s="520"/>
    </row>
    <row r="1199" spans="1:1" x14ac:dyDescent="0.25">
      <c r="A1199" s="520"/>
    </row>
    <row r="1200" spans="1:1" x14ac:dyDescent="0.25">
      <c r="A1200" s="520"/>
    </row>
    <row r="1201" spans="1:1" x14ac:dyDescent="0.25">
      <c r="A1201" s="520"/>
    </row>
    <row r="1202" spans="1:1" x14ac:dyDescent="0.25">
      <c r="A1202" s="520"/>
    </row>
    <row r="1203" spans="1:1" x14ac:dyDescent="0.25">
      <c r="A1203" s="520"/>
    </row>
    <row r="1204" spans="1:1" x14ac:dyDescent="0.25">
      <c r="A1204" s="520"/>
    </row>
    <row r="1205" spans="1:1" x14ac:dyDescent="0.25">
      <c r="A1205" s="520"/>
    </row>
    <row r="1206" spans="1:1" x14ac:dyDescent="0.25">
      <c r="A1206" s="520"/>
    </row>
    <row r="1207" spans="1:1" x14ac:dyDescent="0.25">
      <c r="A1207" s="520"/>
    </row>
    <row r="1208" spans="1:1" x14ac:dyDescent="0.25">
      <c r="A1208" s="520"/>
    </row>
    <row r="1209" spans="1:1" x14ac:dyDescent="0.25">
      <c r="A1209" s="520"/>
    </row>
    <row r="1210" spans="1:1" x14ac:dyDescent="0.25">
      <c r="A1210" s="520"/>
    </row>
    <row r="1211" spans="1:1" x14ac:dyDescent="0.25">
      <c r="A1211" s="520"/>
    </row>
    <row r="1212" spans="1:1" x14ac:dyDescent="0.25">
      <c r="A1212" s="520"/>
    </row>
    <row r="1213" spans="1:1" x14ac:dyDescent="0.25">
      <c r="A1213" s="520"/>
    </row>
    <row r="1214" spans="1:1" x14ac:dyDescent="0.25">
      <c r="A1214" s="520"/>
    </row>
    <row r="1215" spans="1:1" x14ac:dyDescent="0.25">
      <c r="A1215" s="520"/>
    </row>
    <row r="1216" spans="1:1" x14ac:dyDescent="0.25">
      <c r="A1216" s="520"/>
    </row>
    <row r="1217" spans="1:1" x14ac:dyDescent="0.25">
      <c r="A1217" s="520"/>
    </row>
    <row r="1218" spans="1:1" x14ac:dyDescent="0.25">
      <c r="A1218" s="520"/>
    </row>
    <row r="1219" spans="1:1" x14ac:dyDescent="0.25">
      <c r="A1219" s="520"/>
    </row>
    <row r="1220" spans="1:1" x14ac:dyDescent="0.25">
      <c r="A1220" s="520"/>
    </row>
    <row r="1221" spans="1:1" x14ac:dyDescent="0.25">
      <c r="A1221" s="520"/>
    </row>
    <row r="1222" spans="1:1" x14ac:dyDescent="0.25">
      <c r="A1222" s="520"/>
    </row>
    <row r="1223" spans="1:1" x14ac:dyDescent="0.25">
      <c r="A1223" s="520"/>
    </row>
    <row r="1224" spans="1:1" x14ac:dyDescent="0.25">
      <c r="A1224" s="520"/>
    </row>
    <row r="1225" spans="1:1" x14ac:dyDescent="0.25">
      <c r="A1225" s="520"/>
    </row>
    <row r="1226" spans="1:1" x14ac:dyDescent="0.25">
      <c r="A1226" s="520"/>
    </row>
    <row r="1227" spans="1:1" x14ac:dyDescent="0.25">
      <c r="A1227" s="520"/>
    </row>
    <row r="1228" spans="1:1" x14ac:dyDescent="0.25">
      <c r="A1228" s="520"/>
    </row>
    <row r="1229" spans="1:1" x14ac:dyDescent="0.25">
      <c r="A1229" s="520"/>
    </row>
    <row r="1230" spans="1:1" x14ac:dyDescent="0.25">
      <c r="A1230" s="520"/>
    </row>
    <row r="1231" spans="1:1" x14ac:dyDescent="0.25">
      <c r="A1231" s="520"/>
    </row>
    <row r="1232" spans="1:1" x14ac:dyDescent="0.25">
      <c r="A1232" s="520"/>
    </row>
    <row r="1233" spans="1:1" x14ac:dyDescent="0.25">
      <c r="A1233" s="520"/>
    </row>
    <row r="1234" spans="1:1" x14ac:dyDescent="0.25">
      <c r="A1234" s="520"/>
    </row>
    <row r="1235" spans="1:1" x14ac:dyDescent="0.25">
      <c r="A1235" s="520"/>
    </row>
    <row r="1236" spans="1:1" x14ac:dyDescent="0.25">
      <c r="A1236" s="520"/>
    </row>
    <row r="1237" spans="1:1" x14ac:dyDescent="0.25">
      <c r="A1237" s="520"/>
    </row>
    <row r="1238" spans="1:1" x14ac:dyDescent="0.25">
      <c r="A1238" s="520"/>
    </row>
    <row r="1239" spans="1:1" x14ac:dyDescent="0.25">
      <c r="A1239" s="520"/>
    </row>
    <row r="1240" spans="1:1" x14ac:dyDescent="0.25">
      <c r="A1240" s="520"/>
    </row>
    <row r="1241" spans="1:1" x14ac:dyDescent="0.25">
      <c r="A1241" s="520"/>
    </row>
    <row r="1242" spans="1:1" x14ac:dyDescent="0.25">
      <c r="A1242" s="520"/>
    </row>
    <row r="1243" spans="1:1" x14ac:dyDescent="0.25">
      <c r="A1243" s="520"/>
    </row>
    <row r="1244" spans="1:1" x14ac:dyDescent="0.25">
      <c r="A1244" s="520"/>
    </row>
    <row r="1245" spans="1:1" x14ac:dyDescent="0.25">
      <c r="A1245" s="520"/>
    </row>
    <row r="1246" spans="1:1" x14ac:dyDescent="0.25">
      <c r="A1246" s="520"/>
    </row>
    <row r="1247" spans="1:1" x14ac:dyDescent="0.25">
      <c r="A1247" s="520"/>
    </row>
    <row r="1248" spans="1:1" x14ac:dyDescent="0.25">
      <c r="A1248" s="520"/>
    </row>
    <row r="1249" spans="1:1" x14ac:dyDescent="0.25">
      <c r="A1249" s="520"/>
    </row>
    <row r="1250" spans="1:1" x14ac:dyDescent="0.25">
      <c r="A1250" s="520"/>
    </row>
    <row r="1251" spans="1:1" x14ac:dyDescent="0.25">
      <c r="A1251" s="520"/>
    </row>
    <row r="1252" spans="1:1" x14ac:dyDescent="0.25">
      <c r="A1252" s="520"/>
    </row>
    <row r="1253" spans="1:1" x14ac:dyDescent="0.25">
      <c r="A1253" s="520"/>
    </row>
    <row r="1254" spans="1:1" x14ac:dyDescent="0.25">
      <c r="A1254" s="520"/>
    </row>
    <row r="1255" spans="1:1" x14ac:dyDescent="0.25">
      <c r="A1255" s="520"/>
    </row>
    <row r="1256" spans="1:1" x14ac:dyDescent="0.25">
      <c r="A1256" s="520"/>
    </row>
    <row r="1257" spans="1:1" x14ac:dyDescent="0.25">
      <c r="A1257" s="520"/>
    </row>
    <row r="1258" spans="1:1" x14ac:dyDescent="0.25">
      <c r="A1258" s="520"/>
    </row>
    <row r="1259" spans="1:1" x14ac:dyDescent="0.25">
      <c r="A1259" s="520"/>
    </row>
    <row r="1260" spans="1:1" x14ac:dyDescent="0.25">
      <c r="A1260" s="520"/>
    </row>
    <row r="1261" spans="1:1" x14ac:dyDescent="0.25">
      <c r="A1261" s="520"/>
    </row>
    <row r="1262" spans="1:1" x14ac:dyDescent="0.25">
      <c r="A1262" s="520"/>
    </row>
    <row r="1263" spans="1:1" x14ac:dyDescent="0.25">
      <c r="A1263" s="520"/>
    </row>
    <row r="1264" spans="1:1" x14ac:dyDescent="0.25">
      <c r="A1264" s="520"/>
    </row>
    <row r="1265" spans="1:1" x14ac:dyDescent="0.25">
      <c r="A1265" s="520"/>
    </row>
    <row r="1266" spans="1:1" x14ac:dyDescent="0.25">
      <c r="A1266" s="520"/>
    </row>
    <row r="1267" spans="1:1" x14ac:dyDescent="0.25">
      <c r="A1267" s="520"/>
    </row>
    <row r="1268" spans="1:1" x14ac:dyDescent="0.25">
      <c r="A1268" s="520"/>
    </row>
    <row r="1269" spans="1:1" x14ac:dyDescent="0.25">
      <c r="A1269" s="520"/>
    </row>
    <row r="1270" spans="1:1" x14ac:dyDescent="0.25">
      <c r="A1270" s="520"/>
    </row>
    <row r="1271" spans="1:1" x14ac:dyDescent="0.25">
      <c r="A1271" s="520"/>
    </row>
    <row r="1272" spans="1:1" x14ac:dyDescent="0.25">
      <c r="A1272" s="520"/>
    </row>
    <row r="1273" spans="1:1" x14ac:dyDescent="0.25">
      <c r="A1273" s="520"/>
    </row>
    <row r="1274" spans="1:1" x14ac:dyDescent="0.25">
      <c r="A1274" s="520"/>
    </row>
    <row r="1275" spans="1:1" x14ac:dyDescent="0.25">
      <c r="A1275" s="520"/>
    </row>
    <row r="1276" spans="1:1" x14ac:dyDescent="0.25">
      <c r="A1276" s="520"/>
    </row>
    <row r="1277" spans="1:1" x14ac:dyDescent="0.25">
      <c r="A1277" s="520"/>
    </row>
    <row r="1278" spans="1:1" x14ac:dyDescent="0.25">
      <c r="A1278" s="520"/>
    </row>
    <row r="1279" spans="1:1" x14ac:dyDescent="0.25">
      <c r="A1279" s="520"/>
    </row>
    <row r="1280" spans="1:1" x14ac:dyDescent="0.25">
      <c r="A1280" s="520"/>
    </row>
    <row r="1281" spans="1:1" x14ac:dyDescent="0.25">
      <c r="A1281" s="520"/>
    </row>
    <row r="1282" spans="1:1" x14ac:dyDescent="0.25">
      <c r="A1282" s="520"/>
    </row>
    <row r="1283" spans="1:1" x14ac:dyDescent="0.25">
      <c r="A1283" s="520"/>
    </row>
    <row r="1284" spans="1:1" x14ac:dyDescent="0.25">
      <c r="A1284" s="520"/>
    </row>
    <row r="1285" spans="1:1" x14ac:dyDescent="0.25">
      <c r="A1285" s="520"/>
    </row>
    <row r="1286" spans="1:1" x14ac:dyDescent="0.25">
      <c r="A1286" s="520"/>
    </row>
    <row r="1287" spans="1:1" x14ac:dyDescent="0.25">
      <c r="A1287" s="520"/>
    </row>
    <row r="1288" spans="1:1" x14ac:dyDescent="0.25">
      <c r="A1288" s="520"/>
    </row>
    <row r="1289" spans="1:1" x14ac:dyDescent="0.25">
      <c r="A1289" s="520"/>
    </row>
    <row r="1290" spans="1:1" x14ac:dyDescent="0.25">
      <c r="A1290" s="520"/>
    </row>
    <row r="1291" spans="1:1" x14ac:dyDescent="0.25">
      <c r="A1291" s="520"/>
    </row>
    <row r="1292" spans="1:1" x14ac:dyDescent="0.25">
      <c r="A1292" s="520"/>
    </row>
    <row r="1293" spans="1:1" x14ac:dyDescent="0.25">
      <c r="A1293" s="520"/>
    </row>
    <row r="1294" spans="1:1" x14ac:dyDescent="0.25">
      <c r="A1294" s="520"/>
    </row>
    <row r="1295" spans="1:1" x14ac:dyDescent="0.25">
      <c r="A1295" s="520"/>
    </row>
    <row r="1296" spans="1:1" x14ac:dyDescent="0.25">
      <c r="A1296" s="520"/>
    </row>
    <row r="1297" spans="1:1" x14ac:dyDescent="0.25">
      <c r="A1297" s="520"/>
    </row>
    <row r="1298" spans="1:1" x14ac:dyDescent="0.25">
      <c r="A1298" s="520"/>
    </row>
    <row r="1299" spans="1:1" x14ac:dyDescent="0.25">
      <c r="A1299" s="520"/>
    </row>
    <row r="1300" spans="1:1" x14ac:dyDescent="0.25">
      <c r="A1300" s="520"/>
    </row>
    <row r="1301" spans="1:1" x14ac:dyDescent="0.25">
      <c r="A1301" s="520"/>
    </row>
    <row r="1302" spans="1:1" x14ac:dyDescent="0.25">
      <c r="A1302" s="520"/>
    </row>
    <row r="1303" spans="1:1" x14ac:dyDescent="0.25">
      <c r="A1303" s="520"/>
    </row>
    <row r="1304" spans="1:1" x14ac:dyDescent="0.25">
      <c r="A1304" s="520"/>
    </row>
    <row r="1305" spans="1:1" x14ac:dyDescent="0.25">
      <c r="A1305" s="520"/>
    </row>
    <row r="1306" spans="1:1" x14ac:dyDescent="0.25">
      <c r="A1306" s="520"/>
    </row>
    <row r="1307" spans="1:1" x14ac:dyDescent="0.25">
      <c r="A1307" s="520"/>
    </row>
    <row r="1308" spans="1:1" x14ac:dyDescent="0.25">
      <c r="A1308" s="520"/>
    </row>
    <row r="1309" spans="1:1" x14ac:dyDescent="0.25">
      <c r="A1309" s="520"/>
    </row>
    <row r="1310" spans="1:1" x14ac:dyDescent="0.25">
      <c r="A1310" s="520"/>
    </row>
    <row r="1311" spans="1:1" x14ac:dyDescent="0.25">
      <c r="A1311" s="520"/>
    </row>
    <row r="1312" spans="1:1" x14ac:dyDescent="0.25">
      <c r="A1312" s="520"/>
    </row>
    <row r="1313" spans="1:1" x14ac:dyDescent="0.25">
      <c r="A1313" s="520"/>
    </row>
    <row r="1314" spans="1:1" x14ac:dyDescent="0.25">
      <c r="A1314" s="520"/>
    </row>
    <row r="1315" spans="1:1" x14ac:dyDescent="0.25">
      <c r="A1315" s="520"/>
    </row>
    <row r="1316" spans="1:1" x14ac:dyDescent="0.25">
      <c r="A1316" s="520"/>
    </row>
    <row r="1317" spans="1:1" x14ac:dyDescent="0.25">
      <c r="A1317" s="520"/>
    </row>
    <row r="1318" spans="1:1" x14ac:dyDescent="0.25">
      <c r="A1318" s="520"/>
    </row>
    <row r="1319" spans="1:1" x14ac:dyDescent="0.25">
      <c r="A1319" s="520"/>
    </row>
    <row r="1320" spans="1:1" x14ac:dyDescent="0.25">
      <c r="A1320" s="520"/>
    </row>
    <row r="1321" spans="1:1" x14ac:dyDescent="0.25">
      <c r="A1321" s="520"/>
    </row>
    <row r="1322" spans="1:1" x14ac:dyDescent="0.25">
      <c r="A1322" s="520"/>
    </row>
    <row r="1323" spans="1:1" x14ac:dyDescent="0.25">
      <c r="A1323" s="520"/>
    </row>
    <row r="1324" spans="1:1" x14ac:dyDescent="0.25">
      <c r="A1324" s="520"/>
    </row>
    <row r="1325" spans="1:1" x14ac:dyDescent="0.25">
      <c r="A1325" s="520"/>
    </row>
    <row r="1326" spans="1:1" x14ac:dyDescent="0.25">
      <c r="A1326" s="520"/>
    </row>
    <row r="1327" spans="1:1" x14ac:dyDescent="0.25">
      <c r="A1327" s="520"/>
    </row>
    <row r="1328" spans="1:1" x14ac:dyDescent="0.25">
      <c r="A1328" s="520"/>
    </row>
    <row r="1329" spans="1:1" x14ac:dyDescent="0.25">
      <c r="A1329" s="520"/>
    </row>
    <row r="1330" spans="1:1" x14ac:dyDescent="0.25">
      <c r="A1330" s="520"/>
    </row>
    <row r="1331" spans="1:1" x14ac:dyDescent="0.25">
      <c r="A1331" s="520"/>
    </row>
    <row r="1332" spans="1:1" x14ac:dyDescent="0.25">
      <c r="A1332" s="520"/>
    </row>
    <row r="1333" spans="1:1" x14ac:dyDescent="0.25">
      <c r="A1333" s="520"/>
    </row>
    <row r="1334" spans="1:1" x14ac:dyDescent="0.25">
      <c r="A1334" s="520"/>
    </row>
    <row r="1335" spans="1:1" x14ac:dyDescent="0.25">
      <c r="A1335" s="520"/>
    </row>
    <row r="1336" spans="1:1" x14ac:dyDescent="0.25">
      <c r="A1336" s="520"/>
    </row>
    <row r="1337" spans="1:1" x14ac:dyDescent="0.25">
      <c r="A1337" s="520"/>
    </row>
    <row r="1338" spans="1:1" x14ac:dyDescent="0.25">
      <c r="A1338" s="520"/>
    </row>
    <row r="1339" spans="1:1" x14ac:dyDescent="0.25">
      <c r="A1339" s="520"/>
    </row>
    <row r="1340" spans="1:1" x14ac:dyDescent="0.25">
      <c r="A1340" s="520"/>
    </row>
    <row r="1341" spans="1:1" x14ac:dyDescent="0.25">
      <c r="A1341" s="520"/>
    </row>
    <row r="1342" spans="1:1" x14ac:dyDescent="0.25">
      <c r="A1342" s="520"/>
    </row>
    <row r="1343" spans="1:1" x14ac:dyDescent="0.25">
      <c r="A1343" s="520"/>
    </row>
    <row r="1344" spans="1:1" x14ac:dyDescent="0.25">
      <c r="A1344" s="520"/>
    </row>
    <row r="1345" spans="1:1" x14ac:dyDescent="0.25">
      <c r="A1345" s="520"/>
    </row>
    <row r="1346" spans="1:1" x14ac:dyDescent="0.25">
      <c r="A1346" s="520"/>
    </row>
    <row r="1347" spans="1:1" x14ac:dyDescent="0.25">
      <c r="A1347" s="520"/>
    </row>
    <row r="1348" spans="1:1" x14ac:dyDescent="0.25">
      <c r="A1348" s="520"/>
    </row>
    <row r="1349" spans="1:1" x14ac:dyDescent="0.25">
      <c r="A1349" s="520"/>
    </row>
    <row r="1350" spans="1:1" x14ac:dyDescent="0.25">
      <c r="A1350" s="520"/>
    </row>
    <row r="1351" spans="1:1" x14ac:dyDescent="0.25">
      <c r="A1351" s="520"/>
    </row>
    <row r="1352" spans="1:1" x14ac:dyDescent="0.25">
      <c r="A1352" s="520"/>
    </row>
    <row r="1353" spans="1:1" x14ac:dyDescent="0.25">
      <c r="A1353" s="520"/>
    </row>
    <row r="1354" spans="1:1" x14ac:dyDescent="0.25">
      <c r="A1354" s="520"/>
    </row>
    <row r="1355" spans="1:1" x14ac:dyDescent="0.25">
      <c r="A1355" s="520"/>
    </row>
    <row r="1356" spans="1:1" x14ac:dyDescent="0.25">
      <c r="A1356" s="520"/>
    </row>
    <row r="1357" spans="1:1" x14ac:dyDescent="0.25">
      <c r="A1357" s="520"/>
    </row>
    <row r="1358" spans="1:1" x14ac:dyDescent="0.25">
      <c r="A1358" s="520"/>
    </row>
    <row r="1359" spans="1:1" x14ac:dyDescent="0.25">
      <c r="A1359" s="520"/>
    </row>
    <row r="1360" spans="1:1" x14ac:dyDescent="0.25">
      <c r="A1360" s="520"/>
    </row>
    <row r="1361" spans="1:1" x14ac:dyDescent="0.25">
      <c r="A1361" s="520"/>
    </row>
    <row r="1362" spans="1:1" x14ac:dyDescent="0.25">
      <c r="A1362" s="520"/>
    </row>
    <row r="1363" spans="1:1" x14ac:dyDescent="0.25">
      <c r="A1363" s="520"/>
    </row>
    <row r="1364" spans="1:1" x14ac:dyDescent="0.25">
      <c r="A1364" s="520"/>
    </row>
    <row r="1365" spans="1:1" x14ac:dyDescent="0.25">
      <c r="A1365" s="520"/>
    </row>
    <row r="1366" spans="1:1" x14ac:dyDescent="0.25">
      <c r="A1366" s="520"/>
    </row>
    <row r="1367" spans="1:1" x14ac:dyDescent="0.25">
      <c r="A1367" s="520"/>
    </row>
    <row r="1368" spans="1:1" x14ac:dyDescent="0.25">
      <c r="A1368" s="520"/>
    </row>
    <row r="1369" spans="1:1" x14ac:dyDescent="0.25">
      <c r="A1369" s="520"/>
    </row>
    <row r="1370" spans="1:1" x14ac:dyDescent="0.25">
      <c r="A1370" s="520"/>
    </row>
    <row r="1371" spans="1:1" x14ac:dyDescent="0.25">
      <c r="A1371" s="520"/>
    </row>
    <row r="1372" spans="1:1" x14ac:dyDescent="0.25">
      <c r="A1372" s="520"/>
    </row>
    <row r="1373" spans="1:1" x14ac:dyDescent="0.25">
      <c r="A1373" s="520"/>
    </row>
    <row r="1374" spans="1:1" x14ac:dyDescent="0.25">
      <c r="A1374" s="520"/>
    </row>
    <row r="1375" spans="1:1" x14ac:dyDescent="0.25">
      <c r="A1375" s="520"/>
    </row>
    <row r="1376" spans="1:1" x14ac:dyDescent="0.25">
      <c r="A1376" s="520"/>
    </row>
    <row r="1377" spans="1:1" x14ac:dyDescent="0.25">
      <c r="A1377" s="520"/>
    </row>
    <row r="1378" spans="1:1" x14ac:dyDescent="0.25">
      <c r="A1378" s="520"/>
    </row>
    <row r="1379" spans="1:1" x14ac:dyDescent="0.25">
      <c r="A1379" s="520"/>
    </row>
    <row r="1380" spans="1:1" x14ac:dyDescent="0.25">
      <c r="A1380" s="520"/>
    </row>
    <row r="1381" spans="1:1" x14ac:dyDescent="0.25">
      <c r="A1381" s="520"/>
    </row>
    <row r="1382" spans="1:1" x14ac:dyDescent="0.25">
      <c r="A1382" s="520"/>
    </row>
    <row r="1383" spans="1:1" x14ac:dyDescent="0.25">
      <c r="A1383" s="520"/>
    </row>
    <row r="1384" spans="1:1" x14ac:dyDescent="0.25">
      <c r="A1384" s="520"/>
    </row>
    <row r="1385" spans="1:1" x14ac:dyDescent="0.25">
      <c r="A1385" s="520"/>
    </row>
    <row r="1386" spans="1:1" x14ac:dyDescent="0.25">
      <c r="A1386" s="520"/>
    </row>
    <row r="1387" spans="1:1" x14ac:dyDescent="0.25">
      <c r="A1387" s="520"/>
    </row>
    <row r="1388" spans="1:1" x14ac:dyDescent="0.25">
      <c r="A1388" s="520"/>
    </row>
    <row r="1389" spans="1:1" x14ac:dyDescent="0.25">
      <c r="A1389" s="520"/>
    </row>
    <row r="1390" spans="1:1" x14ac:dyDescent="0.25">
      <c r="A1390" s="520"/>
    </row>
    <row r="1391" spans="1:1" x14ac:dyDescent="0.25">
      <c r="A1391" s="520"/>
    </row>
    <row r="1392" spans="1:1" x14ac:dyDescent="0.25">
      <c r="A1392" s="520"/>
    </row>
    <row r="1393" spans="1:1" x14ac:dyDescent="0.25">
      <c r="A1393" s="520"/>
    </row>
    <row r="1394" spans="1:1" x14ac:dyDescent="0.25">
      <c r="A1394" s="520"/>
    </row>
    <row r="1395" spans="1:1" x14ac:dyDescent="0.25">
      <c r="A1395" s="520"/>
    </row>
    <row r="1396" spans="1:1" x14ac:dyDescent="0.25">
      <c r="A1396" s="520"/>
    </row>
    <row r="1397" spans="1:1" x14ac:dyDescent="0.25">
      <c r="A1397" s="520"/>
    </row>
    <row r="1398" spans="1:1" x14ac:dyDescent="0.25">
      <c r="A1398" s="520"/>
    </row>
    <row r="1399" spans="1:1" x14ac:dyDescent="0.25">
      <c r="A1399" s="520"/>
    </row>
    <row r="1400" spans="1:1" x14ac:dyDescent="0.25">
      <c r="A1400" s="520"/>
    </row>
    <row r="1401" spans="1:1" x14ac:dyDescent="0.25">
      <c r="A1401" s="520"/>
    </row>
    <row r="1402" spans="1:1" x14ac:dyDescent="0.25">
      <c r="A1402" s="520"/>
    </row>
    <row r="1403" spans="1:1" x14ac:dyDescent="0.25">
      <c r="A1403" s="520"/>
    </row>
    <row r="1404" spans="1:1" x14ac:dyDescent="0.25">
      <c r="A1404" s="520"/>
    </row>
    <row r="1405" spans="1:1" x14ac:dyDescent="0.25">
      <c r="A1405" s="520"/>
    </row>
    <row r="1406" spans="1:1" x14ac:dyDescent="0.25">
      <c r="A1406" s="520"/>
    </row>
    <row r="1407" spans="1:1" x14ac:dyDescent="0.25">
      <c r="A1407" s="520"/>
    </row>
    <row r="1408" spans="1:1" x14ac:dyDescent="0.25">
      <c r="A1408" s="520"/>
    </row>
    <row r="1409" spans="1:1" x14ac:dyDescent="0.25">
      <c r="A1409" s="520"/>
    </row>
    <row r="1410" spans="1:1" x14ac:dyDescent="0.25">
      <c r="A1410" s="520"/>
    </row>
    <row r="1411" spans="1:1" x14ac:dyDescent="0.25">
      <c r="A1411" s="520"/>
    </row>
    <row r="1412" spans="1:1" x14ac:dyDescent="0.25">
      <c r="A1412" s="520"/>
    </row>
    <row r="1413" spans="1:1" x14ac:dyDescent="0.25">
      <c r="A1413" s="520"/>
    </row>
    <row r="1414" spans="1:1" x14ac:dyDescent="0.25">
      <c r="A1414" s="520"/>
    </row>
    <row r="1415" spans="1:1" x14ac:dyDescent="0.25">
      <c r="A1415" s="520"/>
    </row>
    <row r="1416" spans="1:1" x14ac:dyDescent="0.25">
      <c r="A1416" s="520"/>
    </row>
    <row r="1417" spans="1:1" x14ac:dyDescent="0.25">
      <c r="A1417" s="520"/>
    </row>
    <row r="1418" spans="1:1" x14ac:dyDescent="0.25">
      <c r="A1418" s="520"/>
    </row>
    <row r="1419" spans="1:1" x14ac:dyDescent="0.25">
      <c r="A1419" s="520"/>
    </row>
    <row r="1420" spans="1:1" x14ac:dyDescent="0.25">
      <c r="A1420" s="520"/>
    </row>
    <row r="1421" spans="1:1" x14ac:dyDescent="0.25">
      <c r="A1421" s="520"/>
    </row>
    <row r="1422" spans="1:1" x14ac:dyDescent="0.25">
      <c r="A1422" s="520"/>
    </row>
    <row r="1423" spans="1:1" x14ac:dyDescent="0.25">
      <c r="A1423" s="520"/>
    </row>
    <row r="1424" spans="1:1" x14ac:dyDescent="0.25">
      <c r="A1424" s="520"/>
    </row>
    <row r="1425" spans="1:1" x14ac:dyDescent="0.25">
      <c r="A1425" s="520"/>
    </row>
    <row r="1426" spans="1:1" x14ac:dyDescent="0.25">
      <c r="A1426" s="520"/>
    </row>
    <row r="1427" spans="1:1" x14ac:dyDescent="0.25">
      <c r="A1427" s="520"/>
    </row>
    <row r="1428" spans="1:1" x14ac:dyDescent="0.25">
      <c r="A1428" s="520"/>
    </row>
    <row r="1429" spans="1:1" x14ac:dyDescent="0.25">
      <c r="A1429" s="520"/>
    </row>
    <row r="1430" spans="1:1" x14ac:dyDescent="0.25">
      <c r="A1430" s="520"/>
    </row>
    <row r="1431" spans="1:1" x14ac:dyDescent="0.25">
      <c r="A1431" s="520"/>
    </row>
    <row r="1432" spans="1:1" x14ac:dyDescent="0.25">
      <c r="A1432" s="520"/>
    </row>
    <row r="1433" spans="1:1" x14ac:dyDescent="0.25">
      <c r="A1433" s="520"/>
    </row>
    <row r="1434" spans="1:1" x14ac:dyDescent="0.25">
      <c r="A1434" s="520"/>
    </row>
    <row r="1435" spans="1:1" x14ac:dyDescent="0.25">
      <c r="A1435" s="520"/>
    </row>
    <row r="1436" spans="1:1" x14ac:dyDescent="0.25">
      <c r="A1436" s="520"/>
    </row>
    <row r="1437" spans="1:1" x14ac:dyDescent="0.25">
      <c r="A1437" s="520"/>
    </row>
    <row r="1438" spans="1:1" x14ac:dyDescent="0.25">
      <c r="A1438" s="520"/>
    </row>
    <row r="1439" spans="1:1" x14ac:dyDescent="0.25">
      <c r="A1439" s="520"/>
    </row>
    <row r="1440" spans="1:1" x14ac:dyDescent="0.25">
      <c r="A1440" s="520"/>
    </row>
    <row r="1441" spans="1:1" x14ac:dyDescent="0.25">
      <c r="A1441" s="520"/>
    </row>
    <row r="1442" spans="1:1" x14ac:dyDescent="0.25">
      <c r="A1442" s="520"/>
    </row>
    <row r="1443" spans="1:1" x14ac:dyDescent="0.25">
      <c r="A1443" s="520"/>
    </row>
    <row r="1444" spans="1:1" x14ac:dyDescent="0.25">
      <c r="A1444" s="520"/>
    </row>
    <row r="1445" spans="1:1" x14ac:dyDescent="0.25">
      <c r="A1445" s="520"/>
    </row>
    <row r="1446" spans="1:1" x14ac:dyDescent="0.25">
      <c r="A1446" s="520"/>
    </row>
    <row r="1447" spans="1:1" x14ac:dyDescent="0.25">
      <c r="A1447" s="520"/>
    </row>
    <row r="1448" spans="1:1" x14ac:dyDescent="0.25">
      <c r="A1448" s="520"/>
    </row>
    <row r="1449" spans="1:1" x14ac:dyDescent="0.25">
      <c r="A1449" s="520"/>
    </row>
    <row r="1450" spans="1:1" x14ac:dyDescent="0.25">
      <c r="A1450" s="520"/>
    </row>
    <row r="1451" spans="1:1" x14ac:dyDescent="0.25">
      <c r="A1451" s="520"/>
    </row>
    <row r="1452" spans="1:1" x14ac:dyDescent="0.25">
      <c r="A1452" s="520"/>
    </row>
    <row r="1453" spans="1:1" x14ac:dyDescent="0.25">
      <c r="A1453" s="520"/>
    </row>
    <row r="1454" spans="1:1" x14ac:dyDescent="0.25">
      <c r="A1454" s="520"/>
    </row>
    <row r="1455" spans="1:1" x14ac:dyDescent="0.25">
      <c r="A1455" s="520"/>
    </row>
    <row r="1456" spans="1:1" x14ac:dyDescent="0.25">
      <c r="A1456" s="520"/>
    </row>
    <row r="1457" spans="1:1" x14ac:dyDescent="0.25">
      <c r="A1457" s="520"/>
    </row>
    <row r="1458" spans="1:1" x14ac:dyDescent="0.25">
      <c r="A1458" s="520"/>
    </row>
    <row r="1459" spans="1:1" x14ac:dyDescent="0.25">
      <c r="A1459" s="520"/>
    </row>
    <row r="1460" spans="1:1" x14ac:dyDescent="0.25">
      <c r="A1460" s="520"/>
    </row>
    <row r="1461" spans="1:1" x14ac:dyDescent="0.25">
      <c r="A1461" s="520"/>
    </row>
    <row r="1462" spans="1:1" x14ac:dyDescent="0.25">
      <c r="A1462" s="520"/>
    </row>
    <row r="1463" spans="1:1" x14ac:dyDescent="0.25">
      <c r="A1463" s="520"/>
    </row>
    <row r="1464" spans="1:1" x14ac:dyDescent="0.25">
      <c r="A1464" s="520"/>
    </row>
    <row r="1465" spans="1:1" x14ac:dyDescent="0.25">
      <c r="A1465" s="520"/>
    </row>
    <row r="1466" spans="1:1" x14ac:dyDescent="0.25">
      <c r="A1466" s="520"/>
    </row>
    <row r="1467" spans="1:1" x14ac:dyDescent="0.25">
      <c r="A1467" s="520"/>
    </row>
    <row r="1468" spans="1:1" x14ac:dyDescent="0.25">
      <c r="A1468" s="520"/>
    </row>
    <row r="1469" spans="1:1" x14ac:dyDescent="0.25">
      <c r="A1469" s="520"/>
    </row>
    <row r="1470" spans="1:1" x14ac:dyDescent="0.25">
      <c r="A1470" s="520"/>
    </row>
    <row r="1471" spans="1:1" x14ac:dyDescent="0.25">
      <c r="A1471" s="520"/>
    </row>
    <row r="1472" spans="1:1" x14ac:dyDescent="0.25">
      <c r="A1472" s="520"/>
    </row>
    <row r="1473" spans="1:1" x14ac:dyDescent="0.25">
      <c r="A1473" s="520"/>
    </row>
    <row r="1474" spans="1:1" x14ac:dyDescent="0.25">
      <c r="A1474" s="520"/>
    </row>
    <row r="1475" spans="1:1" x14ac:dyDescent="0.25">
      <c r="A1475" s="520"/>
    </row>
    <row r="1476" spans="1:1" x14ac:dyDescent="0.25">
      <c r="A1476" s="520"/>
    </row>
    <row r="1477" spans="1:1" x14ac:dyDescent="0.25">
      <c r="A1477" s="520"/>
    </row>
    <row r="1478" spans="1:1" x14ac:dyDescent="0.25">
      <c r="A1478" s="520"/>
    </row>
    <row r="1479" spans="1:1" x14ac:dyDescent="0.25">
      <c r="A1479" s="520"/>
    </row>
    <row r="1480" spans="1:1" x14ac:dyDescent="0.25">
      <c r="A1480" s="520"/>
    </row>
    <row r="1481" spans="1:1" x14ac:dyDescent="0.25">
      <c r="A1481" s="520"/>
    </row>
    <row r="1482" spans="1:1" x14ac:dyDescent="0.25">
      <c r="A1482" s="520"/>
    </row>
    <row r="1483" spans="1:1" x14ac:dyDescent="0.25">
      <c r="A1483" s="520"/>
    </row>
    <row r="1484" spans="1:1" x14ac:dyDescent="0.25">
      <c r="A1484" s="520"/>
    </row>
    <row r="1485" spans="1:1" x14ac:dyDescent="0.25">
      <c r="A1485" s="520"/>
    </row>
    <row r="1486" spans="1:1" x14ac:dyDescent="0.25">
      <c r="A1486" s="520"/>
    </row>
    <row r="1487" spans="1:1" x14ac:dyDescent="0.25">
      <c r="A1487" s="520"/>
    </row>
    <row r="1488" spans="1:1" x14ac:dyDescent="0.25">
      <c r="A1488" s="520"/>
    </row>
    <row r="1489" spans="1:1" x14ac:dyDescent="0.25">
      <c r="A1489" s="520"/>
    </row>
    <row r="1490" spans="1:1" x14ac:dyDescent="0.25">
      <c r="A1490" s="520"/>
    </row>
    <row r="1491" spans="1:1" x14ac:dyDescent="0.25">
      <c r="A1491" s="520"/>
    </row>
    <row r="1492" spans="1:1" x14ac:dyDescent="0.25">
      <c r="A1492" s="520"/>
    </row>
    <row r="1493" spans="1:1" x14ac:dyDescent="0.25">
      <c r="A1493" s="520"/>
    </row>
    <row r="1494" spans="1:1" x14ac:dyDescent="0.25">
      <c r="A1494" s="520"/>
    </row>
    <row r="1495" spans="1:1" x14ac:dyDescent="0.25">
      <c r="A1495" s="520"/>
    </row>
    <row r="1496" spans="1:1" x14ac:dyDescent="0.25">
      <c r="A1496" s="520"/>
    </row>
    <row r="1497" spans="1:1" x14ac:dyDescent="0.25">
      <c r="A1497" s="520"/>
    </row>
    <row r="1498" spans="1:1" x14ac:dyDescent="0.25">
      <c r="A1498" s="520"/>
    </row>
    <row r="1499" spans="1:1" x14ac:dyDescent="0.25">
      <c r="A1499" s="520"/>
    </row>
    <row r="1500" spans="1:1" x14ac:dyDescent="0.25">
      <c r="A1500" s="520"/>
    </row>
    <row r="1501" spans="1:1" x14ac:dyDescent="0.25">
      <c r="A1501" s="520"/>
    </row>
    <row r="1502" spans="1:1" x14ac:dyDescent="0.25">
      <c r="A1502" s="520"/>
    </row>
    <row r="1503" spans="1:1" x14ac:dyDescent="0.25">
      <c r="A1503" s="520"/>
    </row>
    <row r="1504" spans="1:1" x14ac:dyDescent="0.25">
      <c r="A1504" s="520"/>
    </row>
    <row r="1505" spans="1:1" x14ac:dyDescent="0.25">
      <c r="A1505" s="520"/>
    </row>
    <row r="1506" spans="1:1" x14ac:dyDescent="0.25">
      <c r="A1506" s="520"/>
    </row>
    <row r="1507" spans="1:1" x14ac:dyDescent="0.25">
      <c r="A1507" s="520"/>
    </row>
    <row r="1508" spans="1:1" x14ac:dyDescent="0.25">
      <c r="A1508" s="520"/>
    </row>
    <row r="1509" spans="1:1" x14ac:dyDescent="0.25">
      <c r="A1509" s="520"/>
    </row>
    <row r="1510" spans="1:1" x14ac:dyDescent="0.25">
      <c r="A1510" s="520"/>
    </row>
    <row r="1511" spans="1:1" x14ac:dyDescent="0.25">
      <c r="A1511" s="520"/>
    </row>
    <row r="1512" spans="1:1" x14ac:dyDescent="0.25">
      <c r="A1512" s="520"/>
    </row>
    <row r="1513" spans="1:1" x14ac:dyDescent="0.25">
      <c r="A1513" s="520"/>
    </row>
    <row r="1514" spans="1:1" x14ac:dyDescent="0.25">
      <c r="A1514" s="520"/>
    </row>
    <row r="1515" spans="1:1" x14ac:dyDescent="0.25">
      <c r="A1515" s="520"/>
    </row>
    <row r="1516" spans="1:1" x14ac:dyDescent="0.25">
      <c r="A1516" s="520"/>
    </row>
    <row r="1517" spans="1:1" x14ac:dyDescent="0.25">
      <c r="A1517" s="520"/>
    </row>
    <row r="1518" spans="1:1" x14ac:dyDescent="0.25">
      <c r="A1518" s="520"/>
    </row>
    <row r="1519" spans="1:1" x14ac:dyDescent="0.25">
      <c r="A1519" s="520"/>
    </row>
    <row r="1520" spans="1:1" x14ac:dyDescent="0.25">
      <c r="A1520" s="520"/>
    </row>
    <row r="1521" spans="1:1" x14ac:dyDescent="0.25">
      <c r="A1521" s="520"/>
    </row>
    <row r="1522" spans="1:1" x14ac:dyDescent="0.25">
      <c r="A1522" s="520"/>
    </row>
    <row r="1523" spans="1:1" x14ac:dyDescent="0.25">
      <c r="A1523" s="520"/>
    </row>
    <row r="1524" spans="1:1" x14ac:dyDescent="0.25">
      <c r="A1524" s="520"/>
    </row>
    <row r="1525" spans="1:1" x14ac:dyDescent="0.25">
      <c r="A1525" s="520"/>
    </row>
    <row r="1526" spans="1:1" x14ac:dyDescent="0.25">
      <c r="A1526" s="520"/>
    </row>
    <row r="1527" spans="1:1" x14ac:dyDescent="0.25">
      <c r="A1527" s="520"/>
    </row>
    <row r="1528" spans="1:1" x14ac:dyDescent="0.25">
      <c r="A1528" s="520"/>
    </row>
    <row r="1529" spans="1:1" x14ac:dyDescent="0.25">
      <c r="A1529" s="520"/>
    </row>
    <row r="1530" spans="1:1" x14ac:dyDescent="0.25">
      <c r="A1530" s="520"/>
    </row>
    <row r="1531" spans="1:1" x14ac:dyDescent="0.25">
      <c r="A1531" s="520"/>
    </row>
    <row r="1532" spans="1:1" x14ac:dyDescent="0.25">
      <c r="A1532" s="520"/>
    </row>
    <row r="1533" spans="1:1" x14ac:dyDescent="0.25">
      <c r="A1533" s="520"/>
    </row>
    <row r="1534" spans="1:1" x14ac:dyDescent="0.25">
      <c r="A1534" s="520"/>
    </row>
    <row r="1535" spans="1:1" x14ac:dyDescent="0.25">
      <c r="A1535" s="520"/>
    </row>
    <row r="1536" spans="1:1" x14ac:dyDescent="0.25">
      <c r="A1536" s="520"/>
    </row>
    <row r="1537" spans="1:1" x14ac:dyDescent="0.25">
      <c r="A1537" s="520"/>
    </row>
    <row r="1538" spans="1:1" x14ac:dyDescent="0.25">
      <c r="A1538" s="520"/>
    </row>
    <row r="1539" spans="1:1" x14ac:dyDescent="0.25">
      <c r="A1539" s="520"/>
    </row>
    <row r="1540" spans="1:1" x14ac:dyDescent="0.25">
      <c r="A1540" s="520"/>
    </row>
    <row r="1541" spans="1:1" x14ac:dyDescent="0.25">
      <c r="A1541" s="520"/>
    </row>
    <row r="1542" spans="1:1" x14ac:dyDescent="0.25">
      <c r="A1542" s="520"/>
    </row>
    <row r="1543" spans="1:1" x14ac:dyDescent="0.25">
      <c r="A1543" s="520"/>
    </row>
    <row r="1544" spans="1:1" x14ac:dyDescent="0.25">
      <c r="A1544" s="520"/>
    </row>
    <row r="1545" spans="1:1" x14ac:dyDescent="0.25">
      <c r="A1545" s="520"/>
    </row>
    <row r="1546" spans="1:1" x14ac:dyDescent="0.25">
      <c r="A1546" s="520"/>
    </row>
    <row r="1547" spans="1:1" x14ac:dyDescent="0.25">
      <c r="A1547" s="520"/>
    </row>
    <row r="1548" spans="1:1" x14ac:dyDescent="0.25">
      <c r="A1548" s="520"/>
    </row>
    <row r="1549" spans="1:1" x14ac:dyDescent="0.25">
      <c r="A1549" s="520"/>
    </row>
    <row r="1550" spans="1:1" x14ac:dyDescent="0.25">
      <c r="A1550" s="520"/>
    </row>
    <row r="1551" spans="1:1" x14ac:dyDescent="0.25">
      <c r="A1551" s="520"/>
    </row>
    <row r="1552" spans="1:1" x14ac:dyDescent="0.25">
      <c r="A1552" s="520"/>
    </row>
    <row r="1553" spans="1:1" x14ac:dyDescent="0.25">
      <c r="A1553" s="520"/>
    </row>
    <row r="1554" spans="1:1" x14ac:dyDescent="0.25">
      <c r="A1554" s="520"/>
    </row>
    <row r="1555" spans="1:1" x14ac:dyDescent="0.25">
      <c r="A1555" s="520"/>
    </row>
    <row r="1556" spans="1:1" x14ac:dyDescent="0.25">
      <c r="A1556" s="520"/>
    </row>
    <row r="1557" spans="1:1" x14ac:dyDescent="0.25">
      <c r="A1557" s="520"/>
    </row>
    <row r="1558" spans="1:1" x14ac:dyDescent="0.25">
      <c r="A1558" s="520"/>
    </row>
    <row r="1559" spans="1:1" x14ac:dyDescent="0.25">
      <c r="A1559" s="520"/>
    </row>
    <row r="1560" spans="1:1" x14ac:dyDescent="0.25">
      <c r="A1560" s="520"/>
    </row>
    <row r="1561" spans="1:1" x14ac:dyDescent="0.25">
      <c r="A1561" s="520"/>
    </row>
    <row r="1562" spans="1:1" x14ac:dyDescent="0.25">
      <c r="A1562" s="520"/>
    </row>
    <row r="1563" spans="1:1" x14ac:dyDescent="0.25">
      <c r="A1563" s="520"/>
    </row>
    <row r="1564" spans="1:1" x14ac:dyDescent="0.25">
      <c r="A1564" s="520"/>
    </row>
    <row r="1565" spans="1:1" x14ac:dyDescent="0.25">
      <c r="A1565" s="520"/>
    </row>
    <row r="1566" spans="1:1" x14ac:dyDescent="0.25">
      <c r="A1566" s="520"/>
    </row>
    <row r="1567" spans="1:1" x14ac:dyDescent="0.25">
      <c r="A1567" s="520"/>
    </row>
    <row r="1568" spans="1:1" x14ac:dyDescent="0.25">
      <c r="A1568" s="520"/>
    </row>
    <row r="1569" spans="1:1" x14ac:dyDescent="0.25">
      <c r="A1569" s="520"/>
    </row>
    <row r="1570" spans="1:1" x14ac:dyDescent="0.25">
      <c r="A1570" s="520"/>
    </row>
    <row r="1571" spans="1:1" x14ac:dyDescent="0.25">
      <c r="A1571" s="520"/>
    </row>
    <row r="1572" spans="1:1" x14ac:dyDescent="0.25">
      <c r="A1572" s="520"/>
    </row>
    <row r="1573" spans="1:1" x14ac:dyDescent="0.25">
      <c r="A1573" s="520"/>
    </row>
    <row r="1574" spans="1:1" x14ac:dyDescent="0.25">
      <c r="A1574" s="520"/>
    </row>
    <row r="1575" spans="1:1" x14ac:dyDescent="0.25">
      <c r="A1575" s="520"/>
    </row>
    <row r="1576" spans="1:1" x14ac:dyDescent="0.25">
      <c r="A1576" s="520"/>
    </row>
    <row r="1577" spans="1:1" x14ac:dyDescent="0.25">
      <c r="A1577" s="520"/>
    </row>
    <row r="1578" spans="1:1" x14ac:dyDescent="0.25">
      <c r="A1578" s="520"/>
    </row>
    <row r="1579" spans="1:1" x14ac:dyDescent="0.25">
      <c r="A1579" s="520"/>
    </row>
    <row r="1580" spans="1:1" x14ac:dyDescent="0.25">
      <c r="A1580" s="520"/>
    </row>
    <row r="1581" spans="1:1" x14ac:dyDescent="0.25">
      <c r="A1581" s="520"/>
    </row>
    <row r="1582" spans="1:1" x14ac:dyDescent="0.25">
      <c r="A1582" s="520"/>
    </row>
    <row r="1583" spans="1:1" x14ac:dyDescent="0.25">
      <c r="A1583" s="520"/>
    </row>
    <row r="1584" spans="1:1" x14ac:dyDescent="0.25">
      <c r="A1584" s="520"/>
    </row>
    <row r="1585" spans="1:1" x14ac:dyDescent="0.25">
      <c r="A1585" s="520"/>
    </row>
    <row r="1586" spans="1:1" x14ac:dyDescent="0.25">
      <c r="A1586" s="520"/>
    </row>
    <row r="1587" spans="1:1" x14ac:dyDescent="0.25">
      <c r="A1587" s="520"/>
    </row>
    <row r="1588" spans="1:1" x14ac:dyDescent="0.25">
      <c r="A1588" s="520"/>
    </row>
    <row r="1589" spans="1:1" x14ac:dyDescent="0.25">
      <c r="A1589" s="520"/>
    </row>
    <row r="1590" spans="1:1" x14ac:dyDescent="0.25">
      <c r="A1590" s="520"/>
    </row>
    <row r="1591" spans="1:1" x14ac:dyDescent="0.25">
      <c r="A1591" s="520"/>
    </row>
    <row r="1592" spans="1:1" x14ac:dyDescent="0.25">
      <c r="A1592" s="520"/>
    </row>
    <row r="1593" spans="1:1" x14ac:dyDescent="0.25">
      <c r="A1593" s="520"/>
    </row>
    <row r="1594" spans="1:1" x14ac:dyDescent="0.25">
      <c r="A1594" s="520"/>
    </row>
    <row r="1595" spans="1:1" x14ac:dyDescent="0.25">
      <c r="A1595" s="520"/>
    </row>
    <row r="1596" spans="1:1" x14ac:dyDescent="0.25">
      <c r="A1596" s="520"/>
    </row>
    <row r="1597" spans="1:1" x14ac:dyDescent="0.25">
      <c r="A1597" s="520"/>
    </row>
    <row r="1598" spans="1:1" x14ac:dyDescent="0.25">
      <c r="A1598" s="520"/>
    </row>
    <row r="1599" spans="1:1" x14ac:dyDescent="0.25">
      <c r="A1599" s="520"/>
    </row>
    <row r="1600" spans="1:1" x14ac:dyDescent="0.25">
      <c r="A1600" s="520"/>
    </row>
    <row r="1601" spans="1:1" x14ac:dyDescent="0.25">
      <c r="A1601" s="520"/>
    </row>
    <row r="1602" spans="1:1" x14ac:dyDescent="0.25">
      <c r="A1602" s="520"/>
    </row>
    <row r="1603" spans="1:1" x14ac:dyDescent="0.25">
      <c r="A1603" s="520"/>
    </row>
    <row r="1604" spans="1:1" x14ac:dyDescent="0.25">
      <c r="A1604" s="520"/>
    </row>
    <row r="1605" spans="1:1" x14ac:dyDescent="0.25">
      <c r="A1605" s="520"/>
    </row>
    <row r="1606" spans="1:1" x14ac:dyDescent="0.25">
      <c r="A1606" s="520"/>
    </row>
    <row r="1607" spans="1:1" x14ac:dyDescent="0.25">
      <c r="A1607" s="520"/>
    </row>
    <row r="1608" spans="1:1" x14ac:dyDescent="0.25">
      <c r="A1608" s="520"/>
    </row>
    <row r="1609" spans="1:1" x14ac:dyDescent="0.25">
      <c r="A1609" s="520"/>
    </row>
    <row r="1610" spans="1:1" x14ac:dyDescent="0.25">
      <c r="A1610" s="520"/>
    </row>
    <row r="1611" spans="1:1" x14ac:dyDescent="0.25">
      <c r="A1611" s="520"/>
    </row>
    <row r="1612" spans="1:1" x14ac:dyDescent="0.25">
      <c r="A1612" s="520"/>
    </row>
    <row r="1613" spans="1:1" x14ac:dyDescent="0.25">
      <c r="A1613" s="520"/>
    </row>
    <row r="1614" spans="1:1" x14ac:dyDescent="0.25">
      <c r="A1614" s="520"/>
    </row>
    <row r="1615" spans="1:1" x14ac:dyDescent="0.25">
      <c r="A1615" s="520"/>
    </row>
    <row r="1616" spans="1:1" x14ac:dyDescent="0.25">
      <c r="A1616" s="520"/>
    </row>
    <row r="1617" spans="1:1" x14ac:dyDescent="0.25">
      <c r="A1617" s="520"/>
    </row>
    <row r="1618" spans="1:1" x14ac:dyDescent="0.25">
      <c r="A1618" s="520"/>
    </row>
    <row r="1619" spans="1:1" x14ac:dyDescent="0.25">
      <c r="A1619" s="520"/>
    </row>
    <row r="1620" spans="1:1" x14ac:dyDescent="0.25">
      <c r="A1620" s="520"/>
    </row>
    <row r="1621" spans="1:1" x14ac:dyDescent="0.25">
      <c r="A1621" s="520"/>
    </row>
    <row r="1622" spans="1:1" x14ac:dyDescent="0.25">
      <c r="A1622" s="520"/>
    </row>
    <row r="1623" spans="1:1" x14ac:dyDescent="0.25">
      <c r="A1623" s="520"/>
    </row>
    <row r="1624" spans="1:1" x14ac:dyDescent="0.25">
      <c r="A1624" s="520"/>
    </row>
    <row r="1625" spans="1:1" x14ac:dyDescent="0.25">
      <c r="A1625" s="520"/>
    </row>
    <row r="1626" spans="1:1" x14ac:dyDescent="0.25">
      <c r="A1626" s="520"/>
    </row>
    <row r="1627" spans="1:1" x14ac:dyDescent="0.25">
      <c r="A1627" s="520"/>
    </row>
    <row r="1628" spans="1:1" x14ac:dyDescent="0.25">
      <c r="A1628" s="520"/>
    </row>
    <row r="1629" spans="1:1" x14ac:dyDescent="0.25">
      <c r="A1629" s="520"/>
    </row>
    <row r="1630" spans="1:1" x14ac:dyDescent="0.25">
      <c r="A1630" s="520"/>
    </row>
    <row r="1631" spans="1:1" x14ac:dyDescent="0.25">
      <c r="A1631" s="520"/>
    </row>
    <row r="1632" spans="1:1" x14ac:dyDescent="0.25">
      <c r="A1632" s="520"/>
    </row>
    <row r="1633" spans="1:1" x14ac:dyDescent="0.25">
      <c r="A1633" s="520"/>
    </row>
    <row r="1634" spans="1:1" x14ac:dyDescent="0.25">
      <c r="A1634" s="520"/>
    </row>
    <row r="1635" spans="1:1" x14ac:dyDescent="0.25">
      <c r="A1635" s="520"/>
    </row>
    <row r="1636" spans="1:1" x14ac:dyDescent="0.25">
      <c r="A1636" s="520"/>
    </row>
    <row r="1637" spans="1:1" x14ac:dyDescent="0.25">
      <c r="A1637" s="520"/>
    </row>
    <row r="1638" spans="1:1" x14ac:dyDescent="0.25">
      <c r="A1638" s="520"/>
    </row>
    <row r="1639" spans="1:1" x14ac:dyDescent="0.25">
      <c r="A1639" s="520"/>
    </row>
    <row r="1640" spans="1:1" x14ac:dyDescent="0.25">
      <c r="A1640" s="520"/>
    </row>
    <row r="1641" spans="1:1" x14ac:dyDescent="0.25">
      <c r="A1641" s="520"/>
    </row>
    <row r="1642" spans="1:1" x14ac:dyDescent="0.25">
      <c r="A1642" s="520"/>
    </row>
    <row r="1643" spans="1:1" x14ac:dyDescent="0.25">
      <c r="A1643" s="520"/>
    </row>
    <row r="1644" spans="1:1" x14ac:dyDescent="0.25">
      <c r="A1644" s="520"/>
    </row>
    <row r="1645" spans="1:1" x14ac:dyDescent="0.25">
      <c r="A1645" s="520"/>
    </row>
    <row r="1646" spans="1:1" x14ac:dyDescent="0.25">
      <c r="A1646" s="520"/>
    </row>
    <row r="1647" spans="1:1" x14ac:dyDescent="0.25">
      <c r="A1647" s="520"/>
    </row>
    <row r="1648" spans="1:1" x14ac:dyDescent="0.25">
      <c r="A1648" s="520"/>
    </row>
    <row r="1649" spans="1:1" x14ac:dyDescent="0.25">
      <c r="A1649" s="520"/>
    </row>
    <row r="1650" spans="1:1" x14ac:dyDescent="0.25">
      <c r="A1650" s="520"/>
    </row>
    <row r="1651" spans="1:1" x14ac:dyDescent="0.25">
      <c r="A1651" s="520"/>
    </row>
    <row r="1652" spans="1:1" x14ac:dyDescent="0.25">
      <c r="A1652" s="520"/>
    </row>
    <row r="1653" spans="1:1" x14ac:dyDescent="0.25">
      <c r="A1653" s="520"/>
    </row>
    <row r="1654" spans="1:1" x14ac:dyDescent="0.25">
      <c r="A1654" s="520"/>
    </row>
    <row r="1655" spans="1:1" x14ac:dyDescent="0.25">
      <c r="A1655" s="520"/>
    </row>
    <row r="1656" spans="1:1" x14ac:dyDescent="0.25">
      <c r="A1656" s="520"/>
    </row>
    <row r="1657" spans="1:1" x14ac:dyDescent="0.25">
      <c r="A1657" s="520"/>
    </row>
    <row r="1658" spans="1:1" x14ac:dyDescent="0.25">
      <c r="A1658" s="520"/>
    </row>
    <row r="1659" spans="1:1" x14ac:dyDescent="0.25">
      <c r="A1659" s="520"/>
    </row>
    <row r="1660" spans="1:1" x14ac:dyDescent="0.25">
      <c r="A1660" s="520"/>
    </row>
    <row r="1661" spans="1:1" x14ac:dyDescent="0.25">
      <c r="A1661" s="520"/>
    </row>
    <row r="1662" spans="1:1" x14ac:dyDescent="0.25">
      <c r="A1662" s="520"/>
    </row>
    <row r="1663" spans="1:1" x14ac:dyDescent="0.25">
      <c r="A1663" s="520"/>
    </row>
    <row r="1664" spans="1:1" x14ac:dyDescent="0.25">
      <c r="A1664" s="520"/>
    </row>
    <row r="1665" spans="1:1" x14ac:dyDescent="0.25">
      <c r="A1665" s="520"/>
    </row>
    <row r="1666" spans="1:1" x14ac:dyDescent="0.25">
      <c r="A1666" s="520"/>
    </row>
    <row r="1667" spans="1:1" x14ac:dyDescent="0.25">
      <c r="A1667" s="520"/>
    </row>
    <row r="1668" spans="1:1" x14ac:dyDescent="0.25">
      <c r="A1668" s="520"/>
    </row>
    <row r="1669" spans="1:1" x14ac:dyDescent="0.25">
      <c r="A1669" s="520"/>
    </row>
    <row r="1670" spans="1:1" x14ac:dyDescent="0.25">
      <c r="A1670" s="520"/>
    </row>
    <row r="1671" spans="1:1" x14ac:dyDescent="0.25">
      <c r="A1671" s="520"/>
    </row>
    <row r="1672" spans="1:1" x14ac:dyDescent="0.25">
      <c r="A1672" s="520"/>
    </row>
    <row r="1673" spans="1:1" x14ac:dyDescent="0.25">
      <c r="A1673" s="520"/>
    </row>
    <row r="1674" spans="1:1" x14ac:dyDescent="0.25">
      <c r="A1674" s="520"/>
    </row>
    <row r="1675" spans="1:1" x14ac:dyDescent="0.25">
      <c r="A1675" s="520"/>
    </row>
    <row r="1676" spans="1:1" x14ac:dyDescent="0.25">
      <c r="A1676" s="520"/>
    </row>
    <row r="1677" spans="1:1" x14ac:dyDescent="0.25">
      <c r="A1677" s="520"/>
    </row>
    <row r="1678" spans="1:1" x14ac:dyDescent="0.25">
      <c r="A1678" s="520"/>
    </row>
    <row r="1679" spans="1:1" x14ac:dyDescent="0.25">
      <c r="A1679" s="520"/>
    </row>
    <row r="1680" spans="1:1" x14ac:dyDescent="0.25">
      <c r="A1680" s="520"/>
    </row>
    <row r="1681" spans="1:1" x14ac:dyDescent="0.25">
      <c r="A1681" s="520"/>
    </row>
    <row r="1682" spans="1:1" x14ac:dyDescent="0.25">
      <c r="A1682" s="520"/>
    </row>
    <row r="1683" spans="1:1" x14ac:dyDescent="0.25">
      <c r="A1683" s="520"/>
    </row>
    <row r="1684" spans="1:1" x14ac:dyDescent="0.25">
      <c r="A1684" s="520"/>
    </row>
    <row r="1685" spans="1:1" x14ac:dyDescent="0.25">
      <c r="A1685" s="520"/>
    </row>
    <row r="1686" spans="1:1" x14ac:dyDescent="0.25">
      <c r="A1686" s="520"/>
    </row>
    <row r="1687" spans="1:1" x14ac:dyDescent="0.25">
      <c r="A1687" s="520"/>
    </row>
    <row r="1688" spans="1:1" x14ac:dyDescent="0.25">
      <c r="A1688" s="520"/>
    </row>
    <row r="1689" spans="1:1" x14ac:dyDescent="0.25">
      <c r="A1689" s="520"/>
    </row>
    <row r="1690" spans="1:1" x14ac:dyDescent="0.25">
      <c r="A1690" s="520"/>
    </row>
    <row r="1691" spans="1:1" x14ac:dyDescent="0.25">
      <c r="A1691" s="520"/>
    </row>
    <row r="1692" spans="1:1" x14ac:dyDescent="0.25">
      <c r="A1692" s="520"/>
    </row>
    <row r="1693" spans="1:1" x14ac:dyDescent="0.25">
      <c r="A1693" s="520"/>
    </row>
    <row r="1694" spans="1:1" x14ac:dyDescent="0.25">
      <c r="A1694" s="520"/>
    </row>
    <row r="1695" spans="1:1" x14ac:dyDescent="0.25">
      <c r="A1695" s="520"/>
    </row>
    <row r="1696" spans="1:1" x14ac:dyDescent="0.25">
      <c r="A1696" s="520"/>
    </row>
    <row r="1697" spans="1:1" x14ac:dyDescent="0.25">
      <c r="A1697" s="520"/>
    </row>
    <row r="1698" spans="1:1" x14ac:dyDescent="0.25">
      <c r="A1698" s="520"/>
    </row>
    <row r="1699" spans="1:1" x14ac:dyDescent="0.25">
      <c r="A1699" s="520"/>
    </row>
    <row r="1700" spans="1:1" x14ac:dyDescent="0.25">
      <c r="A1700" s="520"/>
    </row>
    <row r="1701" spans="1:1" x14ac:dyDescent="0.25">
      <c r="A1701" s="520"/>
    </row>
    <row r="1702" spans="1:1" x14ac:dyDescent="0.25">
      <c r="A1702" s="520"/>
    </row>
    <row r="1703" spans="1:1" x14ac:dyDescent="0.25">
      <c r="A1703" s="520"/>
    </row>
    <row r="1704" spans="1:1" x14ac:dyDescent="0.25">
      <c r="A1704" s="520"/>
    </row>
    <row r="1705" spans="1:1" x14ac:dyDescent="0.25">
      <c r="A1705" s="520"/>
    </row>
    <row r="1706" spans="1:1" x14ac:dyDescent="0.25">
      <c r="A1706" s="520"/>
    </row>
    <row r="1707" spans="1:1" x14ac:dyDescent="0.25">
      <c r="A1707" s="520"/>
    </row>
    <row r="1708" spans="1:1" x14ac:dyDescent="0.25">
      <c r="A1708" s="520"/>
    </row>
    <row r="1709" spans="1:1" x14ac:dyDescent="0.25">
      <c r="A1709" s="520"/>
    </row>
    <row r="1710" spans="1:1" x14ac:dyDescent="0.25">
      <c r="A1710" s="520"/>
    </row>
    <row r="1711" spans="1:1" x14ac:dyDescent="0.25">
      <c r="A1711" s="520"/>
    </row>
    <row r="1712" spans="1:1" x14ac:dyDescent="0.25">
      <c r="A1712" s="520"/>
    </row>
    <row r="1713" spans="1:1" x14ac:dyDescent="0.25">
      <c r="A1713" s="520"/>
    </row>
    <row r="1714" spans="1:1" x14ac:dyDescent="0.25">
      <c r="A1714" s="520"/>
    </row>
    <row r="1715" spans="1:1" x14ac:dyDescent="0.25">
      <c r="A1715" s="520"/>
    </row>
    <row r="1716" spans="1:1" x14ac:dyDescent="0.25">
      <c r="A1716" s="520"/>
    </row>
    <row r="1717" spans="1:1" x14ac:dyDescent="0.25">
      <c r="A1717" s="520"/>
    </row>
    <row r="1718" spans="1:1" x14ac:dyDescent="0.25">
      <c r="A1718" s="520"/>
    </row>
    <row r="1719" spans="1:1" x14ac:dyDescent="0.25">
      <c r="A1719" s="520"/>
    </row>
    <row r="1720" spans="1:1" x14ac:dyDescent="0.25">
      <c r="A1720" s="520"/>
    </row>
    <row r="1721" spans="1:1" x14ac:dyDescent="0.25">
      <c r="A1721" s="520"/>
    </row>
    <row r="1722" spans="1:1" x14ac:dyDescent="0.25">
      <c r="A1722" s="520"/>
    </row>
    <row r="1723" spans="1:1" x14ac:dyDescent="0.25">
      <c r="A1723" s="520"/>
    </row>
    <row r="1724" spans="1:1" x14ac:dyDescent="0.25">
      <c r="A1724" s="520"/>
    </row>
    <row r="1725" spans="1:1" x14ac:dyDescent="0.25">
      <c r="A1725" s="520"/>
    </row>
    <row r="1726" spans="1:1" x14ac:dyDescent="0.25">
      <c r="A1726" s="520"/>
    </row>
    <row r="1727" spans="1:1" x14ac:dyDescent="0.25">
      <c r="A1727" s="520"/>
    </row>
    <row r="1728" spans="1:1" x14ac:dyDescent="0.25">
      <c r="A1728" s="520"/>
    </row>
    <row r="1729" spans="1:1" x14ac:dyDescent="0.25">
      <c r="A1729" s="520"/>
    </row>
    <row r="1730" spans="1:1" x14ac:dyDescent="0.25">
      <c r="A1730" s="520"/>
    </row>
    <row r="1731" spans="1:1" x14ac:dyDescent="0.25">
      <c r="A1731" s="520"/>
    </row>
    <row r="1732" spans="1:1" x14ac:dyDescent="0.25">
      <c r="A1732" s="520"/>
    </row>
    <row r="1733" spans="1:1" x14ac:dyDescent="0.25">
      <c r="A1733" s="520"/>
    </row>
    <row r="1734" spans="1:1" x14ac:dyDescent="0.25">
      <c r="A1734" s="520"/>
    </row>
    <row r="1735" spans="1:1" x14ac:dyDescent="0.25">
      <c r="A1735" s="520"/>
    </row>
    <row r="1736" spans="1:1" x14ac:dyDescent="0.25">
      <c r="A1736" s="520"/>
    </row>
    <row r="1737" spans="1:1" x14ac:dyDescent="0.25">
      <c r="A1737" s="520"/>
    </row>
    <row r="1738" spans="1:1" x14ac:dyDescent="0.25">
      <c r="A1738" s="520"/>
    </row>
    <row r="1739" spans="1:1" x14ac:dyDescent="0.25">
      <c r="A1739" s="520"/>
    </row>
    <row r="1740" spans="1:1" x14ac:dyDescent="0.25">
      <c r="A1740" s="520"/>
    </row>
    <row r="1741" spans="1:1" x14ac:dyDescent="0.25">
      <c r="A1741" s="520"/>
    </row>
    <row r="1742" spans="1:1" x14ac:dyDescent="0.25">
      <c r="A1742" s="520"/>
    </row>
    <row r="1743" spans="1:1" x14ac:dyDescent="0.25">
      <c r="A1743" s="520"/>
    </row>
    <row r="1744" spans="1:1" x14ac:dyDescent="0.25">
      <c r="A1744" s="520"/>
    </row>
    <row r="1745" spans="1:1" x14ac:dyDescent="0.25">
      <c r="A1745" s="520"/>
    </row>
    <row r="1746" spans="1:1" x14ac:dyDescent="0.25">
      <c r="A1746" s="520"/>
    </row>
    <row r="1747" spans="1:1" x14ac:dyDescent="0.25">
      <c r="A1747" s="520"/>
    </row>
    <row r="1748" spans="1:1" x14ac:dyDescent="0.25">
      <c r="A1748" s="520"/>
    </row>
    <row r="1749" spans="1:1" x14ac:dyDescent="0.25">
      <c r="A1749" s="520"/>
    </row>
    <row r="1750" spans="1:1" x14ac:dyDescent="0.25">
      <c r="A1750" s="520"/>
    </row>
    <row r="1751" spans="1:1" x14ac:dyDescent="0.25">
      <c r="A1751" s="520"/>
    </row>
    <row r="1752" spans="1:1" x14ac:dyDescent="0.25">
      <c r="A1752" s="520"/>
    </row>
    <row r="1753" spans="1:1" x14ac:dyDescent="0.25">
      <c r="A1753" s="520"/>
    </row>
    <row r="1754" spans="1:1" x14ac:dyDescent="0.25">
      <c r="A1754" s="520"/>
    </row>
    <row r="1755" spans="1:1" x14ac:dyDescent="0.25">
      <c r="A1755" s="520"/>
    </row>
    <row r="1756" spans="1:1" x14ac:dyDescent="0.25">
      <c r="A1756" s="520"/>
    </row>
    <row r="1757" spans="1:1" x14ac:dyDescent="0.25">
      <c r="A1757" s="520"/>
    </row>
    <row r="1758" spans="1:1" x14ac:dyDescent="0.25">
      <c r="A1758" s="520"/>
    </row>
    <row r="1759" spans="1:1" x14ac:dyDescent="0.25">
      <c r="A1759" s="520"/>
    </row>
    <row r="1760" spans="1:1" x14ac:dyDescent="0.25">
      <c r="A1760" s="520"/>
    </row>
    <row r="1761" spans="1:1" x14ac:dyDescent="0.25">
      <c r="A1761" s="520"/>
    </row>
    <row r="1762" spans="1:1" x14ac:dyDescent="0.25">
      <c r="A1762" s="520"/>
    </row>
    <row r="1763" spans="1:1" x14ac:dyDescent="0.25">
      <c r="A1763" s="520"/>
    </row>
    <row r="1764" spans="1:1" x14ac:dyDescent="0.25">
      <c r="A1764" s="520"/>
    </row>
    <row r="1765" spans="1:1" x14ac:dyDescent="0.25">
      <c r="A1765" s="520"/>
    </row>
    <row r="1766" spans="1:1" x14ac:dyDescent="0.25">
      <c r="A1766" s="520"/>
    </row>
    <row r="1767" spans="1:1" x14ac:dyDescent="0.25">
      <c r="A1767" s="520"/>
    </row>
    <row r="1768" spans="1:1" x14ac:dyDescent="0.25">
      <c r="A1768" s="520"/>
    </row>
    <row r="1769" spans="1:1" x14ac:dyDescent="0.25">
      <c r="A1769" s="520"/>
    </row>
    <row r="1770" spans="1:1" x14ac:dyDescent="0.25">
      <c r="A1770" s="520"/>
    </row>
    <row r="1771" spans="1:1" x14ac:dyDescent="0.25">
      <c r="A1771" s="520"/>
    </row>
    <row r="1772" spans="1:1" x14ac:dyDescent="0.25">
      <c r="A1772" s="520"/>
    </row>
    <row r="1773" spans="1:1" x14ac:dyDescent="0.25">
      <c r="A1773" s="520"/>
    </row>
    <row r="1774" spans="1:1" x14ac:dyDescent="0.25">
      <c r="A1774" s="520"/>
    </row>
    <row r="1775" spans="1:1" x14ac:dyDescent="0.25">
      <c r="A1775" s="520"/>
    </row>
    <row r="1776" spans="1:1" x14ac:dyDescent="0.25">
      <c r="A1776" s="520"/>
    </row>
    <row r="1777" spans="1:1" x14ac:dyDescent="0.25">
      <c r="A1777" s="520"/>
    </row>
    <row r="1778" spans="1:1" x14ac:dyDescent="0.25">
      <c r="A1778" s="520"/>
    </row>
    <row r="1779" spans="1:1" x14ac:dyDescent="0.25">
      <c r="A1779" s="520"/>
    </row>
    <row r="1780" spans="1:1" x14ac:dyDescent="0.25">
      <c r="A1780" s="520"/>
    </row>
    <row r="1781" spans="1:1" x14ac:dyDescent="0.25">
      <c r="A1781" s="520"/>
    </row>
    <row r="1782" spans="1:1" x14ac:dyDescent="0.25">
      <c r="A1782" s="520"/>
    </row>
    <row r="1783" spans="1:1" x14ac:dyDescent="0.25">
      <c r="A1783" s="520"/>
    </row>
    <row r="1784" spans="1:1" x14ac:dyDescent="0.25">
      <c r="A1784" s="520"/>
    </row>
    <row r="1785" spans="1:1" x14ac:dyDescent="0.25">
      <c r="A1785" s="520"/>
    </row>
    <row r="1786" spans="1:1" x14ac:dyDescent="0.25">
      <c r="A1786" s="520"/>
    </row>
    <row r="1787" spans="1:1" x14ac:dyDescent="0.25">
      <c r="A1787" s="520"/>
    </row>
    <row r="1788" spans="1:1" x14ac:dyDescent="0.25">
      <c r="A1788" s="520"/>
    </row>
    <row r="1789" spans="1:1" x14ac:dyDescent="0.25">
      <c r="A1789" s="520"/>
    </row>
    <row r="1790" spans="1:1" x14ac:dyDescent="0.25">
      <c r="A1790" s="520"/>
    </row>
    <row r="1791" spans="1:1" x14ac:dyDescent="0.25">
      <c r="A1791" s="520"/>
    </row>
    <row r="1792" spans="1:1" x14ac:dyDescent="0.25">
      <c r="A1792" s="520"/>
    </row>
    <row r="1793" spans="1:1" x14ac:dyDescent="0.25">
      <c r="A1793" s="520"/>
    </row>
    <row r="1794" spans="1:1" x14ac:dyDescent="0.25">
      <c r="A1794" s="520"/>
    </row>
    <row r="1795" spans="1:1" x14ac:dyDescent="0.25">
      <c r="A1795" s="520"/>
    </row>
    <row r="1796" spans="1:1" x14ac:dyDescent="0.25">
      <c r="A1796" s="520"/>
    </row>
    <row r="1797" spans="1:1" x14ac:dyDescent="0.25">
      <c r="A1797" s="520"/>
    </row>
    <row r="1798" spans="1:1" x14ac:dyDescent="0.25">
      <c r="A1798" s="520"/>
    </row>
    <row r="1799" spans="1:1" x14ac:dyDescent="0.25">
      <c r="A1799" s="520"/>
    </row>
    <row r="1800" spans="1:1" x14ac:dyDescent="0.25">
      <c r="A1800" s="520"/>
    </row>
    <row r="1801" spans="1:1" x14ac:dyDescent="0.25">
      <c r="A1801" s="520"/>
    </row>
    <row r="1802" spans="1:1" x14ac:dyDescent="0.25">
      <c r="A1802" s="520"/>
    </row>
    <row r="1803" spans="1:1" x14ac:dyDescent="0.25">
      <c r="A1803" s="520"/>
    </row>
    <row r="1804" spans="1:1" x14ac:dyDescent="0.25">
      <c r="A1804" s="520"/>
    </row>
    <row r="1805" spans="1:1" x14ac:dyDescent="0.25">
      <c r="A1805" s="520"/>
    </row>
    <row r="1806" spans="1:1" x14ac:dyDescent="0.25">
      <c r="A1806" s="520"/>
    </row>
    <row r="1807" spans="1:1" x14ac:dyDescent="0.25">
      <c r="A1807" s="520"/>
    </row>
    <row r="1808" spans="1:1" x14ac:dyDescent="0.25">
      <c r="A1808" s="520"/>
    </row>
    <row r="1809" spans="1:1" x14ac:dyDescent="0.25">
      <c r="A1809" s="520"/>
    </row>
    <row r="1810" spans="1:1" x14ac:dyDescent="0.25">
      <c r="A1810" s="520"/>
    </row>
    <row r="1811" spans="1:1" x14ac:dyDescent="0.25">
      <c r="A1811" s="520"/>
    </row>
    <row r="1812" spans="1:1" x14ac:dyDescent="0.25">
      <c r="A1812" s="520"/>
    </row>
    <row r="1813" spans="1:1" x14ac:dyDescent="0.25">
      <c r="A1813" s="520"/>
    </row>
    <row r="1814" spans="1:1" x14ac:dyDescent="0.25">
      <c r="A1814" s="520"/>
    </row>
    <row r="1815" spans="1:1" x14ac:dyDescent="0.25">
      <c r="A1815" s="520"/>
    </row>
    <row r="1816" spans="1:1" x14ac:dyDescent="0.25">
      <c r="A1816" s="520"/>
    </row>
    <row r="1817" spans="1:1" x14ac:dyDescent="0.25">
      <c r="A1817" s="520"/>
    </row>
    <row r="1818" spans="1:1" x14ac:dyDescent="0.25">
      <c r="A1818" s="520"/>
    </row>
    <row r="1819" spans="1:1" x14ac:dyDescent="0.25">
      <c r="A1819" s="520"/>
    </row>
    <row r="1820" spans="1:1" x14ac:dyDescent="0.25">
      <c r="A1820" s="520"/>
    </row>
    <row r="1821" spans="1:1" x14ac:dyDescent="0.25">
      <c r="A1821" s="520"/>
    </row>
    <row r="1822" spans="1:1" x14ac:dyDescent="0.25">
      <c r="A1822" s="520"/>
    </row>
    <row r="1823" spans="1:1" x14ac:dyDescent="0.25">
      <c r="A1823" s="520"/>
    </row>
    <row r="1824" spans="1:1" x14ac:dyDescent="0.25">
      <c r="A1824" s="520"/>
    </row>
    <row r="1825" spans="1:1" x14ac:dyDescent="0.25">
      <c r="A1825" s="520"/>
    </row>
    <row r="1826" spans="1:1" x14ac:dyDescent="0.25">
      <c r="A1826" s="520"/>
    </row>
    <row r="1827" spans="1:1" x14ac:dyDescent="0.25">
      <c r="A1827" s="520"/>
    </row>
    <row r="1828" spans="1:1" x14ac:dyDescent="0.25">
      <c r="A1828" s="520"/>
    </row>
    <row r="1829" spans="1:1" x14ac:dyDescent="0.25">
      <c r="A1829" s="520"/>
    </row>
    <row r="1830" spans="1:1" x14ac:dyDescent="0.25">
      <c r="A1830" s="520"/>
    </row>
    <row r="1831" spans="1:1" x14ac:dyDescent="0.25">
      <c r="A1831" s="520"/>
    </row>
    <row r="1832" spans="1:1" x14ac:dyDescent="0.25">
      <c r="A1832" s="520"/>
    </row>
    <row r="1833" spans="1:1" x14ac:dyDescent="0.25">
      <c r="A1833" s="520"/>
    </row>
    <row r="1834" spans="1:1" x14ac:dyDescent="0.25">
      <c r="A1834" s="520"/>
    </row>
    <row r="1835" spans="1:1" x14ac:dyDescent="0.25">
      <c r="A1835" s="520"/>
    </row>
    <row r="1836" spans="1:1" x14ac:dyDescent="0.25">
      <c r="A1836" s="520"/>
    </row>
    <row r="1837" spans="1:1" x14ac:dyDescent="0.25">
      <c r="A1837" s="520"/>
    </row>
    <row r="1838" spans="1:1" x14ac:dyDescent="0.25">
      <c r="A1838" s="520"/>
    </row>
    <row r="1839" spans="1:1" x14ac:dyDescent="0.25">
      <c r="A1839" s="520"/>
    </row>
    <row r="1840" spans="1:1" x14ac:dyDescent="0.25">
      <c r="A1840" s="520"/>
    </row>
    <row r="1841" spans="1:1" x14ac:dyDescent="0.25">
      <c r="A1841" s="520"/>
    </row>
    <row r="1842" spans="1:1" x14ac:dyDescent="0.25">
      <c r="A1842" s="520"/>
    </row>
    <row r="1843" spans="1:1" x14ac:dyDescent="0.25">
      <c r="A1843" s="520"/>
    </row>
    <row r="1844" spans="1:1" x14ac:dyDescent="0.25">
      <c r="A1844" s="520"/>
    </row>
    <row r="1845" spans="1:1" x14ac:dyDescent="0.25">
      <c r="A1845" s="520"/>
    </row>
    <row r="1846" spans="1:1" x14ac:dyDescent="0.25">
      <c r="A1846" s="520"/>
    </row>
    <row r="1847" spans="1:1" x14ac:dyDescent="0.25">
      <c r="A1847" s="520"/>
    </row>
    <row r="1848" spans="1:1" x14ac:dyDescent="0.25">
      <c r="A1848" s="520"/>
    </row>
    <row r="1849" spans="1:1" x14ac:dyDescent="0.25">
      <c r="A1849" s="520"/>
    </row>
    <row r="1850" spans="1:1" x14ac:dyDescent="0.25">
      <c r="A1850" s="520"/>
    </row>
    <row r="1851" spans="1:1" x14ac:dyDescent="0.25">
      <c r="A1851" s="520"/>
    </row>
    <row r="1852" spans="1:1" x14ac:dyDescent="0.25">
      <c r="A1852" s="520"/>
    </row>
    <row r="1853" spans="1:1" x14ac:dyDescent="0.25">
      <c r="A1853" s="520"/>
    </row>
    <row r="1854" spans="1:1" x14ac:dyDescent="0.25">
      <c r="A1854" s="520"/>
    </row>
    <row r="1855" spans="1:1" x14ac:dyDescent="0.25">
      <c r="A1855" s="520"/>
    </row>
    <row r="1856" spans="1:1" x14ac:dyDescent="0.25">
      <c r="A1856" s="520"/>
    </row>
    <row r="1857" spans="1:1" x14ac:dyDescent="0.25">
      <c r="A1857" s="520"/>
    </row>
    <row r="1858" spans="1:1" x14ac:dyDescent="0.25">
      <c r="A1858" s="520"/>
    </row>
    <row r="1859" spans="1:1" x14ac:dyDescent="0.25">
      <c r="A1859" s="520"/>
    </row>
    <row r="1860" spans="1:1" x14ac:dyDescent="0.25">
      <c r="A1860" s="520"/>
    </row>
    <row r="1861" spans="1:1" x14ac:dyDescent="0.25">
      <c r="A1861" s="520"/>
    </row>
    <row r="1862" spans="1:1" x14ac:dyDescent="0.25">
      <c r="A1862" s="520"/>
    </row>
    <row r="1863" spans="1:1" x14ac:dyDescent="0.25">
      <c r="A1863" s="520"/>
    </row>
    <row r="1864" spans="1:1" x14ac:dyDescent="0.25">
      <c r="A1864" s="520"/>
    </row>
    <row r="1865" spans="1:1" x14ac:dyDescent="0.25">
      <c r="A1865" s="520"/>
    </row>
    <row r="1866" spans="1:1" x14ac:dyDescent="0.25">
      <c r="A1866" s="520"/>
    </row>
    <row r="1867" spans="1:1" x14ac:dyDescent="0.25">
      <c r="A1867" s="520"/>
    </row>
    <row r="1868" spans="1:1" x14ac:dyDescent="0.25">
      <c r="A1868" s="520"/>
    </row>
    <row r="1869" spans="1:1" x14ac:dyDescent="0.25">
      <c r="A1869" s="520"/>
    </row>
    <row r="1870" spans="1:1" x14ac:dyDescent="0.25">
      <c r="A1870" s="520"/>
    </row>
    <row r="1871" spans="1:1" x14ac:dyDescent="0.25">
      <c r="A1871" s="520"/>
    </row>
    <row r="1872" spans="1:1" x14ac:dyDescent="0.25">
      <c r="A1872" s="520"/>
    </row>
    <row r="1873" spans="1:1" x14ac:dyDescent="0.25">
      <c r="A1873" s="520"/>
    </row>
    <row r="1874" spans="1:1" x14ac:dyDescent="0.25">
      <c r="A1874" s="520"/>
    </row>
    <row r="1875" spans="1:1" x14ac:dyDescent="0.25">
      <c r="A1875" s="520"/>
    </row>
    <row r="1876" spans="1:1" x14ac:dyDescent="0.25">
      <c r="A1876" s="520"/>
    </row>
    <row r="1877" spans="1:1" x14ac:dyDescent="0.25">
      <c r="A1877" s="520"/>
    </row>
    <row r="1878" spans="1:1" x14ac:dyDescent="0.25">
      <c r="A1878" s="520"/>
    </row>
    <row r="1879" spans="1:1" x14ac:dyDescent="0.25">
      <c r="A1879" s="520"/>
    </row>
    <row r="1880" spans="1:1" x14ac:dyDescent="0.25">
      <c r="A1880" s="520"/>
    </row>
    <row r="1881" spans="1:1" x14ac:dyDescent="0.25">
      <c r="A1881" s="520"/>
    </row>
    <row r="1882" spans="1:1" x14ac:dyDescent="0.25">
      <c r="A1882" s="520"/>
    </row>
    <row r="1883" spans="1:1" x14ac:dyDescent="0.25">
      <c r="A1883" s="520"/>
    </row>
    <row r="1884" spans="1:1" x14ac:dyDescent="0.25">
      <c r="A1884" s="520"/>
    </row>
    <row r="1885" spans="1:1" x14ac:dyDescent="0.25">
      <c r="A1885" s="520"/>
    </row>
    <row r="1886" spans="1:1" x14ac:dyDescent="0.25">
      <c r="A1886" s="520"/>
    </row>
    <row r="1887" spans="1:1" x14ac:dyDescent="0.25">
      <c r="A1887" s="520"/>
    </row>
    <row r="1888" spans="1:1" x14ac:dyDescent="0.25">
      <c r="A1888" s="520"/>
    </row>
    <row r="1889" spans="1:1" x14ac:dyDescent="0.25">
      <c r="A1889" s="520"/>
    </row>
    <row r="1890" spans="1:1" x14ac:dyDescent="0.25">
      <c r="A1890" s="520"/>
    </row>
    <row r="1891" spans="1:1" x14ac:dyDescent="0.25">
      <c r="A1891" s="520"/>
    </row>
    <row r="1892" spans="1:1" x14ac:dyDescent="0.25">
      <c r="A1892" s="520"/>
    </row>
    <row r="1893" spans="1:1" x14ac:dyDescent="0.25">
      <c r="A1893" s="520"/>
    </row>
    <row r="1894" spans="1:1" x14ac:dyDescent="0.25">
      <c r="A1894" s="520"/>
    </row>
    <row r="1895" spans="1:1" x14ac:dyDescent="0.25">
      <c r="A1895" s="520"/>
    </row>
    <row r="1896" spans="1:1" x14ac:dyDescent="0.25">
      <c r="A1896" s="520"/>
    </row>
    <row r="1897" spans="1:1" x14ac:dyDescent="0.25">
      <c r="A1897" s="520"/>
    </row>
    <row r="1898" spans="1:1" x14ac:dyDescent="0.25">
      <c r="A1898" s="520"/>
    </row>
    <row r="1899" spans="1:1" x14ac:dyDescent="0.25">
      <c r="A1899" s="520"/>
    </row>
    <row r="1900" spans="1:1" x14ac:dyDescent="0.25">
      <c r="A1900" s="520"/>
    </row>
    <row r="1901" spans="1:1" x14ac:dyDescent="0.25">
      <c r="A1901" s="520"/>
    </row>
    <row r="1902" spans="1:1" x14ac:dyDescent="0.25">
      <c r="A1902" s="520"/>
    </row>
    <row r="1903" spans="1:1" x14ac:dyDescent="0.25">
      <c r="A1903" s="520"/>
    </row>
    <row r="1904" spans="1:1" x14ac:dyDescent="0.25">
      <c r="A1904" s="520"/>
    </row>
    <row r="1905" spans="1:1" x14ac:dyDescent="0.25">
      <c r="A1905" s="520"/>
    </row>
    <row r="1906" spans="1:1" x14ac:dyDescent="0.25">
      <c r="A1906" s="520"/>
    </row>
    <row r="1907" spans="1:1" x14ac:dyDescent="0.25">
      <c r="A1907" s="520"/>
    </row>
    <row r="1908" spans="1:1" x14ac:dyDescent="0.25">
      <c r="A1908" s="520"/>
    </row>
    <row r="1909" spans="1:1" x14ac:dyDescent="0.25">
      <c r="A1909" s="520"/>
    </row>
    <row r="1910" spans="1:1" x14ac:dyDescent="0.25">
      <c r="A1910" s="520"/>
    </row>
    <row r="1911" spans="1:1" x14ac:dyDescent="0.25">
      <c r="A1911" s="520"/>
    </row>
    <row r="1912" spans="1:1" x14ac:dyDescent="0.25">
      <c r="A1912" s="520"/>
    </row>
    <row r="1913" spans="1:1" x14ac:dyDescent="0.25">
      <c r="A1913" s="520"/>
    </row>
    <row r="1914" spans="1:1" x14ac:dyDescent="0.25">
      <c r="A1914" s="520"/>
    </row>
    <row r="1915" spans="1:1" x14ac:dyDescent="0.25">
      <c r="A1915" s="520"/>
    </row>
    <row r="1916" spans="1:1" x14ac:dyDescent="0.25">
      <c r="A1916" s="520"/>
    </row>
    <row r="1917" spans="1:1" x14ac:dyDescent="0.25">
      <c r="A1917" s="520"/>
    </row>
    <row r="1918" spans="1:1" x14ac:dyDescent="0.25">
      <c r="A1918" s="520"/>
    </row>
    <row r="1919" spans="1:1" x14ac:dyDescent="0.25">
      <c r="A1919" s="520"/>
    </row>
    <row r="1920" spans="1:1" x14ac:dyDescent="0.25">
      <c r="A1920" s="520"/>
    </row>
    <row r="1921" spans="1:1" x14ac:dyDescent="0.25">
      <c r="A1921" s="520"/>
    </row>
    <row r="1922" spans="1:1" x14ac:dyDescent="0.25">
      <c r="A1922" s="520"/>
    </row>
    <row r="1923" spans="1:1" x14ac:dyDescent="0.25">
      <c r="A1923" s="520"/>
    </row>
    <row r="1924" spans="1:1" x14ac:dyDescent="0.25">
      <c r="A1924" s="520"/>
    </row>
    <row r="1925" spans="1:1" x14ac:dyDescent="0.25">
      <c r="A1925" s="520"/>
    </row>
    <row r="1926" spans="1:1" x14ac:dyDescent="0.25">
      <c r="A1926" s="520"/>
    </row>
    <row r="1927" spans="1:1" x14ac:dyDescent="0.25">
      <c r="A1927" s="520"/>
    </row>
    <row r="1928" spans="1:1" x14ac:dyDescent="0.25">
      <c r="A1928" s="520"/>
    </row>
    <row r="1929" spans="1:1" x14ac:dyDescent="0.25">
      <c r="A1929" s="520"/>
    </row>
    <row r="1930" spans="1:1" x14ac:dyDescent="0.25">
      <c r="A1930" s="520"/>
    </row>
    <row r="1931" spans="1:1" x14ac:dyDescent="0.25">
      <c r="A1931" s="520"/>
    </row>
    <row r="1932" spans="1:1" x14ac:dyDescent="0.25">
      <c r="A1932" s="520"/>
    </row>
    <row r="1933" spans="1:1" x14ac:dyDescent="0.25">
      <c r="A1933" s="520"/>
    </row>
    <row r="1934" spans="1:1" x14ac:dyDescent="0.25">
      <c r="A1934" s="520"/>
    </row>
    <row r="1935" spans="1:1" x14ac:dyDescent="0.25">
      <c r="A1935" s="520"/>
    </row>
    <row r="1936" spans="1:1" x14ac:dyDescent="0.25">
      <c r="A1936" s="520"/>
    </row>
    <row r="1937" spans="1:1" x14ac:dyDescent="0.25">
      <c r="A1937" s="520"/>
    </row>
    <row r="1938" spans="1:1" x14ac:dyDescent="0.25">
      <c r="A1938" s="520"/>
    </row>
    <row r="1939" spans="1:1" x14ac:dyDescent="0.25">
      <c r="A1939" s="520"/>
    </row>
    <row r="1940" spans="1:1" x14ac:dyDescent="0.25">
      <c r="A1940" s="520"/>
    </row>
    <row r="1941" spans="1:1" x14ac:dyDescent="0.25">
      <c r="A1941" s="520"/>
    </row>
    <row r="1942" spans="1:1" x14ac:dyDescent="0.25">
      <c r="A1942" s="520"/>
    </row>
    <row r="1943" spans="1:1" x14ac:dyDescent="0.25">
      <c r="A1943" s="520"/>
    </row>
    <row r="1944" spans="1:1" x14ac:dyDescent="0.25">
      <c r="A1944" s="520"/>
    </row>
    <row r="1945" spans="1:1" x14ac:dyDescent="0.25">
      <c r="A1945" s="520"/>
    </row>
    <row r="1946" spans="1:1" x14ac:dyDescent="0.25">
      <c r="A1946" s="520"/>
    </row>
    <row r="1947" spans="1:1" x14ac:dyDescent="0.25">
      <c r="A1947" s="520"/>
    </row>
    <row r="1948" spans="1:1" x14ac:dyDescent="0.25">
      <c r="A1948" s="520"/>
    </row>
    <row r="1949" spans="1:1" x14ac:dyDescent="0.25">
      <c r="A1949" s="520"/>
    </row>
    <row r="1950" spans="1:1" x14ac:dyDescent="0.25">
      <c r="A1950" s="520"/>
    </row>
    <row r="1951" spans="1:1" x14ac:dyDescent="0.25">
      <c r="A1951" s="520"/>
    </row>
    <row r="1952" spans="1:1" x14ac:dyDescent="0.25">
      <c r="A1952" s="520"/>
    </row>
    <row r="1953" spans="1:1" x14ac:dyDescent="0.25">
      <c r="A1953" s="520"/>
    </row>
    <row r="1954" spans="1:1" x14ac:dyDescent="0.25">
      <c r="A1954" s="520"/>
    </row>
    <row r="1955" spans="1:1" x14ac:dyDescent="0.25">
      <c r="A1955" s="520"/>
    </row>
    <row r="1956" spans="1:1" x14ac:dyDescent="0.25">
      <c r="A1956" s="520"/>
    </row>
    <row r="1957" spans="1:1" x14ac:dyDescent="0.25">
      <c r="A1957" s="520"/>
    </row>
    <row r="1958" spans="1:1" x14ac:dyDescent="0.25">
      <c r="A1958" s="520"/>
    </row>
    <row r="1959" spans="1:1" x14ac:dyDescent="0.25">
      <c r="A1959" s="520"/>
    </row>
    <row r="1960" spans="1:1" x14ac:dyDescent="0.25">
      <c r="A1960" s="520"/>
    </row>
    <row r="1961" spans="1:1" x14ac:dyDescent="0.25">
      <c r="A1961" s="520"/>
    </row>
    <row r="1962" spans="1:1" x14ac:dyDescent="0.25">
      <c r="A1962" s="520"/>
    </row>
    <row r="1963" spans="1:1" x14ac:dyDescent="0.25">
      <c r="A1963" s="520"/>
    </row>
    <row r="1964" spans="1:1" x14ac:dyDescent="0.25">
      <c r="A1964" s="520"/>
    </row>
    <row r="1965" spans="1:1" x14ac:dyDescent="0.25">
      <c r="A1965" s="520"/>
    </row>
    <row r="1966" spans="1:1" x14ac:dyDescent="0.25">
      <c r="A1966" s="520"/>
    </row>
    <row r="1967" spans="1:1" x14ac:dyDescent="0.25">
      <c r="A1967" s="520"/>
    </row>
    <row r="1968" spans="1:1" x14ac:dyDescent="0.25">
      <c r="A1968" s="520"/>
    </row>
    <row r="1969" spans="1:1" x14ac:dyDescent="0.25">
      <c r="A1969" s="520"/>
    </row>
    <row r="1970" spans="1:1" x14ac:dyDescent="0.25">
      <c r="A1970" s="520"/>
    </row>
    <row r="1971" spans="1:1" x14ac:dyDescent="0.25">
      <c r="A1971" s="520"/>
    </row>
    <row r="1972" spans="1:1" x14ac:dyDescent="0.25">
      <c r="A1972" s="520"/>
    </row>
    <row r="1973" spans="1:1" x14ac:dyDescent="0.25">
      <c r="A1973" s="520"/>
    </row>
    <row r="1974" spans="1:1" x14ac:dyDescent="0.25">
      <c r="A1974" s="520"/>
    </row>
    <row r="1975" spans="1:1" x14ac:dyDescent="0.25">
      <c r="A1975" s="520"/>
    </row>
    <row r="1976" spans="1:1" x14ac:dyDescent="0.25">
      <c r="A1976" s="520"/>
    </row>
    <row r="1977" spans="1:1" x14ac:dyDescent="0.25">
      <c r="A1977" s="520"/>
    </row>
    <row r="1978" spans="1:1" x14ac:dyDescent="0.25">
      <c r="A1978" s="520"/>
    </row>
    <row r="1979" spans="1:1" x14ac:dyDescent="0.25">
      <c r="A1979" s="520"/>
    </row>
    <row r="1980" spans="1:1" x14ac:dyDescent="0.25">
      <c r="A1980" s="520"/>
    </row>
    <row r="1981" spans="1:1" x14ac:dyDescent="0.25">
      <c r="A1981" s="520"/>
    </row>
    <row r="1982" spans="1:1" x14ac:dyDescent="0.25">
      <c r="A1982" s="520"/>
    </row>
    <row r="1983" spans="1:1" x14ac:dyDescent="0.25">
      <c r="A1983" s="520"/>
    </row>
    <row r="1984" spans="1:1" x14ac:dyDescent="0.25">
      <c r="A1984" s="520"/>
    </row>
    <row r="1985" spans="1:1" x14ac:dyDescent="0.25">
      <c r="A1985" s="520"/>
    </row>
    <row r="1986" spans="1:1" x14ac:dyDescent="0.25">
      <c r="A1986" s="520"/>
    </row>
    <row r="1987" spans="1:1" x14ac:dyDescent="0.25">
      <c r="A1987" s="520"/>
    </row>
    <row r="1988" spans="1:1" x14ac:dyDescent="0.25">
      <c r="A1988" s="520"/>
    </row>
    <row r="1989" spans="1:1" x14ac:dyDescent="0.25">
      <c r="A1989" s="520"/>
    </row>
    <row r="1990" spans="1:1" x14ac:dyDescent="0.25">
      <c r="A1990" s="520"/>
    </row>
    <row r="1991" spans="1:1" x14ac:dyDescent="0.25">
      <c r="A1991" s="520"/>
    </row>
    <row r="1992" spans="1:1" x14ac:dyDescent="0.25">
      <c r="A1992" s="520"/>
    </row>
    <row r="1993" spans="1:1" x14ac:dyDescent="0.25">
      <c r="A1993" s="520"/>
    </row>
    <row r="1994" spans="1:1" x14ac:dyDescent="0.25">
      <c r="A1994" s="520"/>
    </row>
    <row r="1995" spans="1:1" x14ac:dyDescent="0.25">
      <c r="A1995" s="520"/>
    </row>
    <row r="1996" spans="1:1" x14ac:dyDescent="0.25">
      <c r="A1996" s="520"/>
    </row>
    <row r="1997" spans="1:1" x14ac:dyDescent="0.25">
      <c r="A1997" s="520"/>
    </row>
    <row r="1998" spans="1:1" x14ac:dyDescent="0.25">
      <c r="A1998" s="520"/>
    </row>
    <row r="1999" spans="1:1" x14ac:dyDescent="0.25">
      <c r="A1999" s="520"/>
    </row>
    <row r="2000" spans="1:1" x14ac:dyDescent="0.25">
      <c r="A2000" s="520"/>
    </row>
    <row r="2001" spans="1:1" x14ac:dyDescent="0.25">
      <c r="A2001" s="520"/>
    </row>
    <row r="2002" spans="1:1" x14ac:dyDescent="0.25">
      <c r="A2002" s="520"/>
    </row>
    <row r="2003" spans="1:1" x14ac:dyDescent="0.25">
      <c r="A2003" s="520"/>
    </row>
    <row r="2004" spans="1:1" x14ac:dyDescent="0.25">
      <c r="A2004" s="520"/>
    </row>
    <row r="2005" spans="1:1" x14ac:dyDescent="0.25">
      <c r="A2005" s="520"/>
    </row>
    <row r="2006" spans="1:1" x14ac:dyDescent="0.25">
      <c r="A2006" s="520"/>
    </row>
    <row r="2007" spans="1:1" x14ac:dyDescent="0.25">
      <c r="A2007" s="520"/>
    </row>
    <row r="2008" spans="1:1" x14ac:dyDescent="0.25">
      <c r="A2008" s="520"/>
    </row>
    <row r="2009" spans="1:1" x14ac:dyDescent="0.25">
      <c r="A2009" s="520"/>
    </row>
    <row r="2010" spans="1:1" x14ac:dyDescent="0.25">
      <c r="A2010" s="520"/>
    </row>
    <row r="2011" spans="1:1" x14ac:dyDescent="0.25">
      <c r="A2011" s="520"/>
    </row>
    <row r="2012" spans="1:1" x14ac:dyDescent="0.25">
      <c r="A2012" s="520"/>
    </row>
    <row r="2013" spans="1:1" x14ac:dyDescent="0.25">
      <c r="A2013" s="520"/>
    </row>
    <row r="2014" spans="1:1" x14ac:dyDescent="0.25">
      <c r="A2014" s="520"/>
    </row>
    <row r="2015" spans="1:1" x14ac:dyDescent="0.25">
      <c r="A2015" s="520"/>
    </row>
    <row r="2016" spans="1:1" x14ac:dyDescent="0.25">
      <c r="A2016" s="520"/>
    </row>
    <row r="2017" spans="1:1" x14ac:dyDescent="0.25">
      <c r="A2017" s="520"/>
    </row>
    <row r="2018" spans="1:1" x14ac:dyDescent="0.25">
      <c r="A2018" s="520"/>
    </row>
    <row r="2019" spans="1:1" x14ac:dyDescent="0.25">
      <c r="A2019" s="520"/>
    </row>
    <row r="2020" spans="1:1" x14ac:dyDescent="0.25">
      <c r="A2020" s="520"/>
    </row>
    <row r="2021" spans="1:1" x14ac:dyDescent="0.25">
      <c r="A2021" s="520"/>
    </row>
    <row r="2022" spans="1:1" x14ac:dyDescent="0.25">
      <c r="A2022" s="520"/>
    </row>
    <row r="2023" spans="1:1" x14ac:dyDescent="0.25">
      <c r="A2023" s="520"/>
    </row>
    <row r="2024" spans="1:1" x14ac:dyDescent="0.25">
      <c r="A2024" s="520"/>
    </row>
    <row r="2025" spans="1:1" x14ac:dyDescent="0.25">
      <c r="A2025" s="520"/>
    </row>
    <row r="2026" spans="1:1" x14ac:dyDescent="0.25">
      <c r="A2026" s="520"/>
    </row>
    <row r="2027" spans="1:1" x14ac:dyDescent="0.25">
      <c r="A2027" s="520"/>
    </row>
    <row r="2028" spans="1:1" x14ac:dyDescent="0.25">
      <c r="A2028" s="520"/>
    </row>
    <row r="2029" spans="1:1" x14ac:dyDescent="0.25">
      <c r="A2029" s="520"/>
    </row>
    <row r="2030" spans="1:1" x14ac:dyDescent="0.25">
      <c r="A2030" s="520"/>
    </row>
    <row r="2031" spans="1:1" x14ac:dyDescent="0.25">
      <c r="A2031" s="520"/>
    </row>
    <row r="2032" spans="1:1" x14ac:dyDescent="0.25">
      <c r="A2032" s="520"/>
    </row>
    <row r="2033" spans="1:1" x14ac:dyDescent="0.25">
      <c r="A2033" s="520"/>
    </row>
    <row r="2034" spans="1:1" x14ac:dyDescent="0.25">
      <c r="A2034" s="520"/>
    </row>
    <row r="2035" spans="1:1" x14ac:dyDescent="0.25">
      <c r="A2035" s="520"/>
    </row>
    <row r="2036" spans="1:1" x14ac:dyDescent="0.25">
      <c r="A2036" s="520"/>
    </row>
    <row r="2037" spans="1:1" x14ac:dyDescent="0.25">
      <c r="A2037" s="520"/>
    </row>
    <row r="2038" spans="1:1" x14ac:dyDescent="0.25">
      <c r="A2038" s="520"/>
    </row>
    <row r="2039" spans="1:1" x14ac:dyDescent="0.25">
      <c r="A2039" s="520"/>
    </row>
    <row r="2040" spans="1:1" x14ac:dyDescent="0.25">
      <c r="A2040" s="520"/>
    </row>
    <row r="2041" spans="1:1" x14ac:dyDescent="0.25">
      <c r="A2041" s="520"/>
    </row>
    <row r="2042" spans="1:1" x14ac:dyDescent="0.25">
      <c r="A2042" s="520"/>
    </row>
    <row r="2043" spans="1:1" x14ac:dyDescent="0.25">
      <c r="A2043" s="520"/>
    </row>
    <row r="2044" spans="1:1" x14ac:dyDescent="0.25">
      <c r="A2044" s="520"/>
    </row>
    <row r="2045" spans="1:1" x14ac:dyDescent="0.25">
      <c r="A2045" s="520"/>
    </row>
    <row r="2046" spans="1:1" x14ac:dyDescent="0.25">
      <c r="A2046" s="520"/>
    </row>
    <row r="2047" spans="1:1" x14ac:dyDescent="0.25">
      <c r="A2047" s="520"/>
    </row>
    <row r="2048" spans="1:1" x14ac:dyDescent="0.25">
      <c r="A2048" s="520"/>
    </row>
    <row r="2049" spans="1:1" x14ac:dyDescent="0.25">
      <c r="A2049" s="520"/>
    </row>
    <row r="2050" spans="1:1" x14ac:dyDescent="0.25">
      <c r="A2050" s="520"/>
    </row>
    <row r="2051" spans="1:1" x14ac:dyDescent="0.25">
      <c r="A2051" s="520"/>
    </row>
    <row r="2052" spans="1:1" x14ac:dyDescent="0.25">
      <c r="A2052" s="520"/>
    </row>
    <row r="2053" spans="1:1" x14ac:dyDescent="0.25">
      <c r="A2053" s="520"/>
    </row>
    <row r="2054" spans="1:1" x14ac:dyDescent="0.25">
      <c r="A2054" s="520"/>
    </row>
    <row r="2055" spans="1:1" x14ac:dyDescent="0.25">
      <c r="A2055" s="520"/>
    </row>
    <row r="2056" spans="1:1" x14ac:dyDescent="0.25">
      <c r="A2056" s="520"/>
    </row>
    <row r="2057" spans="1:1" x14ac:dyDescent="0.25">
      <c r="A2057" s="520"/>
    </row>
    <row r="2058" spans="1:1" x14ac:dyDescent="0.25">
      <c r="A2058" s="520"/>
    </row>
    <row r="2059" spans="1:1" x14ac:dyDescent="0.25">
      <c r="A2059" s="520"/>
    </row>
    <row r="2060" spans="1:1" x14ac:dyDescent="0.25">
      <c r="A2060" s="520"/>
    </row>
    <row r="2061" spans="1:1" x14ac:dyDescent="0.25">
      <c r="A2061" s="520"/>
    </row>
    <row r="2062" spans="1:1" x14ac:dyDescent="0.25">
      <c r="A2062" s="520"/>
    </row>
    <row r="2063" spans="1:1" x14ac:dyDescent="0.25">
      <c r="A2063" s="520"/>
    </row>
    <row r="2064" spans="1:1" x14ac:dyDescent="0.25">
      <c r="A2064" s="520"/>
    </row>
    <row r="2065" spans="1:1" x14ac:dyDescent="0.25">
      <c r="A2065" s="520"/>
    </row>
    <row r="2066" spans="1:1" x14ac:dyDescent="0.25">
      <c r="A2066" s="520"/>
    </row>
    <row r="2067" spans="1:1" x14ac:dyDescent="0.25">
      <c r="A2067" s="520"/>
    </row>
    <row r="2068" spans="1:1" x14ac:dyDescent="0.25">
      <c r="A2068" s="520"/>
    </row>
    <row r="2069" spans="1:1" x14ac:dyDescent="0.25">
      <c r="A2069" s="520"/>
    </row>
    <row r="2070" spans="1:1" x14ac:dyDescent="0.25">
      <c r="A2070" s="520"/>
    </row>
    <row r="2071" spans="1:1" x14ac:dyDescent="0.25">
      <c r="A2071" s="520"/>
    </row>
    <row r="2072" spans="1:1" x14ac:dyDescent="0.25">
      <c r="A2072" s="520"/>
    </row>
    <row r="2073" spans="1:1" x14ac:dyDescent="0.25">
      <c r="A2073" s="520"/>
    </row>
    <row r="2074" spans="1:1" x14ac:dyDescent="0.25">
      <c r="A2074" s="520"/>
    </row>
    <row r="2075" spans="1:1" x14ac:dyDescent="0.25">
      <c r="A2075" s="520"/>
    </row>
    <row r="2076" spans="1:1" x14ac:dyDescent="0.25">
      <c r="A2076" s="520"/>
    </row>
    <row r="2077" spans="1:1" x14ac:dyDescent="0.25">
      <c r="A2077" s="520"/>
    </row>
    <row r="2078" spans="1:1" x14ac:dyDescent="0.25">
      <c r="A2078" s="520"/>
    </row>
    <row r="2079" spans="1:1" x14ac:dyDescent="0.25">
      <c r="A2079" s="520"/>
    </row>
    <row r="2080" spans="1:1" x14ac:dyDescent="0.25">
      <c r="A2080" s="520"/>
    </row>
    <row r="2081" spans="1:1" x14ac:dyDescent="0.25">
      <c r="A2081" s="520"/>
    </row>
    <row r="2082" spans="1:1" x14ac:dyDescent="0.25">
      <c r="A2082" s="520"/>
    </row>
    <row r="2083" spans="1:1" x14ac:dyDescent="0.25">
      <c r="A2083" s="520"/>
    </row>
    <row r="2084" spans="1:1" x14ac:dyDescent="0.25">
      <c r="A2084" s="520"/>
    </row>
    <row r="2085" spans="1:1" x14ac:dyDescent="0.25">
      <c r="A2085" s="520"/>
    </row>
    <row r="2086" spans="1:1" x14ac:dyDescent="0.25">
      <c r="A2086" s="520"/>
    </row>
    <row r="2087" spans="1:1" x14ac:dyDescent="0.25">
      <c r="A2087" s="520"/>
    </row>
    <row r="2088" spans="1:1" x14ac:dyDescent="0.25">
      <c r="A2088" s="520"/>
    </row>
    <row r="2089" spans="1:1" x14ac:dyDescent="0.25">
      <c r="A2089" s="520"/>
    </row>
    <row r="2090" spans="1:1" x14ac:dyDescent="0.25">
      <c r="A2090" s="520"/>
    </row>
    <row r="2091" spans="1:1" x14ac:dyDescent="0.25">
      <c r="A2091" s="520"/>
    </row>
    <row r="2092" spans="1:1" x14ac:dyDescent="0.25">
      <c r="A2092" s="520"/>
    </row>
    <row r="2093" spans="1:1" x14ac:dyDescent="0.25">
      <c r="A2093" s="520"/>
    </row>
    <row r="2094" spans="1:1" x14ac:dyDescent="0.25">
      <c r="A2094" s="520"/>
    </row>
    <row r="2095" spans="1:1" x14ac:dyDescent="0.25">
      <c r="A2095" s="520"/>
    </row>
    <row r="2096" spans="1:1" x14ac:dyDescent="0.25">
      <c r="A2096" s="520"/>
    </row>
    <row r="2097" spans="1:1" x14ac:dyDescent="0.25">
      <c r="A2097" s="520"/>
    </row>
    <row r="2098" spans="1:1" x14ac:dyDescent="0.25">
      <c r="A2098" s="520"/>
    </row>
    <row r="2099" spans="1:1" x14ac:dyDescent="0.25">
      <c r="A2099" s="520"/>
    </row>
    <row r="2100" spans="1:1" x14ac:dyDescent="0.25">
      <c r="A2100" s="520"/>
    </row>
    <row r="2101" spans="1:1" x14ac:dyDescent="0.25">
      <c r="A2101" s="520"/>
    </row>
    <row r="2102" spans="1:1" x14ac:dyDescent="0.25">
      <c r="A2102" s="520"/>
    </row>
    <row r="2103" spans="1:1" x14ac:dyDescent="0.25">
      <c r="A2103" s="520"/>
    </row>
    <row r="2104" spans="1:1" x14ac:dyDescent="0.25">
      <c r="A2104" s="520"/>
    </row>
    <row r="2105" spans="1:1" x14ac:dyDescent="0.25">
      <c r="A2105" s="520"/>
    </row>
    <row r="2106" spans="1:1" x14ac:dyDescent="0.25">
      <c r="A2106" s="520"/>
    </row>
    <row r="2107" spans="1:1" x14ac:dyDescent="0.25">
      <c r="A2107" s="520"/>
    </row>
    <row r="2108" spans="1:1" x14ac:dyDescent="0.25">
      <c r="A2108" s="520"/>
    </row>
    <row r="2109" spans="1:1" x14ac:dyDescent="0.25">
      <c r="A2109" s="520"/>
    </row>
    <row r="2110" spans="1:1" x14ac:dyDescent="0.25">
      <c r="A2110" s="520"/>
    </row>
    <row r="2111" spans="1:1" x14ac:dyDescent="0.25">
      <c r="A2111" s="520"/>
    </row>
    <row r="2112" spans="1:1" x14ac:dyDescent="0.25">
      <c r="A2112" s="520"/>
    </row>
    <row r="2113" spans="1:1" x14ac:dyDescent="0.25">
      <c r="A2113" s="520"/>
    </row>
    <row r="2114" spans="1:1" x14ac:dyDescent="0.25">
      <c r="A2114" s="520"/>
    </row>
    <row r="2115" spans="1:1" x14ac:dyDescent="0.25">
      <c r="A2115" s="520"/>
    </row>
    <row r="2116" spans="1:1" x14ac:dyDescent="0.25">
      <c r="A2116" s="520"/>
    </row>
    <row r="2117" spans="1:1" x14ac:dyDescent="0.25">
      <c r="A2117" s="520"/>
    </row>
    <row r="2118" spans="1:1" x14ac:dyDescent="0.25">
      <c r="A2118" s="520"/>
    </row>
    <row r="2119" spans="1:1" x14ac:dyDescent="0.25">
      <c r="A2119" s="520"/>
    </row>
    <row r="2120" spans="1:1" x14ac:dyDescent="0.25">
      <c r="A2120" s="520"/>
    </row>
    <row r="2121" spans="1:1" x14ac:dyDescent="0.25">
      <c r="A2121" s="520"/>
    </row>
    <row r="2122" spans="1:1" x14ac:dyDescent="0.25">
      <c r="A2122" s="520"/>
    </row>
    <row r="2123" spans="1:1" x14ac:dyDescent="0.25">
      <c r="A2123" s="520"/>
    </row>
    <row r="2124" spans="1:1" x14ac:dyDescent="0.25">
      <c r="A2124" s="520"/>
    </row>
    <row r="2125" spans="1:1" x14ac:dyDescent="0.25">
      <c r="A2125" s="520"/>
    </row>
    <row r="2126" spans="1:1" x14ac:dyDescent="0.25">
      <c r="A2126" s="520"/>
    </row>
    <row r="2127" spans="1:1" x14ac:dyDescent="0.25">
      <c r="A2127" s="520"/>
    </row>
    <row r="2128" spans="1:1" x14ac:dyDescent="0.25">
      <c r="A2128" s="520"/>
    </row>
    <row r="2129" spans="1:1" x14ac:dyDescent="0.25">
      <c r="A2129" s="520"/>
    </row>
    <row r="2130" spans="1:1" x14ac:dyDescent="0.25">
      <c r="A2130" s="520"/>
    </row>
    <row r="2131" spans="1:1" x14ac:dyDescent="0.25">
      <c r="A2131" s="520"/>
    </row>
    <row r="2132" spans="1:1" x14ac:dyDescent="0.25">
      <c r="A2132" s="520"/>
    </row>
    <row r="2133" spans="1:1" x14ac:dyDescent="0.25">
      <c r="A2133" s="520"/>
    </row>
    <row r="2134" spans="1:1" x14ac:dyDescent="0.25">
      <c r="A2134" s="520"/>
    </row>
    <row r="2135" spans="1:1" x14ac:dyDescent="0.25">
      <c r="A2135" s="520"/>
    </row>
    <row r="2136" spans="1:1" x14ac:dyDescent="0.25">
      <c r="A2136" s="520"/>
    </row>
    <row r="2137" spans="1:1" x14ac:dyDescent="0.25">
      <c r="A2137" s="520"/>
    </row>
    <row r="2138" spans="1:1" x14ac:dyDescent="0.25">
      <c r="A2138" s="520"/>
    </row>
    <row r="2139" spans="1:1" x14ac:dyDescent="0.25">
      <c r="A2139" s="520"/>
    </row>
    <row r="2140" spans="1:1" x14ac:dyDescent="0.25">
      <c r="A2140" s="520"/>
    </row>
    <row r="2141" spans="1:1" x14ac:dyDescent="0.25">
      <c r="A2141" s="520"/>
    </row>
    <row r="2142" spans="1:1" x14ac:dyDescent="0.25">
      <c r="A2142" s="520"/>
    </row>
    <row r="2143" spans="1:1" x14ac:dyDescent="0.25">
      <c r="A2143" s="520"/>
    </row>
    <row r="2144" spans="1:1" x14ac:dyDescent="0.25">
      <c r="A2144" s="520"/>
    </row>
    <row r="2145" spans="1:1" x14ac:dyDescent="0.25">
      <c r="A2145" s="520"/>
    </row>
    <row r="2146" spans="1:1" x14ac:dyDescent="0.25">
      <c r="A2146" s="520"/>
    </row>
    <row r="2147" spans="1:1" x14ac:dyDescent="0.25">
      <c r="A2147" s="520"/>
    </row>
    <row r="2148" spans="1:1" x14ac:dyDescent="0.25">
      <c r="A2148" s="520"/>
    </row>
    <row r="2149" spans="1:1" x14ac:dyDescent="0.25">
      <c r="A2149" s="520"/>
    </row>
    <row r="2150" spans="1:1" x14ac:dyDescent="0.25">
      <c r="A2150" s="520"/>
    </row>
    <row r="2151" spans="1:1" x14ac:dyDescent="0.25">
      <c r="A2151" s="520"/>
    </row>
    <row r="2152" spans="1:1" x14ac:dyDescent="0.25">
      <c r="A2152" s="520"/>
    </row>
    <row r="2153" spans="1:1" x14ac:dyDescent="0.25">
      <c r="A2153" s="520"/>
    </row>
    <row r="2154" spans="1:1" x14ac:dyDescent="0.25">
      <c r="A2154" s="520"/>
    </row>
    <row r="2155" spans="1:1" x14ac:dyDescent="0.25">
      <c r="A2155" s="520"/>
    </row>
    <row r="2156" spans="1:1" x14ac:dyDescent="0.25">
      <c r="A2156" s="520"/>
    </row>
    <row r="2157" spans="1:1" x14ac:dyDescent="0.25">
      <c r="A2157" s="520"/>
    </row>
    <row r="2158" spans="1:1" x14ac:dyDescent="0.25">
      <c r="A2158" s="520"/>
    </row>
    <row r="2159" spans="1:1" x14ac:dyDescent="0.25">
      <c r="A2159" s="520"/>
    </row>
    <row r="2160" spans="1:1" x14ac:dyDescent="0.25">
      <c r="A2160" s="520"/>
    </row>
    <row r="2161" spans="1:1" x14ac:dyDescent="0.25">
      <c r="A2161" s="520"/>
    </row>
    <row r="2162" spans="1:1" x14ac:dyDescent="0.25">
      <c r="A2162" s="520"/>
    </row>
    <row r="2163" spans="1:1" x14ac:dyDescent="0.25">
      <c r="A2163" s="520"/>
    </row>
    <row r="2164" spans="1:1" x14ac:dyDescent="0.25">
      <c r="A2164" s="520"/>
    </row>
    <row r="2165" spans="1:1" x14ac:dyDescent="0.25">
      <c r="A2165" s="520"/>
    </row>
    <row r="2166" spans="1:1" x14ac:dyDescent="0.25">
      <c r="A2166" s="520"/>
    </row>
    <row r="2167" spans="1:1" x14ac:dyDescent="0.25">
      <c r="A2167" s="520"/>
    </row>
    <row r="2168" spans="1:1" x14ac:dyDescent="0.25">
      <c r="A2168" s="520"/>
    </row>
    <row r="2169" spans="1:1" x14ac:dyDescent="0.25">
      <c r="A2169" s="520"/>
    </row>
    <row r="2170" spans="1:1" x14ac:dyDescent="0.25">
      <c r="A2170" s="520"/>
    </row>
    <row r="2171" spans="1:1" x14ac:dyDescent="0.25">
      <c r="A2171" s="520"/>
    </row>
    <row r="2172" spans="1:1" x14ac:dyDescent="0.25">
      <c r="A2172" s="520"/>
    </row>
    <row r="2173" spans="1:1" x14ac:dyDescent="0.25">
      <c r="A2173" s="520"/>
    </row>
    <row r="2174" spans="1:1" x14ac:dyDescent="0.25">
      <c r="A2174" s="520"/>
    </row>
    <row r="2175" spans="1:1" x14ac:dyDescent="0.25">
      <c r="A2175" s="520"/>
    </row>
    <row r="2176" spans="1:1" x14ac:dyDescent="0.25">
      <c r="A2176" s="520"/>
    </row>
    <row r="2177" spans="1:1" x14ac:dyDescent="0.25">
      <c r="A2177" s="520"/>
    </row>
    <row r="2178" spans="1:1" x14ac:dyDescent="0.25">
      <c r="A2178" s="520"/>
    </row>
    <row r="2179" spans="1:1" x14ac:dyDescent="0.25">
      <c r="A2179" s="520"/>
    </row>
    <row r="2180" spans="1:1" x14ac:dyDescent="0.25">
      <c r="A2180" s="520"/>
    </row>
    <row r="2181" spans="1:1" x14ac:dyDescent="0.25">
      <c r="A2181" s="520"/>
    </row>
    <row r="2182" spans="1:1" x14ac:dyDescent="0.25">
      <c r="A2182" s="520"/>
    </row>
    <row r="2183" spans="1:1" x14ac:dyDescent="0.25">
      <c r="A2183" s="520"/>
    </row>
    <row r="2184" spans="1:1" x14ac:dyDescent="0.25">
      <c r="A2184" s="520"/>
    </row>
    <row r="2185" spans="1:1" x14ac:dyDescent="0.25">
      <c r="A2185" s="520"/>
    </row>
    <row r="2186" spans="1:1" x14ac:dyDescent="0.25">
      <c r="A2186" s="520"/>
    </row>
    <row r="2187" spans="1:1" x14ac:dyDescent="0.25">
      <c r="A2187" s="520"/>
    </row>
    <row r="2188" spans="1:1" x14ac:dyDescent="0.25">
      <c r="A2188" s="520"/>
    </row>
    <row r="2189" spans="1:1" x14ac:dyDescent="0.25">
      <c r="A2189" s="520"/>
    </row>
    <row r="2190" spans="1:1" x14ac:dyDescent="0.25">
      <c r="A2190" s="520"/>
    </row>
    <row r="2191" spans="1:1" x14ac:dyDescent="0.25">
      <c r="A2191" s="520"/>
    </row>
    <row r="2192" spans="1:1" x14ac:dyDescent="0.25">
      <c r="A2192" s="520"/>
    </row>
    <row r="2193" spans="1:1" x14ac:dyDescent="0.25">
      <c r="A2193" s="520"/>
    </row>
    <row r="2194" spans="1:1" x14ac:dyDescent="0.25">
      <c r="A2194" s="520"/>
    </row>
    <row r="2195" spans="1:1" x14ac:dyDescent="0.25">
      <c r="A2195" s="520"/>
    </row>
    <row r="2196" spans="1:1" x14ac:dyDescent="0.25">
      <c r="A2196" s="520"/>
    </row>
    <row r="2197" spans="1:1" x14ac:dyDescent="0.25">
      <c r="A2197" s="520"/>
    </row>
    <row r="2198" spans="1:1" x14ac:dyDescent="0.25">
      <c r="A2198" s="520"/>
    </row>
    <row r="2199" spans="1:1" x14ac:dyDescent="0.25">
      <c r="A2199" s="520"/>
    </row>
    <row r="2200" spans="1:1" x14ac:dyDescent="0.25">
      <c r="A2200" s="520"/>
    </row>
    <row r="2201" spans="1:1" x14ac:dyDescent="0.25">
      <c r="A2201" s="520"/>
    </row>
    <row r="2202" spans="1:1" x14ac:dyDescent="0.25">
      <c r="A2202" s="520"/>
    </row>
    <row r="2203" spans="1:1" x14ac:dyDescent="0.25">
      <c r="A2203" s="520"/>
    </row>
    <row r="2204" spans="1:1" x14ac:dyDescent="0.25">
      <c r="A2204" s="520"/>
    </row>
    <row r="2205" spans="1:1" x14ac:dyDescent="0.25">
      <c r="A2205" s="520"/>
    </row>
    <row r="2206" spans="1:1" x14ac:dyDescent="0.25">
      <c r="A2206" s="520"/>
    </row>
    <row r="2207" spans="1:1" x14ac:dyDescent="0.25">
      <c r="A2207" s="520"/>
    </row>
    <row r="2208" spans="1:1" x14ac:dyDescent="0.25">
      <c r="A2208" s="520"/>
    </row>
    <row r="2209" spans="1:1" x14ac:dyDescent="0.25">
      <c r="A2209" s="520"/>
    </row>
    <row r="2210" spans="1:1" x14ac:dyDescent="0.25">
      <c r="A2210" s="520"/>
    </row>
    <row r="2211" spans="1:1" x14ac:dyDescent="0.25">
      <c r="A2211" s="520"/>
    </row>
    <row r="2212" spans="1:1" x14ac:dyDescent="0.25">
      <c r="A2212" s="520"/>
    </row>
    <row r="2213" spans="1:1" x14ac:dyDescent="0.25">
      <c r="A2213" s="520"/>
    </row>
    <row r="2214" spans="1:1" x14ac:dyDescent="0.25">
      <c r="A2214" s="520"/>
    </row>
    <row r="2215" spans="1:1" x14ac:dyDescent="0.25">
      <c r="A2215" s="520"/>
    </row>
    <row r="2216" spans="1:1" x14ac:dyDescent="0.25">
      <c r="A2216" s="520"/>
    </row>
    <row r="2217" spans="1:1" x14ac:dyDescent="0.25">
      <c r="A2217" s="520"/>
    </row>
    <row r="2218" spans="1:1" x14ac:dyDescent="0.25">
      <c r="A2218" s="520"/>
    </row>
    <row r="2219" spans="1:1" x14ac:dyDescent="0.25">
      <c r="A2219" s="520"/>
    </row>
    <row r="2220" spans="1:1" x14ac:dyDescent="0.25">
      <c r="A2220" s="520"/>
    </row>
    <row r="2221" spans="1:1" x14ac:dyDescent="0.25">
      <c r="A2221" s="520"/>
    </row>
    <row r="2222" spans="1:1" x14ac:dyDescent="0.25">
      <c r="A2222" s="520"/>
    </row>
    <row r="2223" spans="1:1" x14ac:dyDescent="0.25">
      <c r="A2223" s="520"/>
    </row>
    <row r="2224" spans="1:1" x14ac:dyDescent="0.25">
      <c r="A2224" s="520"/>
    </row>
    <row r="2225" spans="1:1" x14ac:dyDescent="0.25">
      <c r="A2225" s="520"/>
    </row>
    <row r="2226" spans="1:1" x14ac:dyDescent="0.25">
      <c r="A2226" s="520"/>
    </row>
    <row r="2227" spans="1:1" x14ac:dyDescent="0.25">
      <c r="A2227" s="520"/>
    </row>
    <row r="2228" spans="1:1" x14ac:dyDescent="0.25">
      <c r="A2228" s="520"/>
    </row>
    <row r="2229" spans="1:1" x14ac:dyDescent="0.25">
      <c r="A2229" s="520"/>
    </row>
    <row r="2230" spans="1:1" x14ac:dyDescent="0.25">
      <c r="A2230" s="520"/>
    </row>
    <row r="2231" spans="1:1" x14ac:dyDescent="0.25">
      <c r="A2231" s="520"/>
    </row>
    <row r="2232" spans="1:1" x14ac:dyDescent="0.25">
      <c r="A2232" s="520"/>
    </row>
    <row r="2233" spans="1:1" x14ac:dyDescent="0.25">
      <c r="A2233" s="520"/>
    </row>
    <row r="2234" spans="1:1" x14ac:dyDescent="0.25">
      <c r="A2234" s="520"/>
    </row>
    <row r="2235" spans="1:1" x14ac:dyDescent="0.25">
      <c r="A2235" s="520"/>
    </row>
    <row r="2236" spans="1:1" x14ac:dyDescent="0.25">
      <c r="A2236" s="520"/>
    </row>
    <row r="2237" spans="1:1" x14ac:dyDescent="0.25">
      <c r="A2237" s="520"/>
    </row>
    <row r="2238" spans="1:1" x14ac:dyDescent="0.25">
      <c r="A2238" s="520"/>
    </row>
    <row r="2239" spans="1:1" x14ac:dyDescent="0.25">
      <c r="A2239" s="520"/>
    </row>
    <row r="2240" spans="1:1" x14ac:dyDescent="0.25">
      <c r="A2240" s="520"/>
    </row>
    <row r="2241" spans="1:1" x14ac:dyDescent="0.25">
      <c r="A2241" s="520"/>
    </row>
    <row r="2242" spans="1:1" x14ac:dyDescent="0.25">
      <c r="A2242" s="520"/>
    </row>
    <row r="2243" spans="1:1" x14ac:dyDescent="0.25">
      <c r="A2243" s="520"/>
    </row>
    <row r="2244" spans="1:1" x14ac:dyDescent="0.25">
      <c r="A2244" s="520"/>
    </row>
    <row r="2245" spans="1:1" x14ac:dyDescent="0.25">
      <c r="A2245" s="520"/>
    </row>
    <row r="2246" spans="1:1" x14ac:dyDescent="0.25">
      <c r="A2246" s="520"/>
    </row>
    <row r="2247" spans="1:1" x14ac:dyDescent="0.25">
      <c r="A2247" s="520"/>
    </row>
    <row r="2248" spans="1:1" x14ac:dyDescent="0.25">
      <c r="A2248" s="520"/>
    </row>
    <row r="2249" spans="1:1" x14ac:dyDescent="0.25">
      <c r="A2249" s="520"/>
    </row>
    <row r="2250" spans="1:1" x14ac:dyDescent="0.25">
      <c r="A2250" s="520"/>
    </row>
    <row r="2251" spans="1:1" x14ac:dyDescent="0.25">
      <c r="A2251" s="520"/>
    </row>
    <row r="2252" spans="1:1" x14ac:dyDescent="0.25">
      <c r="A2252" s="520"/>
    </row>
    <row r="2253" spans="1:1" x14ac:dyDescent="0.25">
      <c r="A2253" s="520"/>
    </row>
    <row r="2254" spans="1:1" x14ac:dyDescent="0.25">
      <c r="A2254" s="520"/>
    </row>
    <row r="2255" spans="1:1" x14ac:dyDescent="0.25">
      <c r="A2255" s="520"/>
    </row>
    <row r="2256" spans="1:1" x14ac:dyDescent="0.25">
      <c r="A2256" s="520"/>
    </row>
    <row r="2257" spans="1:1" x14ac:dyDescent="0.25">
      <c r="A2257" s="520"/>
    </row>
    <row r="2258" spans="1:1" x14ac:dyDescent="0.25">
      <c r="A2258" s="520"/>
    </row>
    <row r="2259" spans="1:1" x14ac:dyDescent="0.25">
      <c r="A2259" s="520"/>
    </row>
    <row r="2260" spans="1:1" x14ac:dyDescent="0.25">
      <c r="A2260" s="520"/>
    </row>
    <row r="2261" spans="1:1" x14ac:dyDescent="0.25">
      <c r="A2261" s="520"/>
    </row>
    <row r="2262" spans="1:1" x14ac:dyDescent="0.25">
      <c r="A2262" s="520"/>
    </row>
    <row r="2263" spans="1:1" x14ac:dyDescent="0.25">
      <c r="A2263" s="520"/>
    </row>
    <row r="2264" spans="1:1" x14ac:dyDescent="0.25">
      <c r="A2264" s="520"/>
    </row>
    <row r="2265" spans="1:1" x14ac:dyDescent="0.25">
      <c r="A2265" s="520"/>
    </row>
    <row r="2266" spans="1:1" x14ac:dyDescent="0.25">
      <c r="A2266" s="520"/>
    </row>
    <row r="2267" spans="1:1" x14ac:dyDescent="0.25">
      <c r="A2267" s="520"/>
    </row>
    <row r="2268" spans="1:1" x14ac:dyDescent="0.25">
      <c r="A2268" s="520"/>
    </row>
    <row r="2269" spans="1:1" x14ac:dyDescent="0.25">
      <c r="A2269" s="520"/>
    </row>
    <row r="2270" spans="1:1" x14ac:dyDescent="0.25">
      <c r="A2270" s="520"/>
    </row>
    <row r="2271" spans="1:1" x14ac:dyDescent="0.25">
      <c r="A2271" s="520"/>
    </row>
    <row r="2272" spans="1:1" x14ac:dyDescent="0.25">
      <c r="A2272" s="520"/>
    </row>
    <row r="2273" spans="1:1" x14ac:dyDescent="0.25">
      <c r="A2273" s="520"/>
    </row>
    <row r="2274" spans="1:1" x14ac:dyDescent="0.25">
      <c r="A2274" s="520"/>
    </row>
    <row r="2275" spans="1:1" x14ac:dyDescent="0.25">
      <c r="A2275" s="520"/>
    </row>
    <row r="2276" spans="1:1" x14ac:dyDescent="0.25">
      <c r="A2276" s="520"/>
    </row>
    <row r="2277" spans="1:1" x14ac:dyDescent="0.25">
      <c r="A2277" s="520"/>
    </row>
    <row r="2278" spans="1:1" x14ac:dyDescent="0.25">
      <c r="A2278" s="520"/>
    </row>
    <row r="2279" spans="1:1" x14ac:dyDescent="0.25">
      <c r="A2279" s="520"/>
    </row>
    <row r="2280" spans="1:1" x14ac:dyDescent="0.25">
      <c r="A2280" s="520"/>
    </row>
    <row r="2281" spans="1:1" x14ac:dyDescent="0.25">
      <c r="A2281" s="520"/>
    </row>
    <row r="2282" spans="1:1" x14ac:dyDescent="0.25">
      <c r="A2282" s="520"/>
    </row>
    <row r="2283" spans="1:1" x14ac:dyDescent="0.25">
      <c r="A2283" s="520"/>
    </row>
    <row r="2284" spans="1:1" x14ac:dyDescent="0.25">
      <c r="A2284" s="520"/>
    </row>
    <row r="2285" spans="1:1" x14ac:dyDescent="0.25">
      <c r="A2285" s="520"/>
    </row>
    <row r="2286" spans="1:1" x14ac:dyDescent="0.25">
      <c r="A2286" s="520"/>
    </row>
    <row r="2287" spans="1:1" x14ac:dyDescent="0.25">
      <c r="A2287" s="520"/>
    </row>
    <row r="2288" spans="1:1" x14ac:dyDescent="0.25">
      <c r="A2288" s="520"/>
    </row>
    <row r="2289" spans="1:1" x14ac:dyDescent="0.25">
      <c r="A2289" s="520"/>
    </row>
    <row r="2290" spans="1:1" x14ac:dyDescent="0.25">
      <c r="A2290" s="520"/>
    </row>
    <row r="2291" spans="1:1" x14ac:dyDescent="0.25">
      <c r="A2291" s="520"/>
    </row>
    <row r="2292" spans="1:1" x14ac:dyDescent="0.25">
      <c r="A2292" s="520"/>
    </row>
    <row r="2293" spans="1:1" x14ac:dyDescent="0.25">
      <c r="A2293" s="520"/>
    </row>
    <row r="2294" spans="1:1" x14ac:dyDescent="0.25">
      <c r="A2294" s="520"/>
    </row>
    <row r="2295" spans="1:1" x14ac:dyDescent="0.25">
      <c r="A2295" s="520"/>
    </row>
    <row r="2296" spans="1:1" x14ac:dyDescent="0.25">
      <c r="A2296" s="520"/>
    </row>
    <row r="2297" spans="1:1" x14ac:dyDescent="0.25">
      <c r="A2297" s="520"/>
    </row>
    <row r="2298" spans="1:1" x14ac:dyDescent="0.25">
      <c r="A2298" s="520"/>
    </row>
    <row r="2299" spans="1:1" x14ac:dyDescent="0.25">
      <c r="A2299" s="520"/>
    </row>
    <row r="2300" spans="1:1" x14ac:dyDescent="0.25">
      <c r="A2300" s="520"/>
    </row>
    <row r="2301" spans="1:1" x14ac:dyDescent="0.25">
      <c r="A2301" s="520"/>
    </row>
    <row r="2302" spans="1:1" x14ac:dyDescent="0.25">
      <c r="A2302" s="520"/>
    </row>
    <row r="2303" spans="1:1" x14ac:dyDescent="0.25">
      <c r="A2303" s="520"/>
    </row>
    <row r="2304" spans="1:1" x14ac:dyDescent="0.25">
      <c r="A2304" s="520"/>
    </row>
    <row r="2305" spans="1:1" x14ac:dyDescent="0.25">
      <c r="A2305" s="520"/>
    </row>
    <row r="2306" spans="1:1" x14ac:dyDescent="0.25">
      <c r="A2306" s="520"/>
    </row>
    <row r="2307" spans="1:1" x14ac:dyDescent="0.25">
      <c r="A2307" s="520"/>
    </row>
    <row r="2308" spans="1:1" x14ac:dyDescent="0.25">
      <c r="A2308" s="520"/>
    </row>
    <row r="2309" spans="1:1" x14ac:dyDescent="0.25">
      <c r="A2309" s="520"/>
    </row>
    <row r="2310" spans="1:1" x14ac:dyDescent="0.25">
      <c r="A2310" s="520"/>
    </row>
    <row r="2311" spans="1:1" x14ac:dyDescent="0.25">
      <c r="A2311" s="520"/>
    </row>
    <row r="2312" spans="1:1" x14ac:dyDescent="0.25">
      <c r="A2312" s="520"/>
    </row>
    <row r="2313" spans="1:1" x14ac:dyDescent="0.25">
      <c r="A2313" s="520"/>
    </row>
    <row r="2314" spans="1:1" x14ac:dyDescent="0.25">
      <c r="A2314" s="520"/>
    </row>
    <row r="2315" spans="1:1" x14ac:dyDescent="0.25">
      <c r="A2315" s="520"/>
    </row>
    <row r="2316" spans="1:1" x14ac:dyDescent="0.25">
      <c r="A2316" s="520"/>
    </row>
    <row r="2317" spans="1:1" x14ac:dyDescent="0.25">
      <c r="A2317" s="520"/>
    </row>
    <row r="2318" spans="1:1" x14ac:dyDescent="0.25">
      <c r="A2318" s="520"/>
    </row>
    <row r="2319" spans="1:1" x14ac:dyDescent="0.25">
      <c r="A2319" s="520"/>
    </row>
    <row r="2320" spans="1:1" x14ac:dyDescent="0.25">
      <c r="A2320" s="520"/>
    </row>
    <row r="2321" spans="1:1" x14ac:dyDescent="0.25">
      <c r="A2321" s="520"/>
    </row>
    <row r="2322" spans="1:1" x14ac:dyDescent="0.25">
      <c r="A2322" s="520"/>
    </row>
    <row r="2323" spans="1:1" x14ac:dyDescent="0.25">
      <c r="A2323" s="520"/>
    </row>
    <row r="2324" spans="1:1" x14ac:dyDescent="0.25">
      <c r="A2324" s="520"/>
    </row>
    <row r="2325" spans="1:1" x14ac:dyDescent="0.25">
      <c r="A2325" s="520"/>
    </row>
    <row r="2326" spans="1:1" x14ac:dyDescent="0.25">
      <c r="A2326" s="520"/>
    </row>
    <row r="2327" spans="1:1" x14ac:dyDescent="0.25">
      <c r="A2327" s="520"/>
    </row>
    <row r="2328" spans="1:1" x14ac:dyDescent="0.25">
      <c r="A2328" s="520"/>
    </row>
    <row r="2329" spans="1:1" x14ac:dyDescent="0.25">
      <c r="A2329" s="520"/>
    </row>
    <row r="2330" spans="1:1" x14ac:dyDescent="0.25">
      <c r="A2330" s="520"/>
    </row>
    <row r="2331" spans="1:1" x14ac:dyDescent="0.25">
      <c r="A2331" s="520"/>
    </row>
    <row r="2332" spans="1:1" x14ac:dyDescent="0.25">
      <c r="A2332" s="520"/>
    </row>
    <row r="2333" spans="1:1" x14ac:dyDescent="0.25">
      <c r="A2333" s="520"/>
    </row>
    <row r="2334" spans="1:1" x14ac:dyDescent="0.25">
      <c r="A2334" s="520"/>
    </row>
    <row r="2335" spans="1:1" x14ac:dyDescent="0.25">
      <c r="A2335" s="520"/>
    </row>
    <row r="2336" spans="1:1" x14ac:dyDescent="0.25">
      <c r="A2336" s="520"/>
    </row>
    <row r="2337" spans="1:1" x14ac:dyDescent="0.25">
      <c r="A2337" s="520"/>
    </row>
    <row r="2338" spans="1:1" x14ac:dyDescent="0.25">
      <c r="A2338" s="520"/>
    </row>
    <row r="2339" spans="1:1" x14ac:dyDescent="0.25">
      <c r="A2339" s="520"/>
    </row>
    <row r="2340" spans="1:1" x14ac:dyDescent="0.25">
      <c r="A2340" s="520"/>
    </row>
    <row r="2341" spans="1:1" x14ac:dyDescent="0.25">
      <c r="A2341" s="520"/>
    </row>
    <row r="2342" spans="1:1" x14ac:dyDescent="0.25">
      <c r="A2342" s="520"/>
    </row>
    <row r="2343" spans="1:1" x14ac:dyDescent="0.25">
      <c r="A2343" s="520"/>
    </row>
    <row r="2344" spans="1:1" x14ac:dyDescent="0.25">
      <c r="A2344" s="520"/>
    </row>
    <row r="2345" spans="1:1" x14ac:dyDescent="0.25">
      <c r="A2345" s="520"/>
    </row>
    <row r="2346" spans="1:1" x14ac:dyDescent="0.25">
      <c r="A2346" s="520"/>
    </row>
    <row r="2347" spans="1:1" x14ac:dyDescent="0.25">
      <c r="A2347" s="520"/>
    </row>
    <row r="2348" spans="1:1" x14ac:dyDescent="0.25">
      <c r="A2348" s="520"/>
    </row>
    <row r="2349" spans="1:1" x14ac:dyDescent="0.25">
      <c r="A2349" s="520"/>
    </row>
    <row r="2350" spans="1:1" x14ac:dyDescent="0.25">
      <c r="A2350" s="520"/>
    </row>
    <row r="2351" spans="1:1" x14ac:dyDescent="0.25">
      <c r="A2351" s="520"/>
    </row>
    <row r="2352" spans="1:1" x14ac:dyDescent="0.25">
      <c r="A2352" s="520"/>
    </row>
    <row r="2353" spans="1:1" x14ac:dyDescent="0.25">
      <c r="A2353" s="520"/>
    </row>
    <row r="2354" spans="1:1" x14ac:dyDescent="0.25">
      <c r="A2354" s="520"/>
    </row>
    <row r="2355" spans="1:1" x14ac:dyDescent="0.25">
      <c r="A2355" s="520"/>
    </row>
    <row r="2356" spans="1:1" x14ac:dyDescent="0.25">
      <c r="A2356" s="520"/>
    </row>
    <row r="2357" spans="1:1" x14ac:dyDescent="0.25">
      <c r="A2357" s="520"/>
    </row>
    <row r="2358" spans="1:1" x14ac:dyDescent="0.25">
      <c r="A2358" s="520"/>
    </row>
    <row r="2359" spans="1:1" x14ac:dyDescent="0.25">
      <c r="A2359" s="520"/>
    </row>
    <row r="2360" spans="1:1" x14ac:dyDescent="0.25">
      <c r="A2360" s="520"/>
    </row>
    <row r="2361" spans="1:1" x14ac:dyDescent="0.25">
      <c r="A2361" s="520"/>
    </row>
    <row r="2362" spans="1:1" x14ac:dyDescent="0.25">
      <c r="A2362" s="520"/>
    </row>
    <row r="2363" spans="1:1" x14ac:dyDescent="0.25">
      <c r="A2363" s="520"/>
    </row>
    <row r="2364" spans="1:1" x14ac:dyDescent="0.25">
      <c r="A2364" s="520"/>
    </row>
    <row r="2365" spans="1:1" x14ac:dyDescent="0.25">
      <c r="A2365" s="520"/>
    </row>
    <row r="2366" spans="1:1" x14ac:dyDescent="0.25">
      <c r="A2366" s="520"/>
    </row>
    <row r="2367" spans="1:1" x14ac:dyDescent="0.25">
      <c r="A2367" s="520"/>
    </row>
    <row r="2368" spans="1:1" x14ac:dyDescent="0.25">
      <c r="A2368" s="520"/>
    </row>
    <row r="2369" spans="1:1" x14ac:dyDescent="0.25">
      <c r="A2369" s="520"/>
    </row>
    <row r="2370" spans="1:1" x14ac:dyDescent="0.25">
      <c r="A2370" s="520"/>
    </row>
    <row r="2371" spans="1:1" x14ac:dyDescent="0.25">
      <c r="A2371" s="520"/>
    </row>
    <row r="2372" spans="1:1" x14ac:dyDescent="0.25">
      <c r="A2372" s="520"/>
    </row>
    <row r="2373" spans="1:1" x14ac:dyDescent="0.25">
      <c r="A2373" s="520"/>
    </row>
    <row r="2374" spans="1:1" x14ac:dyDescent="0.25">
      <c r="A2374" s="520"/>
    </row>
    <row r="2375" spans="1:1" x14ac:dyDescent="0.25">
      <c r="A2375" s="520"/>
    </row>
    <row r="2376" spans="1:1" x14ac:dyDescent="0.25">
      <c r="A2376" s="520"/>
    </row>
    <row r="2377" spans="1:1" x14ac:dyDescent="0.25">
      <c r="A2377" s="520"/>
    </row>
    <row r="2378" spans="1:1" x14ac:dyDescent="0.25">
      <c r="A2378" s="520"/>
    </row>
    <row r="2379" spans="1:1" x14ac:dyDescent="0.25">
      <c r="A2379" s="520"/>
    </row>
    <row r="2380" spans="1:1" x14ac:dyDescent="0.25">
      <c r="A2380" s="520"/>
    </row>
    <row r="2381" spans="1:1" x14ac:dyDescent="0.25">
      <c r="A2381" s="520"/>
    </row>
    <row r="2382" spans="1:1" x14ac:dyDescent="0.25">
      <c r="A2382" s="520"/>
    </row>
    <row r="2383" spans="1:1" x14ac:dyDescent="0.25">
      <c r="A2383" s="520"/>
    </row>
    <row r="2384" spans="1:1" x14ac:dyDescent="0.25">
      <c r="A2384" s="520"/>
    </row>
    <row r="2385" spans="1:1" x14ac:dyDescent="0.25">
      <c r="A2385" s="520"/>
    </row>
    <row r="2386" spans="1:1" x14ac:dyDescent="0.25">
      <c r="A2386" s="520"/>
    </row>
    <row r="2387" spans="1:1" x14ac:dyDescent="0.25">
      <c r="A2387" s="520"/>
    </row>
    <row r="2388" spans="1:1" x14ac:dyDescent="0.25">
      <c r="A2388" s="520"/>
    </row>
    <row r="2389" spans="1:1" x14ac:dyDescent="0.25">
      <c r="A2389" s="520"/>
    </row>
    <row r="2390" spans="1:1" x14ac:dyDescent="0.25">
      <c r="A2390" s="520"/>
    </row>
    <row r="2391" spans="1:1" x14ac:dyDescent="0.25">
      <c r="A2391" s="520"/>
    </row>
    <row r="2392" spans="1:1" x14ac:dyDescent="0.25">
      <c r="A2392" s="520"/>
    </row>
    <row r="2393" spans="1:1" x14ac:dyDescent="0.25">
      <c r="A2393" s="520"/>
    </row>
    <row r="2394" spans="1:1" x14ac:dyDescent="0.25">
      <c r="A2394" s="520"/>
    </row>
    <row r="2395" spans="1:1" x14ac:dyDescent="0.25">
      <c r="A2395" s="520"/>
    </row>
    <row r="2396" spans="1:1" x14ac:dyDescent="0.25">
      <c r="A2396" s="520"/>
    </row>
    <row r="2397" spans="1:1" x14ac:dyDescent="0.25">
      <c r="A2397" s="520"/>
    </row>
    <row r="2398" spans="1:1" x14ac:dyDescent="0.25">
      <c r="A2398" s="520"/>
    </row>
    <row r="2399" spans="1:1" x14ac:dyDescent="0.25">
      <c r="A2399" s="520"/>
    </row>
    <row r="2400" spans="1:1" x14ac:dyDescent="0.25">
      <c r="A2400" s="520"/>
    </row>
    <row r="2401" spans="1:1" x14ac:dyDescent="0.25">
      <c r="A2401" s="520"/>
    </row>
    <row r="2402" spans="1:1" x14ac:dyDescent="0.25">
      <c r="A2402" s="520"/>
    </row>
    <row r="2403" spans="1:1" x14ac:dyDescent="0.25">
      <c r="A2403" s="520"/>
    </row>
    <row r="2404" spans="1:1" x14ac:dyDescent="0.25">
      <c r="A2404" s="520"/>
    </row>
    <row r="2405" spans="1:1" x14ac:dyDescent="0.25">
      <c r="A2405" s="520"/>
    </row>
    <row r="2406" spans="1:1" x14ac:dyDescent="0.25">
      <c r="A2406" s="520"/>
    </row>
    <row r="2407" spans="1:1" x14ac:dyDescent="0.25">
      <c r="A2407" s="520"/>
    </row>
    <row r="2408" spans="1:1" x14ac:dyDescent="0.25">
      <c r="A2408" s="520"/>
    </row>
    <row r="2409" spans="1:1" x14ac:dyDescent="0.25">
      <c r="A2409" s="520"/>
    </row>
    <row r="2410" spans="1:1" x14ac:dyDescent="0.25">
      <c r="A2410" s="520"/>
    </row>
    <row r="2411" spans="1:1" x14ac:dyDescent="0.25">
      <c r="A2411" s="520"/>
    </row>
    <row r="2412" spans="1:1" x14ac:dyDescent="0.25">
      <c r="A2412" s="520"/>
    </row>
    <row r="2413" spans="1:1" x14ac:dyDescent="0.25">
      <c r="A2413" s="520"/>
    </row>
    <row r="2414" spans="1:1" x14ac:dyDescent="0.25">
      <c r="A2414" s="520"/>
    </row>
    <row r="2415" spans="1:1" x14ac:dyDescent="0.25">
      <c r="A2415" s="520"/>
    </row>
    <row r="2416" spans="1:1" x14ac:dyDescent="0.25">
      <c r="A2416" s="520"/>
    </row>
    <row r="2417" spans="1:1" x14ac:dyDescent="0.25">
      <c r="A2417" s="520"/>
    </row>
    <row r="2418" spans="1:1" x14ac:dyDescent="0.25">
      <c r="A2418" s="520"/>
    </row>
    <row r="2419" spans="1:1" x14ac:dyDescent="0.25">
      <c r="A2419" s="520"/>
    </row>
    <row r="2420" spans="1:1" x14ac:dyDescent="0.25">
      <c r="A2420" s="520"/>
    </row>
    <row r="2421" spans="1:1" x14ac:dyDescent="0.25">
      <c r="A2421" s="520"/>
    </row>
    <row r="2422" spans="1:1" x14ac:dyDescent="0.25">
      <c r="A2422" s="520"/>
    </row>
    <row r="2423" spans="1:1" x14ac:dyDescent="0.25">
      <c r="A2423" s="520"/>
    </row>
    <row r="2424" spans="1:1" x14ac:dyDescent="0.25">
      <c r="A2424" s="520"/>
    </row>
    <row r="2425" spans="1:1" x14ac:dyDescent="0.25">
      <c r="A2425" s="520"/>
    </row>
    <row r="2426" spans="1:1" x14ac:dyDescent="0.25">
      <c r="A2426" s="520"/>
    </row>
    <row r="2427" spans="1:1" x14ac:dyDescent="0.25">
      <c r="A2427" s="520"/>
    </row>
    <row r="2428" spans="1:1" x14ac:dyDescent="0.25">
      <c r="A2428" s="520"/>
    </row>
    <row r="2429" spans="1:1" x14ac:dyDescent="0.25">
      <c r="A2429" s="520"/>
    </row>
    <row r="2430" spans="1:1" x14ac:dyDescent="0.25">
      <c r="A2430" s="520"/>
    </row>
    <row r="2431" spans="1:1" x14ac:dyDescent="0.25">
      <c r="A2431" s="520"/>
    </row>
    <row r="2432" spans="1:1" x14ac:dyDescent="0.25">
      <c r="A2432" s="520"/>
    </row>
    <row r="2433" spans="1:1" x14ac:dyDescent="0.25">
      <c r="A2433" s="520"/>
    </row>
    <row r="2434" spans="1:1" x14ac:dyDescent="0.25">
      <c r="A2434" s="520"/>
    </row>
    <row r="2435" spans="1:1" x14ac:dyDescent="0.25">
      <c r="A2435" s="520"/>
    </row>
    <row r="2436" spans="1:1" x14ac:dyDescent="0.25">
      <c r="A2436" s="520"/>
    </row>
    <row r="2437" spans="1:1" x14ac:dyDescent="0.25">
      <c r="A2437" s="520"/>
    </row>
    <row r="2438" spans="1:1" x14ac:dyDescent="0.25">
      <c r="A2438" s="520"/>
    </row>
    <row r="2439" spans="1:1" x14ac:dyDescent="0.25">
      <c r="A2439" s="520"/>
    </row>
    <row r="2440" spans="1:1" x14ac:dyDescent="0.25">
      <c r="A2440" s="520"/>
    </row>
    <row r="2441" spans="1:1" x14ac:dyDescent="0.25">
      <c r="A2441" s="520"/>
    </row>
    <row r="2442" spans="1:1" x14ac:dyDescent="0.25">
      <c r="A2442" s="520"/>
    </row>
    <row r="2443" spans="1:1" x14ac:dyDescent="0.25">
      <c r="A2443" s="520"/>
    </row>
    <row r="2444" spans="1:1" x14ac:dyDescent="0.25">
      <c r="A2444" s="520"/>
    </row>
    <row r="2445" spans="1:1" x14ac:dyDescent="0.25">
      <c r="A2445" s="520"/>
    </row>
    <row r="2446" spans="1:1" x14ac:dyDescent="0.25">
      <c r="A2446" s="520"/>
    </row>
    <row r="2447" spans="1:1" x14ac:dyDescent="0.25">
      <c r="A2447" s="520"/>
    </row>
    <row r="2448" spans="1:1" x14ac:dyDescent="0.25">
      <c r="A2448" s="520"/>
    </row>
    <row r="2449" spans="1:1" x14ac:dyDescent="0.25">
      <c r="A2449" s="520"/>
    </row>
    <row r="2450" spans="1:1" x14ac:dyDescent="0.25">
      <c r="A2450" s="520"/>
    </row>
    <row r="2451" spans="1:1" x14ac:dyDescent="0.25">
      <c r="A2451" s="520"/>
    </row>
    <row r="2452" spans="1:1" x14ac:dyDescent="0.25">
      <c r="A2452" s="520"/>
    </row>
    <row r="2453" spans="1:1" x14ac:dyDescent="0.25">
      <c r="A2453" s="520"/>
    </row>
    <row r="2454" spans="1:1" x14ac:dyDescent="0.25">
      <c r="A2454" s="520"/>
    </row>
    <row r="2455" spans="1:1" x14ac:dyDescent="0.25">
      <c r="A2455" s="520"/>
    </row>
    <row r="2456" spans="1:1" x14ac:dyDescent="0.25">
      <c r="A2456" s="520"/>
    </row>
    <row r="2457" spans="1:1" x14ac:dyDescent="0.25">
      <c r="A2457" s="520"/>
    </row>
    <row r="2458" spans="1:1" x14ac:dyDescent="0.25">
      <c r="A2458" s="520"/>
    </row>
    <row r="2459" spans="1:1" x14ac:dyDescent="0.25">
      <c r="A2459" s="520"/>
    </row>
    <row r="2460" spans="1:1" x14ac:dyDescent="0.25">
      <c r="A2460" s="520"/>
    </row>
    <row r="2461" spans="1:1" x14ac:dyDescent="0.25">
      <c r="A2461" s="520"/>
    </row>
    <row r="2462" spans="1:1" x14ac:dyDescent="0.25">
      <c r="A2462" s="520"/>
    </row>
    <row r="2463" spans="1:1" x14ac:dyDescent="0.25">
      <c r="A2463" s="520"/>
    </row>
    <row r="2464" spans="1:1" x14ac:dyDescent="0.25">
      <c r="A2464" s="520"/>
    </row>
    <row r="2465" spans="1:1" x14ac:dyDescent="0.25">
      <c r="A2465" s="520"/>
    </row>
    <row r="2466" spans="1:1" x14ac:dyDescent="0.25">
      <c r="A2466" s="520"/>
    </row>
    <row r="2467" spans="1:1" x14ac:dyDescent="0.25">
      <c r="A2467" s="520"/>
    </row>
    <row r="2468" spans="1:1" x14ac:dyDescent="0.25">
      <c r="A2468" s="520"/>
    </row>
    <row r="2469" spans="1:1" x14ac:dyDescent="0.25">
      <c r="A2469" s="520"/>
    </row>
    <row r="2470" spans="1:1" x14ac:dyDescent="0.25">
      <c r="A2470" s="520"/>
    </row>
    <row r="2471" spans="1:1" x14ac:dyDescent="0.25">
      <c r="A2471" s="520"/>
    </row>
    <row r="2472" spans="1:1" x14ac:dyDescent="0.25">
      <c r="A2472" s="520"/>
    </row>
    <row r="2473" spans="1:1" x14ac:dyDescent="0.25">
      <c r="A2473" s="520"/>
    </row>
    <row r="2474" spans="1:1" x14ac:dyDescent="0.25">
      <c r="A2474" s="520"/>
    </row>
    <row r="2475" spans="1:1" x14ac:dyDescent="0.25">
      <c r="A2475" s="520"/>
    </row>
    <row r="2476" spans="1:1" x14ac:dyDescent="0.25">
      <c r="A2476" s="520"/>
    </row>
    <row r="2477" spans="1:1" x14ac:dyDescent="0.25">
      <c r="A2477" s="520"/>
    </row>
    <row r="2478" spans="1:1" x14ac:dyDescent="0.25">
      <c r="A2478" s="520"/>
    </row>
    <row r="2479" spans="1:1" x14ac:dyDescent="0.25">
      <c r="A2479" s="520"/>
    </row>
    <row r="2480" spans="1:1" x14ac:dyDescent="0.25">
      <c r="A2480" s="520"/>
    </row>
    <row r="2481" spans="1:1" x14ac:dyDescent="0.25">
      <c r="A2481" s="520"/>
    </row>
    <row r="2482" spans="1:1" x14ac:dyDescent="0.25">
      <c r="A2482" s="520"/>
    </row>
    <row r="2483" spans="1:1" x14ac:dyDescent="0.25">
      <c r="A2483" s="520"/>
    </row>
    <row r="2484" spans="1:1" x14ac:dyDescent="0.25">
      <c r="A2484" s="520"/>
    </row>
    <row r="2485" spans="1:1" x14ac:dyDescent="0.25">
      <c r="A2485" s="520"/>
    </row>
    <row r="2486" spans="1:1" x14ac:dyDescent="0.25">
      <c r="A2486" s="520"/>
    </row>
    <row r="2487" spans="1:1" x14ac:dyDescent="0.25">
      <c r="A2487" s="520"/>
    </row>
    <row r="2488" spans="1:1" x14ac:dyDescent="0.25">
      <c r="A2488" s="520"/>
    </row>
    <row r="2489" spans="1:1" x14ac:dyDescent="0.25">
      <c r="A2489" s="520"/>
    </row>
    <row r="2490" spans="1:1" x14ac:dyDescent="0.25">
      <c r="A2490" s="520"/>
    </row>
    <row r="2491" spans="1:1" x14ac:dyDescent="0.25">
      <c r="A2491" s="520"/>
    </row>
    <row r="2492" spans="1:1" x14ac:dyDescent="0.25">
      <c r="A2492" s="520"/>
    </row>
    <row r="2493" spans="1:1" x14ac:dyDescent="0.25">
      <c r="A2493" s="520"/>
    </row>
    <row r="2494" spans="1:1" x14ac:dyDescent="0.25">
      <c r="A2494" s="520"/>
    </row>
    <row r="2495" spans="1:1" x14ac:dyDescent="0.25">
      <c r="A2495" s="520"/>
    </row>
    <row r="2496" spans="1:1" x14ac:dyDescent="0.25">
      <c r="A2496" s="520"/>
    </row>
    <row r="2497" spans="1:1" x14ac:dyDescent="0.25">
      <c r="A2497" s="520"/>
    </row>
    <row r="2498" spans="1:1" x14ac:dyDescent="0.25">
      <c r="A2498" s="520"/>
    </row>
    <row r="2499" spans="1:1" x14ac:dyDescent="0.25">
      <c r="A2499" s="520"/>
    </row>
    <row r="2500" spans="1:1" x14ac:dyDescent="0.25">
      <c r="A2500" s="520"/>
    </row>
    <row r="2501" spans="1:1" x14ac:dyDescent="0.25">
      <c r="A2501" s="520"/>
    </row>
    <row r="2502" spans="1:1" x14ac:dyDescent="0.25">
      <c r="A2502" s="520"/>
    </row>
    <row r="2503" spans="1:1" x14ac:dyDescent="0.25">
      <c r="A2503" s="520"/>
    </row>
    <row r="2504" spans="1:1" x14ac:dyDescent="0.25">
      <c r="A2504" s="520"/>
    </row>
    <row r="2505" spans="1:1" x14ac:dyDescent="0.25">
      <c r="A2505" s="520"/>
    </row>
    <row r="2506" spans="1:1" x14ac:dyDescent="0.25">
      <c r="A2506" s="520"/>
    </row>
    <row r="2507" spans="1:1" x14ac:dyDescent="0.25">
      <c r="A2507" s="520"/>
    </row>
    <row r="2508" spans="1:1" x14ac:dyDescent="0.25">
      <c r="A2508" s="520"/>
    </row>
    <row r="2509" spans="1:1" x14ac:dyDescent="0.25">
      <c r="A2509" s="520"/>
    </row>
    <row r="2510" spans="1:1" x14ac:dyDescent="0.25">
      <c r="A2510" s="520"/>
    </row>
    <row r="2511" spans="1:1" x14ac:dyDescent="0.25">
      <c r="A2511" s="520"/>
    </row>
    <row r="2512" spans="1:1" x14ac:dyDescent="0.25">
      <c r="A2512" s="520"/>
    </row>
    <row r="2513" spans="1:1" x14ac:dyDescent="0.25">
      <c r="A2513" s="520"/>
    </row>
    <row r="2514" spans="1:1" x14ac:dyDescent="0.25">
      <c r="A2514" s="520"/>
    </row>
    <row r="2515" spans="1:1" x14ac:dyDescent="0.25">
      <c r="A2515" s="520"/>
    </row>
    <row r="2516" spans="1:1" x14ac:dyDescent="0.25">
      <c r="A2516" s="520"/>
    </row>
    <row r="2517" spans="1:1" x14ac:dyDescent="0.25">
      <c r="A2517" s="520"/>
    </row>
    <row r="2518" spans="1:1" x14ac:dyDescent="0.25">
      <c r="A2518" s="520"/>
    </row>
    <row r="2519" spans="1:1" x14ac:dyDescent="0.25">
      <c r="A2519" s="520"/>
    </row>
    <row r="2520" spans="1:1" x14ac:dyDescent="0.25">
      <c r="A2520" s="520"/>
    </row>
    <row r="2521" spans="1:1" x14ac:dyDescent="0.25">
      <c r="A2521" s="520"/>
    </row>
    <row r="2522" spans="1:1" x14ac:dyDescent="0.25">
      <c r="A2522" s="520"/>
    </row>
    <row r="2523" spans="1:1" x14ac:dyDescent="0.25">
      <c r="A2523" s="520"/>
    </row>
    <row r="2524" spans="1:1" x14ac:dyDescent="0.25">
      <c r="A2524" s="520"/>
    </row>
    <row r="2525" spans="1:1" x14ac:dyDescent="0.25">
      <c r="A2525" s="520"/>
    </row>
    <row r="2526" spans="1:1" x14ac:dyDescent="0.25">
      <c r="A2526" s="520"/>
    </row>
    <row r="2527" spans="1:1" x14ac:dyDescent="0.25">
      <c r="A2527" s="520"/>
    </row>
    <row r="2528" spans="1:1" x14ac:dyDescent="0.25">
      <c r="A2528" s="520"/>
    </row>
    <row r="2529" spans="1:1" x14ac:dyDescent="0.25">
      <c r="A2529" s="520"/>
    </row>
    <row r="2530" spans="1:1" x14ac:dyDescent="0.25">
      <c r="A2530" s="520"/>
    </row>
    <row r="2531" spans="1:1" x14ac:dyDescent="0.25">
      <c r="A2531" s="520"/>
    </row>
    <row r="2532" spans="1:1" x14ac:dyDescent="0.25">
      <c r="A2532" s="520"/>
    </row>
    <row r="2533" spans="1:1" x14ac:dyDescent="0.25">
      <c r="A2533" s="520"/>
    </row>
    <row r="2534" spans="1:1" x14ac:dyDescent="0.25">
      <c r="A2534" s="520"/>
    </row>
    <row r="2535" spans="1:1" x14ac:dyDescent="0.25">
      <c r="A2535" s="520"/>
    </row>
    <row r="2536" spans="1:1" x14ac:dyDescent="0.25">
      <c r="A2536" s="520"/>
    </row>
    <row r="2537" spans="1:1" x14ac:dyDescent="0.25">
      <c r="A2537" s="520"/>
    </row>
    <row r="2538" spans="1:1" x14ac:dyDescent="0.25">
      <c r="A2538" s="520"/>
    </row>
    <row r="2539" spans="1:1" x14ac:dyDescent="0.25">
      <c r="A2539" s="520"/>
    </row>
    <row r="2540" spans="1:1" x14ac:dyDescent="0.25">
      <c r="A2540" s="520"/>
    </row>
    <row r="2541" spans="1:1" x14ac:dyDescent="0.25">
      <c r="A2541" s="520"/>
    </row>
    <row r="2542" spans="1:1" x14ac:dyDescent="0.25">
      <c r="A2542" s="520"/>
    </row>
    <row r="2543" spans="1:1" x14ac:dyDescent="0.25">
      <c r="A2543" s="520"/>
    </row>
    <row r="2544" spans="1:1" x14ac:dyDescent="0.25">
      <c r="A2544" s="520"/>
    </row>
    <row r="2545" spans="1:1" x14ac:dyDescent="0.25">
      <c r="A2545" s="520"/>
    </row>
    <row r="2546" spans="1:1" x14ac:dyDescent="0.25">
      <c r="A2546" s="520"/>
    </row>
    <row r="2547" spans="1:1" x14ac:dyDescent="0.25">
      <c r="A2547" s="520"/>
    </row>
    <row r="2548" spans="1:1" x14ac:dyDescent="0.25">
      <c r="A2548" s="520"/>
    </row>
    <row r="2549" spans="1:1" x14ac:dyDescent="0.25">
      <c r="A2549" s="520"/>
    </row>
    <row r="2550" spans="1:1" x14ac:dyDescent="0.25">
      <c r="A2550" s="520"/>
    </row>
    <row r="2551" spans="1:1" x14ac:dyDescent="0.25">
      <c r="A2551" s="520"/>
    </row>
    <row r="2552" spans="1:1" x14ac:dyDescent="0.25">
      <c r="A2552" s="520"/>
    </row>
    <row r="2553" spans="1:1" x14ac:dyDescent="0.25">
      <c r="A2553" s="520"/>
    </row>
    <row r="2554" spans="1:1" x14ac:dyDescent="0.25">
      <c r="A2554" s="520"/>
    </row>
    <row r="2555" spans="1:1" x14ac:dyDescent="0.25">
      <c r="A2555" s="520"/>
    </row>
    <row r="2556" spans="1:1" x14ac:dyDescent="0.25">
      <c r="A2556" s="520"/>
    </row>
    <row r="2557" spans="1:1" x14ac:dyDescent="0.25">
      <c r="A2557" s="520"/>
    </row>
    <row r="2558" spans="1:1" x14ac:dyDescent="0.25">
      <c r="A2558" s="520"/>
    </row>
    <row r="2559" spans="1:1" x14ac:dyDescent="0.25">
      <c r="A2559" s="520"/>
    </row>
    <row r="2560" spans="1:1" x14ac:dyDescent="0.25">
      <c r="A2560" s="520"/>
    </row>
    <row r="2561" spans="1:1" x14ac:dyDescent="0.25">
      <c r="A2561" s="520"/>
    </row>
    <row r="2562" spans="1:1" x14ac:dyDescent="0.25">
      <c r="A2562" s="520"/>
    </row>
    <row r="2563" spans="1:1" x14ac:dyDescent="0.25">
      <c r="A2563" s="520"/>
    </row>
    <row r="2564" spans="1:1" x14ac:dyDescent="0.25">
      <c r="A2564" s="520"/>
    </row>
    <row r="2565" spans="1:1" x14ac:dyDescent="0.25">
      <c r="A2565" s="520"/>
    </row>
    <row r="2566" spans="1:1" x14ac:dyDescent="0.25">
      <c r="A2566" s="520"/>
    </row>
    <row r="2567" spans="1:1" x14ac:dyDescent="0.25">
      <c r="A2567" s="520"/>
    </row>
    <row r="2568" spans="1:1" x14ac:dyDescent="0.25">
      <c r="A2568" s="520"/>
    </row>
    <row r="2569" spans="1:1" x14ac:dyDescent="0.25">
      <c r="A2569" s="520"/>
    </row>
    <row r="2570" spans="1:1" x14ac:dyDescent="0.25">
      <c r="A2570" s="520"/>
    </row>
    <row r="2571" spans="1:1" x14ac:dyDescent="0.25">
      <c r="A2571" s="520"/>
    </row>
    <row r="2572" spans="1:1" x14ac:dyDescent="0.25">
      <c r="A2572" s="520"/>
    </row>
    <row r="2573" spans="1:1" x14ac:dyDescent="0.25">
      <c r="A2573" s="520"/>
    </row>
    <row r="2574" spans="1:1" x14ac:dyDescent="0.25">
      <c r="A2574" s="520"/>
    </row>
    <row r="2575" spans="1:1" x14ac:dyDescent="0.25">
      <c r="A2575" s="520"/>
    </row>
    <row r="2576" spans="1:1" x14ac:dyDescent="0.25">
      <c r="A2576" s="520"/>
    </row>
    <row r="2577" spans="1:1" x14ac:dyDescent="0.25">
      <c r="A2577" s="520"/>
    </row>
    <row r="2578" spans="1:1" x14ac:dyDescent="0.25">
      <c r="A2578" s="520"/>
    </row>
    <row r="2579" spans="1:1" x14ac:dyDescent="0.25">
      <c r="A2579" s="520"/>
    </row>
    <row r="2580" spans="1:1" x14ac:dyDescent="0.25">
      <c r="A2580" s="520"/>
    </row>
    <row r="2581" spans="1:1" x14ac:dyDescent="0.25">
      <c r="A2581" s="520"/>
    </row>
    <row r="2582" spans="1:1" x14ac:dyDescent="0.25">
      <c r="A2582" s="520"/>
    </row>
    <row r="2583" spans="1:1" x14ac:dyDescent="0.25">
      <c r="A2583" s="520"/>
    </row>
    <row r="2584" spans="1:1" x14ac:dyDescent="0.25">
      <c r="A2584" s="520"/>
    </row>
    <row r="2585" spans="1:1" x14ac:dyDescent="0.25">
      <c r="A2585" s="520"/>
    </row>
    <row r="2586" spans="1:1" x14ac:dyDescent="0.25">
      <c r="A2586" s="520"/>
    </row>
    <row r="2587" spans="1:1" x14ac:dyDescent="0.25">
      <c r="A2587" s="520"/>
    </row>
    <row r="2588" spans="1:1" x14ac:dyDescent="0.25">
      <c r="A2588" s="520"/>
    </row>
    <row r="2589" spans="1:1" x14ac:dyDescent="0.25">
      <c r="A2589" s="520"/>
    </row>
    <row r="2590" spans="1:1" x14ac:dyDescent="0.25">
      <c r="A2590" s="520"/>
    </row>
    <row r="2591" spans="1:1" x14ac:dyDescent="0.25">
      <c r="A2591" s="520"/>
    </row>
    <row r="2592" spans="1:1" x14ac:dyDescent="0.25">
      <c r="A2592" s="520"/>
    </row>
    <row r="2593" spans="1:1" x14ac:dyDescent="0.25">
      <c r="A2593" s="520"/>
    </row>
    <row r="2594" spans="1:1" x14ac:dyDescent="0.25">
      <c r="A2594" s="520"/>
    </row>
    <row r="2595" spans="1:1" x14ac:dyDescent="0.25">
      <c r="A2595" s="520"/>
    </row>
    <row r="2596" spans="1:1" x14ac:dyDescent="0.25">
      <c r="A2596" s="520"/>
    </row>
    <row r="2597" spans="1:1" x14ac:dyDescent="0.25">
      <c r="A2597" s="520"/>
    </row>
    <row r="2598" spans="1:1" x14ac:dyDescent="0.25">
      <c r="A2598" s="520"/>
    </row>
    <row r="2599" spans="1:1" x14ac:dyDescent="0.25">
      <c r="A2599" s="520"/>
    </row>
    <row r="2600" spans="1:1" x14ac:dyDescent="0.25">
      <c r="A2600" s="520"/>
    </row>
    <row r="2601" spans="1:1" x14ac:dyDescent="0.25">
      <c r="A2601" s="520"/>
    </row>
    <row r="2602" spans="1:1" x14ac:dyDescent="0.25">
      <c r="A2602" s="520"/>
    </row>
    <row r="2603" spans="1:1" x14ac:dyDescent="0.25">
      <c r="A2603" s="520"/>
    </row>
    <row r="2604" spans="1:1" x14ac:dyDescent="0.25">
      <c r="A2604" s="520"/>
    </row>
    <row r="2605" spans="1:1" x14ac:dyDescent="0.25">
      <c r="A2605" s="520"/>
    </row>
    <row r="2606" spans="1:1" x14ac:dyDescent="0.25">
      <c r="A2606" s="520"/>
    </row>
    <row r="2607" spans="1:1" x14ac:dyDescent="0.25">
      <c r="A2607" s="520"/>
    </row>
    <row r="2608" spans="1:1" x14ac:dyDescent="0.25">
      <c r="A2608" s="520"/>
    </row>
    <row r="2609" spans="1:1" x14ac:dyDescent="0.25">
      <c r="A2609" s="520"/>
    </row>
    <row r="2610" spans="1:1" x14ac:dyDescent="0.25">
      <c r="A2610" s="520"/>
    </row>
    <row r="2611" spans="1:1" x14ac:dyDescent="0.25">
      <c r="A2611" s="520"/>
    </row>
    <row r="2612" spans="1:1" x14ac:dyDescent="0.25">
      <c r="A2612" s="520"/>
    </row>
    <row r="2613" spans="1:1" x14ac:dyDescent="0.25">
      <c r="A2613" s="520"/>
    </row>
    <row r="2614" spans="1:1" x14ac:dyDescent="0.25">
      <c r="A2614" s="520"/>
    </row>
    <row r="2615" spans="1:1" x14ac:dyDescent="0.25">
      <c r="A2615" s="520"/>
    </row>
    <row r="2616" spans="1:1" x14ac:dyDescent="0.25">
      <c r="A2616" s="520"/>
    </row>
    <row r="2617" spans="1:1" x14ac:dyDescent="0.25">
      <c r="A2617" s="520"/>
    </row>
    <row r="2618" spans="1:1" x14ac:dyDescent="0.25">
      <c r="A2618" s="520"/>
    </row>
    <row r="2619" spans="1:1" x14ac:dyDescent="0.25">
      <c r="A2619" s="520"/>
    </row>
    <row r="2620" spans="1:1" x14ac:dyDescent="0.25">
      <c r="A2620" s="520"/>
    </row>
    <row r="2621" spans="1:1" x14ac:dyDescent="0.25">
      <c r="A2621" s="520"/>
    </row>
    <row r="2622" spans="1:1" x14ac:dyDescent="0.25">
      <c r="A2622" s="520"/>
    </row>
    <row r="2623" spans="1:1" x14ac:dyDescent="0.25">
      <c r="A2623" s="520"/>
    </row>
    <row r="2624" spans="1:1" x14ac:dyDescent="0.25">
      <c r="A2624" s="520"/>
    </row>
    <row r="2625" spans="1:1" x14ac:dyDescent="0.25">
      <c r="A2625" s="520"/>
    </row>
    <row r="2626" spans="1:1" x14ac:dyDescent="0.25">
      <c r="A2626" s="520"/>
    </row>
    <row r="2627" spans="1:1" x14ac:dyDescent="0.25">
      <c r="A2627" s="520"/>
    </row>
    <row r="2628" spans="1:1" x14ac:dyDescent="0.25">
      <c r="A2628" s="520"/>
    </row>
    <row r="2629" spans="1:1" x14ac:dyDescent="0.25">
      <c r="A2629" s="520"/>
    </row>
    <row r="2630" spans="1:1" x14ac:dyDescent="0.25">
      <c r="A2630" s="520"/>
    </row>
    <row r="2631" spans="1:1" x14ac:dyDescent="0.25">
      <c r="A2631" s="520"/>
    </row>
    <row r="2632" spans="1:1" x14ac:dyDescent="0.25">
      <c r="A2632" s="520"/>
    </row>
    <row r="2633" spans="1:1" x14ac:dyDescent="0.25">
      <c r="A2633" s="520"/>
    </row>
    <row r="2634" spans="1:1" x14ac:dyDescent="0.25">
      <c r="A2634" s="520"/>
    </row>
    <row r="2635" spans="1:1" x14ac:dyDescent="0.25">
      <c r="A2635" s="520"/>
    </row>
    <row r="2636" spans="1:1" x14ac:dyDescent="0.25">
      <c r="A2636" s="520"/>
    </row>
    <row r="2637" spans="1:1" x14ac:dyDescent="0.25">
      <c r="A2637" s="520"/>
    </row>
    <row r="2638" spans="1:1" x14ac:dyDescent="0.25">
      <c r="A2638" s="520"/>
    </row>
    <row r="2639" spans="1:1" x14ac:dyDescent="0.25">
      <c r="A2639" s="520"/>
    </row>
    <row r="2640" spans="1:1" x14ac:dyDescent="0.25">
      <c r="A2640" s="520"/>
    </row>
    <row r="2641" spans="1:1" x14ac:dyDescent="0.25">
      <c r="A2641" s="520"/>
    </row>
    <row r="2642" spans="1:1" x14ac:dyDescent="0.25">
      <c r="A2642" s="520"/>
    </row>
    <row r="2643" spans="1:1" x14ac:dyDescent="0.25">
      <c r="A2643" s="520"/>
    </row>
    <row r="2644" spans="1:1" x14ac:dyDescent="0.25">
      <c r="A2644" s="520"/>
    </row>
    <row r="2645" spans="1:1" x14ac:dyDescent="0.25">
      <c r="A2645" s="520"/>
    </row>
    <row r="2646" spans="1:1" x14ac:dyDescent="0.25">
      <c r="A2646" s="520"/>
    </row>
    <row r="2647" spans="1:1" x14ac:dyDescent="0.25">
      <c r="A2647" s="520"/>
    </row>
    <row r="2648" spans="1:1" x14ac:dyDescent="0.25">
      <c r="A2648" s="520"/>
    </row>
    <row r="2649" spans="1:1" x14ac:dyDescent="0.25">
      <c r="A2649" s="520"/>
    </row>
    <row r="2650" spans="1:1" x14ac:dyDescent="0.25">
      <c r="A2650" s="520"/>
    </row>
    <row r="2651" spans="1:1" x14ac:dyDescent="0.25">
      <c r="A2651" s="520"/>
    </row>
    <row r="2652" spans="1:1" x14ac:dyDescent="0.25">
      <c r="A2652" s="520"/>
    </row>
    <row r="2653" spans="1:1" x14ac:dyDescent="0.25">
      <c r="A2653" s="520"/>
    </row>
    <row r="2654" spans="1:1" x14ac:dyDescent="0.25">
      <c r="A2654" s="520"/>
    </row>
    <row r="2655" spans="1:1" x14ac:dyDescent="0.25">
      <c r="A2655" s="520"/>
    </row>
    <row r="2656" spans="1:1" x14ac:dyDescent="0.25">
      <c r="A2656" s="520"/>
    </row>
    <row r="2657" spans="1:1" x14ac:dyDescent="0.25">
      <c r="A2657" s="520"/>
    </row>
    <row r="2658" spans="1:1" x14ac:dyDescent="0.25">
      <c r="A2658" s="520"/>
    </row>
    <row r="2659" spans="1:1" x14ac:dyDescent="0.25">
      <c r="A2659" s="520"/>
    </row>
    <row r="2660" spans="1:1" x14ac:dyDescent="0.25">
      <c r="A2660" s="520"/>
    </row>
    <row r="2661" spans="1:1" x14ac:dyDescent="0.25">
      <c r="A2661" s="520"/>
    </row>
    <row r="2662" spans="1:1" x14ac:dyDescent="0.25">
      <c r="A2662" s="520"/>
    </row>
    <row r="2663" spans="1:1" x14ac:dyDescent="0.25">
      <c r="A2663" s="520"/>
    </row>
    <row r="2664" spans="1:1" x14ac:dyDescent="0.25">
      <c r="A2664" s="520"/>
    </row>
    <row r="2665" spans="1:1" x14ac:dyDescent="0.25">
      <c r="A2665" s="520"/>
    </row>
    <row r="2666" spans="1:1" x14ac:dyDescent="0.25">
      <c r="A2666" s="520"/>
    </row>
    <row r="2667" spans="1:1" x14ac:dyDescent="0.25">
      <c r="A2667" s="520"/>
    </row>
    <row r="2668" spans="1:1" x14ac:dyDescent="0.25">
      <c r="A2668" s="520"/>
    </row>
    <row r="2669" spans="1:1" x14ac:dyDescent="0.25">
      <c r="A2669" s="520"/>
    </row>
    <row r="2670" spans="1:1" x14ac:dyDescent="0.25">
      <c r="A2670" s="520"/>
    </row>
    <row r="2671" spans="1:1" x14ac:dyDescent="0.25">
      <c r="A2671" s="520"/>
    </row>
    <row r="2672" spans="1:1" x14ac:dyDescent="0.25">
      <c r="A2672" s="520"/>
    </row>
    <row r="2673" spans="1:1" x14ac:dyDescent="0.25">
      <c r="A2673" s="520"/>
    </row>
    <row r="2674" spans="1:1" x14ac:dyDescent="0.25">
      <c r="A2674" s="520"/>
    </row>
    <row r="2675" spans="1:1" x14ac:dyDescent="0.25">
      <c r="A2675" s="520"/>
    </row>
    <row r="2676" spans="1:1" x14ac:dyDescent="0.25">
      <c r="A2676" s="520"/>
    </row>
    <row r="2677" spans="1:1" x14ac:dyDescent="0.25">
      <c r="A2677" s="520"/>
    </row>
    <row r="2678" spans="1:1" x14ac:dyDescent="0.25">
      <c r="A2678" s="520"/>
    </row>
    <row r="2679" spans="1:1" x14ac:dyDescent="0.25">
      <c r="A2679" s="520"/>
    </row>
    <row r="2680" spans="1:1" x14ac:dyDescent="0.25">
      <c r="A2680" s="520"/>
    </row>
    <row r="2681" spans="1:1" x14ac:dyDescent="0.25">
      <c r="A2681" s="520"/>
    </row>
    <row r="2682" spans="1:1" x14ac:dyDescent="0.25">
      <c r="A2682" s="520"/>
    </row>
    <row r="2683" spans="1:1" x14ac:dyDescent="0.25">
      <c r="A2683" s="520"/>
    </row>
    <row r="2684" spans="1:1" x14ac:dyDescent="0.25">
      <c r="A2684" s="520"/>
    </row>
    <row r="2685" spans="1:1" x14ac:dyDescent="0.25">
      <c r="A2685" s="520"/>
    </row>
    <row r="2686" spans="1:1" x14ac:dyDescent="0.25">
      <c r="A2686" s="520"/>
    </row>
    <row r="2687" spans="1:1" x14ac:dyDescent="0.25">
      <c r="A2687" s="520"/>
    </row>
    <row r="2688" spans="1:1" x14ac:dyDescent="0.25">
      <c r="A2688" s="520"/>
    </row>
    <row r="2689" spans="1:1" x14ac:dyDescent="0.25">
      <c r="A2689" s="520"/>
    </row>
    <row r="2690" spans="1:1" x14ac:dyDescent="0.25">
      <c r="A2690" s="520"/>
    </row>
    <row r="2691" spans="1:1" x14ac:dyDescent="0.25">
      <c r="A2691" s="520"/>
    </row>
    <row r="2692" spans="1:1" x14ac:dyDescent="0.25">
      <c r="A2692" s="520"/>
    </row>
    <row r="2693" spans="1:1" x14ac:dyDescent="0.25">
      <c r="A2693" s="520"/>
    </row>
    <row r="2694" spans="1:1" x14ac:dyDescent="0.25">
      <c r="A2694" s="520"/>
    </row>
    <row r="2695" spans="1:1" x14ac:dyDescent="0.25">
      <c r="A2695" s="520"/>
    </row>
    <row r="2696" spans="1:1" x14ac:dyDescent="0.25">
      <c r="A2696" s="520"/>
    </row>
    <row r="2697" spans="1:1" x14ac:dyDescent="0.25">
      <c r="A2697" s="520"/>
    </row>
    <row r="2698" spans="1:1" x14ac:dyDescent="0.25">
      <c r="A2698" s="520"/>
    </row>
    <row r="2699" spans="1:1" x14ac:dyDescent="0.25">
      <c r="A2699" s="520"/>
    </row>
    <row r="2700" spans="1:1" x14ac:dyDescent="0.25">
      <c r="A2700" s="520"/>
    </row>
    <row r="2701" spans="1:1" x14ac:dyDescent="0.25">
      <c r="A2701" s="520"/>
    </row>
    <row r="2702" spans="1:1" x14ac:dyDescent="0.25">
      <c r="A2702" s="520"/>
    </row>
    <row r="2703" spans="1:1" x14ac:dyDescent="0.25">
      <c r="A2703" s="520"/>
    </row>
    <row r="2704" spans="1:1" x14ac:dyDescent="0.25">
      <c r="A2704" s="520"/>
    </row>
    <row r="2705" spans="1:1" x14ac:dyDescent="0.25">
      <c r="A2705" s="520"/>
    </row>
    <row r="2706" spans="1:1" x14ac:dyDescent="0.25">
      <c r="A2706" s="520"/>
    </row>
    <row r="2707" spans="1:1" x14ac:dyDescent="0.25">
      <c r="A2707" s="520"/>
    </row>
    <row r="2708" spans="1:1" x14ac:dyDescent="0.25">
      <c r="A2708" s="520"/>
    </row>
    <row r="2709" spans="1:1" x14ac:dyDescent="0.25">
      <c r="A2709" s="520"/>
    </row>
    <row r="2710" spans="1:1" x14ac:dyDescent="0.25">
      <c r="A2710" s="520"/>
    </row>
    <row r="2711" spans="1:1" x14ac:dyDescent="0.25">
      <c r="A2711" s="520"/>
    </row>
    <row r="2712" spans="1:1" x14ac:dyDescent="0.25">
      <c r="A2712" s="520"/>
    </row>
    <row r="2713" spans="1:1" x14ac:dyDescent="0.25">
      <c r="A2713" s="520"/>
    </row>
    <row r="2714" spans="1:1" x14ac:dyDescent="0.25">
      <c r="A2714" s="520"/>
    </row>
    <row r="2715" spans="1:1" x14ac:dyDescent="0.25">
      <c r="A2715" s="520"/>
    </row>
    <row r="2716" spans="1:1" x14ac:dyDescent="0.25">
      <c r="A2716" s="520"/>
    </row>
    <row r="2717" spans="1:1" x14ac:dyDescent="0.25">
      <c r="A2717" s="520"/>
    </row>
    <row r="2718" spans="1:1" x14ac:dyDescent="0.25">
      <c r="A2718" s="520"/>
    </row>
    <row r="2719" spans="1:1" x14ac:dyDescent="0.25">
      <c r="A2719" s="520"/>
    </row>
    <row r="2720" spans="1:1" x14ac:dyDescent="0.25">
      <c r="A2720" s="520"/>
    </row>
    <row r="2721" spans="1:1" x14ac:dyDescent="0.25">
      <c r="A2721" s="520"/>
    </row>
    <row r="2722" spans="1:1" x14ac:dyDescent="0.25">
      <c r="A2722" s="520"/>
    </row>
    <row r="2723" spans="1:1" x14ac:dyDescent="0.25">
      <c r="A2723" s="520"/>
    </row>
    <row r="2724" spans="1:1" x14ac:dyDescent="0.25">
      <c r="A2724" s="520"/>
    </row>
    <row r="2725" spans="1:1" x14ac:dyDescent="0.25">
      <c r="A2725" s="520"/>
    </row>
    <row r="2726" spans="1:1" x14ac:dyDescent="0.25">
      <c r="A2726" s="520"/>
    </row>
    <row r="2727" spans="1:1" x14ac:dyDescent="0.25">
      <c r="A2727" s="520"/>
    </row>
    <row r="2728" spans="1:1" x14ac:dyDescent="0.25">
      <c r="A2728" s="520"/>
    </row>
    <row r="2729" spans="1:1" x14ac:dyDescent="0.25">
      <c r="A2729" s="520"/>
    </row>
    <row r="2730" spans="1:1" x14ac:dyDescent="0.25">
      <c r="A2730" s="520"/>
    </row>
    <row r="2731" spans="1:1" x14ac:dyDescent="0.25">
      <c r="A2731" s="520"/>
    </row>
    <row r="2732" spans="1:1" x14ac:dyDescent="0.25">
      <c r="A2732" s="520"/>
    </row>
    <row r="2733" spans="1:1" x14ac:dyDescent="0.25">
      <c r="A2733" s="520"/>
    </row>
    <row r="2734" spans="1:1" x14ac:dyDescent="0.25">
      <c r="A2734" s="520"/>
    </row>
    <row r="2735" spans="1:1" x14ac:dyDescent="0.25">
      <c r="A2735" s="520"/>
    </row>
    <row r="2736" spans="1:1" x14ac:dyDescent="0.25">
      <c r="A2736" s="520"/>
    </row>
    <row r="2737" spans="1:1" x14ac:dyDescent="0.25">
      <c r="A2737" s="520"/>
    </row>
    <row r="2738" spans="1:1" x14ac:dyDescent="0.25">
      <c r="A2738" s="520"/>
    </row>
    <row r="2739" spans="1:1" x14ac:dyDescent="0.25">
      <c r="A2739" s="520"/>
    </row>
    <row r="2740" spans="1:1" x14ac:dyDescent="0.25">
      <c r="A2740" s="520"/>
    </row>
    <row r="2741" spans="1:1" x14ac:dyDescent="0.25">
      <c r="A2741" s="520"/>
    </row>
    <row r="2742" spans="1:1" x14ac:dyDescent="0.25">
      <c r="A2742" s="520"/>
    </row>
    <row r="2743" spans="1:1" x14ac:dyDescent="0.25">
      <c r="A2743" s="520"/>
    </row>
    <row r="2744" spans="1:1" x14ac:dyDescent="0.25">
      <c r="A2744" s="520"/>
    </row>
    <row r="2745" spans="1:1" x14ac:dyDescent="0.25">
      <c r="A2745" s="520"/>
    </row>
    <row r="2746" spans="1:1" x14ac:dyDescent="0.25">
      <c r="A2746" s="520"/>
    </row>
    <row r="2747" spans="1:1" x14ac:dyDescent="0.25">
      <c r="A2747" s="520"/>
    </row>
    <row r="2748" spans="1:1" x14ac:dyDescent="0.25">
      <c r="A2748" s="520"/>
    </row>
    <row r="2749" spans="1:1" x14ac:dyDescent="0.25">
      <c r="A2749" s="520"/>
    </row>
    <row r="2750" spans="1:1" x14ac:dyDescent="0.25">
      <c r="A2750" s="520"/>
    </row>
    <row r="2751" spans="1:1" x14ac:dyDescent="0.25">
      <c r="A2751" s="520"/>
    </row>
    <row r="2752" spans="1:1" x14ac:dyDescent="0.25">
      <c r="A2752" s="520"/>
    </row>
    <row r="2753" spans="1:1" x14ac:dyDescent="0.25">
      <c r="A2753" s="520"/>
    </row>
    <row r="2754" spans="1:1" x14ac:dyDescent="0.25">
      <c r="A2754" s="520"/>
    </row>
    <row r="2755" spans="1:1" x14ac:dyDescent="0.25">
      <c r="A2755" s="520"/>
    </row>
    <row r="2756" spans="1:1" x14ac:dyDescent="0.25">
      <c r="A2756" s="520"/>
    </row>
    <row r="2757" spans="1:1" x14ac:dyDescent="0.25">
      <c r="A2757" s="520"/>
    </row>
    <row r="2758" spans="1:1" x14ac:dyDescent="0.25">
      <c r="A2758" s="520"/>
    </row>
    <row r="2759" spans="1:1" x14ac:dyDescent="0.25">
      <c r="A2759" s="520"/>
    </row>
    <row r="2760" spans="1:1" x14ac:dyDescent="0.25">
      <c r="A2760" s="520"/>
    </row>
    <row r="2761" spans="1:1" x14ac:dyDescent="0.25">
      <c r="A2761" s="520"/>
    </row>
    <row r="2762" spans="1:1" x14ac:dyDescent="0.25">
      <c r="A2762" s="520"/>
    </row>
    <row r="2763" spans="1:1" x14ac:dyDescent="0.25">
      <c r="A2763" s="520"/>
    </row>
    <row r="2764" spans="1:1" x14ac:dyDescent="0.25">
      <c r="A2764" s="520"/>
    </row>
    <row r="2765" spans="1:1" x14ac:dyDescent="0.25">
      <c r="A2765" s="520"/>
    </row>
    <row r="2766" spans="1:1" x14ac:dyDescent="0.25">
      <c r="A2766" s="520"/>
    </row>
    <row r="2767" spans="1:1" x14ac:dyDescent="0.25">
      <c r="A2767" s="520"/>
    </row>
    <row r="2768" spans="1:1" x14ac:dyDescent="0.25">
      <c r="A2768" s="520"/>
    </row>
    <row r="2769" spans="1:1" x14ac:dyDescent="0.25">
      <c r="A2769" s="520"/>
    </row>
    <row r="2770" spans="1:1" x14ac:dyDescent="0.25">
      <c r="A2770" s="520"/>
    </row>
    <row r="2771" spans="1:1" x14ac:dyDescent="0.25">
      <c r="A2771" s="520"/>
    </row>
    <row r="2772" spans="1:1" x14ac:dyDescent="0.25">
      <c r="A2772" s="520"/>
    </row>
    <row r="2773" spans="1:1" x14ac:dyDescent="0.25">
      <c r="A2773" s="520"/>
    </row>
    <row r="2774" spans="1:1" x14ac:dyDescent="0.25">
      <c r="A2774" s="520"/>
    </row>
    <row r="2775" spans="1:1" x14ac:dyDescent="0.25">
      <c r="A2775" s="520"/>
    </row>
    <row r="2776" spans="1:1" x14ac:dyDescent="0.25">
      <c r="A2776" s="520"/>
    </row>
    <row r="2777" spans="1:1" x14ac:dyDescent="0.25">
      <c r="A2777" s="520"/>
    </row>
    <row r="2778" spans="1:1" x14ac:dyDescent="0.25">
      <c r="A2778" s="520"/>
    </row>
    <row r="2779" spans="1:1" x14ac:dyDescent="0.25">
      <c r="A2779" s="520"/>
    </row>
    <row r="2780" spans="1:1" x14ac:dyDescent="0.25">
      <c r="A2780" s="520"/>
    </row>
    <row r="2781" spans="1:1" x14ac:dyDescent="0.25">
      <c r="A2781" s="520"/>
    </row>
    <row r="2782" spans="1:1" x14ac:dyDescent="0.25">
      <c r="A2782" s="520"/>
    </row>
    <row r="2783" spans="1:1" x14ac:dyDescent="0.25">
      <c r="A2783" s="520"/>
    </row>
    <row r="2784" spans="1:1" x14ac:dyDescent="0.25">
      <c r="A2784" s="520"/>
    </row>
    <row r="2785" spans="1:1" x14ac:dyDescent="0.25">
      <c r="A2785" s="520"/>
    </row>
    <row r="2786" spans="1:1" x14ac:dyDescent="0.25">
      <c r="A2786" s="520"/>
    </row>
    <row r="2787" spans="1:1" x14ac:dyDescent="0.25">
      <c r="A2787" s="520"/>
    </row>
    <row r="2788" spans="1:1" x14ac:dyDescent="0.25">
      <c r="A2788" s="520"/>
    </row>
    <row r="2789" spans="1:1" x14ac:dyDescent="0.25">
      <c r="A2789" s="520"/>
    </row>
    <row r="2790" spans="1:1" x14ac:dyDescent="0.25">
      <c r="A2790" s="520"/>
    </row>
    <row r="2791" spans="1:1" x14ac:dyDescent="0.25">
      <c r="A2791" s="520"/>
    </row>
    <row r="2792" spans="1:1" x14ac:dyDescent="0.25">
      <c r="A2792" s="520"/>
    </row>
    <row r="2793" spans="1:1" x14ac:dyDescent="0.25">
      <c r="A2793" s="520"/>
    </row>
    <row r="2794" spans="1:1" x14ac:dyDescent="0.25">
      <c r="A2794" s="520"/>
    </row>
    <row r="2795" spans="1:1" x14ac:dyDescent="0.25">
      <c r="A2795" s="520"/>
    </row>
    <row r="2796" spans="1:1" x14ac:dyDescent="0.25">
      <c r="A2796" s="520"/>
    </row>
    <row r="2797" spans="1:1" x14ac:dyDescent="0.25">
      <c r="A2797" s="520"/>
    </row>
    <row r="2798" spans="1:1" x14ac:dyDescent="0.25">
      <c r="A2798" s="520"/>
    </row>
    <row r="2799" spans="1:1" x14ac:dyDescent="0.25">
      <c r="A2799" s="520"/>
    </row>
    <row r="2800" spans="1:1" x14ac:dyDescent="0.25">
      <c r="A2800" s="520"/>
    </row>
    <row r="2801" spans="1:1" x14ac:dyDescent="0.25">
      <c r="A2801" s="520"/>
    </row>
    <row r="2802" spans="1:1" x14ac:dyDescent="0.25">
      <c r="A2802" s="520"/>
    </row>
    <row r="2803" spans="1:1" x14ac:dyDescent="0.25">
      <c r="A2803" s="520"/>
    </row>
    <row r="2804" spans="1:1" x14ac:dyDescent="0.25">
      <c r="A2804" s="520"/>
    </row>
    <row r="2805" spans="1:1" x14ac:dyDescent="0.25">
      <c r="A2805" s="520"/>
    </row>
    <row r="2806" spans="1:1" x14ac:dyDescent="0.25">
      <c r="A2806" s="520"/>
    </row>
    <row r="2807" spans="1:1" x14ac:dyDescent="0.25">
      <c r="A2807" s="520"/>
    </row>
    <row r="2808" spans="1:1" x14ac:dyDescent="0.25">
      <c r="A2808" s="520"/>
    </row>
    <row r="2809" spans="1:1" x14ac:dyDescent="0.25">
      <c r="A2809" s="520"/>
    </row>
    <row r="2810" spans="1:1" x14ac:dyDescent="0.25">
      <c r="A2810" s="520"/>
    </row>
    <row r="2811" spans="1:1" x14ac:dyDescent="0.25">
      <c r="A2811" s="520"/>
    </row>
    <row r="2812" spans="1:1" x14ac:dyDescent="0.25">
      <c r="A2812" s="520"/>
    </row>
    <row r="2813" spans="1:1" x14ac:dyDescent="0.25">
      <c r="A2813" s="520"/>
    </row>
    <row r="2814" spans="1:1" x14ac:dyDescent="0.25">
      <c r="A2814" s="520"/>
    </row>
    <row r="2815" spans="1:1" x14ac:dyDescent="0.25">
      <c r="A2815" s="520"/>
    </row>
    <row r="2816" spans="1:1" x14ac:dyDescent="0.25">
      <c r="A2816" s="520"/>
    </row>
    <row r="2817" spans="1:1" x14ac:dyDescent="0.25">
      <c r="A2817" s="520"/>
    </row>
    <row r="2818" spans="1:1" x14ac:dyDescent="0.25">
      <c r="A2818" s="520"/>
    </row>
    <row r="2819" spans="1:1" x14ac:dyDescent="0.25">
      <c r="A2819" s="520"/>
    </row>
    <row r="2820" spans="1:1" x14ac:dyDescent="0.25">
      <c r="A2820" s="520"/>
    </row>
    <row r="2821" spans="1:1" x14ac:dyDescent="0.25">
      <c r="A2821" s="520"/>
    </row>
    <row r="2822" spans="1:1" x14ac:dyDescent="0.25">
      <c r="A2822" s="520"/>
    </row>
    <row r="2823" spans="1:1" x14ac:dyDescent="0.25">
      <c r="A2823" s="520"/>
    </row>
    <row r="2824" spans="1:1" x14ac:dyDescent="0.25">
      <c r="A2824" s="520"/>
    </row>
    <row r="2825" spans="1:1" x14ac:dyDescent="0.25">
      <c r="A2825" s="520"/>
    </row>
    <row r="2826" spans="1:1" x14ac:dyDescent="0.25">
      <c r="A2826" s="520"/>
    </row>
    <row r="2827" spans="1:1" x14ac:dyDescent="0.25">
      <c r="A2827" s="520"/>
    </row>
    <row r="2828" spans="1:1" x14ac:dyDescent="0.25">
      <c r="A2828" s="520"/>
    </row>
    <row r="2829" spans="1:1" x14ac:dyDescent="0.25">
      <c r="A2829" s="520"/>
    </row>
    <row r="2830" spans="1:1" x14ac:dyDescent="0.25">
      <c r="A2830" s="520"/>
    </row>
    <row r="2831" spans="1:1" x14ac:dyDescent="0.25">
      <c r="A2831" s="520"/>
    </row>
    <row r="2832" spans="1:1" x14ac:dyDescent="0.25">
      <c r="A2832" s="520"/>
    </row>
    <row r="2833" spans="1:1" x14ac:dyDescent="0.25">
      <c r="A2833" s="520"/>
    </row>
    <row r="2834" spans="1:1" x14ac:dyDescent="0.25">
      <c r="A2834" s="520"/>
    </row>
    <row r="2835" spans="1:1" x14ac:dyDescent="0.25">
      <c r="A2835" s="520"/>
    </row>
    <row r="2836" spans="1:1" x14ac:dyDescent="0.25">
      <c r="A2836" s="520"/>
    </row>
    <row r="2837" spans="1:1" x14ac:dyDescent="0.25">
      <c r="A2837" s="520"/>
    </row>
    <row r="2838" spans="1:1" x14ac:dyDescent="0.25">
      <c r="A2838" s="520"/>
    </row>
    <row r="2839" spans="1:1" x14ac:dyDescent="0.25">
      <c r="A2839" s="520"/>
    </row>
    <row r="2840" spans="1:1" x14ac:dyDescent="0.25">
      <c r="A2840" s="520"/>
    </row>
    <row r="2841" spans="1:1" x14ac:dyDescent="0.25">
      <c r="A2841" s="520"/>
    </row>
    <row r="2842" spans="1:1" x14ac:dyDescent="0.25">
      <c r="A2842" s="520"/>
    </row>
    <row r="2843" spans="1:1" x14ac:dyDescent="0.25">
      <c r="A2843" s="520"/>
    </row>
    <row r="2844" spans="1:1" x14ac:dyDescent="0.25">
      <c r="A2844" s="520"/>
    </row>
    <row r="2845" spans="1:1" x14ac:dyDescent="0.25">
      <c r="A2845" s="520"/>
    </row>
    <row r="2846" spans="1:1" x14ac:dyDescent="0.25">
      <c r="A2846" s="520"/>
    </row>
    <row r="2847" spans="1:1" x14ac:dyDescent="0.25">
      <c r="A2847" s="520"/>
    </row>
    <row r="2848" spans="1:1" x14ac:dyDescent="0.25">
      <c r="A2848" s="520"/>
    </row>
    <row r="2849" spans="1:1" x14ac:dyDescent="0.25">
      <c r="A2849" s="520"/>
    </row>
    <row r="2850" spans="1:1" x14ac:dyDescent="0.25">
      <c r="A2850" s="520"/>
    </row>
    <row r="2851" spans="1:1" x14ac:dyDescent="0.25">
      <c r="A2851" s="520"/>
    </row>
    <row r="2852" spans="1:1" x14ac:dyDescent="0.25">
      <c r="A2852" s="520"/>
    </row>
    <row r="2853" spans="1:1" x14ac:dyDescent="0.25">
      <c r="A2853" s="520"/>
    </row>
    <row r="2854" spans="1:1" x14ac:dyDescent="0.25">
      <c r="A2854" s="520"/>
    </row>
    <row r="2855" spans="1:1" x14ac:dyDescent="0.25">
      <c r="A2855" s="520"/>
    </row>
    <row r="2856" spans="1:1" x14ac:dyDescent="0.25">
      <c r="A2856" s="520"/>
    </row>
    <row r="2857" spans="1:1" x14ac:dyDescent="0.25">
      <c r="A2857" s="520"/>
    </row>
    <row r="2858" spans="1:1" x14ac:dyDescent="0.25">
      <c r="A2858" s="520"/>
    </row>
    <row r="2859" spans="1:1" x14ac:dyDescent="0.25">
      <c r="A2859" s="520"/>
    </row>
    <row r="2860" spans="1:1" x14ac:dyDescent="0.25">
      <c r="A2860" s="520"/>
    </row>
    <row r="2861" spans="1:1" x14ac:dyDescent="0.25">
      <c r="A2861" s="520"/>
    </row>
    <row r="2862" spans="1:1" x14ac:dyDescent="0.25">
      <c r="A2862" s="520"/>
    </row>
    <row r="2863" spans="1:1" x14ac:dyDescent="0.25">
      <c r="A2863" s="520"/>
    </row>
    <row r="2864" spans="1:1" x14ac:dyDescent="0.25">
      <c r="A2864" s="520"/>
    </row>
    <row r="2865" spans="1:1" x14ac:dyDescent="0.25">
      <c r="A2865" s="520"/>
    </row>
    <row r="2866" spans="1:1" x14ac:dyDescent="0.25">
      <c r="A2866" s="520"/>
    </row>
    <row r="2867" spans="1:1" x14ac:dyDescent="0.25">
      <c r="A2867" s="520"/>
    </row>
    <row r="2868" spans="1:1" x14ac:dyDescent="0.25">
      <c r="A2868" s="520"/>
    </row>
    <row r="2869" spans="1:1" x14ac:dyDescent="0.25">
      <c r="A2869" s="520"/>
    </row>
    <row r="2870" spans="1:1" x14ac:dyDescent="0.25">
      <c r="A2870" s="520"/>
    </row>
    <row r="2871" spans="1:1" x14ac:dyDescent="0.25">
      <c r="A2871" s="520"/>
    </row>
    <row r="2872" spans="1:1" x14ac:dyDescent="0.25">
      <c r="A2872" s="520"/>
    </row>
    <row r="2873" spans="1:1" x14ac:dyDescent="0.25">
      <c r="A2873" s="520"/>
    </row>
    <row r="2874" spans="1:1" x14ac:dyDescent="0.25">
      <c r="A2874" s="520"/>
    </row>
    <row r="2875" spans="1:1" x14ac:dyDescent="0.25">
      <c r="A2875" s="520"/>
    </row>
    <row r="2876" spans="1:1" x14ac:dyDescent="0.25">
      <c r="A2876" s="520"/>
    </row>
    <row r="2877" spans="1:1" x14ac:dyDescent="0.25">
      <c r="A2877" s="520"/>
    </row>
    <row r="2878" spans="1:1" x14ac:dyDescent="0.25">
      <c r="A2878" s="520"/>
    </row>
    <row r="2879" spans="1:1" x14ac:dyDescent="0.25">
      <c r="A2879" s="520"/>
    </row>
    <row r="2880" spans="1:1" x14ac:dyDescent="0.25">
      <c r="A2880" s="520"/>
    </row>
    <row r="2881" spans="1:1" x14ac:dyDescent="0.25">
      <c r="A2881" s="520"/>
    </row>
    <row r="2882" spans="1:1" x14ac:dyDescent="0.25">
      <c r="A2882" s="520"/>
    </row>
    <row r="2883" spans="1:1" x14ac:dyDescent="0.25">
      <c r="A2883" s="520"/>
    </row>
    <row r="2884" spans="1:1" x14ac:dyDescent="0.25">
      <c r="A2884" s="520"/>
    </row>
    <row r="2885" spans="1:1" x14ac:dyDescent="0.25">
      <c r="A2885" s="520"/>
    </row>
    <row r="2886" spans="1:1" x14ac:dyDescent="0.25">
      <c r="A2886" s="520"/>
    </row>
    <row r="2887" spans="1:1" x14ac:dyDescent="0.25">
      <c r="A2887" s="520"/>
    </row>
    <row r="2888" spans="1:1" x14ac:dyDescent="0.25">
      <c r="A2888" s="520"/>
    </row>
    <row r="2889" spans="1:1" x14ac:dyDescent="0.25">
      <c r="A2889" s="520"/>
    </row>
    <row r="2890" spans="1:1" x14ac:dyDescent="0.25">
      <c r="A2890" s="520"/>
    </row>
    <row r="2891" spans="1:1" x14ac:dyDescent="0.25">
      <c r="A2891" s="520"/>
    </row>
    <row r="2892" spans="1:1" x14ac:dyDescent="0.25">
      <c r="A2892" s="520"/>
    </row>
    <row r="2893" spans="1:1" x14ac:dyDescent="0.25">
      <c r="A2893" s="520"/>
    </row>
    <row r="2894" spans="1:1" x14ac:dyDescent="0.25">
      <c r="A2894" s="520"/>
    </row>
    <row r="2895" spans="1:1" x14ac:dyDescent="0.25">
      <c r="A2895" s="520"/>
    </row>
    <row r="2896" spans="1:1" x14ac:dyDescent="0.25">
      <c r="A2896" s="520"/>
    </row>
    <row r="2897" spans="1:1" x14ac:dyDescent="0.25">
      <c r="A2897" s="520"/>
    </row>
    <row r="2898" spans="1:1" x14ac:dyDescent="0.25">
      <c r="A2898" s="520"/>
    </row>
    <row r="2899" spans="1:1" x14ac:dyDescent="0.25">
      <c r="A2899" s="520"/>
    </row>
    <row r="2900" spans="1:1" x14ac:dyDescent="0.25">
      <c r="A2900" s="520"/>
    </row>
    <row r="2901" spans="1:1" x14ac:dyDescent="0.25">
      <c r="A2901" s="520"/>
    </row>
    <row r="2902" spans="1:1" x14ac:dyDescent="0.25">
      <c r="A2902" s="520"/>
    </row>
    <row r="2903" spans="1:1" x14ac:dyDescent="0.25">
      <c r="A2903" s="520"/>
    </row>
    <row r="2904" spans="1:1" x14ac:dyDescent="0.25">
      <c r="A2904" s="520"/>
    </row>
    <row r="2905" spans="1:1" x14ac:dyDescent="0.25">
      <c r="A2905" s="520"/>
    </row>
    <row r="2906" spans="1:1" x14ac:dyDescent="0.25">
      <c r="A2906" s="520"/>
    </row>
    <row r="2907" spans="1:1" x14ac:dyDescent="0.25">
      <c r="A2907" s="520"/>
    </row>
    <row r="2908" spans="1:1" x14ac:dyDescent="0.25">
      <c r="A2908" s="520"/>
    </row>
    <row r="2909" spans="1:1" x14ac:dyDescent="0.25">
      <c r="A2909" s="520"/>
    </row>
    <row r="2910" spans="1:1" x14ac:dyDescent="0.25">
      <c r="A2910" s="520"/>
    </row>
    <row r="2911" spans="1:1" x14ac:dyDescent="0.25">
      <c r="A2911" s="520"/>
    </row>
    <row r="2912" spans="1:1" x14ac:dyDescent="0.25">
      <c r="A2912" s="520"/>
    </row>
    <row r="2913" spans="1:1" x14ac:dyDescent="0.25">
      <c r="A2913" s="520"/>
    </row>
    <row r="2914" spans="1:1" x14ac:dyDescent="0.25">
      <c r="A2914" s="520"/>
    </row>
    <row r="2915" spans="1:1" x14ac:dyDescent="0.25">
      <c r="A2915" s="520"/>
    </row>
    <row r="2916" spans="1:1" x14ac:dyDescent="0.25">
      <c r="A2916" s="520"/>
    </row>
    <row r="2917" spans="1:1" x14ac:dyDescent="0.25">
      <c r="A2917" s="520"/>
    </row>
    <row r="2918" spans="1:1" x14ac:dyDescent="0.25">
      <c r="A2918" s="520"/>
    </row>
    <row r="2919" spans="1:1" x14ac:dyDescent="0.25">
      <c r="A2919" s="520"/>
    </row>
    <row r="2920" spans="1:1" x14ac:dyDescent="0.25">
      <c r="A2920" s="520"/>
    </row>
    <row r="2921" spans="1:1" x14ac:dyDescent="0.25">
      <c r="A2921" s="520"/>
    </row>
    <row r="2922" spans="1:1" x14ac:dyDescent="0.25">
      <c r="A2922" s="520"/>
    </row>
    <row r="2923" spans="1:1" x14ac:dyDescent="0.25">
      <c r="A2923" s="520"/>
    </row>
    <row r="2924" spans="1:1" x14ac:dyDescent="0.25">
      <c r="A2924" s="520"/>
    </row>
    <row r="2925" spans="1:1" x14ac:dyDescent="0.25">
      <c r="A2925" s="520"/>
    </row>
    <row r="2926" spans="1:1" x14ac:dyDescent="0.25">
      <c r="A2926" s="520"/>
    </row>
    <row r="2927" spans="1:1" x14ac:dyDescent="0.25">
      <c r="A2927" s="520"/>
    </row>
    <row r="2928" spans="1:1" x14ac:dyDescent="0.25">
      <c r="A2928" s="520"/>
    </row>
    <row r="2929" spans="1:1" x14ac:dyDescent="0.25">
      <c r="A2929" s="520"/>
    </row>
    <row r="2930" spans="1:1" x14ac:dyDescent="0.25">
      <c r="A2930" s="520"/>
    </row>
    <row r="2931" spans="1:1" x14ac:dyDescent="0.25">
      <c r="A2931" s="520"/>
    </row>
    <row r="2932" spans="1:1" x14ac:dyDescent="0.25">
      <c r="A2932" s="520"/>
    </row>
    <row r="2933" spans="1:1" x14ac:dyDescent="0.25">
      <c r="A2933" s="520"/>
    </row>
    <row r="2934" spans="1:1" x14ac:dyDescent="0.25">
      <c r="A2934" s="520"/>
    </row>
    <row r="2935" spans="1:1" x14ac:dyDescent="0.25">
      <c r="A2935" s="520"/>
    </row>
    <row r="2936" spans="1:1" x14ac:dyDescent="0.25">
      <c r="A2936" s="520"/>
    </row>
    <row r="2937" spans="1:1" x14ac:dyDescent="0.25">
      <c r="A2937" s="520"/>
    </row>
    <row r="2938" spans="1:1" x14ac:dyDescent="0.25">
      <c r="A2938" s="520"/>
    </row>
    <row r="2939" spans="1:1" x14ac:dyDescent="0.25">
      <c r="A2939" s="520"/>
    </row>
    <row r="2940" spans="1:1" x14ac:dyDescent="0.25">
      <c r="A2940" s="520"/>
    </row>
    <row r="2941" spans="1:1" x14ac:dyDescent="0.25">
      <c r="A2941" s="520"/>
    </row>
    <row r="2942" spans="1:1" x14ac:dyDescent="0.25">
      <c r="A2942" s="520"/>
    </row>
    <row r="2943" spans="1:1" x14ac:dyDescent="0.25">
      <c r="A2943" s="520"/>
    </row>
    <row r="2944" spans="1:1" x14ac:dyDescent="0.25">
      <c r="A2944" s="520"/>
    </row>
    <row r="2945" spans="1:1" x14ac:dyDescent="0.25">
      <c r="A2945" s="520"/>
    </row>
    <row r="2946" spans="1:1" x14ac:dyDescent="0.25">
      <c r="A2946" s="520"/>
    </row>
    <row r="2947" spans="1:1" x14ac:dyDescent="0.25">
      <c r="A2947" s="520"/>
    </row>
    <row r="2948" spans="1:1" x14ac:dyDescent="0.25">
      <c r="A2948" s="520"/>
    </row>
    <row r="2949" spans="1:1" x14ac:dyDescent="0.25">
      <c r="A2949" s="520"/>
    </row>
    <row r="2950" spans="1:1" x14ac:dyDescent="0.25">
      <c r="A2950" s="520"/>
    </row>
    <row r="2951" spans="1:1" x14ac:dyDescent="0.25">
      <c r="A2951" s="520"/>
    </row>
    <row r="2952" spans="1:1" x14ac:dyDescent="0.25">
      <c r="A2952" s="520"/>
    </row>
    <row r="2953" spans="1:1" x14ac:dyDescent="0.25">
      <c r="A2953" s="520"/>
    </row>
    <row r="2954" spans="1:1" x14ac:dyDescent="0.25">
      <c r="A2954" s="520"/>
    </row>
    <row r="2955" spans="1:1" x14ac:dyDescent="0.25">
      <c r="A2955" s="520"/>
    </row>
    <row r="2956" spans="1:1" x14ac:dyDescent="0.25">
      <c r="A2956" s="520"/>
    </row>
    <row r="2957" spans="1:1" x14ac:dyDescent="0.25">
      <c r="A2957" s="520"/>
    </row>
    <row r="2958" spans="1:1" x14ac:dyDescent="0.25">
      <c r="A2958" s="520"/>
    </row>
    <row r="2959" spans="1:1" x14ac:dyDescent="0.25">
      <c r="A2959" s="520"/>
    </row>
    <row r="2960" spans="1:1" x14ac:dyDescent="0.25">
      <c r="A2960" s="520"/>
    </row>
    <row r="2961" spans="1:1" x14ac:dyDescent="0.25">
      <c r="A2961" s="520"/>
    </row>
    <row r="2962" spans="1:1" x14ac:dyDescent="0.25">
      <c r="A2962" s="520"/>
    </row>
    <row r="2963" spans="1:1" x14ac:dyDescent="0.25">
      <c r="A2963" s="520"/>
    </row>
    <row r="2964" spans="1:1" x14ac:dyDescent="0.25">
      <c r="A2964" s="520"/>
    </row>
    <row r="2965" spans="1:1" x14ac:dyDescent="0.25">
      <c r="A2965" s="520"/>
    </row>
    <row r="2966" spans="1:1" x14ac:dyDescent="0.25">
      <c r="A2966" s="520"/>
    </row>
    <row r="2967" spans="1:1" x14ac:dyDescent="0.25">
      <c r="A2967" s="520"/>
    </row>
    <row r="2968" spans="1:1" x14ac:dyDescent="0.25">
      <c r="A2968" s="520"/>
    </row>
    <row r="2969" spans="1:1" x14ac:dyDescent="0.25">
      <c r="A2969" s="520"/>
    </row>
    <row r="2970" spans="1:1" x14ac:dyDescent="0.25">
      <c r="A2970" s="520"/>
    </row>
    <row r="2971" spans="1:1" x14ac:dyDescent="0.25">
      <c r="A2971" s="520"/>
    </row>
    <row r="2972" spans="1:1" x14ac:dyDescent="0.25">
      <c r="A2972" s="520"/>
    </row>
    <row r="2973" spans="1:1" x14ac:dyDescent="0.25">
      <c r="A2973" s="520"/>
    </row>
    <row r="2974" spans="1:1" x14ac:dyDescent="0.25">
      <c r="A2974" s="520"/>
    </row>
    <row r="2975" spans="1:1" x14ac:dyDescent="0.25">
      <c r="A2975" s="520"/>
    </row>
    <row r="2976" spans="1:1" x14ac:dyDescent="0.25">
      <c r="A2976" s="520"/>
    </row>
    <row r="2977" spans="1:1" x14ac:dyDescent="0.25">
      <c r="A2977" s="520"/>
    </row>
    <row r="2978" spans="1:1" x14ac:dyDescent="0.25">
      <c r="A2978" s="520"/>
    </row>
    <row r="2979" spans="1:1" x14ac:dyDescent="0.25">
      <c r="A2979" s="520"/>
    </row>
    <row r="2980" spans="1:1" x14ac:dyDescent="0.25">
      <c r="A2980" s="520"/>
    </row>
    <row r="2981" spans="1:1" x14ac:dyDescent="0.25">
      <c r="A2981" s="520"/>
    </row>
    <row r="2982" spans="1:1" x14ac:dyDescent="0.25">
      <c r="A2982" s="520"/>
    </row>
    <row r="2983" spans="1:1" x14ac:dyDescent="0.25">
      <c r="A2983" s="520"/>
    </row>
    <row r="2984" spans="1:1" x14ac:dyDescent="0.25">
      <c r="A2984" s="520"/>
    </row>
    <row r="2985" spans="1:1" x14ac:dyDescent="0.25">
      <c r="A2985" s="520"/>
    </row>
    <row r="2986" spans="1:1" x14ac:dyDescent="0.25">
      <c r="A2986" s="520"/>
    </row>
    <row r="2987" spans="1:1" x14ac:dyDescent="0.25">
      <c r="A2987" s="520"/>
    </row>
    <row r="2988" spans="1:1" x14ac:dyDescent="0.25">
      <c r="A2988" s="520"/>
    </row>
    <row r="2989" spans="1:1" x14ac:dyDescent="0.25">
      <c r="A2989" s="520"/>
    </row>
    <row r="2990" spans="1:1" x14ac:dyDescent="0.25">
      <c r="A2990" s="520"/>
    </row>
    <row r="2991" spans="1:1" x14ac:dyDescent="0.25">
      <c r="A2991" s="520"/>
    </row>
    <row r="2992" spans="1:1" x14ac:dyDescent="0.25">
      <c r="A2992" s="520"/>
    </row>
    <row r="2993" spans="1:1" x14ac:dyDescent="0.25">
      <c r="A2993" s="520"/>
    </row>
    <row r="2994" spans="1:1" x14ac:dyDescent="0.25">
      <c r="A2994" s="520"/>
    </row>
    <row r="2995" spans="1:1" x14ac:dyDescent="0.25">
      <c r="A2995" s="520"/>
    </row>
    <row r="2996" spans="1:1" x14ac:dyDescent="0.25">
      <c r="A2996" s="520"/>
    </row>
    <row r="2997" spans="1:1" x14ac:dyDescent="0.25">
      <c r="A2997" s="520"/>
    </row>
    <row r="2998" spans="1:1" x14ac:dyDescent="0.25">
      <c r="A2998" s="520"/>
    </row>
    <row r="2999" spans="1:1" x14ac:dyDescent="0.25">
      <c r="A2999" s="520"/>
    </row>
    <row r="3000" spans="1:1" x14ac:dyDescent="0.25">
      <c r="A3000" s="520"/>
    </row>
    <row r="3001" spans="1:1" x14ac:dyDescent="0.25">
      <c r="A3001" s="520"/>
    </row>
    <row r="3002" spans="1:1" x14ac:dyDescent="0.25">
      <c r="A3002" s="520"/>
    </row>
    <row r="3003" spans="1:1" x14ac:dyDescent="0.25">
      <c r="A3003" s="520"/>
    </row>
    <row r="3004" spans="1:1" x14ac:dyDescent="0.25">
      <c r="A3004" s="520"/>
    </row>
    <row r="3005" spans="1:1" x14ac:dyDescent="0.25">
      <c r="A3005" s="520"/>
    </row>
    <row r="3006" spans="1:1" x14ac:dyDescent="0.25">
      <c r="A3006" s="520"/>
    </row>
    <row r="3007" spans="1:1" x14ac:dyDescent="0.25">
      <c r="A3007" s="520"/>
    </row>
    <row r="3008" spans="1:1" x14ac:dyDescent="0.25">
      <c r="A3008" s="520"/>
    </row>
    <row r="3009" spans="1:1" x14ac:dyDescent="0.25">
      <c r="A3009" s="520"/>
    </row>
    <row r="3010" spans="1:1" x14ac:dyDescent="0.25">
      <c r="A3010" s="520"/>
    </row>
    <row r="3011" spans="1:1" x14ac:dyDescent="0.25">
      <c r="A3011" s="520"/>
    </row>
    <row r="3012" spans="1:1" x14ac:dyDescent="0.25">
      <c r="A3012" s="520"/>
    </row>
    <row r="3013" spans="1:1" x14ac:dyDescent="0.25">
      <c r="A3013" s="520"/>
    </row>
    <row r="3014" spans="1:1" x14ac:dyDescent="0.25">
      <c r="A3014" s="520"/>
    </row>
    <row r="3015" spans="1:1" x14ac:dyDescent="0.25">
      <c r="A3015" s="520"/>
    </row>
    <row r="3016" spans="1:1" x14ac:dyDescent="0.25">
      <c r="A3016" s="520"/>
    </row>
    <row r="3017" spans="1:1" x14ac:dyDescent="0.25">
      <c r="A3017" s="520"/>
    </row>
    <row r="3018" spans="1:1" x14ac:dyDescent="0.25">
      <c r="A3018" s="520"/>
    </row>
    <row r="3019" spans="1:1" x14ac:dyDescent="0.25">
      <c r="A3019" s="520"/>
    </row>
    <row r="3020" spans="1:1" x14ac:dyDescent="0.25">
      <c r="A3020" s="520"/>
    </row>
    <row r="3021" spans="1:1" x14ac:dyDescent="0.25">
      <c r="A3021" s="520"/>
    </row>
    <row r="3022" spans="1:1" x14ac:dyDescent="0.25">
      <c r="A3022" s="520"/>
    </row>
    <row r="3023" spans="1:1" x14ac:dyDescent="0.25">
      <c r="A3023" s="520"/>
    </row>
    <row r="3024" spans="1:1" x14ac:dyDescent="0.25">
      <c r="A3024" s="520"/>
    </row>
    <row r="3025" spans="1:1" x14ac:dyDescent="0.25">
      <c r="A3025" s="520"/>
    </row>
    <row r="3026" spans="1:1" x14ac:dyDescent="0.25">
      <c r="A3026" s="520"/>
    </row>
    <row r="3027" spans="1:1" x14ac:dyDescent="0.25">
      <c r="A3027" s="520"/>
    </row>
    <row r="3028" spans="1:1" x14ac:dyDescent="0.25">
      <c r="A3028" s="520"/>
    </row>
    <row r="3029" spans="1:1" x14ac:dyDescent="0.25">
      <c r="A3029" s="520"/>
    </row>
    <row r="3030" spans="1:1" x14ac:dyDescent="0.25">
      <c r="A3030" s="520"/>
    </row>
    <row r="3031" spans="1:1" x14ac:dyDescent="0.25">
      <c r="A3031" s="520"/>
    </row>
    <row r="3032" spans="1:1" x14ac:dyDescent="0.25">
      <c r="A3032" s="520"/>
    </row>
    <row r="3033" spans="1:1" x14ac:dyDescent="0.25">
      <c r="A3033" s="520"/>
    </row>
    <row r="3034" spans="1:1" x14ac:dyDescent="0.25">
      <c r="A3034" s="520"/>
    </row>
    <row r="3035" spans="1:1" x14ac:dyDescent="0.25">
      <c r="A3035" s="520"/>
    </row>
    <row r="3036" spans="1:1" x14ac:dyDescent="0.25">
      <c r="A3036" s="520"/>
    </row>
    <row r="3037" spans="1:1" x14ac:dyDescent="0.25">
      <c r="A3037" s="520"/>
    </row>
    <row r="3038" spans="1:1" x14ac:dyDescent="0.25">
      <c r="A3038" s="520"/>
    </row>
    <row r="3039" spans="1:1" x14ac:dyDescent="0.25">
      <c r="A3039" s="520"/>
    </row>
    <row r="3040" spans="1:1" x14ac:dyDescent="0.25">
      <c r="A3040" s="520"/>
    </row>
    <row r="3041" spans="1:1" x14ac:dyDescent="0.25">
      <c r="A3041" s="520"/>
    </row>
    <row r="3042" spans="1:1" x14ac:dyDescent="0.25">
      <c r="A3042" s="520"/>
    </row>
    <row r="3043" spans="1:1" x14ac:dyDescent="0.25">
      <c r="A3043" s="520"/>
    </row>
    <row r="3044" spans="1:1" x14ac:dyDescent="0.25">
      <c r="A3044" s="520"/>
    </row>
    <row r="3045" spans="1:1" x14ac:dyDescent="0.25">
      <c r="A3045" s="520"/>
    </row>
    <row r="3046" spans="1:1" x14ac:dyDescent="0.25">
      <c r="A3046" s="520"/>
    </row>
    <row r="3047" spans="1:1" x14ac:dyDescent="0.25">
      <c r="A3047" s="520"/>
    </row>
    <row r="3048" spans="1:1" x14ac:dyDescent="0.25">
      <c r="A3048" s="520"/>
    </row>
    <row r="3049" spans="1:1" x14ac:dyDescent="0.25">
      <c r="A3049" s="520"/>
    </row>
    <row r="3050" spans="1:1" x14ac:dyDescent="0.25">
      <c r="A3050" s="520"/>
    </row>
    <row r="3051" spans="1:1" x14ac:dyDescent="0.25">
      <c r="A3051" s="520"/>
    </row>
    <row r="3052" spans="1:1" x14ac:dyDescent="0.25">
      <c r="A3052" s="520"/>
    </row>
    <row r="3053" spans="1:1" x14ac:dyDescent="0.25">
      <c r="A3053" s="520"/>
    </row>
    <row r="3054" spans="1:1" x14ac:dyDescent="0.25">
      <c r="A3054" s="520"/>
    </row>
    <row r="3055" spans="1:1" x14ac:dyDescent="0.25">
      <c r="A3055" s="520"/>
    </row>
    <row r="3056" spans="1:1" x14ac:dyDescent="0.25">
      <c r="A3056" s="520"/>
    </row>
    <row r="3057" spans="1:1" x14ac:dyDescent="0.25">
      <c r="A3057" s="520"/>
    </row>
    <row r="3058" spans="1:1" x14ac:dyDescent="0.25">
      <c r="A3058" s="520"/>
    </row>
    <row r="3059" spans="1:1" x14ac:dyDescent="0.25">
      <c r="A3059" s="520"/>
    </row>
    <row r="3060" spans="1:1" x14ac:dyDescent="0.25">
      <c r="A3060" s="520"/>
    </row>
    <row r="3061" spans="1:1" x14ac:dyDescent="0.25">
      <c r="A3061" s="520"/>
    </row>
    <row r="3062" spans="1:1" x14ac:dyDescent="0.25">
      <c r="A3062" s="520"/>
    </row>
    <row r="3063" spans="1:1" x14ac:dyDescent="0.25">
      <c r="A3063" s="520"/>
    </row>
    <row r="3064" spans="1:1" x14ac:dyDescent="0.25">
      <c r="A3064" s="520"/>
    </row>
    <row r="3065" spans="1:1" x14ac:dyDescent="0.25">
      <c r="A3065" s="520"/>
    </row>
    <row r="3066" spans="1:1" x14ac:dyDescent="0.25">
      <c r="A3066" s="520"/>
    </row>
    <row r="3067" spans="1:1" x14ac:dyDescent="0.25">
      <c r="A3067" s="520"/>
    </row>
    <row r="3068" spans="1:1" x14ac:dyDescent="0.25">
      <c r="A3068" s="520"/>
    </row>
    <row r="3069" spans="1:1" x14ac:dyDescent="0.25">
      <c r="A3069" s="520"/>
    </row>
    <row r="3070" spans="1:1" x14ac:dyDescent="0.25">
      <c r="A3070" s="520"/>
    </row>
    <row r="3071" spans="1:1" x14ac:dyDescent="0.25">
      <c r="A3071" s="520"/>
    </row>
    <row r="3072" spans="1:1" x14ac:dyDescent="0.25">
      <c r="A3072" s="520"/>
    </row>
    <row r="3073" spans="1:1" x14ac:dyDescent="0.25">
      <c r="A3073" s="520"/>
    </row>
    <row r="3074" spans="1:1" x14ac:dyDescent="0.25">
      <c r="A3074" s="520"/>
    </row>
    <row r="3075" spans="1:1" x14ac:dyDescent="0.25">
      <c r="A3075" s="520"/>
    </row>
    <row r="3076" spans="1:1" x14ac:dyDescent="0.25">
      <c r="A3076" s="520"/>
    </row>
    <row r="3077" spans="1:1" x14ac:dyDescent="0.25">
      <c r="A3077" s="520"/>
    </row>
    <row r="3078" spans="1:1" x14ac:dyDescent="0.25">
      <c r="A3078" s="520"/>
    </row>
    <row r="3079" spans="1:1" x14ac:dyDescent="0.25">
      <c r="A3079" s="520"/>
    </row>
    <row r="3080" spans="1:1" x14ac:dyDescent="0.25">
      <c r="A3080" s="520"/>
    </row>
    <row r="3081" spans="1:1" x14ac:dyDescent="0.25">
      <c r="A3081" s="520"/>
    </row>
    <row r="3082" spans="1:1" x14ac:dyDescent="0.25">
      <c r="A3082" s="520"/>
    </row>
    <row r="3083" spans="1:1" x14ac:dyDescent="0.25">
      <c r="A3083" s="520"/>
    </row>
    <row r="3084" spans="1:1" x14ac:dyDescent="0.25">
      <c r="A3084" s="520"/>
    </row>
    <row r="3085" spans="1:1" x14ac:dyDescent="0.25">
      <c r="A3085" s="520"/>
    </row>
    <row r="3086" spans="1:1" x14ac:dyDescent="0.25">
      <c r="A3086" s="520"/>
    </row>
    <row r="3087" spans="1:1" x14ac:dyDescent="0.25">
      <c r="A3087" s="520"/>
    </row>
    <row r="3088" spans="1:1" x14ac:dyDescent="0.25">
      <c r="A3088" s="520"/>
    </row>
    <row r="3089" spans="1:1" x14ac:dyDescent="0.25">
      <c r="A3089" s="520"/>
    </row>
    <row r="3090" spans="1:1" x14ac:dyDescent="0.25">
      <c r="A3090" s="520"/>
    </row>
    <row r="3091" spans="1:1" x14ac:dyDescent="0.25">
      <c r="A3091" s="520"/>
    </row>
    <row r="3092" spans="1:1" x14ac:dyDescent="0.25">
      <c r="A3092" s="520"/>
    </row>
    <row r="3093" spans="1:1" x14ac:dyDescent="0.25">
      <c r="A3093" s="520"/>
    </row>
    <row r="3094" spans="1:1" x14ac:dyDescent="0.25">
      <c r="A3094" s="520"/>
    </row>
    <row r="3095" spans="1:1" x14ac:dyDescent="0.25">
      <c r="A3095" s="520"/>
    </row>
    <row r="3096" spans="1:1" x14ac:dyDescent="0.25">
      <c r="A3096" s="520"/>
    </row>
    <row r="3097" spans="1:1" x14ac:dyDescent="0.25">
      <c r="A3097" s="520"/>
    </row>
    <row r="3098" spans="1:1" x14ac:dyDescent="0.25">
      <c r="A3098" s="520"/>
    </row>
    <row r="3099" spans="1:1" x14ac:dyDescent="0.25">
      <c r="A3099" s="520"/>
    </row>
    <row r="3100" spans="1:1" x14ac:dyDescent="0.25">
      <c r="A3100" s="520"/>
    </row>
    <row r="3101" spans="1:1" x14ac:dyDescent="0.25">
      <c r="A3101" s="520"/>
    </row>
    <row r="3102" spans="1:1" x14ac:dyDescent="0.25">
      <c r="A3102" s="520"/>
    </row>
    <row r="3103" spans="1:1" x14ac:dyDescent="0.25">
      <c r="A3103" s="520"/>
    </row>
    <row r="3104" spans="1:1" x14ac:dyDescent="0.25">
      <c r="A3104" s="520"/>
    </row>
    <row r="3105" spans="1:1" x14ac:dyDescent="0.25">
      <c r="A3105" s="520"/>
    </row>
    <row r="3106" spans="1:1" x14ac:dyDescent="0.25">
      <c r="A3106" s="520"/>
    </row>
    <row r="3107" spans="1:1" x14ac:dyDescent="0.25">
      <c r="A3107" s="520"/>
    </row>
    <row r="3108" spans="1:1" x14ac:dyDescent="0.25">
      <c r="A3108" s="520"/>
    </row>
    <row r="3109" spans="1:1" x14ac:dyDescent="0.25">
      <c r="A3109" s="520"/>
    </row>
    <row r="3110" spans="1:1" x14ac:dyDescent="0.25">
      <c r="A3110" s="520"/>
    </row>
    <row r="3111" spans="1:1" x14ac:dyDescent="0.25">
      <c r="A3111" s="520"/>
    </row>
    <row r="3112" spans="1:1" x14ac:dyDescent="0.25">
      <c r="A3112" s="520"/>
    </row>
    <row r="3113" spans="1:1" x14ac:dyDescent="0.25">
      <c r="A3113" s="520"/>
    </row>
    <row r="3114" spans="1:1" x14ac:dyDescent="0.25">
      <c r="A3114" s="520"/>
    </row>
    <row r="3115" spans="1:1" x14ac:dyDescent="0.25">
      <c r="A3115" s="520"/>
    </row>
    <row r="3116" spans="1:1" x14ac:dyDescent="0.25">
      <c r="A3116" s="520"/>
    </row>
    <row r="3117" spans="1:1" x14ac:dyDescent="0.25">
      <c r="A3117" s="520"/>
    </row>
    <row r="3118" spans="1:1" x14ac:dyDescent="0.25">
      <c r="A3118" s="520"/>
    </row>
    <row r="3119" spans="1:1" x14ac:dyDescent="0.25">
      <c r="A3119" s="520"/>
    </row>
    <row r="3120" spans="1:1" x14ac:dyDescent="0.25">
      <c r="A3120" s="520"/>
    </row>
    <row r="3121" spans="1:1" x14ac:dyDescent="0.25">
      <c r="A3121" s="520"/>
    </row>
    <row r="3122" spans="1:1" x14ac:dyDescent="0.25">
      <c r="A3122" s="520"/>
    </row>
    <row r="3123" spans="1:1" x14ac:dyDescent="0.25">
      <c r="A3123" s="520"/>
    </row>
    <row r="3124" spans="1:1" x14ac:dyDescent="0.25">
      <c r="A3124" s="520"/>
    </row>
    <row r="3125" spans="1:1" x14ac:dyDescent="0.25">
      <c r="A3125" s="520"/>
    </row>
    <row r="3126" spans="1:1" x14ac:dyDescent="0.25">
      <c r="A3126" s="520"/>
    </row>
    <row r="3127" spans="1:1" x14ac:dyDescent="0.25">
      <c r="A3127" s="520"/>
    </row>
    <row r="3128" spans="1:1" x14ac:dyDescent="0.25">
      <c r="A3128" s="520"/>
    </row>
    <row r="3129" spans="1:1" x14ac:dyDescent="0.25">
      <c r="A3129" s="520"/>
    </row>
    <row r="3130" spans="1:1" x14ac:dyDescent="0.25">
      <c r="A3130" s="520"/>
    </row>
    <row r="3131" spans="1:1" x14ac:dyDescent="0.25">
      <c r="A3131" s="520"/>
    </row>
    <row r="3132" spans="1:1" x14ac:dyDescent="0.25">
      <c r="A3132" s="520"/>
    </row>
    <row r="3133" spans="1:1" x14ac:dyDescent="0.25">
      <c r="A3133" s="520"/>
    </row>
    <row r="3134" spans="1:1" x14ac:dyDescent="0.25">
      <c r="A3134" s="520"/>
    </row>
    <row r="3135" spans="1:1" x14ac:dyDescent="0.25">
      <c r="A3135" s="520"/>
    </row>
    <row r="3136" spans="1:1" x14ac:dyDescent="0.25">
      <c r="A3136" s="520"/>
    </row>
    <row r="3137" spans="1:1" x14ac:dyDescent="0.25">
      <c r="A3137" s="520"/>
    </row>
    <row r="3138" spans="1:1" x14ac:dyDescent="0.25">
      <c r="A3138" s="520"/>
    </row>
    <row r="3139" spans="1:1" x14ac:dyDescent="0.25">
      <c r="A3139" s="520"/>
    </row>
    <row r="3140" spans="1:1" x14ac:dyDescent="0.25">
      <c r="A3140" s="520"/>
    </row>
    <row r="3141" spans="1:1" x14ac:dyDescent="0.25">
      <c r="A3141" s="520"/>
    </row>
    <row r="3142" spans="1:1" x14ac:dyDescent="0.25">
      <c r="A3142" s="520"/>
    </row>
    <row r="3143" spans="1:1" x14ac:dyDescent="0.25">
      <c r="A3143" s="520"/>
    </row>
    <row r="3144" spans="1:1" x14ac:dyDescent="0.25">
      <c r="A3144" s="520"/>
    </row>
    <row r="3145" spans="1:1" x14ac:dyDescent="0.25">
      <c r="A3145" s="520"/>
    </row>
    <row r="3146" spans="1:1" x14ac:dyDescent="0.25">
      <c r="A3146" s="520"/>
    </row>
    <row r="3147" spans="1:1" x14ac:dyDescent="0.25">
      <c r="A3147" s="520"/>
    </row>
    <row r="3148" spans="1:1" x14ac:dyDescent="0.25">
      <c r="A3148" s="520"/>
    </row>
    <row r="3149" spans="1:1" x14ac:dyDescent="0.25">
      <c r="A3149" s="520"/>
    </row>
    <row r="3150" spans="1:1" x14ac:dyDescent="0.25">
      <c r="A3150" s="520"/>
    </row>
    <row r="3151" spans="1:1" x14ac:dyDescent="0.25">
      <c r="A3151" s="520"/>
    </row>
    <row r="3152" spans="1:1" x14ac:dyDescent="0.25">
      <c r="A3152" s="520"/>
    </row>
    <row r="3153" spans="1:1" x14ac:dyDescent="0.25">
      <c r="A3153" s="520"/>
    </row>
    <row r="3154" spans="1:1" x14ac:dyDescent="0.25">
      <c r="A3154" s="520"/>
    </row>
    <row r="3155" spans="1:1" x14ac:dyDescent="0.25">
      <c r="A3155" s="520"/>
    </row>
    <row r="3156" spans="1:1" x14ac:dyDescent="0.25">
      <c r="A3156" s="520"/>
    </row>
    <row r="3157" spans="1:1" x14ac:dyDescent="0.25">
      <c r="A3157" s="520"/>
    </row>
    <row r="3158" spans="1:1" x14ac:dyDescent="0.25">
      <c r="A3158" s="520"/>
    </row>
    <row r="3159" spans="1:1" x14ac:dyDescent="0.25">
      <c r="A3159" s="520"/>
    </row>
    <row r="3160" spans="1:1" x14ac:dyDescent="0.25">
      <c r="A3160" s="520"/>
    </row>
    <row r="3161" spans="1:1" x14ac:dyDescent="0.25">
      <c r="A3161" s="520"/>
    </row>
    <row r="3162" spans="1:1" x14ac:dyDescent="0.25">
      <c r="A3162" s="520"/>
    </row>
    <row r="3163" spans="1:1" x14ac:dyDescent="0.25">
      <c r="A3163" s="520"/>
    </row>
    <row r="3164" spans="1:1" x14ac:dyDescent="0.25">
      <c r="A3164" s="520"/>
    </row>
    <row r="3165" spans="1:1" x14ac:dyDescent="0.25">
      <c r="A3165" s="520"/>
    </row>
    <row r="3166" spans="1:1" x14ac:dyDescent="0.25">
      <c r="A3166" s="520"/>
    </row>
    <row r="3167" spans="1:1" x14ac:dyDescent="0.25">
      <c r="A3167" s="520"/>
    </row>
    <row r="3168" spans="1:1" x14ac:dyDescent="0.25">
      <c r="A3168" s="520"/>
    </row>
    <row r="3169" spans="1:1" x14ac:dyDescent="0.25">
      <c r="A3169" s="520"/>
    </row>
    <row r="3170" spans="1:1" x14ac:dyDescent="0.25">
      <c r="A3170" s="520"/>
    </row>
    <row r="3171" spans="1:1" x14ac:dyDescent="0.25">
      <c r="A3171" s="520"/>
    </row>
    <row r="3172" spans="1:1" x14ac:dyDescent="0.25">
      <c r="A3172" s="520"/>
    </row>
    <row r="3173" spans="1:1" x14ac:dyDescent="0.25">
      <c r="A3173" s="520"/>
    </row>
    <row r="3174" spans="1:1" x14ac:dyDescent="0.25">
      <c r="A3174" s="520"/>
    </row>
    <row r="3175" spans="1:1" x14ac:dyDescent="0.25">
      <c r="A3175" s="520"/>
    </row>
    <row r="3176" spans="1:1" x14ac:dyDescent="0.25">
      <c r="A3176" s="520"/>
    </row>
    <row r="3177" spans="1:1" x14ac:dyDescent="0.25">
      <c r="A3177" s="520"/>
    </row>
    <row r="3178" spans="1:1" x14ac:dyDescent="0.25">
      <c r="A3178" s="520"/>
    </row>
    <row r="3179" spans="1:1" x14ac:dyDescent="0.25">
      <c r="A3179" s="520"/>
    </row>
    <row r="3180" spans="1:1" x14ac:dyDescent="0.25">
      <c r="A3180" s="520"/>
    </row>
    <row r="3181" spans="1:1" x14ac:dyDescent="0.25">
      <c r="A3181" s="520"/>
    </row>
    <row r="3182" spans="1:1" x14ac:dyDescent="0.25">
      <c r="A3182" s="520"/>
    </row>
    <row r="3183" spans="1:1" x14ac:dyDescent="0.25">
      <c r="A3183" s="520"/>
    </row>
    <row r="3184" spans="1:1" x14ac:dyDescent="0.25">
      <c r="A3184" s="520"/>
    </row>
    <row r="3185" spans="1:1" x14ac:dyDescent="0.25">
      <c r="A3185" s="520"/>
    </row>
    <row r="3186" spans="1:1" x14ac:dyDescent="0.25">
      <c r="A3186" s="520"/>
    </row>
    <row r="3187" spans="1:1" x14ac:dyDescent="0.25">
      <c r="A3187" s="520"/>
    </row>
    <row r="3188" spans="1:1" x14ac:dyDescent="0.25">
      <c r="A3188" s="520"/>
    </row>
    <row r="3189" spans="1:1" x14ac:dyDescent="0.25">
      <c r="A3189" s="520"/>
    </row>
    <row r="3190" spans="1:1" x14ac:dyDescent="0.25">
      <c r="A3190" s="520"/>
    </row>
    <row r="3191" spans="1:1" x14ac:dyDescent="0.25">
      <c r="A3191" s="520"/>
    </row>
    <row r="3192" spans="1:1" x14ac:dyDescent="0.25">
      <c r="A3192" s="520"/>
    </row>
    <row r="3193" spans="1:1" x14ac:dyDescent="0.25">
      <c r="A3193" s="520"/>
    </row>
    <row r="3194" spans="1:1" x14ac:dyDescent="0.25">
      <c r="A3194" s="520"/>
    </row>
    <row r="3195" spans="1:1" x14ac:dyDescent="0.25">
      <c r="A3195" s="520"/>
    </row>
    <row r="3196" spans="1:1" x14ac:dyDescent="0.25">
      <c r="A3196" s="520"/>
    </row>
    <row r="3197" spans="1:1" x14ac:dyDescent="0.25">
      <c r="A3197" s="520"/>
    </row>
    <row r="3198" spans="1:1" x14ac:dyDescent="0.25">
      <c r="A3198" s="520"/>
    </row>
    <row r="3199" spans="1:1" x14ac:dyDescent="0.25">
      <c r="A3199" s="520"/>
    </row>
    <row r="3200" spans="1:1" x14ac:dyDescent="0.25">
      <c r="A3200" s="520"/>
    </row>
    <row r="3201" spans="1:1" x14ac:dyDescent="0.25">
      <c r="A3201" s="520"/>
    </row>
    <row r="3202" spans="1:1" x14ac:dyDescent="0.25">
      <c r="A3202" s="520"/>
    </row>
    <row r="3203" spans="1:1" x14ac:dyDescent="0.25">
      <c r="A3203" s="520"/>
    </row>
    <row r="3204" spans="1:1" x14ac:dyDescent="0.25">
      <c r="A3204" s="520"/>
    </row>
    <row r="3205" spans="1:1" x14ac:dyDescent="0.25">
      <c r="A3205" s="520"/>
    </row>
    <row r="3206" spans="1:1" x14ac:dyDescent="0.25">
      <c r="A3206" s="520"/>
    </row>
    <row r="3207" spans="1:1" x14ac:dyDescent="0.25">
      <c r="A3207" s="520"/>
    </row>
    <row r="3208" spans="1:1" x14ac:dyDescent="0.25">
      <c r="A3208" s="520"/>
    </row>
    <row r="3209" spans="1:1" x14ac:dyDescent="0.25">
      <c r="A3209" s="520"/>
    </row>
    <row r="3210" spans="1:1" x14ac:dyDescent="0.25">
      <c r="A3210" s="520"/>
    </row>
    <row r="3211" spans="1:1" x14ac:dyDescent="0.25">
      <c r="A3211" s="520"/>
    </row>
    <row r="3212" spans="1:1" x14ac:dyDescent="0.25">
      <c r="A3212" s="520"/>
    </row>
    <row r="3213" spans="1:1" x14ac:dyDescent="0.25">
      <c r="A3213" s="520"/>
    </row>
    <row r="3214" spans="1:1" x14ac:dyDescent="0.25">
      <c r="A3214" s="520"/>
    </row>
    <row r="3215" spans="1:1" x14ac:dyDescent="0.25">
      <c r="A3215" s="520"/>
    </row>
    <row r="3216" spans="1:1" x14ac:dyDescent="0.25">
      <c r="A3216" s="520"/>
    </row>
    <row r="3217" spans="1:1" x14ac:dyDescent="0.25">
      <c r="A3217" s="520"/>
    </row>
    <row r="3218" spans="1:1" x14ac:dyDescent="0.25">
      <c r="A3218" s="520"/>
    </row>
    <row r="3219" spans="1:1" x14ac:dyDescent="0.25">
      <c r="A3219" s="520"/>
    </row>
    <row r="3220" spans="1:1" x14ac:dyDescent="0.25">
      <c r="A3220" s="520"/>
    </row>
    <row r="3221" spans="1:1" x14ac:dyDescent="0.25">
      <c r="A3221" s="520"/>
    </row>
    <row r="3222" spans="1:1" x14ac:dyDescent="0.25">
      <c r="A3222" s="520"/>
    </row>
    <row r="3223" spans="1:1" x14ac:dyDescent="0.25">
      <c r="A3223" s="520"/>
    </row>
    <row r="3224" spans="1:1" x14ac:dyDescent="0.25">
      <c r="A3224" s="520"/>
    </row>
    <row r="3225" spans="1:1" x14ac:dyDescent="0.25">
      <c r="A3225" s="520"/>
    </row>
    <row r="3226" spans="1:1" x14ac:dyDescent="0.25">
      <c r="A3226" s="520"/>
    </row>
    <row r="3227" spans="1:1" x14ac:dyDescent="0.25">
      <c r="A3227" s="520"/>
    </row>
    <row r="3228" spans="1:1" x14ac:dyDescent="0.25">
      <c r="A3228" s="520"/>
    </row>
    <row r="3229" spans="1:1" x14ac:dyDescent="0.25">
      <c r="A3229" s="520"/>
    </row>
    <row r="3230" spans="1:1" x14ac:dyDescent="0.25">
      <c r="A3230" s="520"/>
    </row>
    <row r="3231" spans="1:1" x14ac:dyDescent="0.25">
      <c r="A3231" s="520"/>
    </row>
    <row r="3232" spans="1:1" x14ac:dyDescent="0.25">
      <c r="A3232" s="520"/>
    </row>
    <row r="3233" spans="1:1" x14ac:dyDescent="0.25">
      <c r="A3233" s="520"/>
    </row>
    <row r="3234" spans="1:1" x14ac:dyDescent="0.25">
      <c r="A3234" s="520"/>
    </row>
    <row r="3235" spans="1:1" x14ac:dyDescent="0.25">
      <c r="A3235" s="520"/>
    </row>
    <row r="3236" spans="1:1" x14ac:dyDescent="0.25">
      <c r="A3236" s="520"/>
    </row>
    <row r="3237" spans="1:1" x14ac:dyDescent="0.25">
      <c r="A3237" s="520"/>
    </row>
    <row r="3238" spans="1:1" x14ac:dyDescent="0.25">
      <c r="A3238" s="520"/>
    </row>
    <row r="3239" spans="1:1" x14ac:dyDescent="0.25">
      <c r="A3239" s="520"/>
    </row>
    <row r="3240" spans="1:1" x14ac:dyDescent="0.25">
      <c r="A3240" s="520"/>
    </row>
    <row r="3241" spans="1:1" x14ac:dyDescent="0.25">
      <c r="A3241" s="520"/>
    </row>
    <row r="3242" spans="1:1" x14ac:dyDescent="0.25">
      <c r="A3242" s="520"/>
    </row>
    <row r="3243" spans="1:1" x14ac:dyDescent="0.25">
      <c r="A3243" s="520"/>
    </row>
    <row r="3244" spans="1:1" x14ac:dyDescent="0.25">
      <c r="A3244" s="520"/>
    </row>
    <row r="3245" spans="1:1" x14ac:dyDescent="0.25">
      <c r="A3245" s="520"/>
    </row>
    <row r="3246" spans="1:1" x14ac:dyDescent="0.25">
      <c r="A3246" s="520"/>
    </row>
    <row r="3247" spans="1:1" x14ac:dyDescent="0.25">
      <c r="A3247" s="520"/>
    </row>
    <row r="3248" spans="1:1" x14ac:dyDescent="0.25">
      <c r="A3248" s="520"/>
    </row>
    <row r="3249" spans="1:1" x14ac:dyDescent="0.25">
      <c r="A3249" s="520"/>
    </row>
    <row r="3250" spans="1:1" x14ac:dyDescent="0.25">
      <c r="A3250" s="520"/>
    </row>
    <row r="3251" spans="1:1" x14ac:dyDescent="0.25">
      <c r="A3251" s="520"/>
    </row>
    <row r="3252" spans="1:1" x14ac:dyDescent="0.25">
      <c r="A3252" s="520"/>
    </row>
    <row r="3253" spans="1:1" x14ac:dyDescent="0.25">
      <c r="A3253" s="520"/>
    </row>
    <row r="3254" spans="1:1" x14ac:dyDescent="0.25">
      <c r="A3254" s="520"/>
    </row>
    <row r="3255" spans="1:1" x14ac:dyDescent="0.25">
      <c r="A3255" s="520"/>
    </row>
    <row r="3256" spans="1:1" x14ac:dyDescent="0.25">
      <c r="A3256" s="520"/>
    </row>
    <row r="3257" spans="1:1" x14ac:dyDescent="0.25">
      <c r="A3257" s="520"/>
    </row>
    <row r="3258" spans="1:1" x14ac:dyDescent="0.25">
      <c r="A3258" s="520"/>
    </row>
    <row r="3259" spans="1:1" x14ac:dyDescent="0.25">
      <c r="A3259" s="520"/>
    </row>
    <row r="3260" spans="1:1" x14ac:dyDescent="0.25">
      <c r="A3260" s="520"/>
    </row>
    <row r="3261" spans="1:1" x14ac:dyDescent="0.25">
      <c r="A3261" s="520"/>
    </row>
    <row r="3262" spans="1:1" x14ac:dyDescent="0.25">
      <c r="A3262" s="520"/>
    </row>
    <row r="3263" spans="1:1" x14ac:dyDescent="0.25">
      <c r="A3263" s="520"/>
    </row>
    <row r="3264" spans="1:1" x14ac:dyDescent="0.25">
      <c r="A3264" s="520"/>
    </row>
    <row r="3265" spans="1:1" x14ac:dyDescent="0.25">
      <c r="A3265" s="520"/>
    </row>
    <row r="3266" spans="1:1" x14ac:dyDescent="0.25">
      <c r="A3266" s="520"/>
    </row>
    <row r="3267" spans="1:1" x14ac:dyDescent="0.25">
      <c r="A3267" s="520"/>
    </row>
    <row r="3268" spans="1:1" x14ac:dyDescent="0.25">
      <c r="A3268" s="520"/>
    </row>
    <row r="3269" spans="1:1" x14ac:dyDescent="0.25">
      <c r="A3269" s="520"/>
    </row>
    <row r="3270" spans="1:1" x14ac:dyDescent="0.25">
      <c r="A3270" s="520"/>
    </row>
    <row r="3271" spans="1:1" x14ac:dyDescent="0.25">
      <c r="A3271" s="520"/>
    </row>
    <row r="3272" spans="1:1" x14ac:dyDescent="0.25">
      <c r="A3272" s="520"/>
    </row>
    <row r="3273" spans="1:1" x14ac:dyDescent="0.25">
      <c r="A3273" s="520"/>
    </row>
    <row r="3274" spans="1:1" x14ac:dyDescent="0.25">
      <c r="A3274" s="520"/>
    </row>
    <row r="3275" spans="1:1" x14ac:dyDescent="0.25">
      <c r="A3275" s="520"/>
    </row>
    <row r="3276" spans="1:1" x14ac:dyDescent="0.25">
      <c r="A3276" s="520"/>
    </row>
    <row r="3277" spans="1:1" x14ac:dyDescent="0.25">
      <c r="A3277" s="520"/>
    </row>
    <row r="3278" spans="1:1" x14ac:dyDescent="0.25">
      <c r="A3278" s="520"/>
    </row>
    <row r="3279" spans="1:1" x14ac:dyDescent="0.25">
      <c r="A3279" s="520"/>
    </row>
    <row r="3280" spans="1:1" x14ac:dyDescent="0.25">
      <c r="A3280" s="520"/>
    </row>
    <row r="3281" spans="1:1" x14ac:dyDescent="0.25">
      <c r="A3281" s="520"/>
    </row>
    <row r="3282" spans="1:1" x14ac:dyDescent="0.25">
      <c r="A3282" s="520"/>
    </row>
    <row r="3283" spans="1:1" x14ac:dyDescent="0.25">
      <c r="A3283" s="520"/>
    </row>
    <row r="3284" spans="1:1" x14ac:dyDescent="0.25">
      <c r="A3284" s="520"/>
    </row>
    <row r="3285" spans="1:1" x14ac:dyDescent="0.25">
      <c r="A3285" s="520"/>
    </row>
    <row r="3286" spans="1:1" x14ac:dyDescent="0.25">
      <c r="A3286" s="520"/>
    </row>
    <row r="3287" spans="1:1" x14ac:dyDescent="0.25">
      <c r="A3287" s="520"/>
    </row>
    <row r="3288" spans="1:1" x14ac:dyDescent="0.25">
      <c r="A3288" s="520"/>
    </row>
    <row r="3289" spans="1:1" x14ac:dyDescent="0.25">
      <c r="A3289" s="520"/>
    </row>
    <row r="3290" spans="1:1" x14ac:dyDescent="0.25">
      <c r="A3290" s="520"/>
    </row>
    <row r="3291" spans="1:1" x14ac:dyDescent="0.25">
      <c r="A3291" s="520"/>
    </row>
    <row r="3292" spans="1:1" x14ac:dyDescent="0.25">
      <c r="A3292" s="520"/>
    </row>
    <row r="3293" spans="1:1" x14ac:dyDescent="0.25">
      <c r="A3293" s="520"/>
    </row>
    <row r="3294" spans="1:1" x14ac:dyDescent="0.25">
      <c r="A3294" s="520"/>
    </row>
    <row r="3295" spans="1:1" x14ac:dyDescent="0.25">
      <c r="A3295" s="520"/>
    </row>
    <row r="3296" spans="1:1" x14ac:dyDescent="0.25">
      <c r="A3296" s="520"/>
    </row>
    <row r="3297" spans="1:1" x14ac:dyDescent="0.25">
      <c r="A3297" s="520"/>
    </row>
    <row r="3298" spans="1:1" x14ac:dyDescent="0.25">
      <c r="A3298" s="520"/>
    </row>
    <row r="3299" spans="1:1" x14ac:dyDescent="0.25">
      <c r="A3299" s="520"/>
    </row>
    <row r="3300" spans="1:1" x14ac:dyDescent="0.25">
      <c r="A3300" s="520"/>
    </row>
    <row r="3301" spans="1:1" x14ac:dyDescent="0.25">
      <c r="A3301" s="520"/>
    </row>
    <row r="3302" spans="1:1" x14ac:dyDescent="0.25">
      <c r="A3302" s="520"/>
    </row>
    <row r="3303" spans="1:1" x14ac:dyDescent="0.25">
      <c r="A3303" s="520"/>
    </row>
    <row r="3304" spans="1:1" x14ac:dyDescent="0.25">
      <c r="A3304" s="520"/>
    </row>
    <row r="3305" spans="1:1" x14ac:dyDescent="0.25">
      <c r="A3305" s="520"/>
    </row>
    <row r="3306" spans="1:1" x14ac:dyDescent="0.25">
      <c r="A3306" s="520"/>
    </row>
    <row r="3307" spans="1:1" x14ac:dyDescent="0.25">
      <c r="A3307" s="520"/>
    </row>
    <row r="3308" spans="1:1" x14ac:dyDescent="0.25">
      <c r="A3308" s="520"/>
    </row>
    <row r="3309" spans="1:1" x14ac:dyDescent="0.25">
      <c r="A3309" s="520"/>
    </row>
    <row r="3310" spans="1:1" x14ac:dyDescent="0.25">
      <c r="A3310" s="520"/>
    </row>
    <row r="3311" spans="1:1" x14ac:dyDescent="0.25">
      <c r="A3311" s="520"/>
    </row>
    <row r="3312" spans="1:1" x14ac:dyDescent="0.25">
      <c r="A3312" s="520"/>
    </row>
    <row r="3313" spans="1:1" x14ac:dyDescent="0.25">
      <c r="A3313" s="520"/>
    </row>
    <row r="3314" spans="1:1" x14ac:dyDescent="0.25">
      <c r="A3314" s="520"/>
    </row>
    <row r="3315" spans="1:1" x14ac:dyDescent="0.25">
      <c r="A3315" s="520"/>
    </row>
    <row r="3316" spans="1:1" x14ac:dyDescent="0.25">
      <c r="A3316" s="520"/>
    </row>
    <row r="3317" spans="1:1" x14ac:dyDescent="0.25">
      <c r="A3317" s="520"/>
    </row>
    <row r="3318" spans="1:1" x14ac:dyDescent="0.25">
      <c r="A3318" s="520"/>
    </row>
    <row r="3319" spans="1:1" x14ac:dyDescent="0.25">
      <c r="A3319" s="520"/>
    </row>
    <row r="3320" spans="1:1" x14ac:dyDescent="0.25">
      <c r="A3320" s="520"/>
    </row>
    <row r="3321" spans="1:1" x14ac:dyDescent="0.25">
      <c r="A3321" s="520"/>
    </row>
    <row r="3322" spans="1:1" x14ac:dyDescent="0.25">
      <c r="A3322" s="520"/>
    </row>
    <row r="3323" spans="1:1" x14ac:dyDescent="0.25">
      <c r="A3323" s="520"/>
    </row>
    <row r="3324" spans="1:1" x14ac:dyDescent="0.25">
      <c r="A3324" s="520"/>
    </row>
    <row r="3325" spans="1:1" x14ac:dyDescent="0.25">
      <c r="A3325" s="520"/>
    </row>
    <row r="3326" spans="1:1" x14ac:dyDescent="0.25">
      <c r="A3326" s="520"/>
    </row>
    <row r="3327" spans="1:1" x14ac:dyDescent="0.25">
      <c r="A3327" s="520"/>
    </row>
    <row r="3328" spans="1:1" x14ac:dyDescent="0.25">
      <c r="A3328" s="520"/>
    </row>
    <row r="3329" spans="1:1" x14ac:dyDescent="0.25">
      <c r="A3329" s="520"/>
    </row>
    <row r="3330" spans="1:1" x14ac:dyDescent="0.25">
      <c r="A3330" s="520"/>
    </row>
    <row r="3331" spans="1:1" x14ac:dyDescent="0.25">
      <c r="A3331" s="520"/>
    </row>
    <row r="3332" spans="1:1" x14ac:dyDescent="0.25">
      <c r="A3332" s="520"/>
    </row>
    <row r="3333" spans="1:1" x14ac:dyDescent="0.25">
      <c r="A3333" s="520"/>
    </row>
    <row r="3334" spans="1:1" x14ac:dyDescent="0.25">
      <c r="A3334" s="520"/>
    </row>
    <row r="3335" spans="1:1" x14ac:dyDescent="0.25">
      <c r="A3335" s="520"/>
    </row>
    <row r="3336" spans="1:1" x14ac:dyDescent="0.25">
      <c r="A3336" s="520"/>
    </row>
    <row r="3337" spans="1:1" x14ac:dyDescent="0.25">
      <c r="A3337" s="520"/>
    </row>
    <row r="3338" spans="1:1" x14ac:dyDescent="0.25">
      <c r="A3338" s="520"/>
    </row>
    <row r="3339" spans="1:1" x14ac:dyDescent="0.25">
      <c r="A3339" s="520"/>
    </row>
    <row r="3340" spans="1:1" x14ac:dyDescent="0.25">
      <c r="A3340" s="520"/>
    </row>
    <row r="3341" spans="1:1" x14ac:dyDescent="0.25">
      <c r="A3341" s="520"/>
    </row>
    <row r="3342" spans="1:1" x14ac:dyDescent="0.25">
      <c r="A3342" s="520"/>
    </row>
    <row r="3343" spans="1:1" x14ac:dyDescent="0.25">
      <c r="A3343" s="520"/>
    </row>
    <row r="3344" spans="1:1" x14ac:dyDescent="0.25">
      <c r="A3344" s="520"/>
    </row>
    <row r="3345" spans="1:1" x14ac:dyDescent="0.25">
      <c r="A3345" s="520"/>
    </row>
    <row r="3346" spans="1:1" x14ac:dyDescent="0.25">
      <c r="A3346" s="520"/>
    </row>
    <row r="3347" spans="1:1" x14ac:dyDescent="0.25">
      <c r="A3347" s="520"/>
    </row>
    <row r="3348" spans="1:1" x14ac:dyDescent="0.25">
      <c r="A3348" s="520"/>
    </row>
    <row r="3349" spans="1:1" x14ac:dyDescent="0.25">
      <c r="A3349" s="520"/>
    </row>
    <row r="3350" spans="1:1" x14ac:dyDescent="0.25">
      <c r="A3350" s="520"/>
    </row>
    <row r="3351" spans="1:1" x14ac:dyDescent="0.25">
      <c r="A3351" s="520"/>
    </row>
    <row r="3352" spans="1:1" x14ac:dyDescent="0.25">
      <c r="A3352" s="520"/>
    </row>
    <row r="3353" spans="1:1" x14ac:dyDescent="0.25">
      <c r="A3353" s="520"/>
    </row>
    <row r="3354" spans="1:1" x14ac:dyDescent="0.25">
      <c r="A3354" s="520"/>
    </row>
    <row r="3355" spans="1:1" x14ac:dyDescent="0.25">
      <c r="A3355" s="520"/>
    </row>
    <row r="3356" spans="1:1" x14ac:dyDescent="0.25">
      <c r="A3356" s="520"/>
    </row>
    <row r="3357" spans="1:1" x14ac:dyDescent="0.25">
      <c r="A3357" s="520"/>
    </row>
    <row r="3358" spans="1:1" x14ac:dyDescent="0.25">
      <c r="A3358" s="520"/>
    </row>
    <row r="3359" spans="1:1" x14ac:dyDescent="0.25">
      <c r="A3359" s="520"/>
    </row>
    <row r="3360" spans="1:1" x14ac:dyDescent="0.25">
      <c r="A3360" s="520"/>
    </row>
    <row r="3361" spans="1:1" x14ac:dyDescent="0.25">
      <c r="A3361" s="520"/>
    </row>
    <row r="3362" spans="1:1" x14ac:dyDescent="0.25">
      <c r="A3362" s="520"/>
    </row>
    <row r="3363" spans="1:1" x14ac:dyDescent="0.25">
      <c r="A3363" s="520"/>
    </row>
    <row r="3364" spans="1:1" x14ac:dyDescent="0.25">
      <c r="A3364" s="520"/>
    </row>
    <row r="3365" spans="1:1" x14ac:dyDescent="0.25">
      <c r="A3365" s="520"/>
    </row>
    <row r="3366" spans="1:1" x14ac:dyDescent="0.25">
      <c r="A3366" s="520"/>
    </row>
    <row r="3367" spans="1:1" x14ac:dyDescent="0.25">
      <c r="A3367" s="520"/>
    </row>
    <row r="3368" spans="1:1" x14ac:dyDescent="0.25">
      <c r="A3368" s="520"/>
    </row>
    <row r="3369" spans="1:1" x14ac:dyDescent="0.25">
      <c r="A3369" s="520"/>
    </row>
    <row r="3370" spans="1:1" x14ac:dyDescent="0.25">
      <c r="A3370" s="520"/>
    </row>
    <row r="3371" spans="1:1" x14ac:dyDescent="0.25">
      <c r="A3371" s="520"/>
    </row>
    <row r="3372" spans="1:1" x14ac:dyDescent="0.25">
      <c r="A3372" s="520"/>
    </row>
    <row r="3373" spans="1:1" x14ac:dyDescent="0.25">
      <c r="A3373" s="520"/>
    </row>
    <row r="3374" spans="1:1" x14ac:dyDescent="0.25">
      <c r="A3374" s="520"/>
    </row>
    <row r="3375" spans="1:1" x14ac:dyDescent="0.25">
      <c r="A3375" s="520"/>
    </row>
    <row r="3376" spans="1:1" x14ac:dyDescent="0.25">
      <c r="A3376" s="520"/>
    </row>
    <row r="3377" spans="1:1" x14ac:dyDescent="0.25">
      <c r="A3377" s="520"/>
    </row>
    <row r="3378" spans="1:1" x14ac:dyDescent="0.25">
      <c r="A3378" s="520"/>
    </row>
    <row r="3379" spans="1:1" x14ac:dyDescent="0.25">
      <c r="A3379" s="520"/>
    </row>
    <row r="3380" spans="1:1" x14ac:dyDescent="0.25">
      <c r="A3380" s="520"/>
    </row>
    <row r="3381" spans="1:1" x14ac:dyDescent="0.25">
      <c r="A3381" s="520"/>
    </row>
    <row r="3382" spans="1:1" x14ac:dyDescent="0.25">
      <c r="A3382" s="520"/>
    </row>
    <row r="3383" spans="1:1" x14ac:dyDescent="0.25">
      <c r="A3383" s="520"/>
    </row>
    <row r="3384" spans="1:1" x14ac:dyDescent="0.25">
      <c r="A3384" s="520"/>
    </row>
    <row r="3385" spans="1:1" x14ac:dyDescent="0.25">
      <c r="A3385" s="520"/>
    </row>
    <row r="3386" spans="1:1" x14ac:dyDescent="0.25">
      <c r="A3386" s="520"/>
    </row>
    <row r="3387" spans="1:1" x14ac:dyDescent="0.25">
      <c r="A3387" s="520"/>
    </row>
    <row r="3388" spans="1:1" x14ac:dyDescent="0.25">
      <c r="A3388" s="520"/>
    </row>
    <row r="3389" spans="1:1" x14ac:dyDescent="0.25">
      <c r="A3389" s="520"/>
    </row>
    <row r="3390" spans="1:1" x14ac:dyDescent="0.25">
      <c r="A3390" s="520"/>
    </row>
    <row r="3391" spans="1:1" x14ac:dyDescent="0.25">
      <c r="A3391" s="520"/>
    </row>
    <row r="3392" spans="1:1" x14ac:dyDescent="0.25">
      <c r="A3392" s="520"/>
    </row>
    <row r="3393" spans="1:1" x14ac:dyDescent="0.25">
      <c r="A3393" s="520"/>
    </row>
    <row r="3394" spans="1:1" x14ac:dyDescent="0.25">
      <c r="A3394" s="520"/>
    </row>
    <row r="3395" spans="1:1" x14ac:dyDescent="0.25">
      <c r="A3395" s="520"/>
    </row>
    <row r="3396" spans="1:1" x14ac:dyDescent="0.25">
      <c r="A3396" s="520"/>
    </row>
    <row r="3397" spans="1:1" x14ac:dyDescent="0.25">
      <c r="A3397" s="520"/>
    </row>
    <row r="3398" spans="1:1" x14ac:dyDescent="0.25">
      <c r="A3398" s="520"/>
    </row>
    <row r="3399" spans="1:1" x14ac:dyDescent="0.25">
      <c r="A3399" s="520"/>
    </row>
    <row r="3400" spans="1:1" x14ac:dyDescent="0.25">
      <c r="A3400" s="520"/>
    </row>
    <row r="3401" spans="1:1" x14ac:dyDescent="0.25">
      <c r="A3401" s="520"/>
    </row>
    <row r="3402" spans="1:1" x14ac:dyDescent="0.25">
      <c r="A3402" s="520"/>
    </row>
    <row r="3403" spans="1:1" x14ac:dyDescent="0.25">
      <c r="A3403" s="520"/>
    </row>
    <row r="3404" spans="1:1" x14ac:dyDescent="0.25">
      <c r="A3404" s="520"/>
    </row>
    <row r="3405" spans="1:1" x14ac:dyDescent="0.25">
      <c r="A3405" s="520"/>
    </row>
    <row r="3406" spans="1:1" x14ac:dyDescent="0.25">
      <c r="A3406" s="520"/>
    </row>
    <row r="3407" spans="1:1" x14ac:dyDescent="0.25">
      <c r="A3407" s="520"/>
    </row>
    <row r="3408" spans="1:1" x14ac:dyDescent="0.25">
      <c r="A3408" s="520"/>
    </row>
    <row r="3409" spans="1:1" x14ac:dyDescent="0.25">
      <c r="A3409" s="520"/>
    </row>
    <row r="3410" spans="1:1" x14ac:dyDescent="0.25">
      <c r="A3410" s="520"/>
    </row>
    <row r="3411" spans="1:1" x14ac:dyDescent="0.25">
      <c r="A3411" s="520"/>
    </row>
    <row r="3412" spans="1:1" x14ac:dyDescent="0.25">
      <c r="A3412" s="520"/>
    </row>
    <row r="3413" spans="1:1" x14ac:dyDescent="0.25">
      <c r="A3413" s="520"/>
    </row>
    <row r="3414" spans="1:1" x14ac:dyDescent="0.25">
      <c r="A3414" s="520"/>
    </row>
    <row r="3415" spans="1:1" x14ac:dyDescent="0.25">
      <c r="A3415" s="520"/>
    </row>
    <row r="3416" spans="1:1" x14ac:dyDescent="0.25">
      <c r="A3416" s="520"/>
    </row>
    <row r="3417" spans="1:1" x14ac:dyDescent="0.25">
      <c r="A3417" s="520"/>
    </row>
    <row r="3418" spans="1:1" x14ac:dyDescent="0.25">
      <c r="A3418" s="520"/>
    </row>
    <row r="3419" spans="1:1" x14ac:dyDescent="0.25">
      <c r="A3419" s="520"/>
    </row>
    <row r="3420" spans="1:1" x14ac:dyDescent="0.25">
      <c r="A3420" s="520"/>
    </row>
    <row r="3421" spans="1:1" x14ac:dyDescent="0.25">
      <c r="A3421" s="520"/>
    </row>
    <row r="3422" spans="1:1" x14ac:dyDescent="0.25">
      <c r="A3422" s="520"/>
    </row>
    <row r="3423" spans="1:1" x14ac:dyDescent="0.25">
      <c r="A3423" s="520"/>
    </row>
    <row r="3424" spans="1:1" x14ac:dyDescent="0.25">
      <c r="A3424" s="520"/>
    </row>
    <row r="3425" spans="1:1" x14ac:dyDescent="0.25">
      <c r="A3425" s="520"/>
    </row>
    <row r="3426" spans="1:1" x14ac:dyDescent="0.25">
      <c r="A3426" s="520"/>
    </row>
    <row r="3427" spans="1:1" x14ac:dyDescent="0.25">
      <c r="A3427" s="520"/>
    </row>
    <row r="3428" spans="1:1" x14ac:dyDescent="0.25">
      <c r="A3428" s="520"/>
    </row>
    <row r="3429" spans="1:1" x14ac:dyDescent="0.25">
      <c r="A3429" s="520"/>
    </row>
    <row r="3430" spans="1:1" x14ac:dyDescent="0.25">
      <c r="A3430" s="520"/>
    </row>
    <row r="3431" spans="1:1" x14ac:dyDescent="0.25">
      <c r="A3431" s="520"/>
    </row>
    <row r="3432" spans="1:1" x14ac:dyDescent="0.25">
      <c r="A3432" s="520"/>
    </row>
    <row r="3433" spans="1:1" x14ac:dyDescent="0.25">
      <c r="A3433" s="520"/>
    </row>
    <row r="3434" spans="1:1" x14ac:dyDescent="0.25">
      <c r="A3434" s="520"/>
    </row>
    <row r="3435" spans="1:1" x14ac:dyDescent="0.25">
      <c r="A3435" s="520"/>
    </row>
    <row r="3436" spans="1:1" x14ac:dyDescent="0.25">
      <c r="A3436" s="520"/>
    </row>
    <row r="3437" spans="1:1" x14ac:dyDescent="0.25">
      <c r="A3437" s="520"/>
    </row>
    <row r="3438" spans="1:1" x14ac:dyDescent="0.25">
      <c r="A3438" s="520"/>
    </row>
    <row r="3439" spans="1:1" x14ac:dyDescent="0.25">
      <c r="A3439" s="520"/>
    </row>
    <row r="3440" spans="1:1" x14ac:dyDescent="0.25">
      <c r="A3440" s="520"/>
    </row>
    <row r="3441" spans="1:1" x14ac:dyDescent="0.25">
      <c r="A3441" s="520"/>
    </row>
    <row r="3442" spans="1:1" x14ac:dyDescent="0.25">
      <c r="A3442" s="520"/>
    </row>
    <row r="3443" spans="1:1" x14ac:dyDescent="0.25">
      <c r="A3443" s="520"/>
    </row>
    <row r="3444" spans="1:1" x14ac:dyDescent="0.25">
      <c r="A3444" s="520"/>
    </row>
    <row r="3445" spans="1:1" x14ac:dyDescent="0.25">
      <c r="A3445" s="520"/>
    </row>
    <row r="3446" spans="1:1" x14ac:dyDescent="0.25">
      <c r="A3446" s="520"/>
    </row>
    <row r="3447" spans="1:1" x14ac:dyDescent="0.25">
      <c r="A3447" s="520"/>
    </row>
    <row r="3448" spans="1:1" x14ac:dyDescent="0.25">
      <c r="A3448" s="520"/>
    </row>
    <row r="3449" spans="1:1" x14ac:dyDescent="0.25">
      <c r="A3449" s="520"/>
    </row>
    <row r="3450" spans="1:1" x14ac:dyDescent="0.25">
      <c r="A3450" s="520"/>
    </row>
    <row r="3451" spans="1:1" x14ac:dyDescent="0.25">
      <c r="A3451" s="520"/>
    </row>
    <row r="3452" spans="1:1" x14ac:dyDescent="0.25">
      <c r="A3452" s="520"/>
    </row>
    <row r="3453" spans="1:1" x14ac:dyDescent="0.25">
      <c r="A3453" s="520"/>
    </row>
    <row r="3454" spans="1:1" x14ac:dyDescent="0.25">
      <c r="A3454" s="520"/>
    </row>
    <row r="3455" spans="1:1" x14ac:dyDescent="0.25">
      <c r="A3455" s="520"/>
    </row>
    <row r="3456" spans="1:1" x14ac:dyDescent="0.25">
      <c r="A3456" s="520"/>
    </row>
    <row r="3457" spans="1:1" x14ac:dyDescent="0.25">
      <c r="A3457" s="520"/>
    </row>
    <row r="3458" spans="1:1" x14ac:dyDescent="0.25">
      <c r="A3458" s="520"/>
    </row>
    <row r="3459" spans="1:1" x14ac:dyDescent="0.25">
      <c r="A3459" s="520"/>
    </row>
    <row r="3460" spans="1:1" x14ac:dyDescent="0.25">
      <c r="A3460" s="520"/>
    </row>
    <row r="3461" spans="1:1" x14ac:dyDescent="0.25">
      <c r="A3461" s="520"/>
    </row>
    <row r="3462" spans="1:1" x14ac:dyDescent="0.25">
      <c r="A3462" s="520"/>
    </row>
    <row r="3463" spans="1:1" x14ac:dyDescent="0.25">
      <c r="A3463" s="520"/>
    </row>
    <row r="3464" spans="1:1" x14ac:dyDescent="0.25">
      <c r="A3464" s="520"/>
    </row>
    <row r="3465" spans="1:1" x14ac:dyDescent="0.25">
      <c r="A3465" s="520"/>
    </row>
    <row r="3466" spans="1:1" x14ac:dyDescent="0.25">
      <c r="A3466" s="520"/>
    </row>
    <row r="3467" spans="1:1" x14ac:dyDescent="0.25">
      <c r="A3467" s="520"/>
    </row>
    <row r="3468" spans="1:1" x14ac:dyDescent="0.25">
      <c r="A3468" s="520"/>
    </row>
    <row r="3469" spans="1:1" x14ac:dyDescent="0.25">
      <c r="A3469" s="520"/>
    </row>
    <row r="3470" spans="1:1" x14ac:dyDescent="0.25">
      <c r="A3470" s="520"/>
    </row>
    <row r="3471" spans="1:1" x14ac:dyDescent="0.25">
      <c r="A3471" s="520"/>
    </row>
    <row r="3472" spans="1:1" x14ac:dyDescent="0.25">
      <c r="A3472" s="520"/>
    </row>
    <row r="3473" spans="1:1" x14ac:dyDescent="0.25">
      <c r="A3473" s="520"/>
    </row>
    <row r="3474" spans="1:1" x14ac:dyDescent="0.25">
      <c r="A3474" s="520"/>
    </row>
    <row r="3475" spans="1:1" x14ac:dyDescent="0.25">
      <c r="A3475" s="520"/>
    </row>
    <row r="3476" spans="1:1" x14ac:dyDescent="0.25">
      <c r="A3476" s="520"/>
    </row>
    <row r="3477" spans="1:1" x14ac:dyDescent="0.25">
      <c r="A3477" s="520"/>
    </row>
    <row r="3478" spans="1:1" x14ac:dyDescent="0.25">
      <c r="A3478" s="520"/>
    </row>
    <row r="3479" spans="1:1" x14ac:dyDescent="0.25">
      <c r="A3479" s="520"/>
    </row>
    <row r="3480" spans="1:1" x14ac:dyDescent="0.25">
      <c r="A3480" s="520"/>
    </row>
    <row r="3481" spans="1:1" x14ac:dyDescent="0.25">
      <c r="A3481" s="520"/>
    </row>
    <row r="3482" spans="1:1" x14ac:dyDescent="0.25">
      <c r="A3482" s="520"/>
    </row>
    <row r="3483" spans="1:1" x14ac:dyDescent="0.25">
      <c r="A3483" s="520"/>
    </row>
    <row r="3484" spans="1:1" x14ac:dyDescent="0.25">
      <c r="A3484" s="520"/>
    </row>
    <row r="3485" spans="1:1" x14ac:dyDescent="0.25">
      <c r="A3485" s="520"/>
    </row>
    <row r="3486" spans="1:1" x14ac:dyDescent="0.25">
      <c r="A3486" s="520"/>
    </row>
    <row r="3487" spans="1:1" x14ac:dyDescent="0.25">
      <c r="A3487" s="520"/>
    </row>
    <row r="3488" spans="1:1" x14ac:dyDescent="0.25">
      <c r="A3488" s="520"/>
    </row>
    <row r="3489" spans="1:1" x14ac:dyDescent="0.25">
      <c r="A3489" s="520"/>
    </row>
    <row r="3490" spans="1:1" x14ac:dyDescent="0.25">
      <c r="A3490" s="520"/>
    </row>
    <row r="3491" spans="1:1" x14ac:dyDescent="0.25">
      <c r="A3491" s="520"/>
    </row>
    <row r="3492" spans="1:1" x14ac:dyDescent="0.25">
      <c r="A3492" s="520"/>
    </row>
    <row r="3493" spans="1:1" x14ac:dyDescent="0.25">
      <c r="A3493" s="520"/>
    </row>
    <row r="3494" spans="1:1" x14ac:dyDescent="0.25">
      <c r="A3494" s="520"/>
    </row>
    <row r="3495" spans="1:1" x14ac:dyDescent="0.25">
      <c r="A3495" s="520"/>
    </row>
    <row r="3496" spans="1:1" x14ac:dyDescent="0.25">
      <c r="A3496" s="520"/>
    </row>
    <row r="3497" spans="1:1" x14ac:dyDescent="0.25">
      <c r="A3497" s="520"/>
    </row>
    <row r="3498" spans="1:1" x14ac:dyDescent="0.25">
      <c r="A3498" s="520"/>
    </row>
    <row r="3499" spans="1:1" x14ac:dyDescent="0.25">
      <c r="A3499" s="520"/>
    </row>
    <row r="3500" spans="1:1" x14ac:dyDescent="0.25">
      <c r="A3500" s="520"/>
    </row>
    <row r="3501" spans="1:1" x14ac:dyDescent="0.25">
      <c r="A3501" s="520"/>
    </row>
    <row r="3502" spans="1:1" x14ac:dyDescent="0.25">
      <c r="A3502" s="520"/>
    </row>
    <row r="3503" spans="1:1" x14ac:dyDescent="0.25">
      <c r="A3503" s="520"/>
    </row>
    <row r="3504" spans="1:1" x14ac:dyDescent="0.25">
      <c r="A3504" s="520"/>
    </row>
    <row r="3505" spans="1:1" x14ac:dyDescent="0.25">
      <c r="A3505" s="520"/>
    </row>
    <row r="3506" spans="1:1" x14ac:dyDescent="0.25">
      <c r="A3506" s="520"/>
    </row>
    <row r="3507" spans="1:1" x14ac:dyDescent="0.25">
      <c r="A3507" s="520"/>
    </row>
    <row r="3508" spans="1:1" x14ac:dyDescent="0.25">
      <c r="A3508" s="520"/>
    </row>
    <row r="3509" spans="1:1" x14ac:dyDescent="0.25">
      <c r="A3509" s="520"/>
    </row>
    <row r="3510" spans="1:1" x14ac:dyDescent="0.25">
      <c r="A3510" s="520"/>
    </row>
    <row r="3511" spans="1:1" x14ac:dyDescent="0.25">
      <c r="A3511" s="520"/>
    </row>
    <row r="3512" spans="1:1" x14ac:dyDescent="0.25">
      <c r="A3512" s="520"/>
    </row>
    <row r="3513" spans="1:1" x14ac:dyDescent="0.25">
      <c r="A3513" s="520"/>
    </row>
    <row r="3514" spans="1:1" x14ac:dyDescent="0.25">
      <c r="A3514" s="520"/>
    </row>
    <row r="3515" spans="1:1" x14ac:dyDescent="0.25">
      <c r="A3515" s="520"/>
    </row>
    <row r="3516" spans="1:1" x14ac:dyDescent="0.25">
      <c r="A3516" s="520"/>
    </row>
    <row r="3517" spans="1:1" x14ac:dyDescent="0.25">
      <c r="A3517" s="520"/>
    </row>
    <row r="3518" spans="1:1" x14ac:dyDescent="0.25">
      <c r="A3518" s="520"/>
    </row>
    <row r="3519" spans="1:1" x14ac:dyDescent="0.25">
      <c r="A3519" s="520"/>
    </row>
    <row r="3520" spans="1:1" x14ac:dyDescent="0.25">
      <c r="A3520" s="520"/>
    </row>
    <row r="3521" spans="1:1" x14ac:dyDescent="0.25">
      <c r="A3521" s="520"/>
    </row>
    <row r="3522" spans="1:1" x14ac:dyDescent="0.25">
      <c r="A3522" s="520"/>
    </row>
    <row r="3523" spans="1:1" x14ac:dyDescent="0.25">
      <c r="A3523" s="520"/>
    </row>
    <row r="3524" spans="1:1" x14ac:dyDescent="0.25">
      <c r="A3524" s="520"/>
    </row>
    <row r="3525" spans="1:1" x14ac:dyDescent="0.25">
      <c r="A3525" s="520"/>
    </row>
    <row r="3526" spans="1:1" x14ac:dyDescent="0.25">
      <c r="A3526" s="520"/>
    </row>
    <row r="3527" spans="1:1" x14ac:dyDescent="0.25">
      <c r="A3527" s="520"/>
    </row>
    <row r="3528" spans="1:1" x14ac:dyDescent="0.25">
      <c r="A3528" s="520"/>
    </row>
    <row r="3529" spans="1:1" x14ac:dyDescent="0.25">
      <c r="A3529" s="520"/>
    </row>
    <row r="3530" spans="1:1" x14ac:dyDescent="0.25">
      <c r="A3530" s="520"/>
    </row>
    <row r="3531" spans="1:1" x14ac:dyDescent="0.25">
      <c r="A3531" s="520"/>
    </row>
    <row r="3532" spans="1:1" x14ac:dyDescent="0.25">
      <c r="A3532" s="520"/>
    </row>
    <row r="3533" spans="1:1" x14ac:dyDescent="0.25">
      <c r="A3533" s="520"/>
    </row>
    <row r="3534" spans="1:1" x14ac:dyDescent="0.25">
      <c r="A3534" s="520"/>
    </row>
    <row r="3535" spans="1:1" x14ac:dyDescent="0.25">
      <c r="A3535" s="520"/>
    </row>
    <row r="3536" spans="1:1" x14ac:dyDescent="0.25">
      <c r="A3536" s="520"/>
    </row>
    <row r="3537" spans="1:1" x14ac:dyDescent="0.25">
      <c r="A3537" s="520"/>
    </row>
    <row r="3538" spans="1:1" x14ac:dyDescent="0.25">
      <c r="A3538" s="520"/>
    </row>
    <row r="3539" spans="1:1" x14ac:dyDescent="0.25">
      <c r="A3539" s="520"/>
    </row>
    <row r="3540" spans="1:1" x14ac:dyDescent="0.25">
      <c r="A3540" s="520"/>
    </row>
    <row r="3541" spans="1:1" x14ac:dyDescent="0.25">
      <c r="A3541" s="520"/>
    </row>
    <row r="3542" spans="1:1" x14ac:dyDescent="0.25">
      <c r="A3542" s="520"/>
    </row>
    <row r="3543" spans="1:1" x14ac:dyDescent="0.25">
      <c r="A3543" s="520"/>
    </row>
    <row r="3544" spans="1:1" x14ac:dyDescent="0.25">
      <c r="A3544" s="520"/>
    </row>
    <row r="3545" spans="1:1" x14ac:dyDescent="0.25">
      <c r="A3545" s="520"/>
    </row>
    <row r="3546" spans="1:1" x14ac:dyDescent="0.25">
      <c r="A3546" s="520"/>
    </row>
    <row r="3547" spans="1:1" x14ac:dyDescent="0.25">
      <c r="A3547" s="520"/>
    </row>
    <row r="3548" spans="1:1" x14ac:dyDescent="0.25">
      <c r="A3548" s="520"/>
    </row>
    <row r="3549" spans="1:1" x14ac:dyDescent="0.25">
      <c r="A3549" s="520"/>
    </row>
    <row r="3550" spans="1:1" x14ac:dyDescent="0.25">
      <c r="A3550" s="520"/>
    </row>
    <row r="3551" spans="1:1" x14ac:dyDescent="0.25">
      <c r="A3551" s="520"/>
    </row>
    <row r="3552" spans="1:1" x14ac:dyDescent="0.25">
      <c r="A3552" s="520"/>
    </row>
    <row r="3553" spans="1:1" x14ac:dyDescent="0.25">
      <c r="A3553" s="520"/>
    </row>
    <row r="3554" spans="1:1" x14ac:dyDescent="0.25">
      <c r="A3554" s="520"/>
    </row>
    <row r="3555" spans="1:1" x14ac:dyDescent="0.25">
      <c r="A3555" s="520"/>
    </row>
    <row r="3556" spans="1:1" x14ac:dyDescent="0.25">
      <c r="A3556" s="520"/>
    </row>
    <row r="3557" spans="1:1" x14ac:dyDescent="0.25">
      <c r="A3557" s="520"/>
    </row>
    <row r="3558" spans="1:1" x14ac:dyDescent="0.25">
      <c r="A3558" s="520"/>
    </row>
    <row r="3559" spans="1:1" x14ac:dyDescent="0.25">
      <c r="A3559" s="520"/>
    </row>
    <row r="3560" spans="1:1" x14ac:dyDescent="0.25">
      <c r="A3560" s="520"/>
    </row>
    <row r="3561" spans="1:1" x14ac:dyDescent="0.25">
      <c r="A3561" s="520"/>
    </row>
    <row r="3562" spans="1:1" x14ac:dyDescent="0.25">
      <c r="A3562" s="520"/>
    </row>
    <row r="3563" spans="1:1" x14ac:dyDescent="0.25">
      <c r="A3563" s="520"/>
    </row>
    <row r="3564" spans="1:1" x14ac:dyDescent="0.25">
      <c r="A3564" s="520"/>
    </row>
    <row r="3565" spans="1:1" x14ac:dyDescent="0.25">
      <c r="A3565" s="520"/>
    </row>
    <row r="3566" spans="1:1" x14ac:dyDescent="0.25">
      <c r="A3566" s="520"/>
    </row>
    <row r="3567" spans="1:1" x14ac:dyDescent="0.25">
      <c r="A3567" s="520"/>
    </row>
    <row r="3568" spans="1:1" x14ac:dyDescent="0.25">
      <c r="A3568" s="520"/>
    </row>
    <row r="3569" spans="1:1" x14ac:dyDescent="0.25">
      <c r="A3569" s="520"/>
    </row>
    <row r="3570" spans="1:1" x14ac:dyDescent="0.25">
      <c r="A3570" s="520"/>
    </row>
    <row r="3571" spans="1:1" x14ac:dyDescent="0.25">
      <c r="A3571" s="520"/>
    </row>
    <row r="3572" spans="1:1" x14ac:dyDescent="0.25">
      <c r="A3572" s="520"/>
    </row>
    <row r="3573" spans="1:1" x14ac:dyDescent="0.25">
      <c r="A3573" s="520"/>
    </row>
    <row r="3574" spans="1:1" x14ac:dyDescent="0.25">
      <c r="A3574" s="520"/>
    </row>
    <row r="3575" spans="1:1" x14ac:dyDescent="0.25">
      <c r="A3575" s="520"/>
    </row>
    <row r="3576" spans="1:1" x14ac:dyDescent="0.25">
      <c r="A3576" s="520"/>
    </row>
    <row r="3577" spans="1:1" x14ac:dyDescent="0.25">
      <c r="A3577" s="520"/>
    </row>
    <row r="3578" spans="1:1" x14ac:dyDescent="0.25">
      <c r="A3578" s="520"/>
    </row>
    <row r="3579" spans="1:1" x14ac:dyDescent="0.25">
      <c r="A3579" s="520"/>
    </row>
    <row r="3580" spans="1:1" x14ac:dyDescent="0.25">
      <c r="A3580" s="520"/>
    </row>
    <row r="3581" spans="1:1" x14ac:dyDescent="0.25">
      <c r="A3581" s="520"/>
    </row>
    <row r="3582" spans="1:1" x14ac:dyDescent="0.25">
      <c r="A3582" s="520"/>
    </row>
    <row r="3583" spans="1:1" x14ac:dyDescent="0.25">
      <c r="A3583" s="520"/>
    </row>
    <row r="3584" spans="1:1" x14ac:dyDescent="0.25">
      <c r="A3584" s="520"/>
    </row>
    <row r="3585" spans="1:1" x14ac:dyDescent="0.25">
      <c r="A3585" s="520"/>
    </row>
    <row r="3586" spans="1:1" x14ac:dyDescent="0.25">
      <c r="A3586" s="520"/>
    </row>
    <row r="3587" spans="1:1" x14ac:dyDescent="0.25">
      <c r="A3587" s="520"/>
    </row>
    <row r="3588" spans="1:1" x14ac:dyDescent="0.25">
      <c r="A3588" s="520"/>
    </row>
    <row r="3589" spans="1:1" x14ac:dyDescent="0.25">
      <c r="A3589" s="520"/>
    </row>
    <row r="3590" spans="1:1" x14ac:dyDescent="0.25">
      <c r="A3590" s="520"/>
    </row>
    <row r="3591" spans="1:1" x14ac:dyDescent="0.25">
      <c r="A3591" s="520"/>
    </row>
    <row r="3592" spans="1:1" x14ac:dyDescent="0.25">
      <c r="A3592" s="520"/>
    </row>
    <row r="3593" spans="1:1" x14ac:dyDescent="0.25">
      <c r="A3593" s="520"/>
    </row>
    <row r="3594" spans="1:1" x14ac:dyDescent="0.25">
      <c r="A3594" s="520"/>
    </row>
    <row r="3595" spans="1:1" x14ac:dyDescent="0.25">
      <c r="A3595" s="520"/>
    </row>
    <row r="3596" spans="1:1" x14ac:dyDescent="0.25">
      <c r="A3596" s="520"/>
    </row>
    <row r="3597" spans="1:1" x14ac:dyDescent="0.25">
      <c r="A3597" s="520"/>
    </row>
    <row r="3598" spans="1:1" x14ac:dyDescent="0.25">
      <c r="A3598" s="520"/>
    </row>
    <row r="3599" spans="1:1" x14ac:dyDescent="0.25">
      <c r="A3599" s="520"/>
    </row>
    <row r="3600" spans="1:1" x14ac:dyDescent="0.25">
      <c r="A3600" s="520"/>
    </row>
    <row r="3601" spans="1:1" x14ac:dyDescent="0.25">
      <c r="A3601" s="520"/>
    </row>
    <row r="3602" spans="1:1" x14ac:dyDescent="0.25">
      <c r="A3602" s="520"/>
    </row>
    <row r="3603" spans="1:1" x14ac:dyDescent="0.25">
      <c r="A3603" s="520"/>
    </row>
    <row r="3604" spans="1:1" x14ac:dyDescent="0.25">
      <c r="A3604" s="520"/>
    </row>
    <row r="3605" spans="1:1" x14ac:dyDescent="0.25">
      <c r="A3605" s="520"/>
    </row>
    <row r="3606" spans="1:1" x14ac:dyDescent="0.25">
      <c r="A3606" s="520"/>
    </row>
    <row r="3607" spans="1:1" x14ac:dyDescent="0.25">
      <c r="A3607" s="520"/>
    </row>
    <row r="3608" spans="1:1" x14ac:dyDescent="0.25">
      <c r="A3608" s="520"/>
    </row>
    <row r="3609" spans="1:1" x14ac:dyDescent="0.25">
      <c r="A3609" s="520"/>
    </row>
    <row r="3610" spans="1:1" x14ac:dyDescent="0.25">
      <c r="A3610" s="520"/>
    </row>
    <row r="3611" spans="1:1" x14ac:dyDescent="0.25">
      <c r="A3611" s="520"/>
    </row>
    <row r="3612" spans="1:1" x14ac:dyDescent="0.25">
      <c r="A3612" s="520"/>
    </row>
    <row r="3613" spans="1:1" x14ac:dyDescent="0.25">
      <c r="A3613" s="520"/>
    </row>
    <row r="3614" spans="1:1" x14ac:dyDescent="0.25">
      <c r="A3614" s="520"/>
    </row>
    <row r="3615" spans="1:1" x14ac:dyDescent="0.25">
      <c r="A3615" s="520"/>
    </row>
    <row r="3616" spans="1:1" x14ac:dyDescent="0.25">
      <c r="A3616" s="520"/>
    </row>
    <row r="3617" spans="1:1" x14ac:dyDescent="0.25">
      <c r="A3617" s="520"/>
    </row>
    <row r="3618" spans="1:1" x14ac:dyDescent="0.25">
      <c r="A3618" s="520"/>
    </row>
    <row r="3619" spans="1:1" x14ac:dyDescent="0.25">
      <c r="A3619" s="520"/>
    </row>
    <row r="3620" spans="1:1" x14ac:dyDescent="0.25">
      <c r="A3620" s="520"/>
    </row>
    <row r="3621" spans="1:1" x14ac:dyDescent="0.25">
      <c r="A3621" s="520"/>
    </row>
    <row r="3622" spans="1:1" x14ac:dyDescent="0.25">
      <c r="A3622" s="520"/>
    </row>
    <row r="3623" spans="1:1" x14ac:dyDescent="0.25">
      <c r="A3623" s="520"/>
    </row>
    <row r="3624" spans="1:1" x14ac:dyDescent="0.25">
      <c r="A3624" s="520"/>
    </row>
    <row r="3625" spans="1:1" x14ac:dyDescent="0.25">
      <c r="A3625" s="520"/>
    </row>
    <row r="3626" spans="1:1" x14ac:dyDescent="0.25">
      <c r="A3626" s="520"/>
    </row>
    <row r="3627" spans="1:1" x14ac:dyDescent="0.25">
      <c r="A3627" s="520"/>
    </row>
    <row r="3628" spans="1:1" x14ac:dyDescent="0.25">
      <c r="A3628" s="520"/>
    </row>
    <row r="3629" spans="1:1" x14ac:dyDescent="0.25">
      <c r="A3629" s="520"/>
    </row>
    <row r="3630" spans="1:1" x14ac:dyDescent="0.25">
      <c r="A3630" s="520"/>
    </row>
    <row r="3631" spans="1:1" x14ac:dyDescent="0.25">
      <c r="A3631" s="520"/>
    </row>
    <row r="3632" spans="1:1" x14ac:dyDescent="0.25">
      <c r="A3632" s="520"/>
    </row>
    <row r="3633" spans="1:1" x14ac:dyDescent="0.25">
      <c r="A3633" s="520"/>
    </row>
    <row r="3634" spans="1:1" x14ac:dyDescent="0.25">
      <c r="A3634" s="520"/>
    </row>
    <row r="3635" spans="1:1" x14ac:dyDescent="0.25">
      <c r="A3635" s="520"/>
    </row>
    <row r="3636" spans="1:1" x14ac:dyDescent="0.25">
      <c r="A3636" s="520"/>
    </row>
    <row r="3637" spans="1:1" x14ac:dyDescent="0.25">
      <c r="A3637" s="520"/>
    </row>
    <row r="3638" spans="1:1" x14ac:dyDescent="0.25">
      <c r="A3638" s="520"/>
    </row>
    <row r="3639" spans="1:1" x14ac:dyDescent="0.25">
      <c r="A3639" s="520"/>
    </row>
    <row r="3640" spans="1:1" x14ac:dyDescent="0.25">
      <c r="A3640" s="520"/>
    </row>
    <row r="3641" spans="1:1" x14ac:dyDescent="0.25">
      <c r="A3641" s="520"/>
    </row>
    <row r="3642" spans="1:1" x14ac:dyDescent="0.25">
      <c r="A3642" s="520"/>
    </row>
    <row r="3643" spans="1:1" x14ac:dyDescent="0.25">
      <c r="A3643" s="520"/>
    </row>
    <row r="3644" spans="1:1" x14ac:dyDescent="0.25">
      <c r="A3644" s="520"/>
    </row>
    <row r="3645" spans="1:1" x14ac:dyDescent="0.25">
      <c r="A3645" s="520"/>
    </row>
    <row r="3646" spans="1:1" x14ac:dyDescent="0.25">
      <c r="A3646" s="520"/>
    </row>
    <row r="3647" spans="1:1" x14ac:dyDescent="0.25">
      <c r="A3647" s="520"/>
    </row>
    <row r="3648" spans="1:1" x14ac:dyDescent="0.25">
      <c r="A3648" s="520"/>
    </row>
    <row r="3649" spans="1:1" x14ac:dyDescent="0.25">
      <c r="A3649" s="520"/>
    </row>
    <row r="3650" spans="1:1" x14ac:dyDescent="0.25">
      <c r="A3650" s="520"/>
    </row>
    <row r="3651" spans="1:1" x14ac:dyDescent="0.25">
      <c r="A3651" s="520"/>
    </row>
    <row r="3652" spans="1:1" x14ac:dyDescent="0.25">
      <c r="A3652" s="520"/>
    </row>
    <row r="3653" spans="1:1" x14ac:dyDescent="0.25">
      <c r="A3653" s="520"/>
    </row>
    <row r="3654" spans="1:1" x14ac:dyDescent="0.25">
      <c r="A3654" s="520"/>
    </row>
    <row r="3655" spans="1:1" x14ac:dyDescent="0.25">
      <c r="A3655" s="520"/>
    </row>
    <row r="3656" spans="1:1" x14ac:dyDescent="0.25">
      <c r="A3656" s="520"/>
    </row>
    <row r="3657" spans="1:1" x14ac:dyDescent="0.25">
      <c r="A3657" s="520"/>
    </row>
    <row r="3658" spans="1:1" x14ac:dyDescent="0.25">
      <c r="A3658" s="520"/>
    </row>
    <row r="3659" spans="1:1" x14ac:dyDescent="0.25">
      <c r="A3659" s="520"/>
    </row>
    <row r="3660" spans="1:1" x14ac:dyDescent="0.25">
      <c r="A3660" s="520"/>
    </row>
    <row r="3661" spans="1:1" x14ac:dyDescent="0.25">
      <c r="A3661" s="520"/>
    </row>
    <row r="3662" spans="1:1" x14ac:dyDescent="0.25">
      <c r="A3662" s="520"/>
    </row>
    <row r="3663" spans="1:1" x14ac:dyDescent="0.25">
      <c r="A3663" s="520"/>
    </row>
    <row r="3664" spans="1:1" x14ac:dyDescent="0.25">
      <c r="A3664" s="520"/>
    </row>
    <row r="3665" spans="1:1" x14ac:dyDescent="0.25">
      <c r="A3665" s="520"/>
    </row>
    <row r="3666" spans="1:1" x14ac:dyDescent="0.25">
      <c r="A3666" s="520"/>
    </row>
    <row r="3667" spans="1:1" x14ac:dyDescent="0.25">
      <c r="A3667" s="520"/>
    </row>
    <row r="3668" spans="1:1" x14ac:dyDescent="0.25">
      <c r="A3668" s="520"/>
    </row>
    <row r="3669" spans="1:1" x14ac:dyDescent="0.25">
      <c r="A3669" s="520"/>
    </row>
    <row r="3670" spans="1:1" x14ac:dyDescent="0.25">
      <c r="A3670" s="520"/>
    </row>
    <row r="3671" spans="1:1" x14ac:dyDescent="0.25">
      <c r="A3671" s="520"/>
    </row>
    <row r="3672" spans="1:1" x14ac:dyDescent="0.25">
      <c r="A3672" s="520"/>
    </row>
    <row r="3673" spans="1:1" x14ac:dyDescent="0.25">
      <c r="A3673" s="520"/>
    </row>
    <row r="3674" spans="1:1" x14ac:dyDescent="0.25">
      <c r="A3674" s="520"/>
    </row>
    <row r="3675" spans="1:1" x14ac:dyDescent="0.25">
      <c r="A3675" s="520"/>
    </row>
    <row r="3676" spans="1:1" x14ac:dyDescent="0.25">
      <c r="A3676" s="520"/>
    </row>
    <row r="3677" spans="1:1" x14ac:dyDescent="0.25">
      <c r="A3677" s="520"/>
    </row>
    <row r="3678" spans="1:1" x14ac:dyDescent="0.25">
      <c r="A3678" s="520"/>
    </row>
    <row r="3679" spans="1:1" x14ac:dyDescent="0.25">
      <c r="A3679" s="520"/>
    </row>
    <row r="3680" spans="1:1" x14ac:dyDescent="0.25">
      <c r="A3680" s="520"/>
    </row>
    <row r="3681" spans="1:1" x14ac:dyDescent="0.25">
      <c r="A3681" s="520"/>
    </row>
    <row r="3682" spans="1:1" x14ac:dyDescent="0.25">
      <c r="A3682" s="520"/>
    </row>
    <row r="3683" spans="1:1" x14ac:dyDescent="0.25">
      <c r="A3683" s="520"/>
    </row>
    <row r="3684" spans="1:1" x14ac:dyDescent="0.25">
      <c r="A3684" s="520"/>
    </row>
    <row r="3685" spans="1:1" x14ac:dyDescent="0.25">
      <c r="A3685" s="520"/>
    </row>
    <row r="3686" spans="1:1" x14ac:dyDescent="0.25">
      <c r="A3686" s="520"/>
    </row>
    <row r="3687" spans="1:1" x14ac:dyDescent="0.25">
      <c r="A3687" s="520"/>
    </row>
    <row r="3688" spans="1:1" x14ac:dyDescent="0.25">
      <c r="A3688" s="520"/>
    </row>
    <row r="3689" spans="1:1" x14ac:dyDescent="0.25">
      <c r="A3689" s="520"/>
    </row>
    <row r="3690" spans="1:1" x14ac:dyDescent="0.25">
      <c r="A3690" s="520"/>
    </row>
    <row r="3691" spans="1:1" x14ac:dyDescent="0.25">
      <c r="A3691" s="520"/>
    </row>
    <row r="3692" spans="1:1" x14ac:dyDescent="0.25">
      <c r="A3692" s="520"/>
    </row>
    <row r="3693" spans="1:1" x14ac:dyDescent="0.25">
      <c r="A3693" s="520"/>
    </row>
    <row r="3694" spans="1:1" x14ac:dyDescent="0.25">
      <c r="A3694" s="520"/>
    </row>
    <row r="3695" spans="1:1" x14ac:dyDescent="0.25">
      <c r="A3695" s="520"/>
    </row>
    <row r="3696" spans="1:1" x14ac:dyDescent="0.25">
      <c r="A3696" s="520"/>
    </row>
    <row r="3697" spans="1:1" x14ac:dyDescent="0.25">
      <c r="A3697" s="520"/>
    </row>
    <row r="3698" spans="1:1" x14ac:dyDescent="0.25">
      <c r="A3698" s="520"/>
    </row>
    <row r="3699" spans="1:1" x14ac:dyDescent="0.25">
      <c r="A3699" s="520"/>
    </row>
    <row r="3700" spans="1:1" x14ac:dyDescent="0.25">
      <c r="A3700" s="520"/>
    </row>
    <row r="3701" spans="1:1" x14ac:dyDescent="0.25">
      <c r="A3701" s="520"/>
    </row>
    <row r="3702" spans="1:1" x14ac:dyDescent="0.25">
      <c r="A3702" s="520"/>
    </row>
    <row r="3703" spans="1:1" x14ac:dyDescent="0.25">
      <c r="A3703" s="520"/>
    </row>
    <row r="3704" spans="1:1" x14ac:dyDescent="0.25">
      <c r="A3704" s="520"/>
    </row>
    <row r="3705" spans="1:1" x14ac:dyDescent="0.25">
      <c r="A3705" s="520"/>
    </row>
    <row r="3706" spans="1:1" x14ac:dyDescent="0.25">
      <c r="A3706" s="520"/>
    </row>
    <row r="3707" spans="1:1" x14ac:dyDescent="0.25">
      <c r="A3707" s="520"/>
    </row>
    <row r="3708" spans="1:1" x14ac:dyDescent="0.25">
      <c r="A3708" s="520"/>
    </row>
    <row r="3709" spans="1:1" x14ac:dyDescent="0.25">
      <c r="A3709" s="520"/>
    </row>
    <row r="3710" spans="1:1" x14ac:dyDescent="0.25">
      <c r="A3710" s="520"/>
    </row>
    <row r="3711" spans="1:1" x14ac:dyDescent="0.25">
      <c r="A3711" s="520"/>
    </row>
    <row r="3712" spans="1:1" x14ac:dyDescent="0.25">
      <c r="A3712" s="520"/>
    </row>
    <row r="3713" spans="1:1" x14ac:dyDescent="0.25">
      <c r="A3713" s="520"/>
    </row>
    <row r="3714" spans="1:1" x14ac:dyDescent="0.25">
      <c r="A3714" s="520"/>
    </row>
    <row r="3715" spans="1:1" x14ac:dyDescent="0.25">
      <c r="A3715" s="520"/>
    </row>
    <row r="3716" spans="1:1" x14ac:dyDescent="0.25">
      <c r="A3716" s="520"/>
    </row>
    <row r="3717" spans="1:1" x14ac:dyDescent="0.25">
      <c r="A3717" s="520"/>
    </row>
    <row r="3718" spans="1:1" x14ac:dyDescent="0.25">
      <c r="A3718" s="520"/>
    </row>
    <row r="3719" spans="1:1" x14ac:dyDescent="0.25">
      <c r="A3719" s="520"/>
    </row>
    <row r="3720" spans="1:1" x14ac:dyDescent="0.25">
      <c r="A3720" s="520"/>
    </row>
    <row r="3721" spans="1:1" x14ac:dyDescent="0.25">
      <c r="A3721" s="520"/>
    </row>
    <row r="3722" spans="1:1" x14ac:dyDescent="0.25">
      <c r="A3722" s="520"/>
    </row>
    <row r="3723" spans="1:1" x14ac:dyDescent="0.25">
      <c r="A3723" s="520"/>
    </row>
    <row r="3724" spans="1:1" x14ac:dyDescent="0.25">
      <c r="A3724" s="520"/>
    </row>
    <row r="3725" spans="1:1" x14ac:dyDescent="0.25">
      <c r="A3725" s="520"/>
    </row>
    <row r="3726" spans="1:1" x14ac:dyDescent="0.25">
      <c r="A3726" s="520"/>
    </row>
    <row r="3727" spans="1:1" x14ac:dyDescent="0.25">
      <c r="A3727" s="520"/>
    </row>
    <row r="3728" spans="1:1" x14ac:dyDescent="0.25">
      <c r="A3728" s="520"/>
    </row>
    <row r="3729" spans="1:1" x14ac:dyDescent="0.25">
      <c r="A3729" s="520"/>
    </row>
    <row r="3730" spans="1:1" x14ac:dyDescent="0.25">
      <c r="A3730" s="520"/>
    </row>
    <row r="3731" spans="1:1" x14ac:dyDescent="0.25">
      <c r="A3731" s="520"/>
    </row>
    <row r="3732" spans="1:1" x14ac:dyDescent="0.25">
      <c r="A3732" s="520"/>
    </row>
    <row r="3733" spans="1:1" x14ac:dyDescent="0.25">
      <c r="A3733" s="520"/>
    </row>
    <row r="3734" spans="1:1" x14ac:dyDescent="0.25">
      <c r="A3734" s="520"/>
    </row>
    <row r="3735" spans="1:1" x14ac:dyDescent="0.25">
      <c r="A3735" s="520"/>
    </row>
    <row r="3736" spans="1:1" x14ac:dyDescent="0.25">
      <c r="A3736" s="520"/>
    </row>
    <row r="3737" spans="1:1" x14ac:dyDescent="0.25">
      <c r="A3737" s="520"/>
    </row>
    <row r="3738" spans="1:1" x14ac:dyDescent="0.25">
      <c r="A3738" s="520"/>
    </row>
    <row r="3739" spans="1:1" x14ac:dyDescent="0.25">
      <c r="A3739" s="520"/>
    </row>
    <row r="3740" spans="1:1" x14ac:dyDescent="0.25">
      <c r="A3740" s="520"/>
    </row>
    <row r="3741" spans="1:1" x14ac:dyDescent="0.25">
      <c r="A3741" s="520"/>
    </row>
    <row r="3742" spans="1:1" x14ac:dyDescent="0.25">
      <c r="A3742" s="520"/>
    </row>
    <row r="3743" spans="1:1" x14ac:dyDescent="0.25">
      <c r="A3743" s="520"/>
    </row>
    <row r="3744" spans="1:1" x14ac:dyDescent="0.25">
      <c r="A3744" s="520"/>
    </row>
    <row r="3745" spans="1:1" x14ac:dyDescent="0.25">
      <c r="A3745" s="520"/>
    </row>
    <row r="3746" spans="1:1" x14ac:dyDescent="0.25">
      <c r="A3746" s="520"/>
    </row>
    <row r="3747" spans="1:1" x14ac:dyDescent="0.25">
      <c r="A3747" s="520"/>
    </row>
    <row r="3748" spans="1:1" x14ac:dyDescent="0.25">
      <c r="A3748" s="520"/>
    </row>
    <row r="3749" spans="1:1" x14ac:dyDescent="0.25">
      <c r="A3749" s="520"/>
    </row>
    <row r="3750" spans="1:1" x14ac:dyDescent="0.25">
      <c r="A3750" s="520"/>
    </row>
    <row r="3751" spans="1:1" x14ac:dyDescent="0.25">
      <c r="A3751" s="520"/>
    </row>
    <row r="3752" spans="1:1" x14ac:dyDescent="0.25">
      <c r="A3752" s="520"/>
    </row>
    <row r="3753" spans="1:1" x14ac:dyDescent="0.25">
      <c r="A3753" s="520"/>
    </row>
    <row r="3754" spans="1:1" x14ac:dyDescent="0.25">
      <c r="A3754" s="520"/>
    </row>
    <row r="3755" spans="1:1" x14ac:dyDescent="0.25">
      <c r="A3755" s="520"/>
    </row>
    <row r="3756" spans="1:1" x14ac:dyDescent="0.25">
      <c r="A3756" s="520"/>
    </row>
    <row r="3757" spans="1:1" x14ac:dyDescent="0.25">
      <c r="A3757" s="520"/>
    </row>
    <row r="3758" spans="1:1" x14ac:dyDescent="0.25">
      <c r="A3758" s="520"/>
    </row>
    <row r="3759" spans="1:1" x14ac:dyDescent="0.25">
      <c r="A3759" s="520"/>
    </row>
    <row r="3760" spans="1:1" x14ac:dyDescent="0.25">
      <c r="A3760" s="520"/>
    </row>
    <row r="3761" spans="1:1" x14ac:dyDescent="0.25">
      <c r="A3761" s="520"/>
    </row>
    <row r="3762" spans="1:1" x14ac:dyDescent="0.25">
      <c r="A3762" s="520"/>
    </row>
    <row r="3763" spans="1:1" x14ac:dyDescent="0.25">
      <c r="A3763" s="520"/>
    </row>
    <row r="3764" spans="1:1" x14ac:dyDescent="0.25">
      <c r="A3764" s="520"/>
    </row>
    <row r="3765" spans="1:1" x14ac:dyDescent="0.25">
      <c r="A3765" s="520"/>
    </row>
    <row r="3766" spans="1:1" x14ac:dyDescent="0.25">
      <c r="A3766" s="520"/>
    </row>
    <row r="3767" spans="1:1" x14ac:dyDescent="0.25">
      <c r="A3767" s="520"/>
    </row>
    <row r="3768" spans="1:1" x14ac:dyDescent="0.25">
      <c r="A3768" s="520"/>
    </row>
    <row r="3769" spans="1:1" x14ac:dyDescent="0.25">
      <c r="A3769" s="520"/>
    </row>
    <row r="3770" spans="1:1" x14ac:dyDescent="0.25">
      <c r="A3770" s="520"/>
    </row>
    <row r="3771" spans="1:1" x14ac:dyDescent="0.25">
      <c r="A3771" s="520"/>
    </row>
    <row r="3772" spans="1:1" x14ac:dyDescent="0.25">
      <c r="A3772" s="520"/>
    </row>
    <row r="3773" spans="1:1" x14ac:dyDescent="0.25">
      <c r="A3773" s="520"/>
    </row>
    <row r="3774" spans="1:1" x14ac:dyDescent="0.25">
      <c r="A3774" s="520"/>
    </row>
    <row r="3775" spans="1:1" x14ac:dyDescent="0.25">
      <c r="A3775" s="520"/>
    </row>
    <row r="3776" spans="1:1" x14ac:dyDescent="0.25">
      <c r="A3776" s="520"/>
    </row>
    <row r="3777" spans="1:1" x14ac:dyDescent="0.25">
      <c r="A3777" s="520"/>
    </row>
    <row r="3778" spans="1:1" x14ac:dyDescent="0.25">
      <c r="A3778" s="520"/>
    </row>
    <row r="3779" spans="1:1" x14ac:dyDescent="0.25">
      <c r="A3779" s="520"/>
    </row>
    <row r="3780" spans="1:1" x14ac:dyDescent="0.25">
      <c r="A3780" s="520"/>
    </row>
    <row r="3781" spans="1:1" x14ac:dyDescent="0.25">
      <c r="A3781" s="520"/>
    </row>
    <row r="3782" spans="1:1" x14ac:dyDescent="0.25">
      <c r="A3782" s="520"/>
    </row>
    <row r="3783" spans="1:1" x14ac:dyDescent="0.25">
      <c r="A3783" s="520"/>
    </row>
    <row r="3784" spans="1:1" x14ac:dyDescent="0.25">
      <c r="A3784" s="520"/>
    </row>
    <row r="3785" spans="1:1" x14ac:dyDescent="0.25">
      <c r="A3785" s="520"/>
    </row>
    <row r="3786" spans="1:1" x14ac:dyDescent="0.25">
      <c r="A3786" s="520"/>
    </row>
    <row r="3787" spans="1:1" x14ac:dyDescent="0.25">
      <c r="A3787" s="520"/>
    </row>
    <row r="3788" spans="1:1" x14ac:dyDescent="0.25">
      <c r="A3788" s="520"/>
    </row>
    <row r="3789" spans="1:1" x14ac:dyDescent="0.25">
      <c r="A3789" s="520"/>
    </row>
    <row r="3790" spans="1:1" x14ac:dyDescent="0.25">
      <c r="A3790" s="520"/>
    </row>
    <row r="3791" spans="1:1" x14ac:dyDescent="0.25">
      <c r="A3791" s="520"/>
    </row>
    <row r="3792" spans="1:1" x14ac:dyDescent="0.25">
      <c r="A3792" s="520"/>
    </row>
    <row r="3793" spans="1:1" x14ac:dyDescent="0.25">
      <c r="A3793" s="520"/>
    </row>
    <row r="3794" spans="1:1" x14ac:dyDescent="0.25">
      <c r="A3794" s="520"/>
    </row>
    <row r="3795" spans="1:1" x14ac:dyDescent="0.25">
      <c r="A3795" s="520"/>
    </row>
    <row r="3796" spans="1:1" x14ac:dyDescent="0.25">
      <c r="A3796" s="520"/>
    </row>
    <row r="3797" spans="1:1" x14ac:dyDescent="0.25">
      <c r="A3797" s="520"/>
    </row>
    <row r="3798" spans="1:1" x14ac:dyDescent="0.25">
      <c r="A3798" s="520"/>
    </row>
    <row r="3799" spans="1:1" x14ac:dyDescent="0.25">
      <c r="A3799" s="520"/>
    </row>
    <row r="3800" spans="1:1" x14ac:dyDescent="0.25">
      <c r="A3800" s="520"/>
    </row>
    <row r="3801" spans="1:1" x14ac:dyDescent="0.25">
      <c r="A3801" s="520"/>
    </row>
    <row r="3802" spans="1:1" x14ac:dyDescent="0.25">
      <c r="A3802" s="520"/>
    </row>
    <row r="3803" spans="1:1" x14ac:dyDescent="0.25">
      <c r="A3803" s="520"/>
    </row>
    <row r="3804" spans="1:1" x14ac:dyDescent="0.25">
      <c r="A3804" s="520"/>
    </row>
    <row r="3805" spans="1:1" x14ac:dyDescent="0.25">
      <c r="A3805" s="520"/>
    </row>
    <row r="3806" spans="1:1" x14ac:dyDescent="0.25">
      <c r="A3806" s="520"/>
    </row>
    <row r="3807" spans="1:1" x14ac:dyDescent="0.25">
      <c r="A3807" s="520"/>
    </row>
    <row r="3808" spans="1:1" x14ac:dyDescent="0.25">
      <c r="A3808" s="520"/>
    </row>
    <row r="3809" spans="1:1" x14ac:dyDescent="0.25">
      <c r="A3809" s="520"/>
    </row>
    <row r="3810" spans="1:1" x14ac:dyDescent="0.25">
      <c r="A3810" s="520"/>
    </row>
    <row r="3811" spans="1:1" x14ac:dyDescent="0.25">
      <c r="A3811" s="520"/>
    </row>
    <row r="3812" spans="1:1" x14ac:dyDescent="0.25">
      <c r="A3812" s="520"/>
    </row>
    <row r="3813" spans="1:1" x14ac:dyDescent="0.25">
      <c r="A3813" s="520"/>
    </row>
    <row r="3814" spans="1:1" x14ac:dyDescent="0.25">
      <c r="A3814" s="520"/>
    </row>
    <row r="3815" spans="1:1" x14ac:dyDescent="0.25">
      <c r="A3815" s="520"/>
    </row>
    <row r="3816" spans="1:1" x14ac:dyDescent="0.25">
      <c r="A3816" s="520"/>
    </row>
    <row r="3817" spans="1:1" x14ac:dyDescent="0.25">
      <c r="A3817" s="520"/>
    </row>
    <row r="3818" spans="1:1" x14ac:dyDescent="0.25">
      <c r="A3818" s="520"/>
    </row>
    <row r="3819" spans="1:1" x14ac:dyDescent="0.25">
      <c r="A3819" s="520"/>
    </row>
    <row r="3820" spans="1:1" x14ac:dyDescent="0.25">
      <c r="A3820" s="520"/>
    </row>
    <row r="3821" spans="1:1" x14ac:dyDescent="0.25">
      <c r="A3821" s="520"/>
    </row>
    <row r="3822" spans="1:1" x14ac:dyDescent="0.25">
      <c r="A3822" s="520"/>
    </row>
    <row r="3823" spans="1:1" x14ac:dyDescent="0.25">
      <c r="A3823" s="520"/>
    </row>
    <row r="3824" spans="1:1" x14ac:dyDescent="0.25">
      <c r="A3824" s="520"/>
    </row>
    <row r="3825" spans="1:1" x14ac:dyDescent="0.25">
      <c r="A3825" s="520"/>
    </row>
    <row r="3826" spans="1:1" x14ac:dyDescent="0.25">
      <c r="A3826" s="520"/>
    </row>
    <row r="3827" spans="1:1" x14ac:dyDescent="0.25">
      <c r="A3827" s="520"/>
    </row>
    <row r="3828" spans="1:1" x14ac:dyDescent="0.25">
      <c r="A3828" s="520"/>
    </row>
    <row r="3829" spans="1:1" x14ac:dyDescent="0.25">
      <c r="A3829" s="520"/>
    </row>
    <row r="3830" spans="1:1" x14ac:dyDescent="0.25">
      <c r="A3830" s="520"/>
    </row>
    <row r="3831" spans="1:1" x14ac:dyDescent="0.25">
      <c r="A3831" s="520"/>
    </row>
    <row r="3832" spans="1:1" x14ac:dyDescent="0.25">
      <c r="A3832" s="520"/>
    </row>
    <row r="3833" spans="1:1" x14ac:dyDescent="0.25">
      <c r="A3833" s="520"/>
    </row>
    <row r="3834" spans="1:1" x14ac:dyDescent="0.25">
      <c r="A3834" s="520"/>
    </row>
    <row r="3835" spans="1:1" x14ac:dyDescent="0.25">
      <c r="A3835" s="520"/>
    </row>
    <row r="3836" spans="1:1" x14ac:dyDescent="0.25">
      <c r="A3836" s="520"/>
    </row>
    <row r="3837" spans="1:1" x14ac:dyDescent="0.25">
      <c r="A3837" s="520"/>
    </row>
    <row r="3838" spans="1:1" x14ac:dyDescent="0.25">
      <c r="A3838" s="520"/>
    </row>
    <row r="3839" spans="1:1" x14ac:dyDescent="0.25">
      <c r="A3839" s="520"/>
    </row>
    <row r="3840" spans="1:1" x14ac:dyDescent="0.25">
      <c r="A3840" s="520"/>
    </row>
    <row r="3841" spans="1:1" x14ac:dyDescent="0.25">
      <c r="A3841" s="520"/>
    </row>
    <row r="3842" spans="1:1" x14ac:dyDescent="0.25">
      <c r="A3842" s="520"/>
    </row>
    <row r="3843" spans="1:1" x14ac:dyDescent="0.25">
      <c r="A3843" s="520"/>
    </row>
    <row r="3844" spans="1:1" x14ac:dyDescent="0.25">
      <c r="A3844" s="520"/>
    </row>
    <row r="3845" spans="1:1" x14ac:dyDescent="0.25">
      <c r="A3845" s="520"/>
    </row>
    <row r="3846" spans="1:1" x14ac:dyDescent="0.25">
      <c r="A3846" s="520"/>
    </row>
    <row r="3847" spans="1:1" x14ac:dyDescent="0.25">
      <c r="A3847" s="520"/>
    </row>
    <row r="3848" spans="1:1" x14ac:dyDescent="0.25">
      <c r="A3848" s="520"/>
    </row>
    <row r="3849" spans="1:1" x14ac:dyDescent="0.25">
      <c r="A3849" s="520"/>
    </row>
    <row r="3850" spans="1:1" x14ac:dyDescent="0.25">
      <c r="A3850" s="520"/>
    </row>
    <row r="3851" spans="1:1" x14ac:dyDescent="0.25">
      <c r="A3851" s="520"/>
    </row>
    <row r="3852" spans="1:1" x14ac:dyDescent="0.25">
      <c r="A3852" s="520"/>
    </row>
    <row r="3853" spans="1:1" x14ac:dyDescent="0.25">
      <c r="A3853" s="520"/>
    </row>
    <row r="3854" spans="1:1" x14ac:dyDescent="0.25">
      <c r="A3854" s="520"/>
    </row>
    <row r="3855" spans="1:1" x14ac:dyDescent="0.25">
      <c r="A3855" s="520"/>
    </row>
    <row r="3856" spans="1:1" x14ac:dyDescent="0.25">
      <c r="A3856" s="520"/>
    </row>
    <row r="3857" spans="1:1" x14ac:dyDescent="0.25">
      <c r="A3857" s="520"/>
    </row>
    <row r="3858" spans="1:1" x14ac:dyDescent="0.25">
      <c r="A3858" s="520"/>
    </row>
    <row r="3859" spans="1:1" x14ac:dyDescent="0.25">
      <c r="A3859" s="520"/>
    </row>
    <row r="3860" spans="1:1" x14ac:dyDescent="0.25">
      <c r="A3860" s="520"/>
    </row>
    <row r="3861" spans="1:1" x14ac:dyDescent="0.25">
      <c r="A3861" s="520"/>
    </row>
    <row r="3862" spans="1:1" x14ac:dyDescent="0.25">
      <c r="A3862" s="520"/>
    </row>
    <row r="3863" spans="1:1" x14ac:dyDescent="0.25">
      <c r="A3863" s="520"/>
    </row>
    <row r="3864" spans="1:1" x14ac:dyDescent="0.25">
      <c r="A3864" s="520"/>
    </row>
    <row r="3865" spans="1:1" x14ac:dyDescent="0.25">
      <c r="A3865" s="520"/>
    </row>
    <row r="3866" spans="1:1" x14ac:dyDescent="0.25">
      <c r="A3866" s="520"/>
    </row>
    <row r="3867" spans="1:1" x14ac:dyDescent="0.25">
      <c r="A3867" s="520"/>
    </row>
    <row r="3868" spans="1:1" x14ac:dyDescent="0.25">
      <c r="A3868" s="520"/>
    </row>
    <row r="3869" spans="1:1" x14ac:dyDescent="0.25">
      <c r="A3869" s="520"/>
    </row>
    <row r="3870" spans="1:1" x14ac:dyDescent="0.25">
      <c r="A3870" s="520"/>
    </row>
    <row r="3871" spans="1:1" x14ac:dyDescent="0.25">
      <c r="A3871" s="520"/>
    </row>
    <row r="3872" spans="1:1" x14ac:dyDescent="0.25">
      <c r="A3872" s="520"/>
    </row>
    <row r="3873" spans="1:1" x14ac:dyDescent="0.25">
      <c r="A3873" s="520"/>
    </row>
    <row r="3874" spans="1:1" x14ac:dyDescent="0.25">
      <c r="A3874" s="520"/>
    </row>
    <row r="3875" spans="1:1" x14ac:dyDescent="0.25">
      <c r="A3875" s="520"/>
    </row>
    <row r="3876" spans="1:1" x14ac:dyDescent="0.25">
      <c r="A3876" s="520"/>
    </row>
    <row r="3877" spans="1:1" x14ac:dyDescent="0.25">
      <c r="A3877" s="520"/>
    </row>
    <row r="3878" spans="1:1" x14ac:dyDescent="0.25">
      <c r="A3878" s="520"/>
    </row>
    <row r="3879" spans="1:1" x14ac:dyDescent="0.25">
      <c r="A3879" s="520"/>
    </row>
    <row r="3880" spans="1:1" x14ac:dyDescent="0.25">
      <c r="A3880" s="520"/>
    </row>
    <row r="3881" spans="1:1" x14ac:dyDescent="0.25">
      <c r="A3881" s="520"/>
    </row>
    <row r="3882" spans="1:1" x14ac:dyDescent="0.25">
      <c r="A3882" s="520"/>
    </row>
    <row r="3883" spans="1:1" x14ac:dyDescent="0.25">
      <c r="A3883" s="520"/>
    </row>
    <row r="3884" spans="1:1" x14ac:dyDescent="0.25">
      <c r="A3884" s="520"/>
    </row>
    <row r="3885" spans="1:1" x14ac:dyDescent="0.25">
      <c r="A3885" s="520"/>
    </row>
    <row r="3886" spans="1:1" x14ac:dyDescent="0.25">
      <c r="A3886" s="520"/>
    </row>
    <row r="3887" spans="1:1" x14ac:dyDescent="0.25">
      <c r="A3887" s="520"/>
    </row>
    <row r="3888" spans="1:1" x14ac:dyDescent="0.25">
      <c r="A3888" s="520"/>
    </row>
    <row r="3889" spans="1:1" x14ac:dyDescent="0.25">
      <c r="A3889" s="520"/>
    </row>
    <row r="3890" spans="1:1" x14ac:dyDescent="0.25">
      <c r="A3890" s="520"/>
    </row>
    <row r="3891" spans="1:1" x14ac:dyDescent="0.25">
      <c r="A3891" s="520"/>
    </row>
    <row r="3892" spans="1:1" x14ac:dyDescent="0.25">
      <c r="A3892" s="520"/>
    </row>
    <row r="3893" spans="1:1" x14ac:dyDescent="0.25">
      <c r="A3893" s="520"/>
    </row>
    <row r="3894" spans="1:1" x14ac:dyDescent="0.25">
      <c r="A3894" s="520"/>
    </row>
    <row r="3895" spans="1:1" x14ac:dyDescent="0.25">
      <c r="A3895" s="520"/>
    </row>
    <row r="3896" spans="1:1" x14ac:dyDescent="0.25">
      <c r="A3896" s="520"/>
    </row>
    <row r="3897" spans="1:1" x14ac:dyDescent="0.25">
      <c r="A3897" s="520"/>
    </row>
    <row r="3898" spans="1:1" x14ac:dyDescent="0.25">
      <c r="A3898" s="520"/>
    </row>
    <row r="3899" spans="1:1" x14ac:dyDescent="0.25">
      <c r="A3899" s="520"/>
    </row>
    <row r="3900" spans="1:1" x14ac:dyDescent="0.25">
      <c r="A3900" s="520"/>
    </row>
    <row r="3901" spans="1:1" x14ac:dyDescent="0.25">
      <c r="A3901" s="520"/>
    </row>
    <row r="3902" spans="1:1" x14ac:dyDescent="0.25">
      <c r="A3902" s="520"/>
    </row>
    <row r="3903" spans="1:1" x14ac:dyDescent="0.25">
      <c r="A3903" s="520"/>
    </row>
    <row r="3904" spans="1:1" x14ac:dyDescent="0.25">
      <c r="A3904" s="520"/>
    </row>
    <row r="3905" spans="1:1" x14ac:dyDescent="0.25">
      <c r="A3905" s="520"/>
    </row>
    <row r="3906" spans="1:1" x14ac:dyDescent="0.25">
      <c r="A3906" s="520"/>
    </row>
    <row r="3907" spans="1:1" x14ac:dyDescent="0.25">
      <c r="A3907" s="520"/>
    </row>
    <row r="3908" spans="1:1" x14ac:dyDescent="0.25">
      <c r="A3908" s="520"/>
    </row>
    <row r="3909" spans="1:1" x14ac:dyDescent="0.25">
      <c r="A3909" s="520"/>
    </row>
    <row r="3910" spans="1:1" x14ac:dyDescent="0.25">
      <c r="A3910" s="520"/>
    </row>
    <row r="3911" spans="1:1" x14ac:dyDescent="0.25">
      <c r="A3911" s="520"/>
    </row>
    <row r="3912" spans="1:1" x14ac:dyDescent="0.25">
      <c r="A3912" s="520"/>
    </row>
    <row r="3913" spans="1:1" x14ac:dyDescent="0.25">
      <c r="A3913" s="520"/>
    </row>
    <row r="3914" spans="1:1" x14ac:dyDescent="0.25">
      <c r="A3914" s="520"/>
    </row>
    <row r="3915" spans="1:1" x14ac:dyDescent="0.25">
      <c r="A3915" s="520"/>
    </row>
    <row r="3916" spans="1:1" x14ac:dyDescent="0.25">
      <c r="A3916" s="520"/>
    </row>
    <row r="3917" spans="1:1" x14ac:dyDescent="0.25">
      <c r="A3917" s="520"/>
    </row>
    <row r="3918" spans="1:1" x14ac:dyDescent="0.25">
      <c r="A3918" s="520"/>
    </row>
    <row r="3919" spans="1:1" x14ac:dyDescent="0.25">
      <c r="A3919" s="520"/>
    </row>
    <row r="3920" spans="1:1" x14ac:dyDescent="0.25">
      <c r="A3920" s="520"/>
    </row>
    <row r="3921" spans="1:1" x14ac:dyDescent="0.25">
      <c r="A3921" s="520"/>
    </row>
    <row r="3922" spans="1:1" x14ac:dyDescent="0.25">
      <c r="A3922" s="520"/>
    </row>
    <row r="3923" spans="1:1" x14ac:dyDescent="0.25">
      <c r="A3923" s="520"/>
    </row>
    <row r="3924" spans="1:1" x14ac:dyDescent="0.25">
      <c r="A3924" s="520"/>
    </row>
    <row r="3925" spans="1:1" x14ac:dyDescent="0.25">
      <c r="A3925" s="520"/>
    </row>
    <row r="3926" spans="1:1" x14ac:dyDescent="0.25">
      <c r="A3926" s="520"/>
    </row>
    <row r="3927" spans="1:1" x14ac:dyDescent="0.25">
      <c r="A3927" s="520"/>
    </row>
    <row r="3928" spans="1:1" x14ac:dyDescent="0.25">
      <c r="A3928" s="520"/>
    </row>
    <row r="3929" spans="1:1" x14ac:dyDescent="0.25">
      <c r="A3929" s="520"/>
    </row>
    <row r="3930" spans="1:1" x14ac:dyDescent="0.25">
      <c r="A3930" s="520"/>
    </row>
    <row r="3931" spans="1:1" x14ac:dyDescent="0.25">
      <c r="A3931" s="520"/>
    </row>
    <row r="3932" spans="1:1" x14ac:dyDescent="0.25">
      <c r="A3932" s="520"/>
    </row>
    <row r="3933" spans="1:1" x14ac:dyDescent="0.25">
      <c r="A3933" s="520"/>
    </row>
    <row r="3934" spans="1:1" x14ac:dyDescent="0.25">
      <c r="A3934" s="520"/>
    </row>
    <row r="3935" spans="1:1" x14ac:dyDescent="0.25">
      <c r="A3935" s="520"/>
    </row>
    <row r="3936" spans="1:1" x14ac:dyDescent="0.25">
      <c r="A3936" s="520"/>
    </row>
    <row r="3937" spans="1:1" x14ac:dyDescent="0.25">
      <c r="A3937" s="520"/>
    </row>
    <row r="3938" spans="1:1" x14ac:dyDescent="0.25">
      <c r="A3938" s="520"/>
    </row>
    <row r="3939" spans="1:1" x14ac:dyDescent="0.25">
      <c r="A3939" s="520"/>
    </row>
    <row r="3940" spans="1:1" x14ac:dyDescent="0.25">
      <c r="A3940" s="520"/>
    </row>
    <row r="3941" spans="1:1" x14ac:dyDescent="0.25">
      <c r="A3941" s="520"/>
    </row>
    <row r="3942" spans="1:1" x14ac:dyDescent="0.25">
      <c r="A3942" s="520"/>
    </row>
    <row r="3943" spans="1:1" x14ac:dyDescent="0.25">
      <c r="A3943" s="520"/>
    </row>
    <row r="3944" spans="1:1" x14ac:dyDescent="0.25">
      <c r="A3944" s="520"/>
    </row>
    <row r="3945" spans="1:1" x14ac:dyDescent="0.25">
      <c r="A3945" s="520"/>
    </row>
    <row r="3946" spans="1:1" x14ac:dyDescent="0.25">
      <c r="A3946" s="520"/>
    </row>
    <row r="3947" spans="1:1" x14ac:dyDescent="0.25">
      <c r="A3947" s="520"/>
    </row>
    <row r="3948" spans="1:1" x14ac:dyDescent="0.25">
      <c r="A3948" s="520"/>
    </row>
    <row r="3949" spans="1:1" x14ac:dyDescent="0.25">
      <c r="A3949" s="520"/>
    </row>
    <row r="3950" spans="1:1" x14ac:dyDescent="0.25">
      <c r="A3950" s="520"/>
    </row>
    <row r="3951" spans="1:1" x14ac:dyDescent="0.25">
      <c r="A3951" s="520"/>
    </row>
    <row r="3952" spans="1:1" x14ac:dyDescent="0.25">
      <c r="A3952" s="520"/>
    </row>
    <row r="3953" spans="1:1" x14ac:dyDescent="0.25">
      <c r="A3953" s="520"/>
    </row>
    <row r="3954" spans="1:1" x14ac:dyDescent="0.25">
      <c r="A3954" s="520"/>
    </row>
    <row r="3955" spans="1:1" x14ac:dyDescent="0.25">
      <c r="A3955" s="520"/>
    </row>
    <row r="3956" spans="1:1" x14ac:dyDescent="0.25">
      <c r="A3956" s="520"/>
    </row>
    <row r="3957" spans="1:1" x14ac:dyDescent="0.25">
      <c r="A3957" s="520"/>
    </row>
    <row r="3958" spans="1:1" x14ac:dyDescent="0.25">
      <c r="A3958" s="520"/>
    </row>
    <row r="3959" spans="1:1" x14ac:dyDescent="0.25">
      <c r="A3959" s="520"/>
    </row>
    <row r="3960" spans="1:1" x14ac:dyDescent="0.25">
      <c r="A3960" s="520"/>
    </row>
    <row r="3961" spans="1:1" x14ac:dyDescent="0.25">
      <c r="A3961" s="520"/>
    </row>
    <row r="3962" spans="1:1" x14ac:dyDescent="0.25">
      <c r="A3962" s="520"/>
    </row>
    <row r="3963" spans="1:1" x14ac:dyDescent="0.25">
      <c r="A3963" s="520"/>
    </row>
    <row r="3964" spans="1:1" x14ac:dyDescent="0.25">
      <c r="A3964" s="520"/>
    </row>
    <row r="3965" spans="1:1" x14ac:dyDescent="0.25">
      <c r="A3965" s="520"/>
    </row>
    <row r="3966" spans="1:1" x14ac:dyDescent="0.25">
      <c r="A3966" s="520"/>
    </row>
    <row r="3967" spans="1:1" x14ac:dyDescent="0.25">
      <c r="A3967" s="520"/>
    </row>
    <row r="3968" spans="1:1" x14ac:dyDescent="0.25">
      <c r="A3968" s="520"/>
    </row>
    <row r="3969" spans="1:1" x14ac:dyDescent="0.25">
      <c r="A3969" s="520"/>
    </row>
    <row r="3970" spans="1:1" x14ac:dyDescent="0.25">
      <c r="A3970" s="520"/>
    </row>
    <row r="3971" spans="1:1" x14ac:dyDescent="0.25">
      <c r="A3971" s="520"/>
    </row>
    <row r="3972" spans="1:1" x14ac:dyDescent="0.25">
      <c r="A3972" s="520"/>
    </row>
    <row r="3973" spans="1:1" x14ac:dyDescent="0.25">
      <c r="A3973" s="520"/>
    </row>
    <row r="3974" spans="1:1" x14ac:dyDescent="0.25">
      <c r="A3974" s="520"/>
    </row>
    <row r="3975" spans="1:1" x14ac:dyDescent="0.25">
      <c r="A3975" s="520"/>
    </row>
    <row r="3976" spans="1:1" x14ac:dyDescent="0.25">
      <c r="A3976" s="520"/>
    </row>
    <row r="3977" spans="1:1" x14ac:dyDescent="0.25">
      <c r="A3977" s="520"/>
    </row>
    <row r="3978" spans="1:1" x14ac:dyDescent="0.25">
      <c r="A3978" s="520"/>
    </row>
    <row r="3979" spans="1:1" x14ac:dyDescent="0.25">
      <c r="A3979" s="520"/>
    </row>
    <row r="3980" spans="1:1" x14ac:dyDescent="0.25">
      <c r="A3980" s="520"/>
    </row>
    <row r="3981" spans="1:1" x14ac:dyDescent="0.25">
      <c r="A3981" s="520"/>
    </row>
    <row r="3982" spans="1:1" x14ac:dyDescent="0.25">
      <c r="A3982" s="520"/>
    </row>
    <row r="3983" spans="1:1" x14ac:dyDescent="0.25">
      <c r="A3983" s="520"/>
    </row>
    <row r="3984" spans="1:1" x14ac:dyDescent="0.25">
      <c r="A3984" s="520"/>
    </row>
    <row r="3985" spans="1:1" x14ac:dyDescent="0.25">
      <c r="A3985" s="520"/>
    </row>
    <row r="3986" spans="1:1" x14ac:dyDescent="0.25">
      <c r="A3986" s="520"/>
    </row>
    <row r="3987" spans="1:1" x14ac:dyDescent="0.25">
      <c r="A3987" s="520"/>
    </row>
    <row r="3988" spans="1:1" x14ac:dyDescent="0.25">
      <c r="A3988" s="520"/>
    </row>
    <row r="3989" spans="1:1" x14ac:dyDescent="0.25">
      <c r="A3989" s="520"/>
    </row>
    <row r="3990" spans="1:1" x14ac:dyDescent="0.25">
      <c r="A3990" s="520"/>
    </row>
    <row r="3991" spans="1:1" x14ac:dyDescent="0.25">
      <c r="A3991" s="520"/>
    </row>
    <row r="3992" spans="1:1" x14ac:dyDescent="0.25">
      <c r="A3992" s="520"/>
    </row>
    <row r="3993" spans="1:1" x14ac:dyDescent="0.25">
      <c r="A3993" s="520"/>
    </row>
    <row r="3994" spans="1:1" x14ac:dyDescent="0.25">
      <c r="A3994" s="520"/>
    </row>
    <row r="3995" spans="1:1" x14ac:dyDescent="0.25">
      <c r="A3995" s="520"/>
    </row>
    <row r="3996" spans="1:1" x14ac:dyDescent="0.25">
      <c r="A3996" s="520"/>
    </row>
    <row r="3997" spans="1:1" x14ac:dyDescent="0.25">
      <c r="A3997" s="520"/>
    </row>
    <row r="3998" spans="1:1" x14ac:dyDescent="0.25">
      <c r="A3998" s="520"/>
    </row>
    <row r="3999" spans="1:1" x14ac:dyDescent="0.25">
      <c r="A3999" s="520"/>
    </row>
    <row r="4000" spans="1:1" x14ac:dyDescent="0.25">
      <c r="A4000" s="520"/>
    </row>
    <row r="4001" spans="1:1" x14ac:dyDescent="0.25">
      <c r="A4001" s="520"/>
    </row>
    <row r="4002" spans="1:1" x14ac:dyDescent="0.25">
      <c r="A4002" s="520"/>
    </row>
    <row r="4003" spans="1:1" x14ac:dyDescent="0.25">
      <c r="A4003" s="520"/>
    </row>
    <row r="4004" spans="1:1" x14ac:dyDescent="0.25">
      <c r="A4004" s="520"/>
    </row>
    <row r="4005" spans="1:1" x14ac:dyDescent="0.25">
      <c r="A4005" s="520"/>
    </row>
    <row r="4006" spans="1:1" x14ac:dyDescent="0.25">
      <c r="A4006" s="520"/>
    </row>
    <row r="4007" spans="1:1" x14ac:dyDescent="0.25">
      <c r="A4007" s="520"/>
    </row>
    <row r="4008" spans="1:1" x14ac:dyDescent="0.25">
      <c r="A4008" s="520"/>
    </row>
    <row r="4009" spans="1:1" x14ac:dyDescent="0.25">
      <c r="A4009" s="520"/>
    </row>
    <row r="4010" spans="1:1" x14ac:dyDescent="0.25">
      <c r="A4010" s="520"/>
    </row>
    <row r="4011" spans="1:1" x14ac:dyDescent="0.25">
      <c r="A4011" s="520"/>
    </row>
    <row r="4012" spans="1:1" x14ac:dyDescent="0.25">
      <c r="A4012" s="520"/>
    </row>
    <row r="4013" spans="1:1" x14ac:dyDescent="0.25">
      <c r="A4013" s="520"/>
    </row>
    <row r="4014" spans="1:1" x14ac:dyDescent="0.25">
      <c r="A4014" s="520"/>
    </row>
    <row r="4015" spans="1:1" x14ac:dyDescent="0.25">
      <c r="A4015" s="520"/>
    </row>
    <row r="4016" spans="1:1" x14ac:dyDescent="0.25">
      <c r="A4016" s="520"/>
    </row>
    <row r="4017" spans="1:1" x14ac:dyDescent="0.25">
      <c r="A4017" s="520"/>
    </row>
    <row r="4018" spans="1:1" x14ac:dyDescent="0.25">
      <c r="A4018" s="520"/>
    </row>
    <row r="4019" spans="1:1" x14ac:dyDescent="0.25">
      <c r="A4019" s="520"/>
    </row>
    <row r="4020" spans="1:1" x14ac:dyDescent="0.25">
      <c r="A4020" s="520"/>
    </row>
    <row r="4021" spans="1:1" x14ac:dyDescent="0.25">
      <c r="A4021" s="520"/>
    </row>
    <row r="4022" spans="1:1" x14ac:dyDescent="0.25">
      <c r="A4022" s="520"/>
    </row>
    <row r="4023" spans="1:1" x14ac:dyDescent="0.25">
      <c r="A4023" s="520"/>
    </row>
    <row r="4024" spans="1:1" x14ac:dyDescent="0.25">
      <c r="A4024" s="520"/>
    </row>
    <row r="4025" spans="1:1" x14ac:dyDescent="0.25">
      <c r="A4025" s="520"/>
    </row>
    <row r="4026" spans="1:1" x14ac:dyDescent="0.25">
      <c r="A4026" s="520"/>
    </row>
    <row r="4027" spans="1:1" x14ac:dyDescent="0.25">
      <c r="A4027" s="520"/>
    </row>
    <row r="4028" spans="1:1" x14ac:dyDescent="0.25">
      <c r="A4028" s="520"/>
    </row>
    <row r="4029" spans="1:1" x14ac:dyDescent="0.25">
      <c r="A4029" s="520"/>
    </row>
    <row r="4030" spans="1:1" x14ac:dyDescent="0.25">
      <c r="A4030" s="520"/>
    </row>
    <row r="4031" spans="1:1" x14ac:dyDescent="0.25">
      <c r="A4031" s="520"/>
    </row>
    <row r="4032" spans="1:1" x14ac:dyDescent="0.25">
      <c r="A4032" s="520"/>
    </row>
    <row r="4033" spans="1:1" x14ac:dyDescent="0.25">
      <c r="A4033" s="520"/>
    </row>
    <row r="4034" spans="1:1" x14ac:dyDescent="0.25">
      <c r="A4034" s="520"/>
    </row>
    <row r="4035" spans="1:1" x14ac:dyDescent="0.25">
      <c r="A4035" s="520"/>
    </row>
    <row r="4036" spans="1:1" x14ac:dyDescent="0.25">
      <c r="A4036" s="520"/>
    </row>
    <row r="4037" spans="1:1" x14ac:dyDescent="0.25">
      <c r="A4037" s="520"/>
    </row>
    <row r="4038" spans="1:1" x14ac:dyDescent="0.25">
      <c r="A4038" s="520"/>
    </row>
    <row r="4039" spans="1:1" x14ac:dyDescent="0.25">
      <c r="A4039" s="520"/>
    </row>
    <row r="4040" spans="1:1" x14ac:dyDescent="0.25">
      <c r="A4040" s="520"/>
    </row>
    <row r="4041" spans="1:1" x14ac:dyDescent="0.25">
      <c r="A4041" s="520"/>
    </row>
    <row r="4042" spans="1:1" x14ac:dyDescent="0.25">
      <c r="A4042" s="520"/>
    </row>
    <row r="4043" spans="1:1" x14ac:dyDescent="0.25">
      <c r="A4043" s="520"/>
    </row>
    <row r="4044" spans="1:1" x14ac:dyDescent="0.25">
      <c r="A4044" s="520"/>
    </row>
    <row r="4045" spans="1:1" x14ac:dyDescent="0.25">
      <c r="A4045" s="520"/>
    </row>
    <row r="4046" spans="1:1" x14ac:dyDescent="0.25">
      <c r="A4046" s="520"/>
    </row>
    <row r="4047" spans="1:1" x14ac:dyDescent="0.25">
      <c r="A4047" s="520"/>
    </row>
    <row r="4048" spans="1:1" x14ac:dyDescent="0.25">
      <c r="A4048" s="520"/>
    </row>
    <row r="4049" spans="1:1" x14ac:dyDescent="0.25">
      <c r="A4049" s="520"/>
    </row>
    <row r="4050" spans="1:1" x14ac:dyDescent="0.25">
      <c r="A4050" s="520"/>
    </row>
    <row r="4051" spans="1:1" x14ac:dyDescent="0.25">
      <c r="A4051" s="520"/>
    </row>
    <row r="4052" spans="1:1" x14ac:dyDescent="0.25">
      <c r="A4052" s="520"/>
    </row>
    <row r="4053" spans="1:1" x14ac:dyDescent="0.25">
      <c r="A4053" s="520"/>
    </row>
    <row r="4054" spans="1:1" x14ac:dyDescent="0.25">
      <c r="A4054" s="520"/>
    </row>
    <row r="4055" spans="1:1" x14ac:dyDescent="0.25">
      <c r="A4055" s="520"/>
    </row>
    <row r="4056" spans="1:1" x14ac:dyDescent="0.25">
      <c r="A4056" s="520"/>
    </row>
    <row r="4057" spans="1:1" x14ac:dyDescent="0.25">
      <c r="A4057" s="520"/>
    </row>
    <row r="4058" spans="1:1" x14ac:dyDescent="0.25">
      <c r="A4058" s="520"/>
    </row>
    <row r="4059" spans="1:1" x14ac:dyDescent="0.25">
      <c r="A4059" s="520"/>
    </row>
    <row r="4060" spans="1:1" x14ac:dyDescent="0.25">
      <c r="A4060" s="520"/>
    </row>
    <row r="4061" spans="1:1" x14ac:dyDescent="0.25">
      <c r="A4061" s="520"/>
    </row>
    <row r="4062" spans="1:1" x14ac:dyDescent="0.25">
      <c r="A4062" s="520"/>
    </row>
    <row r="4063" spans="1:1" x14ac:dyDescent="0.25">
      <c r="A4063" s="520"/>
    </row>
    <row r="4064" spans="1:1" x14ac:dyDescent="0.25">
      <c r="A4064" s="520"/>
    </row>
    <row r="4065" spans="1:1" x14ac:dyDescent="0.25">
      <c r="A4065" s="520"/>
    </row>
    <row r="4066" spans="1:1" x14ac:dyDescent="0.25">
      <c r="A4066" s="520"/>
    </row>
    <row r="4067" spans="1:1" x14ac:dyDescent="0.25">
      <c r="A4067" s="520"/>
    </row>
    <row r="4068" spans="1:1" x14ac:dyDescent="0.25">
      <c r="A4068" s="520"/>
    </row>
    <row r="4069" spans="1:1" x14ac:dyDescent="0.25">
      <c r="A4069" s="520"/>
    </row>
    <row r="4070" spans="1:1" x14ac:dyDescent="0.25">
      <c r="A4070" s="520"/>
    </row>
    <row r="4071" spans="1:1" x14ac:dyDescent="0.25">
      <c r="A4071" s="520"/>
    </row>
    <row r="4072" spans="1:1" x14ac:dyDescent="0.25">
      <c r="A4072" s="520"/>
    </row>
    <row r="4073" spans="1:1" x14ac:dyDescent="0.25">
      <c r="A4073" s="520"/>
    </row>
    <row r="4074" spans="1:1" x14ac:dyDescent="0.25">
      <c r="A4074" s="520"/>
    </row>
    <row r="4075" spans="1:1" x14ac:dyDescent="0.25">
      <c r="A4075" s="520"/>
    </row>
    <row r="4076" spans="1:1" x14ac:dyDescent="0.25">
      <c r="A4076" s="520"/>
    </row>
    <row r="4077" spans="1:1" x14ac:dyDescent="0.25">
      <c r="A4077" s="520"/>
    </row>
    <row r="4078" spans="1:1" x14ac:dyDescent="0.25">
      <c r="A4078" s="520"/>
    </row>
    <row r="4079" spans="1:1" x14ac:dyDescent="0.25">
      <c r="A4079" s="520"/>
    </row>
    <row r="4080" spans="1:1" x14ac:dyDescent="0.25">
      <c r="A4080" s="520"/>
    </row>
    <row r="4081" spans="1:1" x14ac:dyDescent="0.25">
      <c r="A4081" s="520"/>
    </row>
    <row r="4082" spans="1:1" x14ac:dyDescent="0.25">
      <c r="A4082" s="520"/>
    </row>
    <row r="4083" spans="1:1" x14ac:dyDescent="0.25">
      <c r="A4083" s="520"/>
    </row>
    <row r="4084" spans="1:1" x14ac:dyDescent="0.25">
      <c r="A4084" s="520"/>
    </row>
    <row r="4085" spans="1:1" x14ac:dyDescent="0.25">
      <c r="A4085" s="520"/>
    </row>
    <row r="4086" spans="1:1" x14ac:dyDescent="0.25">
      <c r="A4086" s="520"/>
    </row>
    <row r="4087" spans="1:1" x14ac:dyDescent="0.25">
      <c r="A4087" s="520"/>
    </row>
    <row r="4088" spans="1:1" x14ac:dyDescent="0.25">
      <c r="A4088" s="520"/>
    </row>
    <row r="4089" spans="1:1" x14ac:dyDescent="0.25">
      <c r="A4089" s="520"/>
    </row>
    <row r="4090" spans="1:1" x14ac:dyDescent="0.25">
      <c r="A4090" s="520"/>
    </row>
    <row r="4091" spans="1:1" x14ac:dyDescent="0.25">
      <c r="A4091" s="520"/>
    </row>
    <row r="4092" spans="1:1" x14ac:dyDescent="0.25">
      <c r="A4092" s="520"/>
    </row>
    <row r="4093" spans="1:1" x14ac:dyDescent="0.25">
      <c r="A4093" s="520"/>
    </row>
    <row r="4094" spans="1:1" x14ac:dyDescent="0.25">
      <c r="A4094" s="520"/>
    </row>
    <row r="4095" spans="1:1" x14ac:dyDescent="0.25">
      <c r="A4095" s="520"/>
    </row>
    <row r="4096" spans="1:1" x14ac:dyDescent="0.25">
      <c r="A4096" s="520"/>
    </row>
    <row r="4097" spans="1:1" x14ac:dyDescent="0.25">
      <c r="A4097" s="520"/>
    </row>
    <row r="4098" spans="1:1" x14ac:dyDescent="0.25">
      <c r="A4098" s="520"/>
    </row>
    <row r="4099" spans="1:1" x14ac:dyDescent="0.25">
      <c r="A4099" s="520"/>
    </row>
    <row r="4100" spans="1:1" x14ac:dyDescent="0.25">
      <c r="A4100" s="520"/>
    </row>
    <row r="4101" spans="1:1" x14ac:dyDescent="0.25">
      <c r="A4101" s="520"/>
    </row>
    <row r="4102" spans="1:1" x14ac:dyDescent="0.25">
      <c r="A4102" s="520"/>
    </row>
    <row r="4103" spans="1:1" x14ac:dyDescent="0.25">
      <c r="A4103" s="520"/>
    </row>
    <row r="4104" spans="1:1" x14ac:dyDescent="0.25">
      <c r="A4104" s="520"/>
    </row>
    <row r="4105" spans="1:1" x14ac:dyDescent="0.25">
      <c r="A4105" s="520"/>
    </row>
    <row r="4106" spans="1:1" x14ac:dyDescent="0.25">
      <c r="A4106" s="520"/>
    </row>
    <row r="4107" spans="1:1" x14ac:dyDescent="0.25">
      <c r="A4107" s="520"/>
    </row>
    <row r="4108" spans="1:1" x14ac:dyDescent="0.25">
      <c r="A4108" s="520"/>
    </row>
    <row r="4109" spans="1:1" x14ac:dyDescent="0.25">
      <c r="A4109" s="520"/>
    </row>
    <row r="4110" spans="1:1" x14ac:dyDescent="0.25">
      <c r="A4110" s="520"/>
    </row>
    <row r="4111" spans="1:1" x14ac:dyDescent="0.25">
      <c r="A4111" s="520"/>
    </row>
    <row r="4112" spans="1:1" x14ac:dyDescent="0.25">
      <c r="A4112" s="520"/>
    </row>
    <row r="4113" spans="1:1" x14ac:dyDescent="0.25">
      <c r="A4113" s="520"/>
    </row>
    <row r="4114" spans="1:1" x14ac:dyDescent="0.25">
      <c r="A4114" s="520"/>
    </row>
    <row r="4115" spans="1:1" x14ac:dyDescent="0.25">
      <c r="A4115" s="520"/>
    </row>
    <row r="4116" spans="1:1" x14ac:dyDescent="0.25">
      <c r="A4116" s="520"/>
    </row>
    <row r="4117" spans="1:1" x14ac:dyDescent="0.25">
      <c r="A4117" s="520"/>
    </row>
    <row r="4118" spans="1:1" x14ac:dyDescent="0.25">
      <c r="A4118" s="520"/>
    </row>
    <row r="4119" spans="1:1" x14ac:dyDescent="0.25">
      <c r="A4119" s="520"/>
    </row>
    <row r="4120" spans="1:1" x14ac:dyDescent="0.25">
      <c r="A4120" s="520"/>
    </row>
    <row r="4121" spans="1:1" x14ac:dyDescent="0.25">
      <c r="A4121" s="520"/>
    </row>
    <row r="4122" spans="1:1" x14ac:dyDescent="0.25">
      <c r="A4122" s="520"/>
    </row>
    <row r="4123" spans="1:1" x14ac:dyDescent="0.25">
      <c r="A4123" s="520"/>
    </row>
    <row r="4124" spans="1:1" x14ac:dyDescent="0.25">
      <c r="A4124" s="520"/>
    </row>
    <row r="4125" spans="1:1" x14ac:dyDescent="0.25">
      <c r="A4125" s="520"/>
    </row>
    <row r="4126" spans="1:1" x14ac:dyDescent="0.25">
      <c r="A4126" s="520"/>
    </row>
    <row r="4127" spans="1:1" x14ac:dyDescent="0.25">
      <c r="A4127" s="520"/>
    </row>
    <row r="4128" spans="1:1" x14ac:dyDescent="0.25">
      <c r="A4128" s="520"/>
    </row>
    <row r="4129" spans="1:1" x14ac:dyDescent="0.25">
      <c r="A4129" s="520"/>
    </row>
    <row r="4130" spans="1:1" x14ac:dyDescent="0.25">
      <c r="A4130" s="520"/>
    </row>
    <row r="4131" spans="1:1" x14ac:dyDescent="0.25">
      <c r="A4131" s="520"/>
    </row>
    <row r="4132" spans="1:1" x14ac:dyDescent="0.25">
      <c r="A4132" s="520"/>
    </row>
    <row r="4133" spans="1:1" x14ac:dyDescent="0.25">
      <c r="A4133" s="520"/>
    </row>
    <row r="4134" spans="1:1" x14ac:dyDescent="0.25">
      <c r="A4134" s="520"/>
    </row>
    <row r="4135" spans="1:1" x14ac:dyDescent="0.25">
      <c r="A4135" s="520"/>
    </row>
    <row r="4136" spans="1:1" x14ac:dyDescent="0.25">
      <c r="A4136" s="520"/>
    </row>
    <row r="4137" spans="1:1" x14ac:dyDescent="0.25">
      <c r="A4137" s="520"/>
    </row>
    <row r="4138" spans="1:1" x14ac:dyDescent="0.25">
      <c r="A4138" s="520"/>
    </row>
    <row r="4139" spans="1:1" x14ac:dyDescent="0.25">
      <c r="A4139" s="520"/>
    </row>
    <row r="4140" spans="1:1" x14ac:dyDescent="0.25">
      <c r="A4140" s="520"/>
    </row>
    <row r="4141" spans="1:1" x14ac:dyDescent="0.25">
      <c r="A4141" s="520"/>
    </row>
    <row r="4142" spans="1:1" x14ac:dyDescent="0.25">
      <c r="A4142" s="520"/>
    </row>
    <row r="4143" spans="1:1" x14ac:dyDescent="0.25">
      <c r="A4143" s="520"/>
    </row>
    <row r="4144" spans="1:1" x14ac:dyDescent="0.25">
      <c r="A4144" s="520"/>
    </row>
    <row r="4145" spans="1:1" x14ac:dyDescent="0.25">
      <c r="A4145" s="520"/>
    </row>
    <row r="4146" spans="1:1" x14ac:dyDescent="0.25">
      <c r="A4146" s="520"/>
    </row>
    <row r="4147" spans="1:1" x14ac:dyDescent="0.25">
      <c r="A4147" s="520"/>
    </row>
    <row r="4148" spans="1:1" x14ac:dyDescent="0.25">
      <c r="A4148" s="520"/>
    </row>
    <row r="4149" spans="1:1" x14ac:dyDescent="0.25">
      <c r="A4149" s="520"/>
    </row>
    <row r="4150" spans="1:1" x14ac:dyDescent="0.25">
      <c r="A4150" s="520"/>
    </row>
    <row r="4151" spans="1:1" x14ac:dyDescent="0.25">
      <c r="A4151" s="520"/>
    </row>
    <row r="4152" spans="1:1" x14ac:dyDescent="0.25">
      <c r="A4152" s="520"/>
    </row>
    <row r="4153" spans="1:1" x14ac:dyDescent="0.25">
      <c r="A4153" s="520"/>
    </row>
    <row r="4154" spans="1:1" x14ac:dyDescent="0.25">
      <c r="A4154" s="520"/>
    </row>
    <row r="4155" spans="1:1" x14ac:dyDescent="0.25">
      <c r="A4155" s="520"/>
    </row>
    <row r="4156" spans="1:1" x14ac:dyDescent="0.25">
      <c r="A4156" s="520"/>
    </row>
    <row r="4157" spans="1:1" x14ac:dyDescent="0.25">
      <c r="A4157" s="520"/>
    </row>
    <row r="4158" spans="1:1" x14ac:dyDescent="0.25">
      <c r="A4158" s="520"/>
    </row>
    <row r="4159" spans="1:1" x14ac:dyDescent="0.25">
      <c r="A4159" s="520"/>
    </row>
    <row r="4160" spans="1:1" x14ac:dyDescent="0.25">
      <c r="A4160" s="520"/>
    </row>
    <row r="4161" spans="1:1" x14ac:dyDescent="0.25">
      <c r="A4161" s="520"/>
    </row>
    <row r="4162" spans="1:1" x14ac:dyDescent="0.25">
      <c r="A4162" s="520"/>
    </row>
    <row r="4163" spans="1:1" x14ac:dyDescent="0.25">
      <c r="A4163" s="520"/>
    </row>
    <row r="4164" spans="1:1" x14ac:dyDescent="0.25">
      <c r="A4164" s="520"/>
    </row>
    <row r="4165" spans="1:1" x14ac:dyDescent="0.25">
      <c r="A4165" s="520"/>
    </row>
    <row r="4166" spans="1:1" x14ac:dyDescent="0.25">
      <c r="A4166" s="520"/>
    </row>
    <row r="4167" spans="1:1" x14ac:dyDescent="0.25">
      <c r="A4167" s="520"/>
    </row>
    <row r="4168" spans="1:1" x14ac:dyDescent="0.25">
      <c r="A4168" s="520"/>
    </row>
    <row r="4169" spans="1:1" x14ac:dyDescent="0.25">
      <c r="A4169" s="520"/>
    </row>
    <row r="4170" spans="1:1" x14ac:dyDescent="0.25">
      <c r="A4170" s="520"/>
    </row>
    <row r="4171" spans="1:1" x14ac:dyDescent="0.25">
      <c r="A4171" s="520"/>
    </row>
    <row r="4172" spans="1:1" x14ac:dyDescent="0.25">
      <c r="A4172" s="520"/>
    </row>
    <row r="4173" spans="1:1" x14ac:dyDescent="0.25">
      <c r="A4173" s="520"/>
    </row>
    <row r="4174" spans="1:1" x14ac:dyDescent="0.25">
      <c r="A4174" s="520"/>
    </row>
    <row r="4175" spans="1:1" x14ac:dyDescent="0.25">
      <c r="A4175" s="520"/>
    </row>
    <row r="4176" spans="1:1" x14ac:dyDescent="0.25">
      <c r="A4176" s="520"/>
    </row>
    <row r="4177" spans="1:1" x14ac:dyDescent="0.25">
      <c r="A4177" s="520"/>
    </row>
    <row r="4178" spans="1:1" x14ac:dyDescent="0.25">
      <c r="A4178" s="520"/>
    </row>
    <row r="4179" spans="1:1" x14ac:dyDescent="0.25">
      <c r="A4179" s="520"/>
    </row>
    <row r="4180" spans="1:1" x14ac:dyDescent="0.25">
      <c r="A4180" s="520"/>
    </row>
    <row r="4181" spans="1:1" x14ac:dyDescent="0.25">
      <c r="A4181" s="520"/>
    </row>
    <row r="4182" spans="1:1" x14ac:dyDescent="0.25">
      <c r="A4182" s="520"/>
    </row>
    <row r="4183" spans="1:1" x14ac:dyDescent="0.25">
      <c r="A4183" s="520"/>
    </row>
    <row r="4184" spans="1:1" x14ac:dyDescent="0.25">
      <c r="A4184" s="520"/>
    </row>
    <row r="4185" spans="1:1" x14ac:dyDescent="0.25">
      <c r="A4185" s="520"/>
    </row>
    <row r="4186" spans="1:1" x14ac:dyDescent="0.25">
      <c r="A4186" s="520"/>
    </row>
    <row r="4187" spans="1:1" x14ac:dyDescent="0.25">
      <c r="A4187" s="520"/>
    </row>
    <row r="4188" spans="1:1" x14ac:dyDescent="0.25">
      <c r="A4188" s="520"/>
    </row>
    <row r="4189" spans="1:1" x14ac:dyDescent="0.25">
      <c r="A4189" s="520"/>
    </row>
    <row r="4190" spans="1:1" x14ac:dyDescent="0.25">
      <c r="A4190" s="520"/>
    </row>
    <row r="4191" spans="1:1" x14ac:dyDescent="0.25">
      <c r="A4191" s="520"/>
    </row>
    <row r="4192" spans="1:1" x14ac:dyDescent="0.25">
      <c r="A4192" s="520"/>
    </row>
    <row r="4193" spans="1:1" x14ac:dyDescent="0.25">
      <c r="A4193" s="520"/>
    </row>
    <row r="4194" spans="1:1" x14ac:dyDescent="0.25">
      <c r="A4194" s="520"/>
    </row>
    <row r="4195" spans="1:1" x14ac:dyDescent="0.25">
      <c r="A4195" s="520"/>
    </row>
    <row r="4196" spans="1:1" x14ac:dyDescent="0.25">
      <c r="A4196" s="520"/>
    </row>
    <row r="4197" spans="1:1" x14ac:dyDescent="0.25">
      <c r="A4197" s="520"/>
    </row>
    <row r="4198" spans="1:1" x14ac:dyDescent="0.25">
      <c r="A4198" s="520"/>
    </row>
    <row r="4199" spans="1:1" x14ac:dyDescent="0.25">
      <c r="A4199" s="520"/>
    </row>
    <row r="4200" spans="1:1" x14ac:dyDescent="0.25">
      <c r="A4200" s="520"/>
    </row>
    <row r="4201" spans="1:1" x14ac:dyDescent="0.25">
      <c r="A4201" s="520"/>
    </row>
    <row r="4202" spans="1:1" x14ac:dyDescent="0.25">
      <c r="A4202" s="520"/>
    </row>
    <row r="4203" spans="1:1" x14ac:dyDescent="0.25">
      <c r="A4203" s="520"/>
    </row>
    <row r="4204" spans="1:1" x14ac:dyDescent="0.25">
      <c r="A4204" s="520"/>
    </row>
    <row r="4205" spans="1:1" x14ac:dyDescent="0.25">
      <c r="A4205" s="520"/>
    </row>
    <row r="4206" spans="1:1" x14ac:dyDescent="0.25">
      <c r="A4206" s="520"/>
    </row>
    <row r="4207" spans="1:1" x14ac:dyDescent="0.25">
      <c r="A4207" s="520"/>
    </row>
    <row r="4208" spans="1:1" x14ac:dyDescent="0.25">
      <c r="A4208" s="520"/>
    </row>
    <row r="4209" spans="1:1" x14ac:dyDescent="0.25">
      <c r="A4209" s="520"/>
    </row>
    <row r="4210" spans="1:1" x14ac:dyDescent="0.25">
      <c r="A4210" s="520"/>
    </row>
    <row r="4211" spans="1:1" x14ac:dyDescent="0.25">
      <c r="A4211" s="520"/>
    </row>
    <row r="4212" spans="1:1" x14ac:dyDescent="0.25">
      <c r="A4212" s="520"/>
    </row>
    <row r="4213" spans="1:1" x14ac:dyDescent="0.25">
      <c r="A4213" s="520"/>
    </row>
    <row r="4214" spans="1:1" x14ac:dyDescent="0.25">
      <c r="A4214" s="520"/>
    </row>
    <row r="4215" spans="1:1" x14ac:dyDescent="0.25">
      <c r="A4215" s="520"/>
    </row>
    <row r="4216" spans="1:1" x14ac:dyDescent="0.25">
      <c r="A4216" s="520"/>
    </row>
    <row r="4217" spans="1:1" x14ac:dyDescent="0.25">
      <c r="A4217" s="520"/>
    </row>
    <row r="4218" spans="1:1" x14ac:dyDescent="0.25">
      <c r="A4218" s="520"/>
    </row>
    <row r="4219" spans="1:1" x14ac:dyDescent="0.25">
      <c r="A4219" s="520"/>
    </row>
    <row r="4220" spans="1:1" x14ac:dyDescent="0.25">
      <c r="A4220" s="520"/>
    </row>
    <row r="4221" spans="1:1" x14ac:dyDescent="0.25">
      <c r="A4221" s="520"/>
    </row>
    <row r="4222" spans="1:1" x14ac:dyDescent="0.25">
      <c r="A4222" s="520"/>
    </row>
    <row r="4223" spans="1:1" x14ac:dyDescent="0.25">
      <c r="A4223" s="520"/>
    </row>
    <row r="4224" spans="1:1" x14ac:dyDescent="0.25">
      <c r="A4224" s="520"/>
    </row>
    <row r="4225" spans="1:1" x14ac:dyDescent="0.25">
      <c r="A4225" s="520"/>
    </row>
    <row r="4226" spans="1:1" x14ac:dyDescent="0.25">
      <c r="A4226" s="520"/>
    </row>
    <row r="4227" spans="1:1" x14ac:dyDescent="0.25">
      <c r="A4227" s="520"/>
    </row>
    <row r="4228" spans="1:1" x14ac:dyDescent="0.25">
      <c r="A4228" s="520"/>
    </row>
    <row r="4229" spans="1:1" x14ac:dyDescent="0.25">
      <c r="A4229" s="520"/>
    </row>
    <row r="4230" spans="1:1" x14ac:dyDescent="0.25">
      <c r="A4230" s="520"/>
    </row>
    <row r="4231" spans="1:1" x14ac:dyDescent="0.25">
      <c r="A4231" s="520"/>
    </row>
    <row r="4232" spans="1:1" x14ac:dyDescent="0.25">
      <c r="A4232" s="520"/>
    </row>
    <row r="4233" spans="1:1" x14ac:dyDescent="0.25">
      <c r="A4233" s="520"/>
    </row>
    <row r="4234" spans="1:1" x14ac:dyDescent="0.25">
      <c r="A4234" s="520"/>
    </row>
    <row r="4235" spans="1:1" x14ac:dyDescent="0.25">
      <c r="A4235" s="520"/>
    </row>
    <row r="4236" spans="1:1" x14ac:dyDescent="0.25">
      <c r="A4236" s="520"/>
    </row>
    <row r="4237" spans="1:1" x14ac:dyDescent="0.25">
      <c r="A4237" s="520"/>
    </row>
    <row r="4238" spans="1:1" x14ac:dyDescent="0.25">
      <c r="A4238" s="520"/>
    </row>
    <row r="4239" spans="1:1" x14ac:dyDescent="0.25">
      <c r="A4239" s="520"/>
    </row>
    <row r="4240" spans="1:1" x14ac:dyDescent="0.25">
      <c r="A4240" s="520"/>
    </row>
    <row r="4241" spans="1:1" x14ac:dyDescent="0.25">
      <c r="A4241" s="520"/>
    </row>
    <row r="4242" spans="1:1" x14ac:dyDescent="0.25">
      <c r="A4242" s="520"/>
    </row>
    <row r="4243" spans="1:1" x14ac:dyDescent="0.25">
      <c r="A4243" s="520"/>
    </row>
    <row r="4244" spans="1:1" x14ac:dyDescent="0.25">
      <c r="A4244" s="520"/>
    </row>
    <row r="4245" spans="1:1" x14ac:dyDescent="0.25">
      <c r="A4245" s="520"/>
    </row>
    <row r="4246" spans="1:1" x14ac:dyDescent="0.25">
      <c r="A4246" s="520"/>
    </row>
    <row r="4247" spans="1:1" x14ac:dyDescent="0.25">
      <c r="A4247" s="520"/>
    </row>
    <row r="4248" spans="1:1" x14ac:dyDescent="0.25">
      <c r="A4248" s="520"/>
    </row>
    <row r="4249" spans="1:1" x14ac:dyDescent="0.25">
      <c r="A4249" s="520"/>
    </row>
    <row r="4250" spans="1:1" x14ac:dyDescent="0.25">
      <c r="A4250" s="520"/>
    </row>
    <row r="4251" spans="1:1" x14ac:dyDescent="0.25">
      <c r="A4251" s="520"/>
    </row>
    <row r="4252" spans="1:1" x14ac:dyDescent="0.25">
      <c r="A4252" s="520"/>
    </row>
    <row r="4253" spans="1:1" x14ac:dyDescent="0.25">
      <c r="A4253" s="520"/>
    </row>
    <row r="4254" spans="1:1" x14ac:dyDescent="0.25">
      <c r="A4254" s="520"/>
    </row>
    <row r="4255" spans="1:1" x14ac:dyDescent="0.25">
      <c r="A4255" s="520"/>
    </row>
    <row r="4256" spans="1:1" x14ac:dyDescent="0.25">
      <c r="A4256" s="520"/>
    </row>
    <row r="4257" spans="1:1" x14ac:dyDescent="0.25">
      <c r="A4257" s="520"/>
    </row>
    <row r="4258" spans="1:1" x14ac:dyDescent="0.25">
      <c r="A4258" s="520"/>
    </row>
    <row r="4259" spans="1:1" x14ac:dyDescent="0.25">
      <c r="A4259" s="520"/>
    </row>
    <row r="4260" spans="1:1" x14ac:dyDescent="0.25">
      <c r="A4260" s="520"/>
    </row>
    <row r="4261" spans="1:1" x14ac:dyDescent="0.25">
      <c r="A4261" s="520"/>
    </row>
    <row r="4262" spans="1:1" x14ac:dyDescent="0.25">
      <c r="A4262" s="520"/>
    </row>
    <row r="4263" spans="1:1" x14ac:dyDescent="0.25">
      <c r="A4263" s="520"/>
    </row>
    <row r="4264" spans="1:1" x14ac:dyDescent="0.25">
      <c r="A4264" s="520"/>
    </row>
    <row r="4265" spans="1:1" x14ac:dyDescent="0.25">
      <c r="A4265" s="520"/>
    </row>
    <row r="4266" spans="1:1" x14ac:dyDescent="0.25">
      <c r="A4266" s="520"/>
    </row>
    <row r="4267" spans="1:1" x14ac:dyDescent="0.25">
      <c r="A4267" s="520"/>
    </row>
    <row r="4268" spans="1:1" x14ac:dyDescent="0.25">
      <c r="A4268" s="520"/>
    </row>
    <row r="4269" spans="1:1" x14ac:dyDescent="0.25">
      <c r="A4269" s="520"/>
    </row>
    <row r="4270" spans="1:1" x14ac:dyDescent="0.25">
      <c r="A4270" s="520"/>
    </row>
    <row r="4271" spans="1:1" x14ac:dyDescent="0.25">
      <c r="A4271" s="520"/>
    </row>
    <row r="4272" spans="1:1" x14ac:dyDescent="0.25">
      <c r="A4272" s="520"/>
    </row>
    <row r="4273" spans="1:1" x14ac:dyDescent="0.25">
      <c r="A4273" s="520"/>
    </row>
    <row r="4274" spans="1:1" x14ac:dyDescent="0.25">
      <c r="A4274" s="520"/>
    </row>
    <row r="4275" spans="1:1" x14ac:dyDescent="0.25">
      <c r="A4275" s="520"/>
    </row>
    <row r="4276" spans="1:1" x14ac:dyDescent="0.25">
      <c r="A4276" s="520"/>
    </row>
    <row r="4277" spans="1:1" x14ac:dyDescent="0.25">
      <c r="A4277" s="520"/>
    </row>
    <row r="4278" spans="1:1" x14ac:dyDescent="0.25">
      <c r="A4278" s="520"/>
    </row>
    <row r="4279" spans="1:1" x14ac:dyDescent="0.25">
      <c r="A4279" s="520"/>
    </row>
    <row r="4280" spans="1:1" x14ac:dyDescent="0.25">
      <c r="A4280" s="520"/>
    </row>
    <row r="4281" spans="1:1" x14ac:dyDescent="0.25">
      <c r="A4281" s="520"/>
    </row>
    <row r="4282" spans="1:1" x14ac:dyDescent="0.25">
      <c r="A4282" s="520"/>
    </row>
    <row r="4283" spans="1:1" x14ac:dyDescent="0.25">
      <c r="A4283" s="520"/>
    </row>
    <row r="4284" spans="1:1" x14ac:dyDescent="0.25">
      <c r="A4284" s="520"/>
    </row>
    <row r="4285" spans="1:1" x14ac:dyDescent="0.25">
      <c r="A4285" s="520"/>
    </row>
    <row r="4286" spans="1:1" x14ac:dyDescent="0.25">
      <c r="A4286" s="520"/>
    </row>
    <row r="4287" spans="1:1" x14ac:dyDescent="0.25">
      <c r="A4287" s="520"/>
    </row>
    <row r="4288" spans="1:1" x14ac:dyDescent="0.25">
      <c r="A4288" s="520"/>
    </row>
    <row r="4289" spans="1:1" x14ac:dyDescent="0.25">
      <c r="A4289" s="520"/>
    </row>
    <row r="4290" spans="1:1" x14ac:dyDescent="0.25">
      <c r="A4290" s="520"/>
    </row>
    <row r="4291" spans="1:1" x14ac:dyDescent="0.25">
      <c r="A4291" s="520"/>
    </row>
    <row r="4292" spans="1:1" x14ac:dyDescent="0.25">
      <c r="A4292" s="520"/>
    </row>
    <row r="4293" spans="1:1" x14ac:dyDescent="0.25">
      <c r="A4293" s="520"/>
    </row>
    <row r="4294" spans="1:1" x14ac:dyDescent="0.25">
      <c r="A4294" s="520"/>
    </row>
    <row r="4295" spans="1:1" x14ac:dyDescent="0.25">
      <c r="A4295" s="520"/>
    </row>
    <row r="4296" spans="1:1" x14ac:dyDescent="0.25">
      <c r="A4296" s="520"/>
    </row>
    <row r="4297" spans="1:1" x14ac:dyDescent="0.25">
      <c r="A4297" s="520"/>
    </row>
    <row r="4298" spans="1:1" x14ac:dyDescent="0.25">
      <c r="A4298" s="520"/>
    </row>
    <row r="4299" spans="1:1" x14ac:dyDescent="0.25">
      <c r="A4299" s="520"/>
    </row>
    <row r="4300" spans="1:1" x14ac:dyDescent="0.25">
      <c r="A4300" s="520"/>
    </row>
    <row r="4301" spans="1:1" x14ac:dyDescent="0.25">
      <c r="A4301" s="520"/>
    </row>
    <row r="4302" spans="1:1" x14ac:dyDescent="0.25">
      <c r="A4302" s="520"/>
    </row>
    <row r="4303" spans="1:1" x14ac:dyDescent="0.25">
      <c r="A4303" s="520"/>
    </row>
    <row r="4304" spans="1:1" x14ac:dyDescent="0.25">
      <c r="A4304" s="520"/>
    </row>
    <row r="4305" spans="1:1" x14ac:dyDescent="0.25">
      <c r="A4305" s="520"/>
    </row>
    <row r="4306" spans="1:1" x14ac:dyDescent="0.25">
      <c r="A4306" s="520"/>
    </row>
    <row r="4307" spans="1:1" x14ac:dyDescent="0.25">
      <c r="A4307" s="520"/>
    </row>
    <row r="4308" spans="1:1" x14ac:dyDescent="0.25">
      <c r="A4308" s="520"/>
    </row>
    <row r="4309" spans="1:1" x14ac:dyDescent="0.25">
      <c r="A4309" s="520"/>
    </row>
    <row r="4310" spans="1:1" x14ac:dyDescent="0.25">
      <c r="A4310" s="520"/>
    </row>
    <row r="4311" spans="1:1" x14ac:dyDescent="0.25">
      <c r="A4311" s="520"/>
    </row>
    <row r="4312" spans="1:1" x14ac:dyDescent="0.25">
      <c r="A4312" s="520"/>
    </row>
    <row r="4313" spans="1:1" x14ac:dyDescent="0.25">
      <c r="A4313" s="520"/>
    </row>
    <row r="4314" spans="1:1" x14ac:dyDescent="0.25">
      <c r="A4314" s="520"/>
    </row>
    <row r="4315" spans="1:1" x14ac:dyDescent="0.25">
      <c r="A4315" s="520"/>
    </row>
    <row r="4316" spans="1:1" x14ac:dyDescent="0.25">
      <c r="A4316" s="520"/>
    </row>
    <row r="4317" spans="1:1" x14ac:dyDescent="0.25">
      <c r="A4317" s="520"/>
    </row>
    <row r="4318" spans="1:1" x14ac:dyDescent="0.25">
      <c r="A4318" s="520"/>
    </row>
    <row r="4319" spans="1:1" x14ac:dyDescent="0.25">
      <c r="A4319" s="520"/>
    </row>
    <row r="4320" spans="1:1" x14ac:dyDescent="0.25">
      <c r="A4320" s="520"/>
    </row>
    <row r="4321" spans="1:1" x14ac:dyDescent="0.25">
      <c r="A4321" s="520"/>
    </row>
    <row r="4322" spans="1:1" x14ac:dyDescent="0.25">
      <c r="A4322" s="520"/>
    </row>
    <row r="4323" spans="1:1" x14ac:dyDescent="0.25">
      <c r="A4323" s="520"/>
    </row>
    <row r="4324" spans="1:1" x14ac:dyDescent="0.25">
      <c r="A4324" s="520"/>
    </row>
    <row r="4325" spans="1:1" x14ac:dyDescent="0.25">
      <c r="A4325" s="520"/>
    </row>
    <row r="4326" spans="1:1" x14ac:dyDescent="0.25">
      <c r="A4326" s="520"/>
    </row>
    <row r="4327" spans="1:1" x14ac:dyDescent="0.25">
      <c r="A4327" s="520"/>
    </row>
    <row r="4328" spans="1:1" x14ac:dyDescent="0.25">
      <c r="A4328" s="520"/>
    </row>
    <row r="4329" spans="1:1" x14ac:dyDescent="0.25">
      <c r="A4329" s="520"/>
    </row>
    <row r="4330" spans="1:1" x14ac:dyDescent="0.25">
      <c r="A4330" s="520"/>
    </row>
    <row r="4331" spans="1:1" x14ac:dyDescent="0.25">
      <c r="A4331" s="520"/>
    </row>
    <row r="4332" spans="1:1" x14ac:dyDescent="0.25">
      <c r="A4332" s="520"/>
    </row>
    <row r="4333" spans="1:1" x14ac:dyDescent="0.25">
      <c r="A4333" s="520"/>
    </row>
    <row r="4334" spans="1:1" x14ac:dyDescent="0.25">
      <c r="A4334" s="520"/>
    </row>
    <row r="4335" spans="1:1" x14ac:dyDescent="0.25">
      <c r="A4335" s="520"/>
    </row>
    <row r="4336" spans="1:1" x14ac:dyDescent="0.25">
      <c r="A4336" s="520"/>
    </row>
    <row r="4337" spans="1:1" x14ac:dyDescent="0.25">
      <c r="A4337" s="520"/>
    </row>
    <row r="4338" spans="1:1" x14ac:dyDescent="0.25">
      <c r="A4338" s="520"/>
    </row>
    <row r="4339" spans="1:1" x14ac:dyDescent="0.25">
      <c r="A4339" s="520"/>
    </row>
    <row r="4340" spans="1:1" x14ac:dyDescent="0.25">
      <c r="A4340" s="520"/>
    </row>
    <row r="4341" spans="1:1" x14ac:dyDescent="0.25">
      <c r="A4341" s="520"/>
    </row>
    <row r="4342" spans="1:1" x14ac:dyDescent="0.25">
      <c r="A4342" s="520"/>
    </row>
    <row r="4343" spans="1:1" x14ac:dyDescent="0.25">
      <c r="A4343" s="520"/>
    </row>
    <row r="4344" spans="1:1" x14ac:dyDescent="0.25">
      <c r="A4344" s="520"/>
    </row>
    <row r="4345" spans="1:1" x14ac:dyDescent="0.25">
      <c r="A4345" s="520"/>
    </row>
    <row r="4346" spans="1:1" x14ac:dyDescent="0.25">
      <c r="A4346" s="520"/>
    </row>
    <row r="4347" spans="1:1" x14ac:dyDescent="0.25">
      <c r="A4347" s="520"/>
    </row>
    <row r="4348" spans="1:1" x14ac:dyDescent="0.25">
      <c r="A4348" s="520"/>
    </row>
    <row r="4349" spans="1:1" x14ac:dyDescent="0.25">
      <c r="A4349" s="520"/>
    </row>
    <row r="4350" spans="1:1" x14ac:dyDescent="0.25">
      <c r="A4350" s="520"/>
    </row>
    <row r="4351" spans="1:1" x14ac:dyDescent="0.25">
      <c r="A4351" s="520"/>
    </row>
    <row r="4352" spans="1:1" x14ac:dyDescent="0.25">
      <c r="A4352" s="520"/>
    </row>
    <row r="4353" spans="1:1" x14ac:dyDescent="0.25">
      <c r="A4353" s="520"/>
    </row>
    <row r="4354" spans="1:1" x14ac:dyDescent="0.25">
      <c r="A4354" s="520"/>
    </row>
    <row r="4355" spans="1:1" x14ac:dyDescent="0.25">
      <c r="A4355" s="520"/>
    </row>
    <row r="4356" spans="1:1" x14ac:dyDescent="0.25">
      <c r="A4356" s="520"/>
    </row>
    <row r="4357" spans="1:1" x14ac:dyDescent="0.25">
      <c r="A4357" s="520"/>
    </row>
    <row r="4358" spans="1:1" x14ac:dyDescent="0.25">
      <c r="A4358" s="520"/>
    </row>
    <row r="4359" spans="1:1" x14ac:dyDescent="0.25">
      <c r="A4359" s="520"/>
    </row>
    <row r="4360" spans="1:1" x14ac:dyDescent="0.25">
      <c r="A4360" s="520"/>
    </row>
    <row r="4361" spans="1:1" x14ac:dyDescent="0.25">
      <c r="A4361" s="520"/>
    </row>
    <row r="4362" spans="1:1" x14ac:dyDescent="0.25">
      <c r="A4362" s="520"/>
    </row>
    <row r="4363" spans="1:1" x14ac:dyDescent="0.25">
      <c r="A4363" s="520"/>
    </row>
    <row r="4364" spans="1:1" x14ac:dyDescent="0.25">
      <c r="A4364" s="520"/>
    </row>
    <row r="4365" spans="1:1" x14ac:dyDescent="0.25">
      <c r="A4365" s="520"/>
    </row>
    <row r="4366" spans="1:1" x14ac:dyDescent="0.25">
      <c r="A4366" s="520"/>
    </row>
    <row r="4367" spans="1:1" x14ac:dyDescent="0.25">
      <c r="A4367" s="520"/>
    </row>
    <row r="4368" spans="1:1" x14ac:dyDescent="0.25">
      <c r="A4368" s="520"/>
    </row>
    <row r="4369" spans="1:1" x14ac:dyDescent="0.25">
      <c r="A4369" s="520"/>
    </row>
    <row r="4370" spans="1:1" x14ac:dyDescent="0.25">
      <c r="A4370" s="520"/>
    </row>
    <row r="4371" spans="1:1" x14ac:dyDescent="0.25">
      <c r="A4371" s="520"/>
    </row>
    <row r="4372" spans="1:1" x14ac:dyDescent="0.25">
      <c r="A4372" s="520"/>
    </row>
    <row r="4373" spans="1:1" x14ac:dyDescent="0.25">
      <c r="A4373" s="520"/>
    </row>
    <row r="4374" spans="1:1" x14ac:dyDescent="0.25">
      <c r="A4374" s="520"/>
    </row>
    <row r="4375" spans="1:1" x14ac:dyDescent="0.25">
      <c r="A4375" s="520"/>
    </row>
    <row r="4376" spans="1:1" x14ac:dyDescent="0.25">
      <c r="A4376" s="520"/>
    </row>
    <row r="4377" spans="1:1" x14ac:dyDescent="0.25">
      <c r="A4377" s="520"/>
    </row>
    <row r="4378" spans="1:1" x14ac:dyDescent="0.25">
      <c r="A4378" s="520"/>
    </row>
    <row r="4379" spans="1:1" x14ac:dyDescent="0.25">
      <c r="A4379" s="520"/>
    </row>
    <row r="4380" spans="1:1" x14ac:dyDescent="0.25">
      <c r="A4380" s="520"/>
    </row>
    <row r="4381" spans="1:1" x14ac:dyDescent="0.25">
      <c r="A4381" s="520"/>
    </row>
    <row r="4382" spans="1:1" x14ac:dyDescent="0.25">
      <c r="A4382" s="520"/>
    </row>
    <row r="4383" spans="1:1" x14ac:dyDescent="0.25">
      <c r="A4383" s="520"/>
    </row>
    <row r="4384" spans="1:1" x14ac:dyDescent="0.25">
      <c r="A4384" s="520"/>
    </row>
    <row r="4385" spans="1:1" x14ac:dyDescent="0.25">
      <c r="A4385" s="520"/>
    </row>
    <row r="4386" spans="1:1" x14ac:dyDescent="0.25">
      <c r="A4386" s="520"/>
    </row>
    <row r="4387" spans="1:1" x14ac:dyDescent="0.25">
      <c r="A4387" s="520"/>
    </row>
    <row r="4388" spans="1:1" x14ac:dyDescent="0.25">
      <c r="A4388" s="520"/>
    </row>
    <row r="4389" spans="1:1" x14ac:dyDescent="0.25">
      <c r="A4389" s="520"/>
    </row>
    <row r="4390" spans="1:1" x14ac:dyDescent="0.25">
      <c r="A4390" s="520"/>
    </row>
    <row r="4391" spans="1:1" x14ac:dyDescent="0.25">
      <c r="A4391" s="520"/>
    </row>
    <row r="4392" spans="1:1" x14ac:dyDescent="0.25">
      <c r="A4392" s="520"/>
    </row>
    <row r="4393" spans="1:1" x14ac:dyDescent="0.25">
      <c r="A4393" s="520"/>
    </row>
    <row r="4394" spans="1:1" x14ac:dyDescent="0.25">
      <c r="A4394" s="520"/>
    </row>
    <row r="4395" spans="1:1" x14ac:dyDescent="0.25">
      <c r="A4395" s="520"/>
    </row>
    <row r="4396" spans="1:1" x14ac:dyDescent="0.25">
      <c r="A4396" s="520"/>
    </row>
    <row r="4397" spans="1:1" x14ac:dyDescent="0.25">
      <c r="A4397" s="520"/>
    </row>
    <row r="4398" spans="1:1" x14ac:dyDescent="0.25">
      <c r="A4398" s="520"/>
    </row>
    <row r="4399" spans="1:1" x14ac:dyDescent="0.25">
      <c r="A4399" s="520"/>
    </row>
    <row r="4400" spans="1:1" x14ac:dyDescent="0.25">
      <c r="A4400" s="520"/>
    </row>
    <row r="4401" spans="1:1" x14ac:dyDescent="0.25">
      <c r="A4401" s="520"/>
    </row>
    <row r="4402" spans="1:1" x14ac:dyDescent="0.25">
      <c r="A4402" s="520"/>
    </row>
    <row r="4403" spans="1:1" x14ac:dyDescent="0.25">
      <c r="A4403" s="520"/>
    </row>
    <row r="4404" spans="1:1" x14ac:dyDescent="0.25">
      <c r="A4404" s="520"/>
    </row>
    <row r="4405" spans="1:1" x14ac:dyDescent="0.25">
      <c r="A4405" s="520"/>
    </row>
    <row r="4406" spans="1:1" x14ac:dyDescent="0.25">
      <c r="A4406" s="520"/>
    </row>
    <row r="4407" spans="1:1" x14ac:dyDescent="0.25">
      <c r="A4407" s="520"/>
    </row>
    <row r="4408" spans="1:1" x14ac:dyDescent="0.25">
      <c r="A4408" s="520"/>
    </row>
    <row r="4409" spans="1:1" x14ac:dyDescent="0.25">
      <c r="A4409" s="520"/>
    </row>
    <row r="4410" spans="1:1" x14ac:dyDescent="0.25">
      <c r="A4410" s="520"/>
    </row>
    <row r="4411" spans="1:1" x14ac:dyDescent="0.25">
      <c r="A4411" s="520"/>
    </row>
    <row r="4412" spans="1:1" x14ac:dyDescent="0.25">
      <c r="A4412" s="520"/>
    </row>
    <row r="4413" spans="1:1" x14ac:dyDescent="0.25">
      <c r="A4413" s="520"/>
    </row>
    <row r="4414" spans="1:1" x14ac:dyDescent="0.25">
      <c r="A4414" s="520"/>
    </row>
    <row r="4415" spans="1:1" x14ac:dyDescent="0.25">
      <c r="A4415" s="520"/>
    </row>
    <row r="4416" spans="1:1" x14ac:dyDescent="0.25">
      <c r="A4416" s="520"/>
    </row>
    <row r="4417" spans="1:1" x14ac:dyDescent="0.25">
      <c r="A4417" s="520"/>
    </row>
    <row r="4418" spans="1:1" x14ac:dyDescent="0.25">
      <c r="A4418" s="520"/>
    </row>
    <row r="4419" spans="1:1" x14ac:dyDescent="0.25">
      <c r="A4419" s="520"/>
    </row>
    <row r="4420" spans="1:1" x14ac:dyDescent="0.25">
      <c r="A4420" s="520"/>
    </row>
    <row r="4421" spans="1:1" x14ac:dyDescent="0.25">
      <c r="A4421" s="520"/>
    </row>
    <row r="4422" spans="1:1" x14ac:dyDescent="0.25">
      <c r="A4422" s="520"/>
    </row>
    <row r="4423" spans="1:1" x14ac:dyDescent="0.25">
      <c r="A4423" s="520"/>
    </row>
    <row r="4424" spans="1:1" x14ac:dyDescent="0.25">
      <c r="A4424" s="520"/>
    </row>
    <row r="4425" spans="1:1" x14ac:dyDescent="0.25">
      <c r="A4425" s="520"/>
    </row>
    <row r="4426" spans="1:1" x14ac:dyDescent="0.25">
      <c r="A4426" s="520"/>
    </row>
    <row r="4427" spans="1:1" x14ac:dyDescent="0.25">
      <c r="A4427" s="520"/>
    </row>
    <row r="4428" spans="1:1" x14ac:dyDescent="0.25">
      <c r="A4428" s="520"/>
    </row>
    <row r="4429" spans="1:1" x14ac:dyDescent="0.25">
      <c r="A4429" s="520"/>
    </row>
    <row r="4430" spans="1:1" x14ac:dyDescent="0.25">
      <c r="A4430" s="520"/>
    </row>
    <row r="4431" spans="1:1" x14ac:dyDescent="0.25">
      <c r="A4431" s="520"/>
    </row>
    <row r="4432" spans="1:1" x14ac:dyDescent="0.25">
      <c r="A4432" s="520"/>
    </row>
    <row r="4433" spans="1:1" x14ac:dyDescent="0.25">
      <c r="A4433" s="520"/>
    </row>
    <row r="4434" spans="1:1" x14ac:dyDescent="0.25">
      <c r="A4434" s="520"/>
    </row>
    <row r="4435" spans="1:1" x14ac:dyDescent="0.25">
      <c r="A4435" s="520"/>
    </row>
    <row r="4436" spans="1:1" x14ac:dyDescent="0.25">
      <c r="A4436" s="520"/>
    </row>
    <row r="4437" spans="1:1" x14ac:dyDescent="0.25">
      <c r="A4437" s="520"/>
    </row>
    <row r="4438" spans="1:1" x14ac:dyDescent="0.25">
      <c r="A4438" s="520"/>
    </row>
    <row r="4439" spans="1:1" x14ac:dyDescent="0.25">
      <c r="A4439" s="520"/>
    </row>
    <row r="4440" spans="1:1" x14ac:dyDescent="0.25">
      <c r="A4440" s="520"/>
    </row>
    <row r="4441" spans="1:1" x14ac:dyDescent="0.25">
      <c r="A4441" s="520"/>
    </row>
    <row r="4442" spans="1:1" x14ac:dyDescent="0.25">
      <c r="A4442" s="520"/>
    </row>
    <row r="4443" spans="1:1" x14ac:dyDescent="0.25">
      <c r="A4443" s="520"/>
    </row>
    <row r="4444" spans="1:1" x14ac:dyDescent="0.25">
      <c r="A4444" s="520"/>
    </row>
    <row r="4445" spans="1:1" x14ac:dyDescent="0.25">
      <c r="A4445" s="520"/>
    </row>
    <row r="4446" spans="1:1" x14ac:dyDescent="0.25">
      <c r="A4446" s="520"/>
    </row>
    <row r="4447" spans="1:1" x14ac:dyDescent="0.25">
      <c r="A4447" s="520"/>
    </row>
    <row r="4448" spans="1:1" x14ac:dyDescent="0.25">
      <c r="A4448" s="520"/>
    </row>
    <row r="4449" spans="1:1" x14ac:dyDescent="0.25">
      <c r="A4449" s="520"/>
    </row>
    <row r="4450" spans="1:1" x14ac:dyDescent="0.25">
      <c r="A4450" s="520"/>
    </row>
    <row r="4451" spans="1:1" x14ac:dyDescent="0.25">
      <c r="A4451" s="520"/>
    </row>
    <row r="4452" spans="1:1" x14ac:dyDescent="0.25">
      <c r="A4452" s="520"/>
    </row>
    <row r="4453" spans="1:1" x14ac:dyDescent="0.25">
      <c r="A4453" s="520"/>
    </row>
    <row r="4454" spans="1:1" x14ac:dyDescent="0.25">
      <c r="A4454" s="520"/>
    </row>
    <row r="4455" spans="1:1" x14ac:dyDescent="0.25">
      <c r="A4455" s="520"/>
    </row>
    <row r="4456" spans="1:1" x14ac:dyDescent="0.25">
      <c r="A4456" s="520"/>
    </row>
    <row r="4457" spans="1:1" x14ac:dyDescent="0.25">
      <c r="A4457" s="520"/>
    </row>
    <row r="4458" spans="1:1" x14ac:dyDescent="0.25">
      <c r="A4458" s="520"/>
    </row>
    <row r="4459" spans="1:1" x14ac:dyDescent="0.25">
      <c r="A4459" s="520"/>
    </row>
    <row r="4460" spans="1:1" x14ac:dyDescent="0.25">
      <c r="A4460" s="520"/>
    </row>
    <row r="4461" spans="1:1" x14ac:dyDescent="0.25">
      <c r="A4461" s="520"/>
    </row>
    <row r="4462" spans="1:1" x14ac:dyDescent="0.25">
      <c r="A4462" s="520"/>
    </row>
    <row r="4463" spans="1:1" x14ac:dyDescent="0.25">
      <c r="A4463" s="520"/>
    </row>
    <row r="4464" spans="1:1" x14ac:dyDescent="0.25">
      <c r="A4464" s="520"/>
    </row>
    <row r="4465" spans="1:1" x14ac:dyDescent="0.25">
      <c r="A4465" s="520"/>
    </row>
    <row r="4466" spans="1:1" x14ac:dyDescent="0.25">
      <c r="A4466" s="520"/>
    </row>
    <row r="4467" spans="1:1" x14ac:dyDescent="0.25">
      <c r="A4467" s="520"/>
    </row>
    <row r="4468" spans="1:1" x14ac:dyDescent="0.25">
      <c r="A4468" s="520"/>
    </row>
    <row r="4469" spans="1:1" x14ac:dyDescent="0.25">
      <c r="A4469" s="520"/>
    </row>
    <row r="4470" spans="1:1" x14ac:dyDescent="0.25">
      <c r="A4470" s="520"/>
    </row>
    <row r="4471" spans="1:1" x14ac:dyDescent="0.25">
      <c r="A4471" s="520"/>
    </row>
    <row r="4472" spans="1:1" x14ac:dyDescent="0.25">
      <c r="A4472" s="520"/>
    </row>
    <row r="4473" spans="1:1" x14ac:dyDescent="0.25">
      <c r="A4473" s="520"/>
    </row>
    <row r="4474" spans="1:1" x14ac:dyDescent="0.25">
      <c r="A4474" s="520"/>
    </row>
    <row r="4475" spans="1:1" x14ac:dyDescent="0.25">
      <c r="A4475" s="520"/>
    </row>
    <row r="4476" spans="1:1" x14ac:dyDescent="0.25">
      <c r="A4476" s="520"/>
    </row>
    <row r="4477" spans="1:1" x14ac:dyDescent="0.25">
      <c r="A4477" s="520"/>
    </row>
    <row r="4478" spans="1:1" x14ac:dyDescent="0.25">
      <c r="A4478" s="520"/>
    </row>
    <row r="4479" spans="1:1" x14ac:dyDescent="0.25">
      <c r="A4479" s="520"/>
    </row>
    <row r="4480" spans="1:1" x14ac:dyDescent="0.25">
      <c r="A4480" s="520"/>
    </row>
    <row r="4481" spans="1:1" x14ac:dyDescent="0.25">
      <c r="A4481" s="520"/>
    </row>
    <row r="4482" spans="1:1" x14ac:dyDescent="0.25">
      <c r="A4482" s="520"/>
    </row>
    <row r="4483" spans="1:1" x14ac:dyDescent="0.25">
      <c r="A4483" s="520"/>
    </row>
    <row r="4484" spans="1:1" x14ac:dyDescent="0.25">
      <c r="A4484" s="520"/>
    </row>
    <row r="4485" spans="1:1" x14ac:dyDescent="0.25">
      <c r="A4485" s="520"/>
    </row>
    <row r="4486" spans="1:1" x14ac:dyDescent="0.25">
      <c r="A4486" s="520"/>
    </row>
    <row r="4487" spans="1:1" x14ac:dyDescent="0.25">
      <c r="A4487" s="520"/>
    </row>
    <row r="4488" spans="1:1" x14ac:dyDescent="0.25">
      <c r="A4488" s="520"/>
    </row>
    <row r="4489" spans="1:1" x14ac:dyDescent="0.25">
      <c r="A4489" s="520"/>
    </row>
    <row r="4490" spans="1:1" x14ac:dyDescent="0.25">
      <c r="A4490" s="520"/>
    </row>
    <row r="4491" spans="1:1" x14ac:dyDescent="0.25">
      <c r="A4491" s="520"/>
    </row>
    <row r="4492" spans="1:1" x14ac:dyDescent="0.25">
      <c r="A4492" s="520"/>
    </row>
    <row r="4493" spans="1:1" x14ac:dyDescent="0.25">
      <c r="A4493" s="520"/>
    </row>
    <row r="4494" spans="1:1" x14ac:dyDescent="0.25">
      <c r="A4494" s="520"/>
    </row>
    <row r="4495" spans="1:1" x14ac:dyDescent="0.25">
      <c r="A4495" s="520"/>
    </row>
    <row r="4496" spans="1:1" x14ac:dyDescent="0.25">
      <c r="A4496" s="520"/>
    </row>
    <row r="4497" spans="1:1" x14ac:dyDescent="0.25">
      <c r="A4497" s="520"/>
    </row>
    <row r="4498" spans="1:1" x14ac:dyDescent="0.25">
      <c r="A4498" s="520"/>
    </row>
    <row r="4499" spans="1:1" x14ac:dyDescent="0.25">
      <c r="A4499" s="520"/>
    </row>
    <row r="4500" spans="1:1" x14ac:dyDescent="0.25">
      <c r="A4500" s="520"/>
    </row>
    <row r="4501" spans="1:1" x14ac:dyDescent="0.25">
      <c r="A4501" s="520"/>
    </row>
    <row r="4502" spans="1:1" x14ac:dyDescent="0.25">
      <c r="A4502" s="520"/>
    </row>
    <row r="4503" spans="1:1" x14ac:dyDescent="0.25">
      <c r="A4503" s="520"/>
    </row>
    <row r="4504" spans="1:1" x14ac:dyDescent="0.25">
      <c r="A4504" s="520"/>
    </row>
    <row r="4505" spans="1:1" x14ac:dyDescent="0.25">
      <c r="A4505" s="520"/>
    </row>
    <row r="4506" spans="1:1" x14ac:dyDescent="0.25">
      <c r="A4506" s="520"/>
    </row>
    <row r="4507" spans="1:1" x14ac:dyDescent="0.25">
      <c r="A4507" s="520"/>
    </row>
    <row r="4508" spans="1:1" x14ac:dyDescent="0.25">
      <c r="A4508" s="520"/>
    </row>
    <row r="4509" spans="1:1" x14ac:dyDescent="0.25">
      <c r="A4509" s="520"/>
    </row>
    <row r="4510" spans="1:1" x14ac:dyDescent="0.25">
      <c r="A4510" s="520"/>
    </row>
    <row r="4511" spans="1:1" x14ac:dyDescent="0.25">
      <c r="A4511" s="520"/>
    </row>
    <row r="4512" spans="1:1" x14ac:dyDescent="0.25">
      <c r="A4512" s="520"/>
    </row>
    <row r="4513" spans="1:1" x14ac:dyDescent="0.25">
      <c r="A4513" s="520"/>
    </row>
    <row r="4514" spans="1:1" x14ac:dyDescent="0.25">
      <c r="A4514" s="520"/>
    </row>
    <row r="4515" spans="1:1" x14ac:dyDescent="0.25">
      <c r="A4515" s="520"/>
    </row>
    <row r="4516" spans="1:1" x14ac:dyDescent="0.25">
      <c r="A4516" s="520"/>
    </row>
    <row r="4517" spans="1:1" x14ac:dyDescent="0.25">
      <c r="A4517" s="520"/>
    </row>
    <row r="4518" spans="1:1" x14ac:dyDescent="0.25">
      <c r="A4518" s="520"/>
    </row>
    <row r="4519" spans="1:1" x14ac:dyDescent="0.25">
      <c r="A4519" s="520"/>
    </row>
    <row r="4520" spans="1:1" x14ac:dyDescent="0.25">
      <c r="A4520" s="520"/>
    </row>
    <row r="4521" spans="1:1" x14ac:dyDescent="0.25">
      <c r="A4521" s="520"/>
    </row>
    <row r="4522" spans="1:1" x14ac:dyDescent="0.25">
      <c r="A4522" s="520"/>
    </row>
    <row r="4523" spans="1:1" x14ac:dyDescent="0.25">
      <c r="A4523" s="520"/>
    </row>
    <row r="4524" spans="1:1" x14ac:dyDescent="0.25">
      <c r="A4524" s="520"/>
    </row>
    <row r="4525" spans="1:1" x14ac:dyDescent="0.25">
      <c r="A4525" s="520"/>
    </row>
    <row r="4526" spans="1:1" x14ac:dyDescent="0.25">
      <c r="A4526" s="520"/>
    </row>
    <row r="4527" spans="1:1" x14ac:dyDescent="0.25">
      <c r="A4527" s="520"/>
    </row>
    <row r="4528" spans="1:1" x14ac:dyDescent="0.25">
      <c r="A4528" s="520"/>
    </row>
    <row r="4529" spans="1:1" x14ac:dyDescent="0.25">
      <c r="A4529" s="520"/>
    </row>
    <row r="4530" spans="1:1" x14ac:dyDescent="0.25">
      <c r="A4530" s="520"/>
    </row>
    <row r="4531" spans="1:1" x14ac:dyDescent="0.25">
      <c r="A4531" s="520"/>
    </row>
    <row r="4532" spans="1:1" x14ac:dyDescent="0.25">
      <c r="A4532" s="520"/>
    </row>
    <row r="4533" spans="1:1" x14ac:dyDescent="0.25">
      <c r="A4533" s="520"/>
    </row>
    <row r="4534" spans="1:1" x14ac:dyDescent="0.25">
      <c r="A4534" s="520"/>
    </row>
    <row r="4535" spans="1:1" x14ac:dyDescent="0.25">
      <c r="A4535" s="520"/>
    </row>
    <row r="4536" spans="1:1" x14ac:dyDescent="0.25">
      <c r="A4536" s="520"/>
    </row>
    <row r="4537" spans="1:1" x14ac:dyDescent="0.25">
      <c r="A4537" s="520"/>
    </row>
    <row r="4538" spans="1:1" x14ac:dyDescent="0.25">
      <c r="A4538" s="520"/>
    </row>
    <row r="4539" spans="1:1" x14ac:dyDescent="0.25">
      <c r="A4539" s="520"/>
    </row>
    <row r="4540" spans="1:1" x14ac:dyDescent="0.25">
      <c r="A4540" s="520"/>
    </row>
    <row r="4541" spans="1:1" x14ac:dyDescent="0.25">
      <c r="A4541" s="520"/>
    </row>
    <row r="4542" spans="1:1" x14ac:dyDescent="0.25">
      <c r="A4542" s="520"/>
    </row>
    <row r="4543" spans="1:1" x14ac:dyDescent="0.25">
      <c r="A4543" s="520"/>
    </row>
    <row r="4544" spans="1:1" x14ac:dyDescent="0.25">
      <c r="A4544" s="520"/>
    </row>
    <row r="4545" spans="1:1" x14ac:dyDescent="0.25">
      <c r="A4545" s="520"/>
    </row>
    <row r="4546" spans="1:1" x14ac:dyDescent="0.25">
      <c r="A4546" s="520"/>
    </row>
    <row r="4547" spans="1:1" x14ac:dyDescent="0.25">
      <c r="A4547" s="520"/>
    </row>
    <row r="4548" spans="1:1" x14ac:dyDescent="0.25">
      <c r="A4548" s="520"/>
    </row>
    <row r="4549" spans="1:1" x14ac:dyDescent="0.25">
      <c r="A4549" s="520"/>
    </row>
    <row r="4550" spans="1:1" x14ac:dyDescent="0.25">
      <c r="A4550" s="520"/>
    </row>
    <row r="4551" spans="1:1" x14ac:dyDescent="0.25">
      <c r="A4551" s="520"/>
    </row>
    <row r="4552" spans="1:1" x14ac:dyDescent="0.25">
      <c r="A4552" s="520"/>
    </row>
    <row r="4553" spans="1:1" x14ac:dyDescent="0.25">
      <c r="A4553" s="520"/>
    </row>
    <row r="4554" spans="1:1" x14ac:dyDescent="0.25">
      <c r="A4554" s="520"/>
    </row>
    <row r="4555" spans="1:1" x14ac:dyDescent="0.25">
      <c r="A4555" s="520"/>
    </row>
    <row r="4556" spans="1:1" x14ac:dyDescent="0.25">
      <c r="A4556" s="520"/>
    </row>
    <row r="4557" spans="1:1" x14ac:dyDescent="0.25">
      <c r="A4557" s="520"/>
    </row>
    <row r="4558" spans="1:1" x14ac:dyDescent="0.25">
      <c r="A4558" s="520"/>
    </row>
    <row r="4559" spans="1:1" x14ac:dyDescent="0.25">
      <c r="A4559" s="520"/>
    </row>
    <row r="4560" spans="1:1" x14ac:dyDescent="0.25">
      <c r="A4560" s="520"/>
    </row>
    <row r="4561" spans="1:1" x14ac:dyDescent="0.25">
      <c r="A4561" s="520"/>
    </row>
    <row r="4562" spans="1:1" x14ac:dyDescent="0.25">
      <c r="A4562" s="520"/>
    </row>
    <row r="4563" spans="1:1" x14ac:dyDescent="0.25">
      <c r="A4563" s="520"/>
    </row>
    <row r="4564" spans="1:1" x14ac:dyDescent="0.25">
      <c r="A4564" s="520"/>
    </row>
    <row r="4565" spans="1:1" x14ac:dyDescent="0.25">
      <c r="A4565" s="520"/>
    </row>
    <row r="4566" spans="1:1" x14ac:dyDescent="0.25">
      <c r="A4566" s="520"/>
    </row>
    <row r="4567" spans="1:1" x14ac:dyDescent="0.25">
      <c r="A4567" s="520"/>
    </row>
    <row r="4568" spans="1:1" x14ac:dyDescent="0.25">
      <c r="A4568" s="520"/>
    </row>
    <row r="4569" spans="1:1" x14ac:dyDescent="0.25">
      <c r="A4569" s="520"/>
    </row>
    <row r="4570" spans="1:1" x14ac:dyDescent="0.25">
      <c r="A4570" s="520"/>
    </row>
    <row r="4571" spans="1:1" x14ac:dyDescent="0.25">
      <c r="A4571" s="520"/>
    </row>
    <row r="4572" spans="1:1" x14ac:dyDescent="0.25">
      <c r="A4572" s="520"/>
    </row>
    <row r="4573" spans="1:1" x14ac:dyDescent="0.25">
      <c r="A4573" s="520"/>
    </row>
    <row r="4574" spans="1:1" x14ac:dyDescent="0.25">
      <c r="A4574" s="520"/>
    </row>
    <row r="4575" spans="1:1" x14ac:dyDescent="0.25">
      <c r="A4575" s="520"/>
    </row>
    <row r="4576" spans="1:1" x14ac:dyDescent="0.25">
      <c r="A4576" s="520"/>
    </row>
    <row r="4577" spans="1:1" x14ac:dyDescent="0.25">
      <c r="A4577" s="520"/>
    </row>
    <row r="4578" spans="1:1" x14ac:dyDescent="0.25">
      <c r="A4578" s="520"/>
    </row>
    <row r="4579" spans="1:1" x14ac:dyDescent="0.25">
      <c r="A4579" s="520"/>
    </row>
    <row r="4580" spans="1:1" x14ac:dyDescent="0.25">
      <c r="A4580" s="520"/>
    </row>
    <row r="4581" spans="1:1" x14ac:dyDescent="0.25">
      <c r="A4581" s="520"/>
    </row>
    <row r="4582" spans="1:1" x14ac:dyDescent="0.25">
      <c r="A4582" s="520"/>
    </row>
    <row r="4583" spans="1:1" x14ac:dyDescent="0.25">
      <c r="A4583" s="520"/>
    </row>
    <row r="4584" spans="1:1" x14ac:dyDescent="0.25">
      <c r="A4584" s="520"/>
    </row>
    <row r="4585" spans="1:1" x14ac:dyDescent="0.25">
      <c r="A4585" s="520"/>
    </row>
    <row r="4586" spans="1:1" x14ac:dyDescent="0.25">
      <c r="A4586" s="520"/>
    </row>
    <row r="4587" spans="1:1" x14ac:dyDescent="0.25">
      <c r="A4587" s="520"/>
    </row>
    <row r="4588" spans="1:1" x14ac:dyDescent="0.25">
      <c r="A4588" s="520"/>
    </row>
    <row r="4589" spans="1:1" x14ac:dyDescent="0.25">
      <c r="A4589" s="520"/>
    </row>
    <row r="4590" spans="1:1" x14ac:dyDescent="0.25">
      <c r="A4590" s="520"/>
    </row>
    <row r="4591" spans="1:1" x14ac:dyDescent="0.25">
      <c r="A4591" s="520"/>
    </row>
    <row r="4592" spans="1:1" x14ac:dyDescent="0.25">
      <c r="A4592" s="520"/>
    </row>
    <row r="4593" spans="1:1" x14ac:dyDescent="0.25">
      <c r="A4593" s="520"/>
    </row>
    <row r="4594" spans="1:1" x14ac:dyDescent="0.25">
      <c r="A4594" s="520"/>
    </row>
    <row r="4595" spans="1:1" x14ac:dyDescent="0.25">
      <c r="A4595" s="520"/>
    </row>
    <row r="4596" spans="1:1" x14ac:dyDescent="0.25">
      <c r="A4596" s="520"/>
    </row>
    <row r="4597" spans="1:1" x14ac:dyDescent="0.25">
      <c r="A4597" s="520"/>
    </row>
    <row r="4598" spans="1:1" x14ac:dyDescent="0.25">
      <c r="A4598" s="520"/>
    </row>
    <row r="4599" spans="1:1" x14ac:dyDescent="0.25">
      <c r="A4599" s="520"/>
    </row>
    <row r="4600" spans="1:1" x14ac:dyDescent="0.25">
      <c r="A4600" s="520"/>
    </row>
    <row r="4601" spans="1:1" x14ac:dyDescent="0.25">
      <c r="A4601" s="520"/>
    </row>
    <row r="4602" spans="1:1" x14ac:dyDescent="0.25">
      <c r="A4602" s="520"/>
    </row>
    <row r="4603" spans="1:1" x14ac:dyDescent="0.25">
      <c r="A4603" s="520"/>
    </row>
    <row r="4604" spans="1:1" x14ac:dyDescent="0.25">
      <c r="A4604" s="520"/>
    </row>
    <row r="4605" spans="1:1" x14ac:dyDescent="0.25">
      <c r="A4605" s="520"/>
    </row>
    <row r="4606" spans="1:1" x14ac:dyDescent="0.25">
      <c r="A4606" s="520"/>
    </row>
    <row r="4607" spans="1:1" x14ac:dyDescent="0.25">
      <c r="A4607" s="520"/>
    </row>
    <row r="4608" spans="1:1" x14ac:dyDescent="0.25">
      <c r="A4608" s="520"/>
    </row>
    <row r="4609" spans="1:1" x14ac:dyDescent="0.25">
      <c r="A4609" s="520"/>
    </row>
    <row r="4610" spans="1:1" x14ac:dyDescent="0.25">
      <c r="A4610" s="520"/>
    </row>
    <row r="4611" spans="1:1" x14ac:dyDescent="0.25">
      <c r="A4611" s="520"/>
    </row>
    <row r="4612" spans="1:1" x14ac:dyDescent="0.25">
      <c r="A4612" s="520"/>
    </row>
    <row r="4613" spans="1:1" x14ac:dyDescent="0.25">
      <c r="A4613" s="520"/>
    </row>
    <row r="4614" spans="1:1" x14ac:dyDescent="0.25">
      <c r="A4614" s="520"/>
    </row>
    <row r="4615" spans="1:1" x14ac:dyDescent="0.25">
      <c r="A4615" s="520"/>
    </row>
    <row r="4616" spans="1:1" x14ac:dyDescent="0.25">
      <c r="A4616" s="520"/>
    </row>
    <row r="4617" spans="1:1" x14ac:dyDescent="0.25">
      <c r="A4617" s="520"/>
    </row>
    <row r="4618" spans="1:1" x14ac:dyDescent="0.25">
      <c r="A4618" s="520"/>
    </row>
    <row r="4619" spans="1:1" x14ac:dyDescent="0.25">
      <c r="A4619" s="520"/>
    </row>
    <row r="4620" spans="1:1" x14ac:dyDescent="0.25">
      <c r="A4620" s="520"/>
    </row>
    <row r="4621" spans="1:1" x14ac:dyDescent="0.25">
      <c r="A4621" s="520"/>
    </row>
    <row r="4622" spans="1:1" x14ac:dyDescent="0.25">
      <c r="A4622" s="520"/>
    </row>
    <row r="4623" spans="1:1" x14ac:dyDescent="0.25">
      <c r="A4623" s="520"/>
    </row>
    <row r="4624" spans="1:1" x14ac:dyDescent="0.25">
      <c r="A4624" s="520"/>
    </row>
    <row r="4625" spans="1:1" x14ac:dyDescent="0.25">
      <c r="A4625" s="520"/>
    </row>
    <row r="4626" spans="1:1" x14ac:dyDescent="0.25">
      <c r="A4626" s="520"/>
    </row>
    <row r="4627" spans="1:1" x14ac:dyDescent="0.25">
      <c r="A4627" s="520"/>
    </row>
    <row r="4628" spans="1:1" x14ac:dyDescent="0.25">
      <c r="A4628" s="520"/>
    </row>
    <row r="4629" spans="1:1" x14ac:dyDescent="0.25">
      <c r="A4629" s="520"/>
    </row>
    <row r="4630" spans="1:1" x14ac:dyDescent="0.25">
      <c r="A4630" s="520"/>
    </row>
    <row r="4631" spans="1:1" x14ac:dyDescent="0.25">
      <c r="A4631" s="520"/>
    </row>
    <row r="4632" spans="1:1" x14ac:dyDescent="0.25">
      <c r="A4632" s="520"/>
    </row>
    <row r="4633" spans="1:1" x14ac:dyDescent="0.25">
      <c r="A4633" s="520"/>
    </row>
    <row r="4634" spans="1:1" x14ac:dyDescent="0.25">
      <c r="A4634" s="520"/>
    </row>
    <row r="4635" spans="1:1" x14ac:dyDescent="0.25">
      <c r="A4635" s="520"/>
    </row>
    <row r="4636" spans="1:1" x14ac:dyDescent="0.25">
      <c r="A4636" s="520"/>
    </row>
    <row r="4637" spans="1:1" x14ac:dyDescent="0.25">
      <c r="A4637" s="520"/>
    </row>
    <row r="4638" spans="1:1" x14ac:dyDescent="0.25">
      <c r="A4638" s="520"/>
    </row>
    <row r="4639" spans="1:1" x14ac:dyDescent="0.25">
      <c r="A4639" s="520"/>
    </row>
    <row r="4640" spans="1:1" x14ac:dyDescent="0.25">
      <c r="A4640" s="520"/>
    </row>
    <row r="4641" spans="1:1" x14ac:dyDescent="0.25">
      <c r="A4641" s="520"/>
    </row>
    <row r="4642" spans="1:1" x14ac:dyDescent="0.25">
      <c r="A4642" s="520"/>
    </row>
    <row r="4643" spans="1:1" x14ac:dyDescent="0.25">
      <c r="A4643" s="520"/>
    </row>
    <row r="4644" spans="1:1" x14ac:dyDescent="0.25">
      <c r="A4644" s="520"/>
    </row>
    <row r="4645" spans="1:1" x14ac:dyDescent="0.25">
      <c r="A4645" s="520"/>
    </row>
    <row r="4646" spans="1:1" x14ac:dyDescent="0.25">
      <c r="A4646" s="520"/>
    </row>
    <row r="4647" spans="1:1" x14ac:dyDescent="0.25">
      <c r="A4647" s="520"/>
    </row>
    <row r="4648" spans="1:1" x14ac:dyDescent="0.25">
      <c r="A4648" s="520"/>
    </row>
    <row r="4649" spans="1:1" x14ac:dyDescent="0.25">
      <c r="A4649" s="520"/>
    </row>
    <row r="4650" spans="1:1" x14ac:dyDescent="0.25">
      <c r="A4650" s="520"/>
    </row>
    <row r="4651" spans="1:1" x14ac:dyDescent="0.25">
      <c r="A4651" s="520"/>
    </row>
    <row r="4652" spans="1:1" x14ac:dyDescent="0.25">
      <c r="A4652" s="520"/>
    </row>
    <row r="4653" spans="1:1" x14ac:dyDescent="0.25">
      <c r="A4653" s="520"/>
    </row>
    <row r="4654" spans="1:1" x14ac:dyDescent="0.25">
      <c r="A4654" s="520"/>
    </row>
    <row r="4655" spans="1:1" x14ac:dyDescent="0.25">
      <c r="A4655" s="520"/>
    </row>
    <row r="4656" spans="1:1" x14ac:dyDescent="0.25">
      <c r="A4656" s="520"/>
    </row>
    <row r="4657" spans="1:1" x14ac:dyDescent="0.25">
      <c r="A4657" s="520"/>
    </row>
    <row r="4658" spans="1:1" x14ac:dyDescent="0.25">
      <c r="A4658" s="520"/>
    </row>
    <row r="4659" spans="1:1" x14ac:dyDescent="0.25">
      <c r="A4659" s="520"/>
    </row>
    <row r="4660" spans="1:1" x14ac:dyDescent="0.25">
      <c r="A4660" s="520"/>
    </row>
    <row r="4661" spans="1:1" x14ac:dyDescent="0.25">
      <c r="A4661" s="520"/>
    </row>
    <row r="4662" spans="1:1" x14ac:dyDescent="0.25">
      <c r="A4662" s="520"/>
    </row>
    <row r="4663" spans="1:1" x14ac:dyDescent="0.25">
      <c r="A4663" s="520"/>
    </row>
    <row r="4664" spans="1:1" x14ac:dyDescent="0.25">
      <c r="A4664" s="520"/>
    </row>
    <row r="4665" spans="1:1" x14ac:dyDescent="0.25">
      <c r="A4665" s="520"/>
    </row>
    <row r="4666" spans="1:1" x14ac:dyDescent="0.25">
      <c r="A4666" s="520"/>
    </row>
    <row r="4667" spans="1:1" x14ac:dyDescent="0.25">
      <c r="A4667" s="520"/>
    </row>
    <row r="4668" spans="1:1" x14ac:dyDescent="0.25">
      <c r="A4668" s="520"/>
    </row>
    <row r="4669" spans="1:1" x14ac:dyDescent="0.25">
      <c r="A4669" s="520"/>
    </row>
    <row r="4670" spans="1:1" x14ac:dyDescent="0.25">
      <c r="A4670" s="520"/>
    </row>
    <row r="4671" spans="1:1" x14ac:dyDescent="0.25">
      <c r="A4671" s="520"/>
    </row>
    <row r="4672" spans="1:1" x14ac:dyDescent="0.25">
      <c r="A4672" s="520"/>
    </row>
    <row r="4673" spans="1:1" x14ac:dyDescent="0.25">
      <c r="A4673" s="520"/>
    </row>
    <row r="4674" spans="1:1" x14ac:dyDescent="0.25">
      <c r="A4674" s="520"/>
    </row>
    <row r="4675" spans="1:1" x14ac:dyDescent="0.25">
      <c r="A4675" s="520"/>
    </row>
    <row r="4676" spans="1:1" x14ac:dyDescent="0.25">
      <c r="A4676" s="520"/>
    </row>
    <row r="4677" spans="1:1" x14ac:dyDescent="0.25">
      <c r="A4677" s="520"/>
    </row>
    <row r="4678" spans="1:1" x14ac:dyDescent="0.25">
      <c r="A4678" s="520"/>
    </row>
    <row r="4679" spans="1:1" x14ac:dyDescent="0.25">
      <c r="A4679" s="520"/>
    </row>
    <row r="4680" spans="1:1" x14ac:dyDescent="0.25">
      <c r="A4680" s="520"/>
    </row>
    <row r="4681" spans="1:1" x14ac:dyDescent="0.25">
      <c r="A4681" s="520"/>
    </row>
    <row r="4682" spans="1:1" x14ac:dyDescent="0.25">
      <c r="A4682" s="520"/>
    </row>
    <row r="4683" spans="1:1" x14ac:dyDescent="0.25">
      <c r="A4683" s="520"/>
    </row>
    <row r="4684" spans="1:1" x14ac:dyDescent="0.25">
      <c r="A4684" s="520"/>
    </row>
    <row r="4685" spans="1:1" x14ac:dyDescent="0.25">
      <c r="A4685" s="520"/>
    </row>
    <row r="4686" spans="1:1" x14ac:dyDescent="0.25">
      <c r="A4686" s="520"/>
    </row>
    <row r="4687" spans="1:1" x14ac:dyDescent="0.25">
      <c r="A4687" s="520"/>
    </row>
    <row r="4688" spans="1:1" x14ac:dyDescent="0.25">
      <c r="A4688" s="520"/>
    </row>
    <row r="4689" spans="1:1" x14ac:dyDescent="0.25">
      <c r="A4689" s="520"/>
    </row>
    <row r="4690" spans="1:1" x14ac:dyDescent="0.25">
      <c r="A4690" s="520"/>
    </row>
    <row r="4691" spans="1:1" x14ac:dyDescent="0.25">
      <c r="A4691" s="520"/>
    </row>
    <row r="4692" spans="1:1" x14ac:dyDescent="0.25">
      <c r="A4692" s="520"/>
    </row>
    <row r="4693" spans="1:1" x14ac:dyDescent="0.25">
      <c r="A4693" s="520"/>
    </row>
    <row r="4694" spans="1:1" x14ac:dyDescent="0.25">
      <c r="A4694" s="520"/>
    </row>
    <row r="4695" spans="1:1" x14ac:dyDescent="0.25">
      <c r="A4695" s="520"/>
    </row>
    <row r="4696" spans="1:1" x14ac:dyDescent="0.25">
      <c r="A4696" s="520"/>
    </row>
    <row r="4697" spans="1:1" x14ac:dyDescent="0.25">
      <c r="A4697" s="520"/>
    </row>
    <row r="4698" spans="1:1" x14ac:dyDescent="0.25">
      <c r="A4698" s="520"/>
    </row>
    <row r="4699" spans="1:1" x14ac:dyDescent="0.25">
      <c r="A4699" s="520"/>
    </row>
    <row r="4700" spans="1:1" x14ac:dyDescent="0.25">
      <c r="A4700" s="520"/>
    </row>
    <row r="4701" spans="1:1" x14ac:dyDescent="0.25">
      <c r="A4701" s="520"/>
    </row>
    <row r="4702" spans="1:1" x14ac:dyDescent="0.25">
      <c r="A4702" s="520"/>
    </row>
    <row r="4703" spans="1:1" x14ac:dyDescent="0.25">
      <c r="A4703" s="520"/>
    </row>
    <row r="4704" spans="1:1" x14ac:dyDescent="0.25">
      <c r="A4704" s="520"/>
    </row>
    <row r="4705" spans="1:1" x14ac:dyDescent="0.25">
      <c r="A4705" s="520"/>
    </row>
    <row r="4706" spans="1:1" x14ac:dyDescent="0.25">
      <c r="A4706" s="520"/>
    </row>
    <row r="4707" spans="1:1" x14ac:dyDescent="0.25">
      <c r="A4707" s="520"/>
    </row>
    <row r="4708" spans="1:1" x14ac:dyDescent="0.25">
      <c r="A4708" s="520"/>
    </row>
    <row r="4709" spans="1:1" x14ac:dyDescent="0.25">
      <c r="A4709" s="520"/>
    </row>
    <row r="4710" spans="1:1" x14ac:dyDescent="0.25">
      <c r="A4710" s="520"/>
    </row>
    <row r="4711" spans="1:1" x14ac:dyDescent="0.25">
      <c r="A4711" s="520"/>
    </row>
    <row r="4712" spans="1:1" x14ac:dyDescent="0.25">
      <c r="A4712" s="520"/>
    </row>
    <row r="4713" spans="1:1" x14ac:dyDescent="0.25">
      <c r="A4713" s="520"/>
    </row>
    <row r="4714" spans="1:1" x14ac:dyDescent="0.25">
      <c r="A4714" s="520"/>
    </row>
    <row r="4715" spans="1:1" x14ac:dyDescent="0.25">
      <c r="A4715" s="520"/>
    </row>
    <row r="4716" spans="1:1" x14ac:dyDescent="0.25">
      <c r="A4716" s="520"/>
    </row>
    <row r="4717" spans="1:1" x14ac:dyDescent="0.25">
      <c r="A4717" s="520"/>
    </row>
    <row r="4718" spans="1:1" x14ac:dyDescent="0.25">
      <c r="A4718" s="520"/>
    </row>
    <row r="4719" spans="1:1" x14ac:dyDescent="0.25">
      <c r="A4719" s="520"/>
    </row>
    <row r="4720" spans="1:1" x14ac:dyDescent="0.25">
      <c r="A4720" s="520"/>
    </row>
    <row r="4721" spans="1:1" x14ac:dyDescent="0.25">
      <c r="A4721" s="520"/>
    </row>
    <row r="4722" spans="1:1" x14ac:dyDescent="0.25">
      <c r="A4722" s="520"/>
    </row>
    <row r="4723" spans="1:1" x14ac:dyDescent="0.25">
      <c r="A4723" s="520"/>
    </row>
    <row r="4724" spans="1:1" x14ac:dyDescent="0.25">
      <c r="A4724" s="520"/>
    </row>
    <row r="4725" spans="1:1" x14ac:dyDescent="0.25">
      <c r="A4725" s="520"/>
    </row>
    <row r="4726" spans="1:1" x14ac:dyDescent="0.25">
      <c r="A4726" s="520"/>
    </row>
    <row r="4727" spans="1:1" x14ac:dyDescent="0.25">
      <c r="A4727" s="520"/>
    </row>
    <row r="4728" spans="1:1" x14ac:dyDescent="0.25">
      <c r="A4728" s="520"/>
    </row>
    <row r="4729" spans="1:1" x14ac:dyDescent="0.25">
      <c r="A4729" s="520"/>
    </row>
    <row r="4730" spans="1:1" x14ac:dyDescent="0.25">
      <c r="A4730" s="520"/>
    </row>
    <row r="4731" spans="1:1" x14ac:dyDescent="0.25">
      <c r="A4731" s="520"/>
    </row>
    <row r="4732" spans="1:1" x14ac:dyDescent="0.25">
      <c r="A4732" s="520"/>
    </row>
    <row r="4733" spans="1:1" x14ac:dyDescent="0.25">
      <c r="A4733" s="520"/>
    </row>
    <row r="4734" spans="1:1" x14ac:dyDescent="0.25">
      <c r="A4734" s="520"/>
    </row>
    <row r="4735" spans="1:1" x14ac:dyDescent="0.25">
      <c r="A4735" s="520"/>
    </row>
    <row r="4736" spans="1:1" x14ac:dyDescent="0.25">
      <c r="A4736" s="520"/>
    </row>
    <row r="4737" spans="1:1" x14ac:dyDescent="0.25">
      <c r="A4737" s="520"/>
    </row>
    <row r="4738" spans="1:1" x14ac:dyDescent="0.25">
      <c r="A4738" s="520"/>
    </row>
    <row r="4739" spans="1:1" x14ac:dyDescent="0.25">
      <c r="A4739" s="520"/>
    </row>
    <row r="4740" spans="1:1" x14ac:dyDescent="0.25">
      <c r="A4740" s="520"/>
    </row>
    <row r="4741" spans="1:1" x14ac:dyDescent="0.25">
      <c r="A4741" s="520"/>
    </row>
    <row r="4742" spans="1:1" x14ac:dyDescent="0.25">
      <c r="A4742" s="520"/>
    </row>
    <row r="4743" spans="1:1" x14ac:dyDescent="0.25">
      <c r="A4743" s="520"/>
    </row>
    <row r="4744" spans="1:1" x14ac:dyDescent="0.25">
      <c r="A4744" s="520"/>
    </row>
    <row r="4745" spans="1:1" x14ac:dyDescent="0.25">
      <c r="A4745" s="520"/>
    </row>
    <row r="4746" spans="1:1" x14ac:dyDescent="0.25">
      <c r="A4746" s="520"/>
    </row>
    <row r="4747" spans="1:1" x14ac:dyDescent="0.25">
      <c r="A4747" s="520"/>
    </row>
    <row r="4748" spans="1:1" x14ac:dyDescent="0.25">
      <c r="A4748" s="520"/>
    </row>
    <row r="4749" spans="1:1" x14ac:dyDescent="0.25">
      <c r="A4749" s="520"/>
    </row>
    <row r="4750" spans="1:1" x14ac:dyDescent="0.25">
      <c r="A4750" s="520"/>
    </row>
    <row r="4751" spans="1:1" x14ac:dyDescent="0.25">
      <c r="A4751" s="520"/>
    </row>
    <row r="4752" spans="1:1" x14ac:dyDescent="0.25">
      <c r="A4752" s="520"/>
    </row>
    <row r="4753" spans="1:1" x14ac:dyDescent="0.25">
      <c r="A4753" s="520"/>
    </row>
    <row r="4754" spans="1:1" x14ac:dyDescent="0.25">
      <c r="A4754" s="520"/>
    </row>
    <row r="4755" spans="1:1" x14ac:dyDescent="0.25">
      <c r="A4755" s="520"/>
    </row>
    <row r="4756" spans="1:1" x14ac:dyDescent="0.25">
      <c r="A4756" s="520"/>
    </row>
    <row r="4757" spans="1:1" x14ac:dyDescent="0.25">
      <c r="A4757" s="520"/>
    </row>
    <row r="4758" spans="1:1" x14ac:dyDescent="0.25">
      <c r="A4758" s="520"/>
    </row>
    <row r="4759" spans="1:1" x14ac:dyDescent="0.25">
      <c r="A4759" s="520"/>
    </row>
    <row r="4760" spans="1:1" x14ac:dyDescent="0.25">
      <c r="A4760" s="520"/>
    </row>
    <row r="4761" spans="1:1" x14ac:dyDescent="0.25">
      <c r="A4761" s="520"/>
    </row>
    <row r="4762" spans="1:1" x14ac:dyDescent="0.25">
      <c r="A4762" s="520"/>
    </row>
    <row r="4763" spans="1:1" x14ac:dyDescent="0.25">
      <c r="A4763" s="520"/>
    </row>
    <row r="4764" spans="1:1" x14ac:dyDescent="0.25">
      <c r="A4764" s="520"/>
    </row>
    <row r="4765" spans="1:1" x14ac:dyDescent="0.25">
      <c r="A4765" s="520"/>
    </row>
    <row r="4766" spans="1:1" x14ac:dyDescent="0.25">
      <c r="A4766" s="520"/>
    </row>
    <row r="4767" spans="1:1" x14ac:dyDescent="0.25">
      <c r="A4767" s="520"/>
    </row>
    <row r="4768" spans="1:1" x14ac:dyDescent="0.25">
      <c r="A4768" s="520"/>
    </row>
    <row r="4769" spans="1:1" x14ac:dyDescent="0.25">
      <c r="A4769" s="520"/>
    </row>
    <row r="4770" spans="1:1" x14ac:dyDescent="0.25">
      <c r="A4770" s="520"/>
    </row>
    <row r="4771" spans="1:1" x14ac:dyDescent="0.25">
      <c r="A4771" s="520"/>
    </row>
    <row r="4772" spans="1:1" x14ac:dyDescent="0.25">
      <c r="A4772" s="520"/>
    </row>
    <row r="4773" spans="1:1" x14ac:dyDescent="0.25">
      <c r="A4773" s="520"/>
    </row>
    <row r="4774" spans="1:1" x14ac:dyDescent="0.25">
      <c r="A4774" s="520"/>
    </row>
    <row r="4775" spans="1:1" x14ac:dyDescent="0.25">
      <c r="A4775" s="520"/>
    </row>
    <row r="4776" spans="1:1" x14ac:dyDescent="0.25">
      <c r="A4776" s="520"/>
    </row>
    <row r="4777" spans="1:1" x14ac:dyDescent="0.25">
      <c r="A4777" s="520"/>
    </row>
    <row r="4778" spans="1:1" x14ac:dyDescent="0.25">
      <c r="A4778" s="520"/>
    </row>
    <row r="4779" spans="1:1" x14ac:dyDescent="0.25">
      <c r="A4779" s="520"/>
    </row>
    <row r="4780" spans="1:1" x14ac:dyDescent="0.25">
      <c r="A4780" s="520"/>
    </row>
    <row r="4781" spans="1:1" x14ac:dyDescent="0.25">
      <c r="A4781" s="520"/>
    </row>
    <row r="4782" spans="1:1" x14ac:dyDescent="0.25">
      <c r="A4782" s="520"/>
    </row>
    <row r="4783" spans="1:1" x14ac:dyDescent="0.25">
      <c r="A4783" s="520"/>
    </row>
    <row r="4784" spans="1:1" x14ac:dyDescent="0.25">
      <c r="A4784" s="520"/>
    </row>
    <row r="4785" spans="1:1" x14ac:dyDescent="0.25">
      <c r="A4785" s="520"/>
    </row>
    <row r="4786" spans="1:1" x14ac:dyDescent="0.25">
      <c r="A4786" s="520"/>
    </row>
    <row r="4787" spans="1:1" x14ac:dyDescent="0.25">
      <c r="A4787" s="520"/>
    </row>
    <row r="4788" spans="1:1" x14ac:dyDescent="0.25">
      <c r="A4788" s="520"/>
    </row>
    <row r="4789" spans="1:1" x14ac:dyDescent="0.25">
      <c r="A4789" s="520"/>
    </row>
    <row r="4790" spans="1:1" x14ac:dyDescent="0.25">
      <c r="A4790" s="520"/>
    </row>
    <row r="4791" spans="1:1" x14ac:dyDescent="0.25">
      <c r="A4791" s="520"/>
    </row>
    <row r="4792" spans="1:1" x14ac:dyDescent="0.25">
      <c r="A4792" s="520"/>
    </row>
    <row r="4793" spans="1:1" x14ac:dyDescent="0.25">
      <c r="A4793" s="520"/>
    </row>
    <row r="4794" spans="1:1" x14ac:dyDescent="0.25">
      <c r="A4794" s="520"/>
    </row>
    <row r="4795" spans="1:1" x14ac:dyDescent="0.25">
      <c r="A4795" s="520"/>
    </row>
    <row r="4796" spans="1:1" x14ac:dyDescent="0.25">
      <c r="A4796" s="520"/>
    </row>
    <row r="4797" spans="1:1" x14ac:dyDescent="0.25">
      <c r="A4797" s="520"/>
    </row>
    <row r="4798" spans="1:1" x14ac:dyDescent="0.25">
      <c r="A4798" s="520"/>
    </row>
    <row r="4799" spans="1:1" x14ac:dyDescent="0.25">
      <c r="A4799" s="520"/>
    </row>
    <row r="4800" spans="1:1" x14ac:dyDescent="0.25">
      <c r="A4800" s="520"/>
    </row>
    <row r="4801" spans="1:1" x14ac:dyDescent="0.25">
      <c r="A4801" s="520"/>
    </row>
    <row r="4802" spans="1:1" x14ac:dyDescent="0.25">
      <c r="A4802" s="520"/>
    </row>
    <row r="4803" spans="1:1" x14ac:dyDescent="0.25">
      <c r="A4803" s="520"/>
    </row>
    <row r="4804" spans="1:1" x14ac:dyDescent="0.25">
      <c r="A4804" s="520"/>
    </row>
    <row r="4805" spans="1:1" x14ac:dyDescent="0.25">
      <c r="A4805" s="520"/>
    </row>
    <row r="4806" spans="1:1" x14ac:dyDescent="0.25">
      <c r="A4806" s="520"/>
    </row>
    <row r="4807" spans="1:1" x14ac:dyDescent="0.25">
      <c r="A4807" s="520"/>
    </row>
    <row r="4808" spans="1:1" x14ac:dyDescent="0.25">
      <c r="A4808" s="520"/>
    </row>
    <row r="4809" spans="1:1" x14ac:dyDescent="0.25">
      <c r="A4809" s="520"/>
    </row>
    <row r="4810" spans="1:1" x14ac:dyDescent="0.25">
      <c r="A4810" s="520"/>
    </row>
    <row r="4811" spans="1:1" x14ac:dyDescent="0.25">
      <c r="A4811" s="520"/>
    </row>
    <row r="4812" spans="1:1" x14ac:dyDescent="0.25">
      <c r="A4812" s="520"/>
    </row>
    <row r="4813" spans="1:1" x14ac:dyDescent="0.25">
      <c r="A4813" s="520"/>
    </row>
    <row r="4814" spans="1:1" x14ac:dyDescent="0.25">
      <c r="A4814" s="520"/>
    </row>
    <row r="4815" spans="1:1" x14ac:dyDescent="0.25">
      <c r="A4815" s="520"/>
    </row>
    <row r="4816" spans="1:1" x14ac:dyDescent="0.25">
      <c r="A4816" s="520"/>
    </row>
    <row r="4817" spans="1:1" x14ac:dyDescent="0.25">
      <c r="A4817" s="520"/>
    </row>
    <row r="4818" spans="1:1" x14ac:dyDescent="0.25">
      <c r="A4818" s="520"/>
    </row>
    <row r="4819" spans="1:1" x14ac:dyDescent="0.25">
      <c r="A4819" s="520"/>
    </row>
    <row r="4820" spans="1:1" x14ac:dyDescent="0.25">
      <c r="A4820" s="520"/>
    </row>
    <row r="4821" spans="1:1" x14ac:dyDescent="0.25">
      <c r="A4821" s="520"/>
    </row>
    <row r="4822" spans="1:1" x14ac:dyDescent="0.25">
      <c r="A4822" s="520"/>
    </row>
    <row r="4823" spans="1:1" x14ac:dyDescent="0.25">
      <c r="A4823" s="520"/>
    </row>
    <row r="4824" spans="1:1" x14ac:dyDescent="0.25">
      <c r="A4824" s="520"/>
    </row>
    <row r="4825" spans="1:1" x14ac:dyDescent="0.25">
      <c r="A4825" s="520"/>
    </row>
    <row r="4826" spans="1:1" x14ac:dyDescent="0.25">
      <c r="A4826" s="520"/>
    </row>
    <row r="4827" spans="1:1" x14ac:dyDescent="0.25">
      <c r="A4827" s="520"/>
    </row>
    <row r="4828" spans="1:1" x14ac:dyDescent="0.25">
      <c r="A4828" s="520"/>
    </row>
    <row r="4829" spans="1:1" x14ac:dyDescent="0.25">
      <c r="A4829" s="520"/>
    </row>
    <row r="4830" spans="1:1" x14ac:dyDescent="0.25">
      <c r="A4830" s="520"/>
    </row>
    <row r="4831" spans="1:1" x14ac:dyDescent="0.25">
      <c r="A4831" s="520"/>
    </row>
    <row r="4832" spans="1:1" x14ac:dyDescent="0.25">
      <c r="A4832" s="520"/>
    </row>
    <row r="4833" spans="1:1" x14ac:dyDescent="0.25">
      <c r="A4833" s="520"/>
    </row>
    <row r="4834" spans="1:1" x14ac:dyDescent="0.25">
      <c r="A4834" s="520"/>
    </row>
    <row r="4835" spans="1:1" x14ac:dyDescent="0.25">
      <c r="A4835" s="520"/>
    </row>
    <row r="4836" spans="1:1" x14ac:dyDescent="0.25">
      <c r="A4836" s="520"/>
    </row>
    <row r="4837" spans="1:1" x14ac:dyDescent="0.25">
      <c r="A4837" s="520"/>
    </row>
    <row r="4838" spans="1:1" x14ac:dyDescent="0.25">
      <c r="A4838" s="520"/>
    </row>
    <row r="4839" spans="1:1" x14ac:dyDescent="0.25">
      <c r="A4839" s="520"/>
    </row>
    <row r="4840" spans="1:1" x14ac:dyDescent="0.25">
      <c r="A4840" s="520"/>
    </row>
    <row r="4841" spans="1:1" x14ac:dyDescent="0.25">
      <c r="A4841" s="520"/>
    </row>
    <row r="4842" spans="1:1" x14ac:dyDescent="0.25">
      <c r="A4842" s="520"/>
    </row>
    <row r="4843" spans="1:1" x14ac:dyDescent="0.25">
      <c r="A4843" s="520"/>
    </row>
    <row r="4844" spans="1:1" x14ac:dyDescent="0.25">
      <c r="A4844" s="520"/>
    </row>
    <row r="4845" spans="1:1" x14ac:dyDescent="0.25">
      <c r="A4845" s="520"/>
    </row>
    <row r="4846" spans="1:1" x14ac:dyDescent="0.25">
      <c r="A4846" s="520"/>
    </row>
    <row r="4847" spans="1:1" x14ac:dyDescent="0.25">
      <c r="A4847" s="520"/>
    </row>
    <row r="4848" spans="1:1" x14ac:dyDescent="0.25">
      <c r="A4848" s="520"/>
    </row>
    <row r="4849" spans="1:1" x14ac:dyDescent="0.25">
      <c r="A4849" s="520"/>
    </row>
    <row r="4850" spans="1:1" x14ac:dyDescent="0.25">
      <c r="A4850" s="520"/>
    </row>
    <row r="4851" spans="1:1" x14ac:dyDescent="0.25">
      <c r="A4851" s="520"/>
    </row>
    <row r="4852" spans="1:1" x14ac:dyDescent="0.25">
      <c r="A4852" s="520"/>
    </row>
    <row r="4853" spans="1:1" x14ac:dyDescent="0.25">
      <c r="A4853" s="520"/>
    </row>
    <row r="4854" spans="1:1" x14ac:dyDescent="0.25">
      <c r="A4854" s="520"/>
    </row>
    <row r="4855" spans="1:1" x14ac:dyDescent="0.25">
      <c r="A4855" s="520"/>
    </row>
    <row r="4856" spans="1:1" x14ac:dyDescent="0.25">
      <c r="A4856" s="520"/>
    </row>
    <row r="4857" spans="1:1" x14ac:dyDescent="0.25">
      <c r="A4857" s="520"/>
    </row>
    <row r="4858" spans="1:1" x14ac:dyDescent="0.25">
      <c r="A4858" s="520"/>
    </row>
    <row r="4859" spans="1:1" x14ac:dyDescent="0.25">
      <c r="A4859" s="520"/>
    </row>
    <row r="4860" spans="1:1" x14ac:dyDescent="0.25">
      <c r="A4860" s="520"/>
    </row>
    <row r="4861" spans="1:1" x14ac:dyDescent="0.25">
      <c r="A4861" s="520"/>
    </row>
    <row r="4862" spans="1:1" x14ac:dyDescent="0.25">
      <c r="A4862" s="520"/>
    </row>
    <row r="4863" spans="1:1" x14ac:dyDescent="0.25">
      <c r="A4863" s="520"/>
    </row>
    <row r="4864" spans="1:1" x14ac:dyDescent="0.25">
      <c r="A4864" s="520"/>
    </row>
    <row r="4865" spans="1:1" x14ac:dyDescent="0.25">
      <c r="A4865" s="520"/>
    </row>
    <row r="4866" spans="1:1" x14ac:dyDescent="0.25">
      <c r="A4866" s="520"/>
    </row>
    <row r="4867" spans="1:1" x14ac:dyDescent="0.25">
      <c r="A4867" s="520"/>
    </row>
    <row r="4868" spans="1:1" x14ac:dyDescent="0.25">
      <c r="A4868" s="520"/>
    </row>
    <row r="4869" spans="1:1" x14ac:dyDescent="0.25">
      <c r="A4869" s="520"/>
    </row>
    <row r="4870" spans="1:1" x14ac:dyDescent="0.25">
      <c r="A4870" s="520"/>
    </row>
    <row r="4871" spans="1:1" x14ac:dyDescent="0.25">
      <c r="A4871" s="520"/>
    </row>
    <row r="4872" spans="1:1" x14ac:dyDescent="0.25">
      <c r="A4872" s="520"/>
    </row>
    <row r="4873" spans="1:1" x14ac:dyDescent="0.25">
      <c r="A4873" s="520"/>
    </row>
    <row r="4874" spans="1:1" x14ac:dyDescent="0.25">
      <c r="A4874" s="520"/>
    </row>
    <row r="4875" spans="1:1" x14ac:dyDescent="0.25">
      <c r="A4875" s="520"/>
    </row>
    <row r="4876" spans="1:1" x14ac:dyDescent="0.25">
      <c r="A4876" s="520"/>
    </row>
    <row r="4877" spans="1:1" x14ac:dyDescent="0.25">
      <c r="A4877" s="520"/>
    </row>
    <row r="4878" spans="1:1" x14ac:dyDescent="0.25">
      <c r="A4878" s="520"/>
    </row>
    <row r="4879" spans="1:1" x14ac:dyDescent="0.25">
      <c r="A4879" s="520"/>
    </row>
    <row r="4880" spans="1:1" x14ac:dyDescent="0.25">
      <c r="A4880" s="520"/>
    </row>
    <row r="4881" spans="1:1" x14ac:dyDescent="0.25">
      <c r="A4881" s="520"/>
    </row>
    <row r="4882" spans="1:1" x14ac:dyDescent="0.25">
      <c r="A4882" s="520"/>
    </row>
    <row r="4883" spans="1:1" x14ac:dyDescent="0.25">
      <c r="A4883" s="520"/>
    </row>
    <row r="4884" spans="1:1" x14ac:dyDescent="0.25">
      <c r="A4884" s="520"/>
    </row>
    <row r="4885" spans="1:1" x14ac:dyDescent="0.25">
      <c r="A4885" s="520"/>
    </row>
    <row r="4886" spans="1:1" x14ac:dyDescent="0.25">
      <c r="A4886" s="520"/>
    </row>
    <row r="4887" spans="1:1" x14ac:dyDescent="0.25">
      <c r="A4887" s="520"/>
    </row>
    <row r="4888" spans="1:1" x14ac:dyDescent="0.25">
      <c r="A4888" s="520"/>
    </row>
    <row r="4889" spans="1:1" x14ac:dyDescent="0.25">
      <c r="A4889" s="520"/>
    </row>
    <row r="4890" spans="1:1" x14ac:dyDescent="0.25">
      <c r="A4890" s="520"/>
    </row>
    <row r="4891" spans="1:1" x14ac:dyDescent="0.25">
      <c r="A4891" s="520"/>
    </row>
    <row r="4892" spans="1:1" x14ac:dyDescent="0.25">
      <c r="A4892" s="520"/>
    </row>
    <row r="4893" spans="1:1" x14ac:dyDescent="0.25">
      <c r="A4893" s="520"/>
    </row>
    <row r="4894" spans="1:1" x14ac:dyDescent="0.25">
      <c r="A4894" s="520"/>
    </row>
    <row r="4895" spans="1:1" x14ac:dyDescent="0.25">
      <c r="A4895" s="520"/>
    </row>
    <row r="4896" spans="1:1" x14ac:dyDescent="0.25">
      <c r="A4896" s="520"/>
    </row>
    <row r="4897" spans="1:1" x14ac:dyDescent="0.25">
      <c r="A4897" s="520"/>
    </row>
    <row r="4898" spans="1:1" x14ac:dyDescent="0.25">
      <c r="A4898" s="520"/>
    </row>
    <row r="4899" spans="1:1" x14ac:dyDescent="0.25">
      <c r="A4899" s="520"/>
    </row>
    <row r="4900" spans="1:1" x14ac:dyDescent="0.25">
      <c r="A4900" s="520"/>
    </row>
    <row r="4901" spans="1:1" x14ac:dyDescent="0.25">
      <c r="A4901" s="520"/>
    </row>
    <row r="4902" spans="1:1" x14ac:dyDescent="0.25">
      <c r="A4902" s="520"/>
    </row>
    <row r="4903" spans="1:1" x14ac:dyDescent="0.25">
      <c r="A4903" s="520"/>
    </row>
    <row r="4904" spans="1:1" x14ac:dyDescent="0.25">
      <c r="A4904" s="520"/>
    </row>
    <row r="4905" spans="1:1" x14ac:dyDescent="0.25">
      <c r="A4905" s="520"/>
    </row>
    <row r="4906" spans="1:1" x14ac:dyDescent="0.25">
      <c r="A4906" s="520"/>
    </row>
    <row r="4907" spans="1:1" x14ac:dyDescent="0.25">
      <c r="A4907" s="520"/>
    </row>
    <row r="4908" spans="1:1" x14ac:dyDescent="0.25">
      <c r="A4908" s="520"/>
    </row>
    <row r="4909" spans="1:1" x14ac:dyDescent="0.25">
      <c r="A4909" s="520"/>
    </row>
    <row r="4910" spans="1:1" x14ac:dyDescent="0.25">
      <c r="A4910" s="520"/>
    </row>
    <row r="4911" spans="1:1" x14ac:dyDescent="0.25">
      <c r="A4911" s="520"/>
    </row>
    <row r="4912" spans="1:1" x14ac:dyDescent="0.25">
      <c r="A4912" s="520"/>
    </row>
    <row r="4913" spans="1:1" x14ac:dyDescent="0.25">
      <c r="A4913" s="520"/>
    </row>
    <row r="4914" spans="1:1" x14ac:dyDescent="0.25">
      <c r="A4914" s="520"/>
    </row>
    <row r="4915" spans="1:1" x14ac:dyDescent="0.25">
      <c r="A4915" s="520"/>
    </row>
    <row r="4916" spans="1:1" x14ac:dyDescent="0.25">
      <c r="A4916" s="520"/>
    </row>
    <row r="4917" spans="1:1" x14ac:dyDescent="0.25">
      <c r="A4917" s="520"/>
    </row>
    <row r="4918" spans="1:1" x14ac:dyDescent="0.25">
      <c r="A4918" s="520"/>
    </row>
    <row r="4919" spans="1:1" x14ac:dyDescent="0.25">
      <c r="A4919" s="520"/>
    </row>
    <row r="4920" spans="1:1" x14ac:dyDescent="0.25">
      <c r="A4920" s="520"/>
    </row>
    <row r="4921" spans="1:1" x14ac:dyDescent="0.25">
      <c r="A4921" s="520"/>
    </row>
    <row r="4922" spans="1:1" x14ac:dyDescent="0.25">
      <c r="A4922" s="520"/>
    </row>
    <row r="4923" spans="1:1" x14ac:dyDescent="0.25">
      <c r="A4923" s="520"/>
    </row>
    <row r="4924" spans="1:1" x14ac:dyDescent="0.25">
      <c r="A4924" s="520"/>
    </row>
    <row r="4925" spans="1:1" x14ac:dyDescent="0.25">
      <c r="A4925" s="520"/>
    </row>
    <row r="4926" spans="1:1" x14ac:dyDescent="0.25">
      <c r="A4926" s="520"/>
    </row>
    <row r="4927" spans="1:1" x14ac:dyDescent="0.25">
      <c r="A4927" s="520"/>
    </row>
    <row r="4928" spans="1:1" x14ac:dyDescent="0.25">
      <c r="A4928" s="520"/>
    </row>
    <row r="4929" spans="1:1" x14ac:dyDescent="0.25">
      <c r="A4929" s="520"/>
    </row>
    <row r="4930" spans="1:1" x14ac:dyDescent="0.25">
      <c r="A4930" s="520"/>
    </row>
    <row r="4931" spans="1:1" x14ac:dyDescent="0.25">
      <c r="A4931" s="520"/>
    </row>
    <row r="4932" spans="1:1" x14ac:dyDescent="0.25">
      <c r="A4932" s="520"/>
    </row>
    <row r="4933" spans="1:1" x14ac:dyDescent="0.25">
      <c r="A4933" s="520"/>
    </row>
    <row r="4934" spans="1:1" x14ac:dyDescent="0.25">
      <c r="A4934" s="520"/>
    </row>
    <row r="4935" spans="1:1" x14ac:dyDescent="0.25">
      <c r="A4935" s="520"/>
    </row>
    <row r="4936" spans="1:1" x14ac:dyDescent="0.25">
      <c r="A4936" s="520"/>
    </row>
    <row r="4937" spans="1:1" x14ac:dyDescent="0.25">
      <c r="A4937" s="520"/>
    </row>
    <row r="4938" spans="1:1" x14ac:dyDescent="0.25">
      <c r="A4938" s="520"/>
    </row>
    <row r="4939" spans="1:1" x14ac:dyDescent="0.25">
      <c r="A4939" s="520"/>
    </row>
    <row r="4940" spans="1:1" x14ac:dyDescent="0.25">
      <c r="A4940" s="520"/>
    </row>
    <row r="4941" spans="1:1" x14ac:dyDescent="0.25">
      <c r="A4941" s="520"/>
    </row>
    <row r="4942" spans="1:1" x14ac:dyDescent="0.25">
      <c r="A4942" s="520"/>
    </row>
    <row r="4943" spans="1:1" x14ac:dyDescent="0.25">
      <c r="A4943" s="520"/>
    </row>
    <row r="4944" spans="1:1" x14ac:dyDescent="0.25">
      <c r="A4944" s="520"/>
    </row>
    <row r="4945" spans="1:1" x14ac:dyDescent="0.25">
      <c r="A4945" s="520"/>
    </row>
    <row r="4946" spans="1:1" x14ac:dyDescent="0.25">
      <c r="A4946" s="520"/>
    </row>
    <row r="4947" spans="1:1" x14ac:dyDescent="0.25">
      <c r="A4947" s="520"/>
    </row>
    <row r="4948" spans="1:1" x14ac:dyDescent="0.25">
      <c r="A4948" s="520"/>
    </row>
    <row r="4949" spans="1:1" x14ac:dyDescent="0.25">
      <c r="A4949" s="520"/>
    </row>
    <row r="4950" spans="1:1" x14ac:dyDescent="0.25">
      <c r="A4950" s="520"/>
    </row>
    <row r="4951" spans="1:1" x14ac:dyDescent="0.25">
      <c r="A4951" s="520"/>
    </row>
    <row r="4952" spans="1:1" x14ac:dyDescent="0.25">
      <c r="A4952" s="520"/>
    </row>
    <row r="4953" spans="1:1" x14ac:dyDescent="0.25">
      <c r="A4953" s="520"/>
    </row>
    <row r="4954" spans="1:1" x14ac:dyDescent="0.25">
      <c r="A4954" s="520"/>
    </row>
    <row r="4955" spans="1:1" x14ac:dyDescent="0.25">
      <c r="A4955" s="520"/>
    </row>
    <row r="4956" spans="1:1" x14ac:dyDescent="0.25">
      <c r="A4956" s="520"/>
    </row>
    <row r="4957" spans="1:1" x14ac:dyDescent="0.25">
      <c r="A4957" s="520"/>
    </row>
    <row r="4958" spans="1:1" x14ac:dyDescent="0.25">
      <c r="A4958" s="520"/>
    </row>
    <row r="4959" spans="1:1" x14ac:dyDescent="0.25">
      <c r="A4959" s="520"/>
    </row>
    <row r="4960" spans="1:1" x14ac:dyDescent="0.25">
      <c r="A4960" s="520"/>
    </row>
    <row r="4961" spans="1:1" x14ac:dyDescent="0.25">
      <c r="A4961" s="520"/>
    </row>
    <row r="4962" spans="1:1" x14ac:dyDescent="0.25">
      <c r="A4962" s="520"/>
    </row>
    <row r="4963" spans="1:1" x14ac:dyDescent="0.25">
      <c r="A4963" s="520"/>
    </row>
    <row r="4964" spans="1:1" x14ac:dyDescent="0.25">
      <c r="A4964" s="520"/>
    </row>
    <row r="4965" spans="1:1" x14ac:dyDescent="0.25">
      <c r="A4965" s="520"/>
    </row>
    <row r="4966" spans="1:1" x14ac:dyDescent="0.25">
      <c r="A4966" s="520"/>
    </row>
    <row r="4967" spans="1:1" x14ac:dyDescent="0.25">
      <c r="A4967" s="520"/>
    </row>
    <row r="4968" spans="1:1" x14ac:dyDescent="0.25">
      <c r="A4968" s="520"/>
    </row>
    <row r="4969" spans="1:1" x14ac:dyDescent="0.25">
      <c r="A4969" s="520"/>
    </row>
    <row r="4970" spans="1:1" x14ac:dyDescent="0.25">
      <c r="A4970" s="520"/>
    </row>
    <row r="4971" spans="1:1" x14ac:dyDescent="0.25">
      <c r="A4971" s="520"/>
    </row>
    <row r="4972" spans="1:1" x14ac:dyDescent="0.25">
      <c r="A4972" s="520"/>
    </row>
    <row r="4973" spans="1:1" x14ac:dyDescent="0.25">
      <c r="A4973" s="520"/>
    </row>
    <row r="4974" spans="1:1" x14ac:dyDescent="0.25">
      <c r="A4974" s="520"/>
    </row>
    <row r="4975" spans="1:1" x14ac:dyDescent="0.25">
      <c r="A4975" s="520"/>
    </row>
    <row r="4976" spans="1:1" x14ac:dyDescent="0.25">
      <c r="A4976" s="520"/>
    </row>
    <row r="4977" spans="1:1" x14ac:dyDescent="0.25">
      <c r="A4977" s="520"/>
    </row>
    <row r="4978" spans="1:1" x14ac:dyDescent="0.25">
      <c r="A4978" s="520"/>
    </row>
    <row r="4979" spans="1:1" x14ac:dyDescent="0.25">
      <c r="A4979" s="520"/>
    </row>
    <row r="4980" spans="1:1" x14ac:dyDescent="0.25">
      <c r="A4980" s="520"/>
    </row>
    <row r="4981" spans="1:1" x14ac:dyDescent="0.25">
      <c r="A4981" s="520"/>
    </row>
    <row r="4982" spans="1:1" x14ac:dyDescent="0.25">
      <c r="A4982" s="520"/>
    </row>
    <row r="4983" spans="1:1" x14ac:dyDescent="0.25">
      <c r="A4983" s="520"/>
    </row>
    <row r="4984" spans="1:1" x14ac:dyDescent="0.25">
      <c r="A4984" s="520"/>
    </row>
    <row r="4985" spans="1:1" x14ac:dyDescent="0.25">
      <c r="A4985" s="520"/>
    </row>
    <row r="4986" spans="1:1" x14ac:dyDescent="0.25">
      <c r="A4986" s="520"/>
    </row>
    <row r="4987" spans="1:1" x14ac:dyDescent="0.25">
      <c r="A4987" s="520"/>
    </row>
    <row r="4988" spans="1:1" x14ac:dyDescent="0.25">
      <c r="A4988" s="520"/>
    </row>
    <row r="4989" spans="1:1" x14ac:dyDescent="0.25">
      <c r="A4989" s="520"/>
    </row>
    <row r="4990" spans="1:1" x14ac:dyDescent="0.25">
      <c r="A4990" s="520"/>
    </row>
    <row r="4991" spans="1:1" x14ac:dyDescent="0.25">
      <c r="A4991" s="520"/>
    </row>
    <row r="4992" spans="1:1" x14ac:dyDescent="0.25">
      <c r="A4992" s="520"/>
    </row>
    <row r="4993" spans="1:1" x14ac:dyDescent="0.25">
      <c r="A4993" s="520"/>
    </row>
    <row r="4994" spans="1:1" x14ac:dyDescent="0.25">
      <c r="A4994" s="520"/>
    </row>
    <row r="4995" spans="1:1" x14ac:dyDescent="0.25">
      <c r="A4995" s="520"/>
    </row>
    <row r="4996" spans="1:1" x14ac:dyDescent="0.25">
      <c r="A4996" s="520"/>
    </row>
    <row r="4997" spans="1:1" x14ac:dyDescent="0.25">
      <c r="A4997" s="520"/>
    </row>
    <row r="4998" spans="1:1" x14ac:dyDescent="0.25">
      <c r="A4998" s="520"/>
    </row>
    <row r="4999" spans="1:1" x14ac:dyDescent="0.25">
      <c r="A4999" s="520"/>
    </row>
    <row r="5000" spans="1:1" x14ac:dyDescent="0.25">
      <c r="A5000" s="520"/>
    </row>
    <row r="5001" spans="1:1" x14ac:dyDescent="0.25">
      <c r="A5001" s="520"/>
    </row>
    <row r="5002" spans="1:1" x14ac:dyDescent="0.25">
      <c r="A5002" s="520"/>
    </row>
    <row r="5003" spans="1:1" x14ac:dyDescent="0.25">
      <c r="A5003" s="520"/>
    </row>
    <row r="5004" spans="1:1" x14ac:dyDescent="0.25">
      <c r="A5004" s="520"/>
    </row>
    <row r="5005" spans="1:1" x14ac:dyDescent="0.25">
      <c r="A5005" s="520"/>
    </row>
    <row r="5006" spans="1:1" x14ac:dyDescent="0.25">
      <c r="A5006" s="520"/>
    </row>
    <row r="5007" spans="1:1" x14ac:dyDescent="0.25">
      <c r="A5007" s="520"/>
    </row>
    <row r="5008" spans="1:1" x14ac:dyDescent="0.25">
      <c r="A5008" s="520"/>
    </row>
    <row r="5009" spans="1:1" x14ac:dyDescent="0.25">
      <c r="A5009" s="520"/>
    </row>
    <row r="5010" spans="1:1" x14ac:dyDescent="0.25">
      <c r="A5010" s="520"/>
    </row>
    <row r="5011" spans="1:1" x14ac:dyDescent="0.25">
      <c r="A5011" s="520"/>
    </row>
    <row r="5012" spans="1:1" x14ac:dyDescent="0.25">
      <c r="A5012" s="520"/>
    </row>
    <row r="5013" spans="1:1" x14ac:dyDescent="0.25">
      <c r="A5013" s="520"/>
    </row>
    <row r="5014" spans="1:1" x14ac:dyDescent="0.25">
      <c r="A5014" s="520"/>
    </row>
    <row r="5015" spans="1:1" x14ac:dyDescent="0.25">
      <c r="A5015" s="520"/>
    </row>
    <row r="5016" spans="1:1" x14ac:dyDescent="0.25">
      <c r="A5016" s="520"/>
    </row>
    <row r="5017" spans="1:1" x14ac:dyDescent="0.25">
      <c r="A5017" s="520"/>
    </row>
    <row r="5018" spans="1:1" x14ac:dyDescent="0.25">
      <c r="A5018" s="520"/>
    </row>
    <row r="5019" spans="1:1" x14ac:dyDescent="0.25">
      <c r="A5019" s="520"/>
    </row>
    <row r="5020" spans="1:1" x14ac:dyDescent="0.25">
      <c r="A5020" s="520"/>
    </row>
    <row r="5021" spans="1:1" x14ac:dyDescent="0.25">
      <c r="A5021" s="520"/>
    </row>
    <row r="5022" spans="1:1" x14ac:dyDescent="0.25">
      <c r="A5022" s="520"/>
    </row>
    <row r="5023" spans="1:1" x14ac:dyDescent="0.25">
      <c r="A5023" s="520"/>
    </row>
    <row r="5024" spans="1:1" x14ac:dyDescent="0.25">
      <c r="A5024" s="520"/>
    </row>
    <row r="5025" spans="1:1" x14ac:dyDescent="0.25">
      <c r="A5025" s="520"/>
    </row>
    <row r="5026" spans="1:1" x14ac:dyDescent="0.25">
      <c r="A5026" s="520"/>
    </row>
    <row r="5027" spans="1:1" x14ac:dyDescent="0.25">
      <c r="A5027" s="520"/>
    </row>
    <row r="5028" spans="1:1" x14ac:dyDescent="0.25">
      <c r="A5028" s="520"/>
    </row>
    <row r="5029" spans="1:1" x14ac:dyDescent="0.25">
      <c r="A5029" s="520"/>
    </row>
    <row r="5030" spans="1:1" x14ac:dyDescent="0.25">
      <c r="A5030" s="520"/>
    </row>
    <row r="5031" spans="1:1" x14ac:dyDescent="0.25">
      <c r="A5031" s="520"/>
    </row>
    <row r="5032" spans="1:1" x14ac:dyDescent="0.25">
      <c r="A5032" s="520"/>
    </row>
    <row r="5033" spans="1:1" x14ac:dyDescent="0.25">
      <c r="A5033" s="520"/>
    </row>
    <row r="5034" spans="1:1" x14ac:dyDescent="0.25">
      <c r="A5034" s="520"/>
    </row>
    <row r="5035" spans="1:1" x14ac:dyDescent="0.25">
      <c r="A5035" s="520"/>
    </row>
    <row r="5036" spans="1:1" x14ac:dyDescent="0.25">
      <c r="A5036" s="520"/>
    </row>
    <row r="5037" spans="1:1" x14ac:dyDescent="0.25">
      <c r="A5037" s="520"/>
    </row>
    <row r="5038" spans="1:1" x14ac:dyDescent="0.25">
      <c r="A5038" s="520"/>
    </row>
    <row r="5039" spans="1:1" x14ac:dyDescent="0.25">
      <c r="A5039" s="520"/>
    </row>
    <row r="5040" spans="1:1" x14ac:dyDescent="0.25">
      <c r="A5040" s="520"/>
    </row>
    <row r="5041" spans="1:1" x14ac:dyDescent="0.25">
      <c r="A5041" s="520"/>
    </row>
    <row r="5042" spans="1:1" x14ac:dyDescent="0.25">
      <c r="A5042" s="520"/>
    </row>
    <row r="5043" spans="1:1" x14ac:dyDescent="0.25">
      <c r="A5043" s="520"/>
    </row>
    <row r="5044" spans="1:1" x14ac:dyDescent="0.25">
      <c r="A5044" s="520"/>
    </row>
    <row r="5045" spans="1:1" x14ac:dyDescent="0.25">
      <c r="A5045" s="520"/>
    </row>
    <row r="5046" spans="1:1" x14ac:dyDescent="0.25">
      <c r="A5046" s="520"/>
    </row>
    <row r="5047" spans="1:1" x14ac:dyDescent="0.25">
      <c r="A5047" s="520"/>
    </row>
    <row r="5048" spans="1:1" x14ac:dyDescent="0.25">
      <c r="A5048" s="520"/>
    </row>
    <row r="5049" spans="1:1" x14ac:dyDescent="0.25">
      <c r="A5049" s="520"/>
    </row>
    <row r="5050" spans="1:1" x14ac:dyDescent="0.25">
      <c r="A5050" s="520"/>
    </row>
    <row r="5051" spans="1:1" x14ac:dyDescent="0.25">
      <c r="A5051" s="520"/>
    </row>
    <row r="5052" spans="1:1" x14ac:dyDescent="0.25">
      <c r="A5052" s="520"/>
    </row>
    <row r="5053" spans="1:1" x14ac:dyDescent="0.25">
      <c r="A5053" s="520"/>
    </row>
    <row r="5054" spans="1:1" x14ac:dyDescent="0.25">
      <c r="A5054" s="520"/>
    </row>
    <row r="5055" spans="1:1" x14ac:dyDescent="0.25">
      <c r="A5055" s="520"/>
    </row>
    <row r="5056" spans="1:1" x14ac:dyDescent="0.25">
      <c r="A5056" s="520"/>
    </row>
    <row r="5057" spans="1:1" x14ac:dyDescent="0.25">
      <c r="A5057" s="520"/>
    </row>
    <row r="5058" spans="1:1" x14ac:dyDescent="0.25">
      <c r="A5058" s="520"/>
    </row>
    <row r="5059" spans="1:1" x14ac:dyDescent="0.25">
      <c r="A5059" s="520"/>
    </row>
    <row r="5060" spans="1:1" x14ac:dyDescent="0.25">
      <c r="A5060" s="520"/>
    </row>
    <row r="5061" spans="1:1" x14ac:dyDescent="0.25">
      <c r="A5061" s="520"/>
    </row>
    <row r="5062" spans="1:1" x14ac:dyDescent="0.25">
      <c r="A5062" s="520"/>
    </row>
    <row r="5063" spans="1:1" x14ac:dyDescent="0.25">
      <c r="A5063" s="520"/>
    </row>
    <row r="5064" spans="1:1" x14ac:dyDescent="0.25">
      <c r="A5064" s="520"/>
    </row>
    <row r="5065" spans="1:1" x14ac:dyDescent="0.25">
      <c r="A5065" s="520"/>
    </row>
    <row r="5066" spans="1:1" x14ac:dyDescent="0.25">
      <c r="A5066" s="520"/>
    </row>
    <row r="5067" spans="1:1" x14ac:dyDescent="0.25">
      <c r="A5067" s="520"/>
    </row>
    <row r="5068" spans="1:1" x14ac:dyDescent="0.25">
      <c r="A5068" s="520"/>
    </row>
    <row r="5069" spans="1:1" x14ac:dyDescent="0.25">
      <c r="A5069" s="520"/>
    </row>
    <row r="5070" spans="1:1" x14ac:dyDescent="0.25">
      <c r="A5070" s="520"/>
    </row>
    <row r="5071" spans="1:1" x14ac:dyDescent="0.25">
      <c r="A5071" s="520"/>
    </row>
    <row r="5072" spans="1:1" x14ac:dyDescent="0.25">
      <c r="A5072" s="520"/>
    </row>
    <row r="5073" spans="1:1" x14ac:dyDescent="0.25">
      <c r="A5073" s="520"/>
    </row>
    <row r="5074" spans="1:1" x14ac:dyDescent="0.25">
      <c r="A5074" s="520"/>
    </row>
    <row r="5075" spans="1:1" x14ac:dyDescent="0.25">
      <c r="A5075" s="520"/>
    </row>
    <row r="5076" spans="1:1" x14ac:dyDescent="0.25">
      <c r="A5076" s="520"/>
    </row>
    <row r="5077" spans="1:1" x14ac:dyDescent="0.25">
      <c r="A5077" s="520"/>
    </row>
    <row r="5078" spans="1:1" x14ac:dyDescent="0.25">
      <c r="A5078" s="520"/>
    </row>
    <row r="5079" spans="1:1" x14ac:dyDescent="0.25">
      <c r="A5079" s="520"/>
    </row>
    <row r="5080" spans="1:1" x14ac:dyDescent="0.25">
      <c r="A5080" s="520"/>
    </row>
    <row r="5081" spans="1:1" x14ac:dyDescent="0.25">
      <c r="A5081" s="520"/>
    </row>
    <row r="5082" spans="1:1" x14ac:dyDescent="0.25">
      <c r="A5082" s="520"/>
    </row>
    <row r="5083" spans="1:1" x14ac:dyDescent="0.25">
      <c r="A5083" s="520"/>
    </row>
    <row r="5084" spans="1:1" x14ac:dyDescent="0.25">
      <c r="A5084" s="520"/>
    </row>
    <row r="5085" spans="1:1" x14ac:dyDescent="0.25">
      <c r="A5085" s="520"/>
    </row>
    <row r="5086" spans="1:1" x14ac:dyDescent="0.25">
      <c r="A5086" s="520"/>
    </row>
    <row r="5087" spans="1:1" x14ac:dyDescent="0.25">
      <c r="A5087" s="520"/>
    </row>
    <row r="5088" spans="1:1" x14ac:dyDescent="0.25">
      <c r="A5088" s="520"/>
    </row>
    <row r="5089" spans="1:1" x14ac:dyDescent="0.25">
      <c r="A5089" s="520"/>
    </row>
    <row r="5090" spans="1:1" x14ac:dyDescent="0.25">
      <c r="A5090" s="520"/>
    </row>
    <row r="5091" spans="1:1" x14ac:dyDescent="0.25">
      <c r="A5091" s="520"/>
    </row>
    <row r="5092" spans="1:1" x14ac:dyDescent="0.25">
      <c r="A5092" s="520"/>
    </row>
    <row r="5093" spans="1:1" x14ac:dyDescent="0.25">
      <c r="A5093" s="520"/>
    </row>
    <row r="5094" spans="1:1" x14ac:dyDescent="0.25">
      <c r="A5094" s="520"/>
    </row>
    <row r="5095" spans="1:1" x14ac:dyDescent="0.25">
      <c r="A5095" s="520"/>
    </row>
    <row r="5096" spans="1:1" x14ac:dyDescent="0.25">
      <c r="A5096" s="520"/>
    </row>
    <row r="5097" spans="1:1" x14ac:dyDescent="0.25">
      <c r="A5097" s="520"/>
    </row>
    <row r="5098" spans="1:1" x14ac:dyDescent="0.25">
      <c r="A5098" s="520"/>
    </row>
    <row r="5099" spans="1:1" x14ac:dyDescent="0.25">
      <c r="A5099" s="520"/>
    </row>
    <row r="5100" spans="1:1" x14ac:dyDescent="0.25">
      <c r="A5100" s="520"/>
    </row>
    <row r="5101" spans="1:1" x14ac:dyDescent="0.25">
      <c r="A5101" s="520"/>
    </row>
    <row r="5102" spans="1:1" x14ac:dyDescent="0.25">
      <c r="A5102" s="520"/>
    </row>
    <row r="5103" spans="1:1" x14ac:dyDescent="0.25">
      <c r="A5103" s="520"/>
    </row>
    <row r="5104" spans="1:1" x14ac:dyDescent="0.25">
      <c r="A5104" s="520"/>
    </row>
    <row r="5105" spans="1:1" x14ac:dyDescent="0.25">
      <c r="A5105" s="520"/>
    </row>
    <row r="5106" spans="1:1" x14ac:dyDescent="0.25">
      <c r="A5106" s="520"/>
    </row>
    <row r="5107" spans="1:1" x14ac:dyDescent="0.25">
      <c r="A5107" s="520"/>
    </row>
    <row r="5108" spans="1:1" x14ac:dyDescent="0.25">
      <c r="A5108" s="520"/>
    </row>
    <row r="5109" spans="1:1" x14ac:dyDescent="0.25">
      <c r="A5109" s="520"/>
    </row>
    <row r="5110" spans="1:1" x14ac:dyDescent="0.25">
      <c r="A5110" s="520"/>
    </row>
    <row r="5111" spans="1:1" x14ac:dyDescent="0.25">
      <c r="A5111" s="520"/>
    </row>
    <row r="5112" spans="1:1" x14ac:dyDescent="0.25">
      <c r="A5112" s="520"/>
    </row>
    <row r="5113" spans="1:1" x14ac:dyDescent="0.25">
      <c r="A5113" s="520"/>
    </row>
    <row r="5114" spans="1:1" x14ac:dyDescent="0.25">
      <c r="A5114" s="520"/>
    </row>
    <row r="5115" spans="1:1" x14ac:dyDescent="0.25">
      <c r="A5115" s="520"/>
    </row>
    <row r="5116" spans="1:1" x14ac:dyDescent="0.25">
      <c r="A5116" s="520"/>
    </row>
    <row r="5117" spans="1:1" x14ac:dyDescent="0.25">
      <c r="A5117" s="520"/>
    </row>
    <row r="5118" spans="1:1" x14ac:dyDescent="0.25">
      <c r="A5118" s="520"/>
    </row>
    <row r="5119" spans="1:1" x14ac:dyDescent="0.25">
      <c r="A5119" s="520"/>
    </row>
    <row r="5120" spans="1:1" x14ac:dyDescent="0.25">
      <c r="A5120" s="520"/>
    </row>
    <row r="5121" spans="1:1" x14ac:dyDescent="0.25">
      <c r="A5121" s="520"/>
    </row>
    <row r="5122" spans="1:1" x14ac:dyDescent="0.25">
      <c r="A5122" s="520"/>
    </row>
    <row r="5123" spans="1:1" x14ac:dyDescent="0.25">
      <c r="A5123" s="520"/>
    </row>
    <row r="5124" spans="1:1" x14ac:dyDescent="0.25">
      <c r="A5124" s="520"/>
    </row>
    <row r="5125" spans="1:1" x14ac:dyDescent="0.25">
      <c r="A5125" s="520"/>
    </row>
    <row r="5126" spans="1:1" x14ac:dyDescent="0.25">
      <c r="A5126" s="520"/>
    </row>
    <row r="5127" spans="1:1" x14ac:dyDescent="0.25">
      <c r="A5127" s="520"/>
    </row>
    <row r="5128" spans="1:1" x14ac:dyDescent="0.25">
      <c r="A5128" s="520"/>
    </row>
    <row r="5129" spans="1:1" x14ac:dyDescent="0.25">
      <c r="A5129" s="520"/>
    </row>
    <row r="5130" spans="1:1" x14ac:dyDescent="0.25">
      <c r="A5130" s="520"/>
    </row>
    <row r="5131" spans="1:1" x14ac:dyDescent="0.25">
      <c r="A5131" s="520"/>
    </row>
    <row r="5132" spans="1:1" x14ac:dyDescent="0.25">
      <c r="A5132" s="520"/>
    </row>
    <row r="5133" spans="1:1" x14ac:dyDescent="0.25">
      <c r="A5133" s="520"/>
    </row>
    <row r="5134" spans="1:1" x14ac:dyDescent="0.25">
      <c r="A5134" s="520"/>
    </row>
    <row r="5135" spans="1:1" x14ac:dyDescent="0.25">
      <c r="A5135" s="520"/>
    </row>
    <row r="5136" spans="1:1" x14ac:dyDescent="0.25">
      <c r="A5136" s="520"/>
    </row>
    <row r="5137" spans="1:1" x14ac:dyDescent="0.25">
      <c r="A5137" s="520"/>
    </row>
    <row r="5138" spans="1:1" x14ac:dyDescent="0.25">
      <c r="A5138" s="520"/>
    </row>
    <row r="5139" spans="1:1" x14ac:dyDescent="0.25">
      <c r="A5139" s="520"/>
    </row>
    <row r="5140" spans="1:1" x14ac:dyDescent="0.25">
      <c r="A5140" s="520"/>
    </row>
    <row r="5141" spans="1:1" x14ac:dyDescent="0.25">
      <c r="A5141" s="520"/>
    </row>
    <row r="5142" spans="1:1" x14ac:dyDescent="0.25">
      <c r="A5142" s="520"/>
    </row>
    <row r="5143" spans="1:1" x14ac:dyDescent="0.25">
      <c r="A5143" s="520"/>
    </row>
    <row r="5144" spans="1:1" x14ac:dyDescent="0.25">
      <c r="A5144" s="520"/>
    </row>
    <row r="5145" spans="1:1" x14ac:dyDescent="0.25">
      <c r="A5145" s="520"/>
    </row>
    <row r="5146" spans="1:1" x14ac:dyDescent="0.25">
      <c r="A5146" s="520"/>
    </row>
    <row r="5147" spans="1:1" x14ac:dyDescent="0.25">
      <c r="A5147" s="520"/>
    </row>
    <row r="5148" spans="1:1" x14ac:dyDescent="0.25">
      <c r="A5148" s="520"/>
    </row>
    <row r="5149" spans="1:1" x14ac:dyDescent="0.25">
      <c r="A5149" s="520"/>
    </row>
    <row r="5150" spans="1:1" x14ac:dyDescent="0.25">
      <c r="A5150" s="520"/>
    </row>
    <row r="5151" spans="1:1" x14ac:dyDescent="0.25">
      <c r="A5151" s="520"/>
    </row>
    <row r="5152" spans="1:1" x14ac:dyDescent="0.25">
      <c r="A5152" s="520"/>
    </row>
    <row r="5153" spans="1:1" x14ac:dyDescent="0.25">
      <c r="A5153" s="520"/>
    </row>
    <row r="5154" spans="1:1" x14ac:dyDescent="0.25">
      <c r="A5154" s="520"/>
    </row>
    <row r="5155" spans="1:1" x14ac:dyDescent="0.25">
      <c r="A5155" s="520"/>
    </row>
    <row r="5156" spans="1:1" x14ac:dyDescent="0.25">
      <c r="A5156" s="520"/>
    </row>
    <row r="5157" spans="1:1" x14ac:dyDescent="0.25">
      <c r="A5157" s="520"/>
    </row>
    <row r="5158" spans="1:1" x14ac:dyDescent="0.25">
      <c r="A5158" s="520"/>
    </row>
    <row r="5159" spans="1:1" x14ac:dyDescent="0.25">
      <c r="A5159" s="520"/>
    </row>
    <row r="5160" spans="1:1" x14ac:dyDescent="0.25">
      <c r="A5160" s="520"/>
    </row>
    <row r="5161" spans="1:1" x14ac:dyDescent="0.25">
      <c r="A5161" s="520"/>
    </row>
    <row r="5162" spans="1:1" x14ac:dyDescent="0.25">
      <c r="A5162" s="520"/>
    </row>
    <row r="5163" spans="1:1" x14ac:dyDescent="0.25">
      <c r="A5163" s="520"/>
    </row>
    <row r="5164" spans="1:1" x14ac:dyDescent="0.25">
      <c r="A5164" s="520"/>
    </row>
    <row r="5165" spans="1:1" x14ac:dyDescent="0.25">
      <c r="A5165" s="520"/>
    </row>
    <row r="5166" spans="1:1" x14ac:dyDescent="0.25">
      <c r="A5166" s="520"/>
    </row>
    <row r="5167" spans="1:1" x14ac:dyDescent="0.25">
      <c r="A5167" s="520"/>
    </row>
    <row r="5168" spans="1:1" x14ac:dyDescent="0.25">
      <c r="A5168" s="520"/>
    </row>
    <row r="5169" spans="1:1" x14ac:dyDescent="0.25">
      <c r="A5169" s="520"/>
    </row>
    <row r="5170" spans="1:1" x14ac:dyDescent="0.25">
      <c r="A5170" s="520"/>
    </row>
    <row r="5171" spans="1:1" x14ac:dyDescent="0.25">
      <c r="A5171" s="520"/>
    </row>
    <row r="5172" spans="1:1" x14ac:dyDescent="0.25">
      <c r="A5172" s="520"/>
    </row>
    <row r="5173" spans="1:1" x14ac:dyDescent="0.25">
      <c r="A5173" s="520"/>
    </row>
    <row r="5174" spans="1:1" x14ac:dyDescent="0.25">
      <c r="A5174" s="520"/>
    </row>
    <row r="5175" spans="1:1" x14ac:dyDescent="0.25">
      <c r="A5175" s="520"/>
    </row>
    <row r="5176" spans="1:1" x14ac:dyDescent="0.25">
      <c r="A5176" s="520"/>
    </row>
    <row r="5177" spans="1:1" x14ac:dyDescent="0.25">
      <c r="A5177" s="520"/>
    </row>
    <row r="5178" spans="1:1" x14ac:dyDescent="0.25">
      <c r="A5178" s="520"/>
    </row>
    <row r="5179" spans="1:1" x14ac:dyDescent="0.25">
      <c r="A5179" s="520"/>
    </row>
    <row r="5180" spans="1:1" x14ac:dyDescent="0.25">
      <c r="A5180" s="520"/>
    </row>
    <row r="5181" spans="1:1" x14ac:dyDescent="0.25">
      <c r="A5181" s="520"/>
    </row>
    <row r="5182" spans="1:1" x14ac:dyDescent="0.25">
      <c r="A5182" s="520"/>
    </row>
    <row r="5183" spans="1:1" x14ac:dyDescent="0.25">
      <c r="A5183" s="520"/>
    </row>
    <row r="5184" spans="1:1" x14ac:dyDescent="0.25">
      <c r="A5184" s="520"/>
    </row>
    <row r="5185" spans="1:1" x14ac:dyDescent="0.25">
      <c r="A5185" s="520"/>
    </row>
    <row r="5186" spans="1:1" x14ac:dyDescent="0.25">
      <c r="A5186" s="520"/>
    </row>
    <row r="5187" spans="1:1" x14ac:dyDescent="0.25">
      <c r="A5187" s="520"/>
    </row>
    <row r="5188" spans="1:1" x14ac:dyDescent="0.25">
      <c r="A5188" s="520"/>
    </row>
    <row r="5189" spans="1:1" x14ac:dyDescent="0.25">
      <c r="A5189" s="520"/>
    </row>
    <row r="5190" spans="1:1" x14ac:dyDescent="0.25">
      <c r="A5190" s="520"/>
    </row>
    <row r="5191" spans="1:1" x14ac:dyDescent="0.25">
      <c r="A5191" s="520"/>
    </row>
    <row r="5192" spans="1:1" x14ac:dyDescent="0.25">
      <c r="A5192" s="520"/>
    </row>
    <row r="5193" spans="1:1" x14ac:dyDescent="0.25">
      <c r="A5193" s="520"/>
    </row>
    <row r="5194" spans="1:1" x14ac:dyDescent="0.25">
      <c r="A5194" s="520"/>
    </row>
    <row r="5195" spans="1:1" x14ac:dyDescent="0.25">
      <c r="A5195" s="520"/>
    </row>
    <row r="5196" spans="1:1" x14ac:dyDescent="0.25">
      <c r="A5196" s="520"/>
    </row>
    <row r="5197" spans="1:1" x14ac:dyDescent="0.25">
      <c r="A5197" s="520"/>
    </row>
    <row r="5198" spans="1:1" x14ac:dyDescent="0.25">
      <c r="A5198" s="520"/>
    </row>
    <row r="5199" spans="1:1" x14ac:dyDescent="0.25">
      <c r="A5199" s="520"/>
    </row>
    <row r="5200" spans="1:1" x14ac:dyDescent="0.25">
      <c r="A5200" s="520"/>
    </row>
    <row r="5201" spans="1:1" x14ac:dyDescent="0.25">
      <c r="A5201" s="520"/>
    </row>
    <row r="5202" spans="1:1" x14ac:dyDescent="0.25">
      <c r="A5202" s="520"/>
    </row>
    <row r="5203" spans="1:1" x14ac:dyDescent="0.25">
      <c r="A5203" s="520"/>
    </row>
    <row r="5204" spans="1:1" x14ac:dyDescent="0.25">
      <c r="A5204" s="520"/>
    </row>
    <row r="5205" spans="1:1" x14ac:dyDescent="0.25">
      <c r="A5205" s="520"/>
    </row>
    <row r="5206" spans="1:1" x14ac:dyDescent="0.25">
      <c r="A5206" s="520"/>
    </row>
    <row r="5207" spans="1:1" x14ac:dyDescent="0.25">
      <c r="A5207" s="520"/>
    </row>
    <row r="5208" spans="1:1" x14ac:dyDescent="0.25">
      <c r="A5208" s="520"/>
    </row>
    <row r="5209" spans="1:1" x14ac:dyDescent="0.25">
      <c r="A5209" s="520"/>
    </row>
    <row r="5210" spans="1:1" x14ac:dyDescent="0.25">
      <c r="A5210" s="520"/>
    </row>
    <row r="5211" spans="1:1" x14ac:dyDescent="0.25">
      <c r="A5211" s="520"/>
    </row>
    <row r="5212" spans="1:1" x14ac:dyDescent="0.25">
      <c r="A5212" s="520"/>
    </row>
    <row r="5213" spans="1:1" x14ac:dyDescent="0.25">
      <c r="A5213" s="520"/>
    </row>
    <row r="5214" spans="1:1" x14ac:dyDescent="0.25">
      <c r="A5214" s="520"/>
    </row>
    <row r="5215" spans="1:1" x14ac:dyDescent="0.25">
      <c r="A5215" s="520"/>
    </row>
    <row r="5216" spans="1:1" x14ac:dyDescent="0.25">
      <c r="A5216" s="520"/>
    </row>
    <row r="5217" spans="1:1" x14ac:dyDescent="0.25">
      <c r="A5217" s="520"/>
    </row>
    <row r="5218" spans="1:1" x14ac:dyDescent="0.25">
      <c r="A5218" s="520"/>
    </row>
    <row r="5219" spans="1:1" x14ac:dyDescent="0.25">
      <c r="A5219" s="520"/>
    </row>
    <row r="5220" spans="1:1" x14ac:dyDescent="0.25">
      <c r="A5220" s="520"/>
    </row>
    <row r="5221" spans="1:1" x14ac:dyDescent="0.25">
      <c r="A5221" s="520"/>
    </row>
    <row r="5222" spans="1:1" x14ac:dyDescent="0.25">
      <c r="A5222" s="520"/>
    </row>
    <row r="5223" spans="1:1" x14ac:dyDescent="0.25">
      <c r="A5223" s="520"/>
    </row>
    <row r="5224" spans="1:1" x14ac:dyDescent="0.25">
      <c r="A5224" s="520"/>
    </row>
    <row r="5225" spans="1:1" x14ac:dyDescent="0.25">
      <c r="A5225" s="520"/>
    </row>
    <row r="5226" spans="1:1" x14ac:dyDescent="0.25">
      <c r="A5226" s="520"/>
    </row>
    <row r="5227" spans="1:1" x14ac:dyDescent="0.25">
      <c r="A5227" s="520"/>
    </row>
    <row r="5228" spans="1:1" x14ac:dyDescent="0.25">
      <c r="A5228" s="520"/>
    </row>
    <row r="5229" spans="1:1" x14ac:dyDescent="0.25">
      <c r="A5229" s="520"/>
    </row>
    <row r="5230" spans="1:1" x14ac:dyDescent="0.25">
      <c r="A5230" s="520"/>
    </row>
    <row r="5231" spans="1:1" x14ac:dyDescent="0.25">
      <c r="A5231" s="520"/>
    </row>
    <row r="5232" spans="1:1" x14ac:dyDescent="0.25">
      <c r="A5232" s="520"/>
    </row>
    <row r="5233" spans="1:1" x14ac:dyDescent="0.25">
      <c r="A5233" s="520"/>
    </row>
    <row r="5234" spans="1:1" x14ac:dyDescent="0.25">
      <c r="A5234" s="520"/>
    </row>
    <row r="5235" spans="1:1" x14ac:dyDescent="0.25">
      <c r="A5235" s="520"/>
    </row>
    <row r="5236" spans="1:1" x14ac:dyDescent="0.25">
      <c r="A5236" s="520"/>
    </row>
    <row r="5237" spans="1:1" x14ac:dyDescent="0.25">
      <c r="A5237" s="520"/>
    </row>
    <row r="5238" spans="1:1" x14ac:dyDescent="0.25">
      <c r="A5238" s="520"/>
    </row>
    <row r="5239" spans="1:1" x14ac:dyDescent="0.25">
      <c r="A5239" s="520"/>
    </row>
    <row r="5240" spans="1:1" x14ac:dyDescent="0.25">
      <c r="A5240" s="520"/>
    </row>
    <row r="5241" spans="1:1" x14ac:dyDescent="0.25">
      <c r="A5241" s="520"/>
    </row>
    <row r="5242" spans="1:1" x14ac:dyDescent="0.25">
      <c r="A5242" s="520"/>
    </row>
    <row r="5243" spans="1:1" x14ac:dyDescent="0.25">
      <c r="A5243" s="520"/>
    </row>
    <row r="5244" spans="1:1" x14ac:dyDescent="0.25">
      <c r="A5244" s="520"/>
    </row>
    <row r="5245" spans="1:1" x14ac:dyDescent="0.25">
      <c r="A5245" s="520"/>
    </row>
    <row r="5246" spans="1:1" x14ac:dyDescent="0.25">
      <c r="A5246" s="520"/>
    </row>
    <row r="5247" spans="1:1" x14ac:dyDescent="0.25">
      <c r="A5247" s="520"/>
    </row>
    <row r="5248" spans="1:1" x14ac:dyDescent="0.25">
      <c r="A5248" s="520"/>
    </row>
    <row r="5249" spans="1:1" x14ac:dyDescent="0.25">
      <c r="A5249" s="520"/>
    </row>
    <row r="5250" spans="1:1" x14ac:dyDescent="0.25">
      <c r="A5250" s="520"/>
    </row>
    <row r="5251" spans="1:1" x14ac:dyDescent="0.25">
      <c r="A5251" s="520"/>
    </row>
    <row r="5252" spans="1:1" x14ac:dyDescent="0.25">
      <c r="A5252" s="520"/>
    </row>
    <row r="5253" spans="1:1" x14ac:dyDescent="0.25">
      <c r="A5253" s="520"/>
    </row>
    <row r="5254" spans="1:1" x14ac:dyDescent="0.25">
      <c r="A5254" s="520"/>
    </row>
    <row r="5255" spans="1:1" x14ac:dyDescent="0.25">
      <c r="A5255" s="520"/>
    </row>
    <row r="5256" spans="1:1" x14ac:dyDescent="0.25">
      <c r="A5256" s="520"/>
    </row>
    <row r="5257" spans="1:1" x14ac:dyDescent="0.25">
      <c r="A5257" s="520"/>
    </row>
    <row r="5258" spans="1:1" x14ac:dyDescent="0.25">
      <c r="A5258" s="520"/>
    </row>
    <row r="5259" spans="1:1" x14ac:dyDescent="0.25">
      <c r="A5259" s="520"/>
    </row>
    <row r="5260" spans="1:1" x14ac:dyDescent="0.25">
      <c r="A5260" s="520"/>
    </row>
  </sheetData>
  <mergeCells count="31">
    <mergeCell ref="A1:P1"/>
    <mergeCell ref="I20:L20"/>
    <mergeCell ref="B4:S4"/>
    <mergeCell ref="Q1:S1"/>
    <mergeCell ref="D27:D28"/>
    <mergeCell ref="E27:E28"/>
    <mergeCell ref="D2:J2"/>
    <mergeCell ref="I21:L21"/>
    <mergeCell ref="I22:L22"/>
    <mergeCell ref="I23:L23"/>
    <mergeCell ref="B53:O53"/>
    <mergeCell ref="V4:AI4"/>
    <mergeCell ref="I18:L18"/>
    <mergeCell ref="I19:L19"/>
    <mergeCell ref="V27:V28"/>
    <mergeCell ref="I29:L29"/>
    <mergeCell ref="I24:L24"/>
    <mergeCell ref="V24:V25"/>
    <mergeCell ref="I25:L25"/>
    <mergeCell ref="I27:L28"/>
    <mergeCell ref="I26:L26"/>
    <mergeCell ref="D24:D25"/>
    <mergeCell ref="E24:E25"/>
    <mergeCell ref="I30:L30"/>
    <mergeCell ref="I31:L31"/>
    <mergeCell ref="I32:L32"/>
    <mergeCell ref="H48:J48"/>
    <mergeCell ref="H47:J47"/>
    <mergeCell ref="H50:J50"/>
    <mergeCell ref="H49:J49"/>
    <mergeCell ref="H46:J46"/>
  </mergeCells>
  <conditionalFormatting sqref="B1:B34">
    <cfRule type="containsText" dxfId="36" priority="67" operator="containsText" text="x">
      <formula>NOT(ISERROR(SEARCH("x",B1)))</formula>
    </cfRule>
  </conditionalFormatting>
  <conditionalFormatting sqref="B35:B37 B39:B52">
    <cfRule type="cellIs" dxfId="35" priority="64" operator="equal">
      <formula>"x"</formula>
    </cfRule>
  </conditionalFormatting>
  <conditionalFormatting sqref="B38">
    <cfRule type="containsText" dxfId="34" priority="46" operator="containsText" text="x">
      <formula>NOT(ISERROR(SEARCH("x",B38)))</formula>
    </cfRule>
  </conditionalFormatting>
  <conditionalFormatting sqref="AC56:AD56">
    <cfRule type="cellIs" dxfId="33" priority="1" operator="notEqual">
      <formula>AB56</formula>
    </cfRule>
  </conditionalFormatting>
  <conditionalFormatting sqref="AF7:AG7 AF19:AG32 AF38:AG38 AF46:AF50">
    <cfRule type="expression" dxfId="32" priority="25">
      <formula>AND(AF7=AE7,AE7&lt;&gt;"")</formula>
    </cfRule>
    <cfRule type="expression" dxfId="31" priority="26">
      <formula>AF7&lt;&gt;AE7</formula>
    </cfRule>
  </conditionalFormatting>
  <conditionalFormatting sqref="AH7">
    <cfRule type="cellIs" dxfId="30" priority="6" operator="lessThan">
      <formula>-0.1</formula>
    </cfRule>
    <cfRule type="cellIs" dxfId="29" priority="7" operator="greaterThan">
      <formula>0.1</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43"/>
  <sheetViews>
    <sheetView zoomScale="90" zoomScaleNormal="90" workbookViewId="0">
      <selection sqref="A1:P1"/>
    </sheetView>
  </sheetViews>
  <sheetFormatPr defaultColWidth="9.28515625" defaultRowHeight="15" outlineLevelRow="1" x14ac:dyDescent="0.25"/>
  <cols>
    <col min="1" max="1" width="9.28515625" style="73"/>
    <col min="2" max="2" width="8.7109375" style="50"/>
    <col min="3" max="3" width="29.7109375" style="49" customWidth="1"/>
    <col min="4" max="4" width="18.7109375" style="100" bestFit="1" customWidth="1"/>
    <col min="5" max="5" width="53.28515625" style="100" customWidth="1"/>
    <col min="6" max="6" width="19.7109375" style="50" customWidth="1"/>
    <col min="7" max="7" width="18.7109375" style="50" bestFit="1" customWidth="1"/>
    <col min="8" max="8" width="16.7109375" style="50" customWidth="1"/>
    <col min="9" max="10" width="14.7109375" style="50" customWidth="1"/>
    <col min="11" max="12" width="12.5703125" style="50" customWidth="1"/>
    <col min="13" max="13" width="16.7109375" style="50" customWidth="1"/>
    <col min="14" max="14" width="8.7109375" style="50"/>
    <col min="15" max="15" width="9.28515625" style="50" customWidth="1"/>
    <col min="16" max="16" width="4.28515625" style="50" customWidth="1"/>
    <col min="17" max="17" width="3.5703125" style="50" customWidth="1"/>
    <col min="18" max="18" width="8.42578125" style="50" customWidth="1"/>
    <col min="19" max="19" width="2.42578125" style="50" customWidth="1"/>
    <col min="20" max="21" width="9.28515625" style="73" customWidth="1"/>
    <col min="22" max="22" width="31" style="73" customWidth="1"/>
    <col min="23" max="23" width="14.7109375" style="365" customWidth="1"/>
    <col min="24" max="28" width="18.28515625" style="365" customWidth="1"/>
    <col min="29" max="29" width="18.28515625" style="73" customWidth="1"/>
    <col min="30" max="30" width="14.7109375" style="73" customWidth="1"/>
    <col min="31" max="31" width="13.42578125" style="73" bestFit="1" customWidth="1"/>
    <col min="32" max="32" width="18.5703125" style="73" customWidth="1"/>
    <col min="33" max="33" width="11.140625" style="73" bestFit="1" customWidth="1"/>
    <col min="34" max="53" width="9.28515625" style="73" customWidth="1"/>
    <col min="54" max="110" width="9.28515625" style="73"/>
    <col min="111" max="111" width="12" style="73" bestFit="1" customWidth="1"/>
    <col min="112" max="112" width="23.28515625" style="73" bestFit="1" customWidth="1"/>
    <col min="113" max="113" width="12.5703125" style="73" customWidth="1"/>
    <col min="114" max="114" width="16.28515625" style="1030" customWidth="1"/>
    <col min="115" max="16384" width="9.28515625" style="73"/>
  </cols>
  <sheetData>
    <row r="1" spans="1:114" s="2" customFormat="1" ht="18.75" x14ac:dyDescent="0.3">
      <c r="A1" s="2704" t="s">
        <v>2283</v>
      </c>
      <c r="B1" s="2705"/>
      <c r="C1" s="2705"/>
      <c r="D1" s="2705"/>
      <c r="E1" s="2705"/>
      <c r="F1" s="2705"/>
      <c r="G1" s="2705"/>
      <c r="H1" s="2705"/>
      <c r="I1" s="2705"/>
      <c r="J1" s="2705"/>
      <c r="K1" s="2705"/>
      <c r="L1" s="2705"/>
      <c r="M1" s="2705"/>
      <c r="N1" s="2705"/>
      <c r="O1" s="2705"/>
      <c r="P1" s="2706"/>
      <c r="Q1" s="2426"/>
      <c r="R1" s="2427"/>
      <c r="S1" s="1232"/>
      <c r="V1" s="3"/>
      <c r="W1" s="727"/>
      <c r="X1" s="727"/>
      <c r="Y1" s="1335"/>
      <c r="Z1" s="1335"/>
      <c r="AA1" s="1335"/>
      <c r="AB1" s="1335"/>
      <c r="AC1" s="5"/>
      <c r="AD1" s="5"/>
      <c r="AE1" s="5"/>
      <c r="AF1" s="5"/>
      <c r="AG1" s="5"/>
      <c r="AH1" s="5"/>
      <c r="DJ1" s="1071"/>
    </row>
    <row r="2" spans="1:114" s="2" customFormat="1" ht="30" hidden="1" customHeight="1" outlineLevel="1" x14ac:dyDescent="0.35">
      <c r="B2" s="435"/>
      <c r="C2" s="58"/>
      <c r="D2" s="2324" t="s">
        <v>40</v>
      </c>
      <c r="E2" s="2374"/>
      <c r="F2" s="2375"/>
      <c r="G2" s="2375"/>
      <c r="H2" s="2375"/>
      <c r="I2" s="2375"/>
      <c r="J2" s="2375"/>
      <c r="K2" s="2375"/>
      <c r="L2" s="246"/>
      <c r="M2" s="246"/>
      <c r="N2" s="247"/>
      <c r="O2" s="247"/>
      <c r="P2" s="247"/>
      <c r="Q2" s="247"/>
      <c r="R2" s="247"/>
      <c r="S2" s="247"/>
      <c r="W2" s="21"/>
      <c r="X2" s="21"/>
      <c r="Y2" s="21"/>
      <c r="Z2" s="21"/>
      <c r="AA2" s="21"/>
      <c r="AB2" s="21"/>
      <c r="DJ2" s="1071"/>
    </row>
    <row r="3" spans="1:114" s="2" customFormat="1" ht="24" customHeight="1" collapsed="1" x14ac:dyDescent="0.35">
      <c r="A3" s="247"/>
      <c r="B3" s="435"/>
      <c r="C3" s="58"/>
      <c r="D3" s="419"/>
      <c r="E3" s="601"/>
      <c r="F3" s="1233"/>
      <c r="G3" s="1233"/>
      <c r="H3" s="1233"/>
      <c r="I3" s="1233"/>
      <c r="J3" s="1233"/>
      <c r="K3" s="1233"/>
      <c r="L3" s="246"/>
      <c r="M3" s="246"/>
      <c r="N3" s="247"/>
      <c r="O3" s="247"/>
      <c r="P3" s="247"/>
      <c r="Q3" s="247"/>
      <c r="R3" s="247"/>
      <c r="S3" s="247"/>
      <c r="W3" s="21"/>
      <c r="X3" s="21"/>
      <c r="Y3" s="21"/>
      <c r="Z3" s="21"/>
      <c r="AA3" s="21"/>
      <c r="AB3" s="21"/>
      <c r="DJ3" s="1071"/>
    </row>
    <row r="4" spans="1:114" x14ac:dyDescent="0.25">
      <c r="A4" s="50"/>
      <c r="B4" s="2339" t="s">
        <v>2284</v>
      </c>
      <c r="C4" s="2340"/>
      <c r="D4" s="2340"/>
      <c r="E4" s="2340"/>
      <c r="F4" s="2340"/>
      <c r="G4" s="2340"/>
      <c r="H4" s="2340"/>
      <c r="I4" s="2340"/>
      <c r="J4" s="2340"/>
      <c r="K4" s="2340"/>
      <c r="L4" s="2340"/>
      <c r="M4" s="2425"/>
      <c r="V4" s="2339" t="str">
        <f>B4</f>
        <v>Demand Response Smart Thermostat</v>
      </c>
      <c r="W4" s="2340"/>
      <c r="X4" s="2340"/>
      <c r="Y4" s="2340"/>
      <c r="Z4" s="2340"/>
      <c r="AA4" s="2340"/>
      <c r="AB4" s="2340"/>
      <c r="AC4" s="2341"/>
      <c r="AD4" s="2341"/>
      <c r="AE4" s="2341"/>
      <c r="AF4" s="2341"/>
      <c r="AG4" s="2341"/>
      <c r="AH4" s="2341"/>
      <c r="AI4" s="2342"/>
    </row>
    <row r="5" spans="1:114" x14ac:dyDescent="0.25">
      <c r="A5" s="50"/>
      <c r="V5" s="255"/>
      <c r="W5" s="266"/>
      <c r="X5" s="266"/>
      <c r="Y5" s="266"/>
      <c r="Z5" s="266"/>
      <c r="AA5" s="266"/>
      <c r="AB5" s="266"/>
      <c r="AC5" s="255"/>
      <c r="AD5" s="255"/>
      <c r="AE5" s="255"/>
      <c r="AF5" s="255"/>
      <c r="AG5" s="255"/>
      <c r="AH5" s="255"/>
      <c r="AI5" s="255"/>
    </row>
    <row r="6" spans="1:114" ht="30" x14ac:dyDescent="0.25">
      <c r="A6" s="50"/>
      <c r="C6" s="1242" t="s">
        <v>43</v>
      </c>
      <c r="D6" s="1242" t="s">
        <v>597</v>
      </c>
      <c r="E6" s="1242" t="s">
        <v>2285</v>
      </c>
      <c r="F6" s="1242" t="s">
        <v>2286</v>
      </c>
      <c r="G6" s="1242" t="s">
        <v>2287</v>
      </c>
      <c r="H6" s="1242" t="s">
        <v>2288</v>
      </c>
      <c r="I6" s="1242" t="s">
        <v>2289</v>
      </c>
      <c r="J6" s="1242" t="s">
        <v>2290</v>
      </c>
      <c r="K6" s="1242" t="s">
        <v>50</v>
      </c>
      <c r="L6" s="1242" t="s">
        <v>51</v>
      </c>
      <c r="M6" s="1242" t="s">
        <v>52</v>
      </c>
      <c r="V6" s="636" t="s">
        <v>53</v>
      </c>
      <c r="W6" s="110">
        <v>43252</v>
      </c>
      <c r="X6" s="110">
        <v>43465</v>
      </c>
      <c r="Y6" s="110">
        <v>43800</v>
      </c>
      <c r="Z6" s="110">
        <v>43862</v>
      </c>
      <c r="AA6" s="110">
        <v>44013</v>
      </c>
      <c r="AB6" s="110">
        <v>44166</v>
      </c>
      <c r="AC6" s="637">
        <v>44531</v>
      </c>
      <c r="AD6" s="637">
        <v>44774</v>
      </c>
      <c r="AE6" s="637">
        <v>45139</v>
      </c>
      <c r="AF6" s="637">
        <f>'Deemed Savings Tbl Revision Log'!C17</f>
        <v>45672</v>
      </c>
      <c r="AG6" s="637">
        <f>'Deemed Savings Tbl Revision Log'!$C$18</f>
        <v>45971</v>
      </c>
      <c r="AH6" s="255"/>
      <c r="AI6" s="255"/>
      <c r="DG6" s="1336" t="s">
        <v>54</v>
      </c>
      <c r="DH6" s="1337" t="s">
        <v>55</v>
      </c>
      <c r="DI6" s="1338" t="s">
        <v>56</v>
      </c>
      <c r="DJ6" s="1031" t="s">
        <v>57</v>
      </c>
    </row>
    <row r="7" spans="1:114" ht="30" x14ac:dyDescent="0.25">
      <c r="A7" s="50"/>
      <c r="B7" s="1318">
        <f t="shared" ref="B7:B10" si="0">VALUE(LEFT(C7,6))</f>
        <v>600050</v>
      </c>
      <c r="C7" s="18" t="s">
        <v>2291</v>
      </c>
      <c r="D7" s="103" t="s">
        <v>2292</v>
      </c>
      <c r="E7" s="1264" t="s">
        <v>2293</v>
      </c>
      <c r="F7" s="732">
        <f>61.74*0</f>
        <v>0</v>
      </c>
      <c r="G7" s="130" t="s">
        <v>2294</v>
      </c>
      <c r="H7" s="130" t="s">
        <v>594</v>
      </c>
      <c r="I7" s="1081" t="s">
        <v>2294</v>
      </c>
      <c r="J7" s="1081" t="s">
        <v>2294</v>
      </c>
      <c r="K7" s="1153">
        <v>1</v>
      </c>
      <c r="L7" s="1082">
        <v>0</v>
      </c>
      <c r="M7" s="18" t="s">
        <v>2295</v>
      </c>
      <c r="V7" s="1343" t="str">
        <f>$F$6</f>
        <v>Gross kWh Annual Savings [2]</v>
      </c>
      <c r="W7" s="1344">
        <v>177</v>
      </c>
      <c r="X7" s="1344">
        <v>177</v>
      </c>
      <c r="Y7" s="1344">
        <v>177</v>
      </c>
      <c r="Z7" s="1344">
        <v>177</v>
      </c>
      <c r="AA7" s="1344">
        <v>177</v>
      </c>
      <c r="AB7" s="47">
        <v>55.97</v>
      </c>
      <c r="AC7" s="42">
        <v>55.97</v>
      </c>
      <c r="AD7" s="47">
        <v>47.86</v>
      </c>
      <c r="AE7" s="153">
        <v>97.49</v>
      </c>
      <c r="AF7" s="253">
        <v>0</v>
      </c>
      <c r="AG7" s="253">
        <f>IF(F7&lt;&gt;"",F7,"")</f>
        <v>0</v>
      </c>
      <c r="DG7" s="1340" t="str">
        <f>IFERROR((DI7)/(DJ7),"")</f>
        <v/>
      </c>
      <c r="DH7" s="1272"/>
      <c r="DI7" s="1341"/>
      <c r="DJ7" s="1845">
        <f>IFERROR(L7/((1+DiscountRate)^(CurrentYear-DiscountYear)),0)</f>
        <v>0</v>
      </c>
    </row>
    <row r="8" spans="1:114" s="39" customFormat="1" ht="30" x14ac:dyDescent="0.25">
      <c r="B8" s="1318">
        <f t="shared" si="0"/>
        <v>600060</v>
      </c>
      <c r="C8" s="18" t="s">
        <v>2296</v>
      </c>
      <c r="D8" s="103" t="s">
        <v>2292</v>
      </c>
      <c r="E8" s="1264" t="s">
        <v>2297</v>
      </c>
      <c r="F8" s="732">
        <v>0</v>
      </c>
      <c r="G8" s="130" t="s">
        <v>2294</v>
      </c>
      <c r="H8" s="130" t="s">
        <v>594</v>
      </c>
      <c r="I8" s="1081" t="s">
        <v>2294</v>
      </c>
      <c r="J8" s="1081" t="s">
        <v>2294</v>
      </c>
      <c r="K8" s="1153">
        <v>1</v>
      </c>
      <c r="L8" s="1082">
        <v>0</v>
      </c>
      <c r="M8" s="18" t="s">
        <v>2295</v>
      </c>
      <c r="N8" s="50"/>
      <c r="O8" s="50"/>
      <c r="P8" s="50"/>
      <c r="Q8" s="50"/>
      <c r="R8" s="50"/>
      <c r="S8" s="50"/>
      <c r="V8" s="1307" t="str">
        <f>$F$6</f>
        <v>Gross kWh Annual Savings [2]</v>
      </c>
      <c r="W8" s="1062"/>
      <c r="X8" s="1062"/>
      <c r="Y8" s="1062"/>
      <c r="Z8" s="1062"/>
      <c r="AA8" s="1062"/>
      <c r="AB8" s="1062"/>
      <c r="AC8" s="1062"/>
      <c r="AD8" s="1062"/>
      <c r="AE8" s="153">
        <v>0</v>
      </c>
      <c r="AF8" s="253">
        <v>0</v>
      </c>
      <c r="AG8" s="253">
        <f t="shared" ref="AG8:AG10" si="1">IF(F8&lt;&gt;"",F8,"")</f>
        <v>0</v>
      </c>
      <c r="DG8" s="1340" t="str">
        <f>IFERROR((DI8)/(DJ8),"")</f>
        <v/>
      </c>
      <c r="DH8" s="1272"/>
      <c r="DI8" s="1341"/>
      <c r="DJ8" s="1846">
        <f>IFERROR(L8/((1+DiscountRate)^(CurrentYear-DiscountYear)),0)</f>
        <v>0</v>
      </c>
    </row>
    <row r="9" spans="1:114" ht="30" x14ac:dyDescent="0.25">
      <c r="A9" s="50"/>
      <c r="B9" s="1318">
        <f t="shared" si="0"/>
        <v>600100</v>
      </c>
      <c r="C9" s="18" t="s">
        <v>2298</v>
      </c>
      <c r="D9" s="103" t="s">
        <v>2292</v>
      </c>
      <c r="E9" s="1264" t="s">
        <v>2299</v>
      </c>
      <c r="F9" s="732">
        <v>0</v>
      </c>
      <c r="G9" s="130" t="s">
        <v>2294</v>
      </c>
      <c r="H9" s="130" t="s">
        <v>594</v>
      </c>
      <c r="I9" s="1081" t="s">
        <v>2294</v>
      </c>
      <c r="J9" s="1081" t="s">
        <v>2294</v>
      </c>
      <c r="K9" s="1153">
        <v>1</v>
      </c>
      <c r="L9" s="1082">
        <v>0</v>
      </c>
      <c r="M9" s="18" t="s">
        <v>2295</v>
      </c>
      <c r="V9" s="1307" t="str">
        <f>$F$6</f>
        <v>Gross kWh Annual Savings [2]</v>
      </c>
      <c r="W9" s="1345"/>
      <c r="X9" s="1345"/>
      <c r="Y9" s="1345"/>
      <c r="Z9" s="1345"/>
      <c r="AA9" s="1345"/>
      <c r="AB9" s="1062"/>
      <c r="AC9" s="47">
        <v>0</v>
      </c>
      <c r="AD9" s="42">
        <v>0</v>
      </c>
      <c r="AE9" s="42">
        <v>0</v>
      </c>
      <c r="AF9" s="253">
        <v>0</v>
      </c>
      <c r="AG9" s="253">
        <f t="shared" si="1"/>
        <v>0</v>
      </c>
      <c r="DG9" s="1340" t="str">
        <f>IFERROR((DI9)/(DJ9),"")</f>
        <v/>
      </c>
      <c r="DH9" s="1272"/>
      <c r="DI9" s="1341"/>
      <c r="DJ9" s="1846">
        <f>IFERROR(L9/((1+DiscountRate)^(CurrentYear-DiscountYear)),0)</f>
        <v>0</v>
      </c>
    </row>
    <row r="10" spans="1:114" s="39" customFormat="1" ht="30" x14ac:dyDescent="0.25">
      <c r="B10" s="1318">
        <f t="shared" si="0"/>
        <v>600110</v>
      </c>
      <c r="C10" s="18" t="s">
        <v>2300</v>
      </c>
      <c r="D10" s="103" t="s">
        <v>2292</v>
      </c>
      <c r="E10" s="1264" t="s">
        <v>2301</v>
      </c>
      <c r="F10" s="732">
        <v>0</v>
      </c>
      <c r="G10" s="130" t="s">
        <v>2294</v>
      </c>
      <c r="H10" s="130" t="s">
        <v>594</v>
      </c>
      <c r="I10" s="1081" t="s">
        <v>2294</v>
      </c>
      <c r="J10" s="1081" t="s">
        <v>2294</v>
      </c>
      <c r="K10" s="1153">
        <v>1</v>
      </c>
      <c r="L10" s="1082">
        <v>0</v>
      </c>
      <c r="M10" s="18" t="s">
        <v>2295</v>
      </c>
      <c r="N10" s="50"/>
      <c r="O10" s="50"/>
      <c r="P10" s="50"/>
      <c r="Q10" s="50"/>
      <c r="R10" s="50"/>
      <c r="S10" s="50"/>
      <c r="V10" s="1307" t="str">
        <f>$F$6</f>
        <v>Gross kWh Annual Savings [2]</v>
      </c>
      <c r="W10" s="1062"/>
      <c r="X10" s="1062"/>
      <c r="Y10" s="1062"/>
      <c r="Z10" s="1062"/>
      <c r="AA10" s="1062"/>
      <c r="AB10" s="1062"/>
      <c r="AC10" s="1062"/>
      <c r="AD10" s="1062"/>
      <c r="AE10" s="153">
        <v>0</v>
      </c>
      <c r="AF10" s="253">
        <v>0</v>
      </c>
      <c r="AG10" s="253">
        <f t="shared" si="1"/>
        <v>0</v>
      </c>
      <c r="DG10" s="1340" t="str">
        <f>IFERROR((DI10)/(DJ10),"")</f>
        <v/>
      </c>
      <c r="DH10" s="1272"/>
      <c r="DI10" s="1341"/>
      <c r="DJ10" s="1847">
        <f>IFERROR(L10/((1+DiscountRate)^(CurrentYear-DiscountYear)),0)</f>
        <v>0</v>
      </c>
    </row>
    <row r="11" spans="1:114" outlineLevel="1" x14ac:dyDescent="0.25">
      <c r="A11" s="50"/>
      <c r="D11" s="74" t="s">
        <v>95</v>
      </c>
      <c r="E11" s="265" t="s">
        <v>2302</v>
      </c>
      <c r="F11" s="62"/>
      <c r="G11" s="62"/>
      <c r="H11" s="62"/>
      <c r="I11" s="62"/>
      <c r="J11" s="62"/>
      <c r="K11" s="62"/>
      <c r="L11" s="62"/>
      <c r="M11" s="62"/>
      <c r="N11" s="62"/>
      <c r="W11" s="1346"/>
      <c r="X11" s="1346"/>
      <c r="Y11" s="1346"/>
      <c r="Z11" s="1346"/>
      <c r="AA11" s="1346"/>
      <c r="AB11" s="771"/>
      <c r="AC11" s="1346"/>
      <c r="AD11" s="1346"/>
      <c r="AE11" s="1346"/>
      <c r="AF11" s="1346"/>
      <c r="AG11" s="1346"/>
      <c r="DG11" s="1347"/>
      <c r="DH11" s="565"/>
      <c r="DI11" s="1348"/>
      <c r="DJ11" s="1074"/>
    </row>
    <row r="12" spans="1:114" ht="51" customHeight="1" outlineLevel="1" x14ac:dyDescent="0.25">
      <c r="A12" s="50"/>
      <c r="D12" s="541" t="s">
        <v>2303</v>
      </c>
      <c r="E12" s="2707" t="s">
        <v>2304</v>
      </c>
      <c r="F12" s="2707"/>
      <c r="G12" s="2707"/>
      <c r="H12" s="2707"/>
      <c r="I12" s="2707"/>
      <c r="J12" s="2707"/>
      <c r="K12" s="2707"/>
      <c r="L12" s="2707"/>
      <c r="M12" s="2707"/>
      <c r="N12" s="62"/>
      <c r="T12" s="50"/>
      <c r="U12" s="50"/>
      <c r="W12" s="1346"/>
      <c r="X12" s="1346"/>
      <c r="Y12" s="1346"/>
      <c r="Z12" s="1346"/>
      <c r="AA12" s="1346"/>
      <c r="AB12" s="771"/>
      <c r="AC12" s="1346"/>
      <c r="AD12" s="1346"/>
      <c r="AE12" s="1346"/>
      <c r="AF12" s="1346"/>
      <c r="AG12" s="1346"/>
      <c r="DG12" s="1347"/>
      <c r="DH12" s="565"/>
      <c r="DI12" s="1348"/>
      <c r="DJ12" s="1074"/>
    </row>
    <row r="13" spans="1:114" ht="261.75" customHeight="1" outlineLevel="1" x14ac:dyDescent="0.25">
      <c r="A13" s="50"/>
      <c r="D13" s="541" t="s">
        <v>2305</v>
      </c>
      <c r="E13" s="2708" t="s">
        <v>2306</v>
      </c>
      <c r="F13" s="2708"/>
      <c r="G13" s="2708"/>
      <c r="H13" s="2708"/>
      <c r="I13" s="2708"/>
      <c r="J13" s="2708"/>
      <c r="K13" s="2708"/>
      <c r="L13" s="2708"/>
      <c r="M13" s="2708"/>
      <c r="N13" s="62"/>
      <c r="T13" s="50"/>
      <c r="U13" s="50"/>
      <c r="W13" s="1346"/>
      <c r="X13" s="1346"/>
      <c r="Y13" s="1346"/>
      <c r="Z13" s="1346"/>
      <c r="AA13" s="1346"/>
      <c r="AB13" s="771"/>
      <c r="AC13" s="1346"/>
      <c r="AD13" s="1346"/>
      <c r="AE13" s="1346"/>
      <c r="AF13" s="1346"/>
      <c r="AG13" s="1346"/>
      <c r="DG13" s="1347"/>
      <c r="DH13" s="565"/>
      <c r="DI13" s="1348"/>
      <c r="DJ13" s="1074"/>
    </row>
    <row r="14" spans="1:114" ht="34.9" customHeight="1" outlineLevel="1" x14ac:dyDescent="0.25">
      <c r="A14" s="50"/>
      <c r="D14" s="541" t="s">
        <v>2307</v>
      </c>
      <c r="E14" s="2707" t="s">
        <v>2308</v>
      </c>
      <c r="F14" s="2707"/>
      <c r="G14" s="2707"/>
      <c r="H14" s="2707"/>
      <c r="I14" s="2707"/>
      <c r="J14" s="2707"/>
      <c r="K14" s="2707"/>
      <c r="L14" s="2707"/>
      <c r="M14" s="2707"/>
      <c r="N14" s="62"/>
      <c r="T14" s="50"/>
      <c r="U14" s="50"/>
      <c r="W14" s="1346"/>
      <c r="X14" s="1346"/>
      <c r="Y14" s="1346"/>
      <c r="Z14" s="1346"/>
      <c r="AA14" s="1346"/>
      <c r="AB14" s="771"/>
      <c r="AC14" s="1346"/>
      <c r="AD14" s="1346"/>
      <c r="AE14" s="1346"/>
      <c r="AF14" s="1346"/>
      <c r="AG14" s="1346"/>
      <c r="DG14" s="1347"/>
      <c r="DH14" s="565"/>
      <c r="DI14" s="1348"/>
      <c r="DJ14" s="1074"/>
    </row>
    <row r="15" spans="1:114" ht="15" customHeight="1" outlineLevel="1" x14ac:dyDescent="0.25">
      <c r="A15" s="50"/>
      <c r="D15" s="541" t="s">
        <v>2309</v>
      </c>
      <c r="E15" s="2707" t="s">
        <v>2310</v>
      </c>
      <c r="F15" s="2707"/>
      <c r="G15" s="2707"/>
      <c r="H15" s="2707"/>
      <c r="I15" s="2707"/>
      <c r="J15" s="2707"/>
      <c r="K15" s="2707"/>
      <c r="L15" s="2707"/>
      <c r="M15" s="2707"/>
      <c r="N15" s="62"/>
      <c r="T15" s="50"/>
      <c r="U15" s="50"/>
      <c r="W15" s="1346"/>
      <c r="X15" s="1346"/>
      <c r="Y15" s="1346"/>
      <c r="Z15" s="1346"/>
      <c r="AA15" s="1346"/>
      <c r="AB15" s="771"/>
      <c r="AC15" s="1346"/>
      <c r="AD15" s="1346"/>
      <c r="AE15" s="1346"/>
      <c r="AF15" s="1346"/>
      <c r="AG15" s="1346"/>
      <c r="DG15" s="1347"/>
      <c r="DH15" s="565"/>
      <c r="DI15" s="1348"/>
      <c r="DJ15" s="1074"/>
    </row>
    <row r="16" spans="1:114" ht="183" customHeight="1" outlineLevel="1" x14ac:dyDescent="0.25">
      <c r="A16" s="50"/>
      <c r="D16" s="541" t="s">
        <v>2311</v>
      </c>
      <c r="E16" s="2708" t="s">
        <v>2312</v>
      </c>
      <c r="F16" s="2708"/>
      <c r="G16" s="2708"/>
      <c r="H16" s="2708"/>
      <c r="I16" s="2708"/>
      <c r="J16" s="2708"/>
      <c r="K16" s="2708"/>
      <c r="L16" s="2708"/>
      <c r="M16" s="2708"/>
      <c r="T16" s="50"/>
      <c r="U16" s="50"/>
    </row>
    <row r="17" spans="1:114" ht="148.5" customHeight="1" outlineLevel="1" x14ac:dyDescent="0.25">
      <c r="A17" s="50"/>
      <c r="D17" s="541" t="s">
        <v>2313</v>
      </c>
      <c r="E17" s="2708" t="s">
        <v>2314</v>
      </c>
      <c r="F17" s="2708"/>
      <c r="G17" s="2708"/>
      <c r="H17" s="2708"/>
      <c r="I17" s="2708"/>
      <c r="J17" s="2708"/>
      <c r="K17" s="2708"/>
      <c r="L17" s="2708"/>
      <c r="M17" s="2708"/>
      <c r="T17" s="50"/>
      <c r="U17" s="50"/>
    </row>
    <row r="18" spans="1:114" ht="14.65" customHeight="1" outlineLevel="1" x14ac:dyDescent="0.25">
      <c r="A18" s="50"/>
      <c r="E18" s="2709"/>
      <c r="F18" s="2709"/>
      <c r="G18" s="2709"/>
      <c r="H18" s="2709"/>
      <c r="I18" s="2709"/>
      <c r="J18" s="2709"/>
      <c r="K18" s="2709"/>
      <c r="L18" s="2709"/>
      <c r="M18" s="2709"/>
      <c r="T18" s="50"/>
      <c r="U18" s="50"/>
    </row>
    <row r="19" spans="1:114" ht="14.65" customHeight="1" outlineLevel="1" x14ac:dyDescent="0.25">
      <c r="A19" s="50"/>
      <c r="E19" s="2709"/>
      <c r="F19" s="2709"/>
      <c r="G19" s="2709"/>
      <c r="H19" s="2709"/>
      <c r="I19" s="2709"/>
      <c r="J19" s="2709"/>
      <c r="K19" s="2709"/>
      <c r="L19" s="2709"/>
      <c r="M19" s="2709"/>
      <c r="T19" s="50"/>
      <c r="U19" s="50"/>
    </row>
    <row r="20" spans="1:114" ht="89.65" customHeight="1" outlineLevel="1" x14ac:dyDescent="0.25">
      <c r="A20" s="50"/>
      <c r="E20" s="2703" t="s">
        <v>2315</v>
      </c>
      <c r="F20" s="2623"/>
      <c r="G20" s="2623"/>
      <c r="H20" s="2623"/>
      <c r="I20" s="2623"/>
      <c r="J20" s="2623"/>
      <c r="K20" s="2623"/>
      <c r="L20" s="2623"/>
      <c r="M20" s="2623"/>
      <c r="T20" s="50"/>
      <c r="U20" s="50"/>
    </row>
    <row r="21" spans="1:114" outlineLevel="1" x14ac:dyDescent="0.25">
      <c r="A21" s="50"/>
      <c r="T21" s="50"/>
      <c r="U21" s="50"/>
    </row>
    <row r="22" spans="1:114" ht="60" customHeight="1" outlineLevel="1" x14ac:dyDescent="0.25">
      <c r="A22" s="50"/>
      <c r="E22" s="2703" t="s">
        <v>2316</v>
      </c>
      <c r="F22" s="2623"/>
      <c r="G22" s="2623"/>
      <c r="H22" s="2623"/>
      <c r="I22" s="2623"/>
      <c r="J22" s="2623"/>
      <c r="K22" s="2623"/>
      <c r="L22" s="2623"/>
      <c r="M22" s="2623"/>
      <c r="T22" s="50"/>
      <c r="U22" s="50"/>
    </row>
    <row r="23" spans="1:114" x14ac:dyDescent="0.25">
      <c r="A23" s="50"/>
    </row>
    <row r="24" spans="1:114" x14ac:dyDescent="0.25">
      <c r="A24" s="50"/>
      <c r="E24" s="929"/>
      <c r="F24" s="603"/>
    </row>
    <row r="25" spans="1:114" x14ac:dyDescent="0.25">
      <c r="A25" s="50"/>
      <c r="B25" s="2339" t="s">
        <v>2317</v>
      </c>
      <c r="C25" s="2340"/>
      <c r="D25" s="2340"/>
      <c r="E25" s="2340"/>
      <c r="F25" s="2340"/>
      <c r="G25" s="2340"/>
      <c r="H25" s="2340"/>
      <c r="I25" s="2340"/>
      <c r="J25" s="2340"/>
      <c r="K25" s="2340"/>
      <c r="L25" s="2340"/>
      <c r="M25" s="2425"/>
      <c r="V25" s="2339" t="str">
        <f>B25</f>
        <v>Demand Response Water Heater</v>
      </c>
      <c r="W25" s="2340"/>
      <c r="X25" s="2340"/>
      <c r="Y25" s="2340"/>
      <c r="Z25" s="2340"/>
      <c r="AA25" s="2340"/>
      <c r="AB25" s="2340"/>
      <c r="AC25" s="2311"/>
      <c r="AD25" s="2311"/>
      <c r="AE25" s="2311"/>
      <c r="AF25" s="2311"/>
      <c r="AG25" s="2311"/>
      <c r="AH25" s="2311"/>
      <c r="AI25" s="2312"/>
    </row>
    <row r="26" spans="1:114" x14ac:dyDescent="0.25">
      <c r="A26" s="50"/>
      <c r="V26" s="255"/>
      <c r="W26" s="266"/>
      <c r="X26" s="266"/>
      <c r="Y26" s="266"/>
      <c r="Z26" s="266"/>
      <c r="AA26" s="266"/>
      <c r="AB26" s="266"/>
      <c r="AC26" s="255"/>
      <c r="AD26" s="255"/>
      <c r="AE26" s="255"/>
      <c r="AF26" s="255"/>
      <c r="AG26" s="255"/>
      <c r="AH26" s="255"/>
      <c r="AI26" s="255"/>
    </row>
    <row r="27" spans="1:114" ht="30" x14ac:dyDescent="0.25">
      <c r="A27" s="50"/>
      <c r="C27" s="1242" t="s">
        <v>43</v>
      </c>
      <c r="D27" s="1242" t="s">
        <v>597</v>
      </c>
      <c r="E27" s="1242" t="s">
        <v>45</v>
      </c>
      <c r="F27" s="1242" t="s">
        <v>46</v>
      </c>
      <c r="G27" s="1242" t="s">
        <v>47</v>
      </c>
      <c r="H27" s="1242" t="s">
        <v>2318</v>
      </c>
      <c r="I27" s="1242" t="s">
        <v>2319</v>
      </c>
      <c r="J27" s="1242" t="s">
        <v>2320</v>
      </c>
      <c r="K27" s="1242" t="s">
        <v>50</v>
      </c>
      <c r="L27" s="1242" t="s">
        <v>51</v>
      </c>
      <c r="M27" s="1242" t="s">
        <v>52</v>
      </c>
      <c r="V27" s="162" t="s">
        <v>53</v>
      </c>
      <c r="W27" s="728">
        <f t="shared" ref="W27:AE27" si="2">W$6</f>
        <v>43252</v>
      </c>
      <c r="X27" s="728">
        <f t="shared" si="2"/>
        <v>43465</v>
      </c>
      <c r="Y27" s="728">
        <f t="shared" si="2"/>
        <v>43800</v>
      </c>
      <c r="Z27" s="728">
        <f t="shared" si="2"/>
        <v>43862</v>
      </c>
      <c r="AA27" s="728">
        <f t="shared" si="2"/>
        <v>44013</v>
      </c>
      <c r="AB27" s="728">
        <f t="shared" si="2"/>
        <v>44166</v>
      </c>
      <c r="AC27" s="728">
        <f t="shared" si="2"/>
        <v>44531</v>
      </c>
      <c r="AD27" s="728">
        <f t="shared" si="2"/>
        <v>44774</v>
      </c>
      <c r="AE27" s="728">
        <f t="shared" si="2"/>
        <v>45139</v>
      </c>
      <c r="AF27" s="163">
        <f>AF6</f>
        <v>45672</v>
      </c>
      <c r="AG27" s="637">
        <f>'Deemed Savings Tbl Revision Log'!$C$18</f>
        <v>45971</v>
      </c>
      <c r="AH27" s="255"/>
      <c r="AI27" s="255"/>
      <c r="DG27" s="813" t="s">
        <v>54</v>
      </c>
      <c r="DH27" s="1079" t="s">
        <v>55</v>
      </c>
      <c r="DI27" s="1080" t="s">
        <v>56</v>
      </c>
      <c r="DJ27" s="1031" t="s">
        <v>57</v>
      </c>
    </row>
    <row r="28" spans="1:114" x14ac:dyDescent="0.25">
      <c r="A28" s="50"/>
      <c r="B28" s="1318">
        <f t="shared" ref="B28:B29" si="3">VALUE(LEFT(C28,6))</f>
        <v>600401</v>
      </c>
      <c r="C28" s="425" t="s">
        <v>2321</v>
      </c>
      <c r="D28" s="597" t="s">
        <v>2292</v>
      </c>
      <c r="E28" s="1308" t="s">
        <v>2322</v>
      </c>
      <c r="F28" s="967">
        <v>0</v>
      </c>
      <c r="G28" s="66" t="s">
        <v>2294</v>
      </c>
      <c r="H28" s="66" t="s">
        <v>594</v>
      </c>
      <c r="I28" s="1154">
        <v>0.27</v>
      </c>
      <c r="J28" s="1154" t="s">
        <v>2294</v>
      </c>
      <c r="K28" s="1155">
        <v>1</v>
      </c>
      <c r="L28" s="1156">
        <v>149</v>
      </c>
      <c r="M28" s="425" t="s">
        <v>2323</v>
      </c>
      <c r="V28" s="1307" t="str">
        <f>$F$27</f>
        <v>kWh Annual Savings</v>
      </c>
      <c r="W28" s="57"/>
      <c r="X28" s="57"/>
      <c r="Y28" s="57"/>
      <c r="Z28" s="57"/>
      <c r="AA28" s="57"/>
      <c r="AB28" s="42"/>
      <c r="AC28" s="42"/>
      <c r="AD28" s="42"/>
      <c r="AE28" s="42">
        <v>0</v>
      </c>
      <c r="AF28" s="253">
        <v>0</v>
      </c>
      <c r="AG28" s="253">
        <f>IF(F28&lt;&gt;"",F28,"")</f>
        <v>0</v>
      </c>
      <c r="DG28" s="1340">
        <f>IFERROR((DI28)/(DJ28),"")</f>
        <v>0</v>
      </c>
      <c r="DH28" s="1272"/>
      <c r="DI28" s="1341"/>
      <c r="DJ28" s="1845">
        <f>IFERROR(L28/((1+DiscountRate)^(CurrentYear-DiscountYear)),0)</f>
        <v>149</v>
      </c>
    </row>
    <row r="29" spans="1:114" ht="30" x14ac:dyDescent="0.25">
      <c r="A29" s="50"/>
      <c r="B29" s="1318">
        <f t="shared" si="3"/>
        <v>600402</v>
      </c>
      <c r="C29" s="425" t="s">
        <v>2324</v>
      </c>
      <c r="D29" s="597" t="s">
        <v>2292</v>
      </c>
      <c r="E29" s="1308" t="s">
        <v>2325</v>
      </c>
      <c r="F29" s="967">
        <v>0</v>
      </c>
      <c r="G29" s="66" t="s">
        <v>2294</v>
      </c>
      <c r="H29" s="66" t="s">
        <v>594</v>
      </c>
      <c r="I29" s="1154">
        <v>0.22</v>
      </c>
      <c r="J29" s="1154" t="s">
        <v>2294</v>
      </c>
      <c r="K29" s="1155">
        <v>1</v>
      </c>
      <c r="L29" s="1156">
        <v>149</v>
      </c>
      <c r="M29" s="425" t="s">
        <v>2323</v>
      </c>
      <c r="V29" s="1307" t="str">
        <f>$F$27</f>
        <v>kWh Annual Savings</v>
      </c>
      <c r="W29" s="57"/>
      <c r="X29" s="57"/>
      <c r="Y29" s="57"/>
      <c r="Z29" s="57"/>
      <c r="AA29" s="57"/>
      <c r="AB29" s="42"/>
      <c r="AC29" s="42"/>
      <c r="AD29" s="42"/>
      <c r="AE29" s="42">
        <v>0</v>
      </c>
      <c r="AF29" s="253">
        <v>0</v>
      </c>
      <c r="AG29" s="253">
        <f>IF(F29&lt;&gt;"",F29,"")</f>
        <v>0</v>
      </c>
      <c r="DG29" s="1340">
        <f>IFERROR((DI29)/(DJ29),"")</f>
        <v>0</v>
      </c>
      <c r="DH29" s="1272"/>
      <c r="DI29" s="1341"/>
      <c r="DJ29" s="1847">
        <f>IFERROR(L29/((1+DiscountRate)^(CurrentYear-DiscountYear)),0)</f>
        <v>149</v>
      </c>
    </row>
    <row r="30" spans="1:114" outlineLevel="1" x14ac:dyDescent="0.25">
      <c r="A30" s="50"/>
      <c r="D30" s="74" t="s">
        <v>95</v>
      </c>
      <c r="E30" s="1321" t="s">
        <v>2326</v>
      </c>
    </row>
    <row r="31" spans="1:114" outlineLevel="1" x14ac:dyDescent="0.25">
      <c r="A31" s="50"/>
      <c r="D31" s="541" t="s">
        <v>2303</v>
      </c>
      <c r="E31" s="2707" t="s">
        <v>2310</v>
      </c>
      <c r="F31" s="2707"/>
      <c r="G31" s="2707"/>
      <c r="H31" s="2707"/>
      <c r="I31" s="2707"/>
      <c r="J31" s="2707"/>
      <c r="K31" s="2707"/>
      <c r="L31" s="2707"/>
      <c r="M31" s="2707"/>
      <c r="N31" s="62"/>
      <c r="W31" s="1346"/>
      <c r="X31" s="1346"/>
      <c r="Y31" s="1346"/>
      <c r="Z31" s="1346"/>
      <c r="AA31" s="1346"/>
      <c r="AB31" s="771"/>
      <c r="AC31" s="1346"/>
      <c r="AD31" s="1346"/>
      <c r="AE31" s="1346"/>
      <c r="AF31" s="1346"/>
      <c r="AG31" s="1346"/>
      <c r="DG31" s="1347"/>
      <c r="DH31" s="565"/>
      <c r="DI31" s="1348"/>
      <c r="DJ31" s="1074"/>
    </row>
    <row r="32" spans="1:114" ht="147" customHeight="1" outlineLevel="1" x14ac:dyDescent="0.25">
      <c r="A32" s="50"/>
      <c r="D32" s="541" t="s">
        <v>2305</v>
      </c>
      <c r="E32" s="2707" t="s">
        <v>2327</v>
      </c>
      <c r="F32" s="2707"/>
      <c r="G32" s="2707"/>
      <c r="H32" s="2707"/>
      <c r="I32" s="2707"/>
      <c r="J32" s="2707"/>
      <c r="K32" s="2707"/>
      <c r="L32" s="2707"/>
      <c r="M32" s="2707"/>
      <c r="N32" s="62"/>
      <c r="W32" s="1346"/>
      <c r="X32" s="1346"/>
      <c r="Y32" s="1346"/>
      <c r="Z32" s="1346"/>
      <c r="AA32" s="1346"/>
      <c r="AB32" s="771"/>
      <c r="AC32" s="1346"/>
      <c r="AD32" s="1346"/>
      <c r="AE32" s="1346"/>
      <c r="AF32" s="1346"/>
      <c r="AG32" s="1346"/>
      <c r="DG32" s="1347"/>
      <c r="DH32" s="565"/>
      <c r="DI32" s="1348"/>
      <c r="DJ32" s="1074"/>
    </row>
    <row r="33" spans="1:114" ht="28.9" customHeight="1" outlineLevel="1" x14ac:dyDescent="0.25">
      <c r="A33" s="50"/>
      <c r="D33" s="541" t="s">
        <v>2328</v>
      </c>
      <c r="E33" s="2707" t="s">
        <v>2329</v>
      </c>
      <c r="F33" s="2707"/>
      <c r="G33" s="2707"/>
      <c r="H33" s="2707"/>
      <c r="I33" s="2707"/>
      <c r="J33" s="2707"/>
      <c r="K33" s="2707"/>
      <c r="L33" s="2707"/>
      <c r="M33" s="2707"/>
    </row>
    <row r="34" spans="1:114" x14ac:dyDescent="0.25">
      <c r="A34" s="50"/>
      <c r="E34" s="929"/>
      <c r="F34" s="603"/>
    </row>
    <row r="35" spans="1:114" x14ac:dyDescent="0.25">
      <c r="A35" s="50"/>
      <c r="B35" s="2381" t="s">
        <v>2330</v>
      </c>
      <c r="C35" s="2710"/>
      <c r="D35" s="2710"/>
      <c r="E35" s="2710"/>
      <c r="F35" s="2710"/>
      <c r="G35" s="2710"/>
      <c r="H35" s="2710"/>
      <c r="I35" s="2710"/>
      <c r="J35" s="2710"/>
      <c r="K35" s="2710"/>
      <c r="L35" s="2710"/>
      <c r="M35" s="2711"/>
      <c r="V35" s="2381" t="str">
        <f>B35</f>
        <v>Demand Response Electric Vehicle Charging</v>
      </c>
      <c r="W35" s="2710"/>
      <c r="X35" s="2710"/>
      <c r="Y35" s="2710"/>
      <c r="Z35" s="2710"/>
      <c r="AA35" s="2710"/>
      <c r="AB35" s="2710"/>
      <c r="AC35" s="2683"/>
      <c r="AD35" s="2683"/>
      <c r="AE35" s="2683"/>
      <c r="AF35" s="2683"/>
      <c r="AG35" s="2683"/>
      <c r="AH35" s="2683"/>
      <c r="AI35" s="2684"/>
    </row>
    <row r="36" spans="1:114" x14ac:dyDescent="0.25">
      <c r="A36" s="50"/>
      <c r="B36" s="39"/>
      <c r="C36" s="659"/>
      <c r="D36" s="2195"/>
      <c r="E36" s="2195"/>
      <c r="F36" s="39"/>
      <c r="G36" s="39"/>
      <c r="H36" s="39"/>
      <c r="I36" s="39"/>
      <c r="J36" s="39"/>
      <c r="K36" s="39"/>
      <c r="L36" s="39"/>
      <c r="M36" s="39"/>
      <c r="V36" s="2204"/>
      <c r="W36" s="2205"/>
      <c r="X36" s="2205"/>
      <c r="Y36" s="2205"/>
      <c r="Z36" s="2205"/>
      <c r="AA36" s="2205"/>
      <c r="AB36" s="2205"/>
      <c r="AC36" s="2204"/>
      <c r="AD36" s="2204"/>
      <c r="AE36" s="2204"/>
      <c r="AF36" s="2204"/>
      <c r="AG36" s="2204"/>
      <c r="AH36" s="2204"/>
      <c r="AI36" s="2204"/>
    </row>
    <row r="37" spans="1:114" ht="30" x14ac:dyDescent="0.25">
      <c r="A37" s="50"/>
      <c r="B37" s="39"/>
      <c r="C37" s="2196" t="s">
        <v>43</v>
      </c>
      <c r="D37" s="2196" t="s">
        <v>597</v>
      </c>
      <c r="E37" s="2196" t="s">
        <v>45</v>
      </c>
      <c r="F37" s="2196" t="s">
        <v>46</v>
      </c>
      <c r="G37" s="2196" t="s">
        <v>47</v>
      </c>
      <c r="H37" s="2196" t="s">
        <v>2318</v>
      </c>
      <c r="I37" s="2196" t="s">
        <v>2319</v>
      </c>
      <c r="J37" s="2196" t="s">
        <v>2320</v>
      </c>
      <c r="K37" s="2196" t="s">
        <v>50</v>
      </c>
      <c r="L37" s="2196" t="s">
        <v>51</v>
      </c>
      <c r="M37" s="2196" t="s">
        <v>52</v>
      </c>
      <c r="V37" s="944" t="s">
        <v>53</v>
      </c>
      <c r="W37" s="1078">
        <f t="shared" ref="W37:AE37" si="4">W$6</f>
        <v>43252</v>
      </c>
      <c r="X37" s="1078">
        <f t="shared" si="4"/>
        <v>43465</v>
      </c>
      <c r="Y37" s="1078">
        <f t="shared" si="4"/>
        <v>43800</v>
      </c>
      <c r="Z37" s="1078">
        <f t="shared" si="4"/>
        <v>43862</v>
      </c>
      <c r="AA37" s="1078">
        <f t="shared" si="4"/>
        <v>44013</v>
      </c>
      <c r="AB37" s="1078">
        <f t="shared" si="4"/>
        <v>44166</v>
      </c>
      <c r="AC37" s="1078">
        <f t="shared" si="4"/>
        <v>44531</v>
      </c>
      <c r="AD37" s="1078">
        <f t="shared" si="4"/>
        <v>44774</v>
      </c>
      <c r="AE37" s="1078">
        <f t="shared" si="4"/>
        <v>45139</v>
      </c>
      <c r="AF37" s="939">
        <f>AF6</f>
        <v>45672</v>
      </c>
      <c r="AG37" s="939" t="s">
        <v>2294</v>
      </c>
      <c r="AH37" s="2204"/>
      <c r="AI37" s="2204"/>
      <c r="DG37" s="813" t="s">
        <v>54</v>
      </c>
      <c r="DH37" s="1079" t="s">
        <v>55</v>
      </c>
      <c r="DI37" s="1080" t="s">
        <v>56</v>
      </c>
      <c r="DJ37" s="1031" t="s">
        <v>57</v>
      </c>
    </row>
    <row r="38" spans="1:114" x14ac:dyDescent="0.25">
      <c r="A38" s="50"/>
      <c r="B38" s="37">
        <f t="shared" ref="B38" si="5">VALUE(LEFT(C38,6))</f>
        <v>600500</v>
      </c>
      <c r="C38" s="2193" t="s">
        <v>2331</v>
      </c>
      <c r="D38" s="2197" t="s">
        <v>2292</v>
      </c>
      <c r="E38" s="2198" t="s">
        <v>2330</v>
      </c>
      <c r="F38" s="2199">
        <v>0</v>
      </c>
      <c r="G38" s="2200" t="s">
        <v>2294</v>
      </c>
      <c r="H38" s="2200" t="s">
        <v>594</v>
      </c>
      <c r="I38" s="2194">
        <v>0.16</v>
      </c>
      <c r="J38" s="2194" t="s">
        <v>2294</v>
      </c>
      <c r="K38" s="2201">
        <v>1</v>
      </c>
      <c r="L38" s="2202">
        <v>0</v>
      </c>
      <c r="M38" s="2193" t="s">
        <v>2323</v>
      </c>
      <c r="V38" s="645" t="str">
        <f>$F$27</f>
        <v>kWh Annual Savings</v>
      </c>
      <c r="W38" s="153"/>
      <c r="X38" s="153"/>
      <c r="Y38" s="153"/>
      <c r="Z38" s="153"/>
      <c r="AA38" s="153"/>
      <c r="AB38" s="47"/>
      <c r="AC38" s="47"/>
      <c r="AD38" s="47"/>
      <c r="AE38" s="47">
        <v>0</v>
      </c>
      <c r="AF38" s="253"/>
      <c r="AG38" s="153">
        <v>0</v>
      </c>
      <c r="AH38"/>
      <c r="AI38"/>
      <c r="DG38" s="1340" t="str">
        <f>IFERROR((DI38)/(DJ38),"")</f>
        <v/>
      </c>
      <c r="DH38" s="1272"/>
      <c r="DI38" s="1341"/>
      <c r="DJ38" s="2191">
        <f>L38/(1.0686^(2025-2025))</f>
        <v>0</v>
      </c>
    </row>
    <row r="39" spans="1:114" outlineLevel="1" x14ac:dyDescent="0.25">
      <c r="A39" s="50"/>
      <c r="B39" s="39"/>
      <c r="C39" s="659"/>
      <c r="D39" s="2207" t="s">
        <v>95</v>
      </c>
      <c r="E39" s="2208" t="s">
        <v>2332</v>
      </c>
      <c r="F39" s="39"/>
      <c r="G39" s="39"/>
      <c r="H39" s="39"/>
      <c r="I39" s="39"/>
      <c r="J39" s="39"/>
      <c r="K39" s="39"/>
      <c r="L39" s="39"/>
      <c r="M39" s="39"/>
      <c r="V39"/>
      <c r="W39" s="41"/>
      <c r="X39" s="41"/>
      <c r="Y39" s="41"/>
      <c r="Z39" s="41"/>
      <c r="AA39" s="41"/>
      <c r="AB39" s="41"/>
      <c r="AC39"/>
      <c r="AD39"/>
      <c r="AE39"/>
      <c r="AF39"/>
      <c r="AG39"/>
      <c r="AH39"/>
      <c r="AI39"/>
    </row>
    <row r="40" spans="1:114" outlineLevel="1" x14ac:dyDescent="0.25">
      <c r="A40" s="50"/>
      <c r="B40" s="39"/>
      <c r="C40" s="659"/>
      <c r="D40" s="2203" t="s">
        <v>2303</v>
      </c>
      <c r="E40" s="2708" t="s">
        <v>2310</v>
      </c>
      <c r="F40" s="2708"/>
      <c r="G40" s="2708"/>
      <c r="H40" s="2708"/>
      <c r="I40" s="2708"/>
      <c r="J40" s="2708"/>
      <c r="K40" s="2708"/>
      <c r="L40" s="2708"/>
      <c r="M40" s="2708"/>
      <c r="N40" s="62"/>
      <c r="V40"/>
      <c r="W40" s="2206"/>
      <c r="X40" s="2206"/>
      <c r="Y40" s="2206"/>
      <c r="Z40" s="2206"/>
      <c r="AA40" s="2206"/>
      <c r="AB40" s="771"/>
      <c r="AC40" s="2206"/>
      <c r="AD40" s="2206"/>
      <c r="AE40" s="2206"/>
      <c r="AF40" s="2206"/>
      <c r="AG40" s="2206"/>
      <c r="AH40"/>
      <c r="AI40"/>
      <c r="DG40" s="1347"/>
      <c r="DH40" s="565"/>
      <c r="DI40" s="1348"/>
      <c r="DJ40" s="1074"/>
    </row>
    <row r="41" spans="1:114" ht="135.75" customHeight="1" outlineLevel="1" x14ac:dyDescent="0.25">
      <c r="A41" s="50"/>
      <c r="B41" s="39"/>
      <c r="C41" s="659"/>
      <c r="D41" s="2203" t="s">
        <v>2305</v>
      </c>
      <c r="E41" s="2708" t="s">
        <v>2333</v>
      </c>
      <c r="F41" s="2708"/>
      <c r="G41" s="2708"/>
      <c r="H41" s="2708"/>
      <c r="I41" s="2708"/>
      <c r="J41" s="2708"/>
      <c r="K41" s="2708"/>
      <c r="L41" s="2708"/>
      <c r="M41" s="2708"/>
      <c r="V41" s="2190"/>
      <c r="W41" s="2192"/>
      <c r="X41" s="2192"/>
      <c r="Y41" s="2192"/>
      <c r="Z41" s="2192"/>
      <c r="AA41" s="2192"/>
      <c r="AB41" s="2192"/>
      <c r="AC41" s="2190"/>
      <c r="AD41" s="2190"/>
      <c r="AE41" s="2190"/>
      <c r="AF41" s="2190"/>
      <c r="AG41" s="2190"/>
      <c r="AH41" s="2190"/>
      <c r="AI41" s="2190"/>
    </row>
    <row r="42" spans="1:114" ht="28.9" customHeight="1" outlineLevel="1" x14ac:dyDescent="0.25">
      <c r="A42" s="50"/>
      <c r="B42" s="39"/>
      <c r="C42" s="659"/>
      <c r="D42" s="2203" t="s">
        <v>2328</v>
      </c>
      <c r="E42" s="2708" t="s">
        <v>2329</v>
      </c>
      <c r="F42" s="2708"/>
      <c r="G42" s="2708"/>
      <c r="H42" s="2708"/>
      <c r="I42" s="2708"/>
      <c r="J42" s="2708"/>
      <c r="K42" s="2708"/>
      <c r="L42" s="2708"/>
      <c r="M42" s="2708"/>
      <c r="V42" s="2190"/>
      <c r="W42" s="2192"/>
      <c r="X42" s="2192"/>
      <c r="Y42" s="2192"/>
      <c r="Z42" s="2192"/>
      <c r="AA42" s="2192"/>
      <c r="AB42" s="2192"/>
      <c r="AC42" s="2190"/>
      <c r="AD42" s="2190"/>
      <c r="AE42" s="2190"/>
      <c r="AF42" s="2190"/>
      <c r="AG42" s="2190"/>
      <c r="AH42" s="2190"/>
      <c r="AI42" s="2190"/>
    </row>
    <row r="43" spans="1:114" x14ac:dyDescent="0.25">
      <c r="B43" s="39"/>
      <c r="C43" s="659"/>
      <c r="D43" s="2195"/>
      <c r="E43" s="2195"/>
      <c r="F43" s="39"/>
      <c r="G43" s="39"/>
      <c r="H43" s="39"/>
      <c r="I43" s="39"/>
      <c r="J43" s="39"/>
      <c r="K43" s="39"/>
      <c r="L43" s="39"/>
      <c r="M43" s="39"/>
    </row>
  </sheetData>
  <mergeCells count="25">
    <mergeCell ref="B35:M35"/>
    <mergeCell ref="V35:AI35"/>
    <mergeCell ref="E40:M40"/>
    <mergeCell ref="E41:M41"/>
    <mergeCell ref="E42:M42"/>
    <mergeCell ref="E32:M32"/>
    <mergeCell ref="E33:M33"/>
    <mergeCell ref="E17:M17"/>
    <mergeCell ref="B25:M25"/>
    <mergeCell ref="V25:AI25"/>
    <mergeCell ref="E31:M31"/>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s>
  <conditionalFormatting sqref="B7:B10 B28:B29">
    <cfRule type="containsText" dxfId="28" priority="15" operator="containsText" text="x">
      <formula>NOT(ISERROR(SEARCH("x",B7)))</formula>
    </cfRule>
  </conditionalFormatting>
  <conditionalFormatting sqref="B38">
    <cfRule type="containsText" dxfId="27" priority="3" operator="containsText" text="x">
      <formula>NOT(ISERROR(SEARCH("x",B38)))</formula>
    </cfRule>
  </conditionalFormatting>
  <conditionalFormatting sqref="AF38">
    <cfRule type="expression" dxfId="26" priority="1">
      <formula>AND(AF38=AE38,AE38&lt;&gt;"")</formula>
    </cfRule>
    <cfRule type="expression" dxfId="25" priority="2">
      <formula>AF38&lt;&gt;AE38</formula>
    </cfRule>
  </conditionalFormatting>
  <conditionalFormatting sqref="AF7:AG10 AF28:AG29">
    <cfRule type="expression" dxfId="24" priority="11">
      <formula>AND(AF7=AE7,AE7&lt;&gt;"")</formula>
    </cfRule>
    <cfRule type="expression" dxfId="23" priority="12">
      <formula>AF7&lt;&gt;AE7</formula>
    </cfRule>
  </conditionalFormatting>
  <pageMargins left="0.7" right="0.7" top="0.75" bottom="0.75" header="0.3" footer="0.3"/>
  <pageSetup scale="43" fitToHeight="0" orientation="landscape" r:id="rId1"/>
  <drawing r:id="rId2"/>
  <legacyDrawing r:id="rId3"/>
</worksheet>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ReadME</vt:lpstr>
      <vt:lpstr>Deemed Savings Tbl Revision Log</vt:lpstr>
      <vt:lpstr>BUS Deemed Savings Table</vt:lpstr>
      <vt:lpstr>Efficient Products Deemed Table</vt:lpstr>
      <vt:lpstr>Energy Effic. Kits Deemed Table</vt:lpstr>
      <vt:lpstr>HVAC Deemed Table</vt:lpstr>
      <vt:lpstr>Income Eligible Deemed Table</vt:lpstr>
      <vt:lpstr>PAYS Deemed Table</vt:lpstr>
      <vt:lpstr>Demand Response Deemed Table</vt:lpstr>
      <vt:lpstr> Measure INDEX PY25</vt:lpstr>
      <vt:lpstr>Avoided Cost Benefits</vt:lpstr>
      <vt:lpstr>CP FACTORS</vt:lpstr>
      <vt:lpstr>End-Use Shapes Factors  2025+</vt:lpstr>
      <vt:lpstr>'BUS Deemed Savings Table'!_ftn1</vt:lpstr>
      <vt:lpstr>'BUS Deemed Savings Table'!_ftn10</vt:lpstr>
      <vt:lpstr>'BUS Deemed Savings Table'!_ftn11</vt:lpstr>
      <vt:lpstr>'BUS Deemed Savings Table'!_ftn12</vt:lpstr>
      <vt:lpstr>'BUS Deemed Savings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'BUS Deemed Savings Table'!_ftnref3</vt:lpstr>
      <vt:lpstr>'BUS Deemed Savings Table'!_ftnref4</vt:lpstr>
      <vt:lpstr>'BUS Deemed Savings Table'!_ftnref5</vt:lpstr>
      <vt:lpstr>'BUS Deemed Savings Table'!_ftnref7</vt:lpstr>
      <vt:lpstr>'BUS Deemed Savings Table'!_ftnref9</vt:lpstr>
      <vt:lpstr>'BUS Deemed Savings Table'!_Toc477945843</vt:lpstr>
      <vt:lpstr>CurrentYear</vt:lpstr>
      <vt:lpstr>DISCOUNT</vt:lpstr>
      <vt:lpstr>DiscountRate</vt:lpstr>
      <vt:lpstr>DiscountYear</vt:lpstr>
      <vt:lpstr>Inflation</vt:lpstr>
      <vt:lpstr>' Measure INDEX PY25'!Print_Area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'HVAC Deemed Table'!Print_Area</vt:lpstr>
      <vt:lpstr>'Income Eligible Deemed Table'!Print_Area</vt:lpstr>
      <vt:lpstr>' Measure INDEX PY25'!Print_Titles</vt:lpstr>
      <vt:lpstr>'BUS Deemed Savings Table'!Print_Titles</vt:lpstr>
      <vt:lpstr>'Demand Response Deemed Table'!Print_Titles</vt:lpstr>
      <vt:lpstr>'Efficient Products Deemed Table'!Print_Titles</vt:lpstr>
      <vt:lpstr>'Energy Effic. Kits Deemed Table'!Print_Titles</vt:lpstr>
      <vt:lpstr>'HVAC Deemed Table'!Print_Titles</vt:lpstr>
      <vt:lpstr>'Income Eligible Deemed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2025-10-29T18:52:02Z</dcterms:created>
  <dcterms:modified xsi:type="dcterms:W3CDTF">2025-11-10T16:31:08Z</dcterms:modified>
  <cp:category/>
  <cp:contentStatus/>
</cp:coreProperties>
</file>